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kozgazd\Taschner Kriszti\Rendelet módosítások - KGY\2026\RMI\"/>
    </mc:Choice>
  </mc:AlternateContent>
  <xr:revisionPtr revIDLastSave="0" documentId="13_ncr:1_{63E08DC2-9D7D-4B68-9B1F-27C39D16D906}" xr6:coauthVersionLast="47" xr6:coauthVersionMax="47" xr10:uidLastSave="{00000000-0000-0000-0000-000000000000}"/>
  <bookViews>
    <workbookView xWindow="-120" yWindow="-120" windowWidth="29040" windowHeight="15720" tabRatio="697" xr2:uid="{00000000-000D-0000-FFFF-FFFF00000000}"/>
  </bookViews>
  <sheets>
    <sheet name="1 kiemelt ei. " sheetId="77" r:id="rId1"/>
    <sheet name="2 mérleg" sheetId="2" r:id="rId2"/>
    <sheet name="3 működési bevételek" sheetId="52" r:id="rId3"/>
    <sheet name="4 intézményi bevételek" sheetId="142" r:id="rId4"/>
    <sheet name="5 normatíva" sheetId="145" r:id="rId5"/>
    <sheet name="6 intézményi kiadás" sheetId="143" r:id="rId6"/>
    <sheet name="7 létszám" sheetId="144" r:id="rId7"/>
    <sheet name="8 oktatás" sheetId="6" r:id="rId8"/>
    <sheet name="9 kultúra" sheetId="7" r:id="rId9"/>
    <sheet name="10 szociális" sheetId="8" r:id="rId10"/>
    <sheet name="11 egészségügy" sheetId="9" r:id="rId11"/>
    <sheet name="12 gyermek és ifj.véd." sheetId="10" r:id="rId12"/>
    <sheet name="13 egyéb" sheetId="11" r:id="rId13"/>
    <sheet name="14 sport" sheetId="128" r:id="rId14"/>
    <sheet name="15 város.ü." sheetId="16" r:id="rId15"/>
    <sheet name="16 út-híd" sheetId="17" r:id="rId16"/>
    <sheet name="17 felhalm.bevétel " sheetId="54" r:id="rId17"/>
    <sheet name="18 felhalm.kiadás" sheetId="23" r:id="rId18"/>
    <sheet name="19 ei felh. terv bevétel" sheetId="63" r:id="rId19"/>
    <sheet name="19 ei. felh.terv kiadás" sheetId="6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7" hidden="1">'18 felhalm.kiadás'!$A$4:$F$5</definedName>
    <definedName name="aaaaaaaaaaaaaaaaaaaaaaa" localSheetId="4">#REF!</definedName>
    <definedName name="aaaaaaaaaaaaaaaaaaaaaaa">#REF!</definedName>
    <definedName name="áfaössz16" localSheetId="4">#REF!</definedName>
    <definedName name="áfaössz16">#REF!</definedName>
    <definedName name="bk" localSheetId="4">#REF!</definedName>
    <definedName name="bk" localSheetId="6">#REF!</definedName>
    <definedName name="bk">#REF!</definedName>
    <definedName name="css" localSheetId="4">#REF!</definedName>
    <definedName name="css" localSheetId="6">#REF!</definedName>
    <definedName name="css">#REF!</definedName>
    <definedName name="css_k" localSheetId="4">[1]Családsegítés!$C$27:$C$86</definedName>
    <definedName name="css_k" localSheetId="6">[1]Családsegítés!$C$27:$C$86</definedName>
    <definedName name="css_k">#REF!</definedName>
    <definedName name="css_k_" localSheetId="4">#REF!</definedName>
    <definedName name="css_k_" localSheetId="6">#REF!</definedName>
    <definedName name="css_k_">#REF!</definedName>
    <definedName name="d" localSheetId="4">#REF!</definedName>
    <definedName name="d">#REF!</definedName>
    <definedName name="eredetiköltségvetés2017" localSheetId="4">#REF!</definedName>
    <definedName name="eredetiköltségvetés2017">#REF!</definedName>
    <definedName name="feljéc" localSheetId="4">#REF!</definedName>
    <definedName name="feljéc">#REF!</definedName>
    <definedName name="fff" localSheetId="4">#REF!</definedName>
    <definedName name="fff">#REF!</definedName>
    <definedName name="ffff" localSheetId="4">#REF!</definedName>
    <definedName name="ffff">#REF!</definedName>
    <definedName name="gyj" localSheetId="4">#REF!</definedName>
    <definedName name="gyj" localSheetId="6">#REF!</definedName>
    <definedName name="gyj">#REF!</definedName>
    <definedName name="gyj_k" localSheetId="4">[1]Gyermekjóléti!$C$27:$C$86</definedName>
    <definedName name="gyj_k" localSheetId="6">[1]Gyermekjóléti!$C$27:$C$86</definedName>
    <definedName name="gyj_k">#REF!</definedName>
    <definedName name="gyj_k_" localSheetId="4">#REF!</definedName>
    <definedName name="gyj_k_" localSheetId="6">#REF!</definedName>
    <definedName name="gyj_k_">#REF!</definedName>
    <definedName name="h" localSheetId="4">#REF!</definedName>
    <definedName name="h">#REF!</definedName>
    <definedName name="kjz" localSheetId="4">#REF!</definedName>
    <definedName name="kjz" localSheetId="6">#REF!</definedName>
    <definedName name="kjz">#REF!</definedName>
    <definedName name="kjz_k" localSheetId="4">[1]körjegyzőség!$C$9:$C$28</definedName>
    <definedName name="kjz_k" localSheetId="6">[1]körjegyzőség!$C$9:$C$28</definedName>
    <definedName name="kjz_k">#REF!</definedName>
    <definedName name="kjz_k_" localSheetId="4">#REF!</definedName>
    <definedName name="kjz_k_" localSheetId="6">#REF!</definedName>
    <definedName name="kjz_k_">#REF!</definedName>
    <definedName name="nev_b" localSheetId="4">#REF!</definedName>
    <definedName name="nev_b">#REF!</definedName>
    <definedName name="nev_c" localSheetId="4">#REF!</definedName>
    <definedName name="nev_c" localSheetId="6">#REF!</definedName>
    <definedName name="nev_c">#REF!</definedName>
    <definedName name="nev_g" localSheetId="4">#REF!</definedName>
    <definedName name="nev_g" localSheetId="6">#REF!</definedName>
    <definedName name="nev_g">#REF!</definedName>
    <definedName name="nev_k" localSheetId="4">#REF!</definedName>
    <definedName name="nev_k" localSheetId="6">#REF!</definedName>
    <definedName name="nev_k">#REF!</definedName>
    <definedName name="nev_k1" localSheetId="4">#REF!</definedName>
    <definedName name="nev_k1">#REF!</definedName>
    <definedName name="normatíva" localSheetId="4">[2]Családsegítés!$C$27:$C$86</definedName>
    <definedName name="normatíva" localSheetId="6">[2]Családsegítés!$C$27:$C$86</definedName>
    <definedName name="normatíva">#REF!</definedName>
    <definedName name="_xlnm.Print_Titles" localSheetId="12">'13 egyéb'!$3:$5</definedName>
    <definedName name="_xlnm.Print_Titles" localSheetId="2">'3 működési bevételek'!$4:$6</definedName>
    <definedName name="_xlnm.Print_Titles" localSheetId="4">'5 normatíva'!$3:$4</definedName>
    <definedName name="_xlnm.Print_Titles" localSheetId="6">'7 létszám'!$1:$6</definedName>
    <definedName name="_xlnm.Print_Area" localSheetId="0">'1 kiemelt ei. '!$A$1:$N$20</definedName>
    <definedName name="_xlnm.Print_Area" localSheetId="9">'10 szociális'!$A$1:$E$46</definedName>
    <definedName name="_xlnm.Print_Area" localSheetId="10">'11 egészségügy'!$A$1:$E$30</definedName>
    <definedName name="_xlnm.Print_Area" localSheetId="11">'12 gyermek és ifj.véd.'!$A$1:$E$22</definedName>
    <definedName name="_xlnm.Print_Area" localSheetId="12">'13 egyéb'!$A$1:$E$122</definedName>
    <definedName name="_xlnm.Print_Area" localSheetId="13">'14 sport'!$A$1:$E$29</definedName>
    <definedName name="_xlnm.Print_Area" localSheetId="14">'15 város.ü.'!$A$1:$E$41</definedName>
    <definedName name="_xlnm.Print_Area" localSheetId="15">'16 út-híd'!$A$1:$E$32</definedName>
    <definedName name="_xlnm.Print_Area" localSheetId="16">'17 felhalm.bevétel '!$A$1:$F$59</definedName>
    <definedName name="_xlnm.Print_Area" localSheetId="17">'18 felhalm.kiadás'!$A$1:$F$78</definedName>
    <definedName name="_xlnm.Print_Area" localSheetId="18">'19 ei felh. terv bevétel'!$A$1:$N$13</definedName>
    <definedName name="_xlnm.Print_Area" localSheetId="19">'19 ei. felh.terv kiadás'!$A$1:$N$27</definedName>
    <definedName name="_xlnm.Print_Area" localSheetId="1">'2 mérleg'!$A$1:$M$60</definedName>
    <definedName name="_xlnm.Print_Area" localSheetId="2">'3 működési bevételek'!$A$1:$I$149</definedName>
    <definedName name="_xlnm.Print_Area" localSheetId="3">'4 intézményi bevételek'!$A$1:$AP$50</definedName>
    <definedName name="_xlnm.Print_Area" localSheetId="4">'5 normatíva'!$A$1:$E$89</definedName>
    <definedName name="_xlnm.Print_Area" localSheetId="5">'6 intézményi kiadás'!$A$1:$AJ$50</definedName>
    <definedName name="_xlnm.Print_Area" localSheetId="6">'7 létszám'!$A$1:$L$50</definedName>
    <definedName name="_xlnm.Print_Area" localSheetId="7">'8 oktatás'!$A$1:$E$37</definedName>
    <definedName name="_xlnm.Print_Area" localSheetId="8">'9 kultúra'!$A$1:$E$79</definedName>
    <definedName name="polg" localSheetId="4">#REF!</definedName>
    <definedName name="polg">#REF!</definedName>
    <definedName name="polg.hiv." localSheetId="4">#REF!</definedName>
    <definedName name="polg.hiv.">#REF!</definedName>
    <definedName name="polg.hiv.2" localSheetId="4">#REF!</definedName>
    <definedName name="polg.hiv.2">#REF!</definedName>
    <definedName name="rmI" localSheetId="4">#REF!</definedName>
    <definedName name="rmI">#REF!</definedName>
    <definedName name="x" localSheetId="4">#REF!</definedName>
    <definedName name="x" localSheetId="6">#REF!</definedName>
    <definedName name="x">#REF!</definedName>
    <definedName name="Z_186732C5_520C_4E06_B066_B4F3F0A3E322_.wvu.PrintArea" localSheetId="9" hidden="1">'10 szociális'!$A$1:$A$36</definedName>
    <definedName name="Z_186732C5_520C_4E06_B066_B4F3F0A3E322_.wvu.PrintArea" localSheetId="10" hidden="1">'11 egészségügy'!$A$1:$A$19</definedName>
    <definedName name="Z_186732C5_520C_4E06_B066_B4F3F0A3E322_.wvu.PrintArea" localSheetId="11" hidden="1">'12 gyermek és ifj.véd.'!$A$1:$A$13</definedName>
    <definedName name="Z_186732C5_520C_4E06_B066_B4F3F0A3E322_.wvu.PrintArea" localSheetId="12" hidden="1">'13 egyéb'!$A$1:$A$111</definedName>
    <definedName name="Z_186732C5_520C_4E06_B066_B4F3F0A3E322_.wvu.PrintArea" localSheetId="13" hidden="1">'14 sport'!$A$1:$A$26</definedName>
    <definedName name="Z_186732C5_520C_4E06_B066_B4F3F0A3E322_.wvu.PrintArea" localSheetId="14" hidden="1">'15 város.ü.'!$A$1:$A$25</definedName>
    <definedName name="Z_186732C5_520C_4E06_B066_B4F3F0A3E322_.wvu.PrintArea" localSheetId="15" hidden="1">'16 út-híd'!$A$1:$A$28</definedName>
    <definedName name="Z_186732C5_520C_4E06_B066_B4F3F0A3E322_.wvu.PrintArea" localSheetId="16" hidden="1">'17 felhalm.bevétel '!$A$1:$B$60</definedName>
    <definedName name="Z_186732C5_520C_4E06_B066_B4F3F0A3E322_.wvu.PrintArea" localSheetId="17" hidden="1">'18 felhalm.kiadás'!$A$1:$B$78</definedName>
    <definedName name="Z_186732C5_520C_4E06_B066_B4F3F0A3E322_.wvu.PrintArea" localSheetId="1" hidden="1">'2 mérleg'!$A$2:$I$60</definedName>
    <definedName name="Z_186732C5_520C_4E06_B066_B4F3F0A3E322_.wvu.PrintArea" localSheetId="2" hidden="1">'3 működési bevételek'!$A$1:$E$148</definedName>
    <definedName name="Z_186732C5_520C_4E06_B066_B4F3F0A3E322_.wvu.PrintArea" localSheetId="7" hidden="1">'8 oktatás'!$A$1:$A$24</definedName>
    <definedName name="Z_186732C5_520C_4E06_B066_B4F3F0A3E322_.wvu.PrintArea" localSheetId="8" hidden="1">'9 kultúra'!$A$1:$A$63</definedName>
    <definedName name="Z_6D4B996F_8915_4E78_98C2_E7EAE9C4580C_.wvu.PrintArea" localSheetId="9" hidden="1">'10 szociális'!$A$1:$A$36</definedName>
    <definedName name="Z_6D4B996F_8915_4E78_98C2_E7EAE9C4580C_.wvu.PrintArea" localSheetId="10" hidden="1">'11 egészségügy'!$A$1:$A$19</definedName>
    <definedName name="Z_6D4B996F_8915_4E78_98C2_E7EAE9C4580C_.wvu.PrintArea" localSheetId="11" hidden="1">'12 gyermek és ifj.véd.'!$A$1:$A$13</definedName>
    <definedName name="Z_6D4B996F_8915_4E78_98C2_E7EAE9C4580C_.wvu.PrintArea" localSheetId="12" hidden="1">'13 egyéb'!$A$1:$A$111</definedName>
    <definedName name="Z_6D4B996F_8915_4E78_98C2_E7EAE9C4580C_.wvu.PrintArea" localSheetId="13" hidden="1">'14 sport'!$A$1:$A$26</definedName>
    <definedName name="Z_6D4B996F_8915_4E78_98C2_E7EAE9C4580C_.wvu.PrintArea" localSheetId="14" hidden="1">'15 város.ü.'!$A$1:$A$25</definedName>
    <definedName name="Z_6D4B996F_8915_4E78_98C2_E7EAE9C4580C_.wvu.PrintArea" localSheetId="15" hidden="1">'16 út-híd'!$A$1:$A$28</definedName>
    <definedName name="Z_6D4B996F_8915_4E78_98C2_E7EAE9C4580C_.wvu.PrintArea" localSheetId="16" hidden="1">'17 felhalm.bevétel '!$A$1:$B$60</definedName>
    <definedName name="Z_6D4B996F_8915_4E78_98C2_E7EAE9C4580C_.wvu.PrintArea" localSheetId="17" hidden="1">'18 felhalm.kiadás'!$A$1:$B$78</definedName>
    <definedName name="Z_6D4B996F_8915_4E78_98C2_E7EAE9C4580C_.wvu.PrintArea" localSheetId="1" hidden="1">'2 mérleg'!$A$2:$I$60</definedName>
    <definedName name="Z_6D4B996F_8915_4E78_98C2_E7EAE9C4580C_.wvu.PrintArea" localSheetId="2" hidden="1">'3 működési bevételek'!$A$1:$E$148</definedName>
    <definedName name="Z_6D4B996F_8915_4E78_98C2_E7EAE9C4580C_.wvu.PrintArea" localSheetId="7" hidden="1">'8 oktatás'!$A$1:$A$24</definedName>
    <definedName name="Z_6D4B996F_8915_4E78_98C2_E7EAE9C4580C_.wvu.PrintArea" localSheetId="8" hidden="1">'9 kultúra'!$A$1:$A$63</definedName>
    <definedName name="Z_F05CDCE5_D631_41F9_80C7_3F3E8464BF12_.wvu.PrintArea" localSheetId="6" hidden="1">'7 létszám'!$A$1:$L$48</definedName>
    <definedName name="Z_F05CDCE5_D631_41F9_80C7_3F3E8464BF12_.wvu.PrintTitles" localSheetId="6" hidden="1">'7 létszám'!$1:$6</definedName>
  </definedNames>
  <calcPr calcId="191029"/>
  <customWorkbookViews>
    <customWorkbookView name="Tóth László - Egyéni látvány" guid="{6D4B996F-8915-4E78-98C2-E7EAE9C4580C}" mergeInterval="0" personalView="1" maximized="1" windowWidth="1020" windowHeight="597" tabRatio="738" activeSheetId="8"/>
    <customWorkbookView name="Szakács Eszter - Egyéni látvány" guid="{186732C5-520C-4E06-B066-B4F3F0A3E322}" mergeInterval="0" personalView="1" maximized="1" windowWidth="1020" windowHeight="594" tabRatio="738" activeSheetId="2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7" i="145" l="1"/>
  <c r="C87" i="145"/>
  <c r="B87" i="145"/>
  <c r="E85" i="145"/>
  <c r="E87" i="145" s="1"/>
  <c r="D84" i="145"/>
  <c r="C84" i="145"/>
  <c r="B84" i="145"/>
  <c r="E83" i="145"/>
  <c r="E82" i="145"/>
  <c r="E81" i="145"/>
  <c r="E80" i="145"/>
  <c r="E79" i="145"/>
  <c r="E78" i="145"/>
  <c r="E77" i="145"/>
  <c r="D77" i="145"/>
  <c r="D88" i="145" s="1"/>
  <c r="B77" i="145"/>
  <c r="E76" i="145"/>
  <c r="E75" i="145"/>
  <c r="D72" i="145"/>
  <c r="C72" i="145"/>
  <c r="B72" i="145"/>
  <c r="E71" i="145"/>
  <c r="E70" i="145"/>
  <c r="D68" i="145"/>
  <c r="C68" i="145"/>
  <c r="B68" i="145"/>
  <c r="E67" i="145"/>
  <c r="E66" i="145"/>
  <c r="E65" i="145"/>
  <c r="E68" i="145" s="1"/>
  <c r="E61" i="145"/>
  <c r="D61" i="145"/>
  <c r="C61" i="145"/>
  <c r="B61" i="145"/>
  <c r="E60" i="145"/>
  <c r="E59" i="145"/>
  <c r="D57" i="145"/>
  <c r="C57" i="145"/>
  <c r="B57" i="145"/>
  <c r="E56" i="145"/>
  <c r="E55" i="145"/>
  <c r="E54" i="145"/>
  <c r="D51" i="145"/>
  <c r="C51" i="145"/>
  <c r="B51" i="145"/>
  <c r="E50" i="145"/>
  <c r="E49" i="145"/>
  <c r="E48" i="145"/>
  <c r="E47" i="145"/>
  <c r="E46" i="145"/>
  <c r="E45" i="145"/>
  <c r="E44" i="145"/>
  <c r="E43" i="145"/>
  <c r="D40" i="145"/>
  <c r="C40" i="145"/>
  <c r="B40" i="145"/>
  <c r="E39" i="145"/>
  <c r="E38" i="145"/>
  <c r="E37" i="145"/>
  <c r="E34" i="145"/>
  <c r="E31" i="145"/>
  <c r="E30" i="145"/>
  <c r="E29" i="145"/>
  <c r="E28" i="145"/>
  <c r="E26" i="145"/>
  <c r="E25" i="145"/>
  <c r="E24" i="145"/>
  <c r="E23" i="145"/>
  <c r="E19" i="145"/>
  <c r="E17" i="145"/>
  <c r="D14" i="145"/>
  <c r="C14" i="145"/>
  <c r="B14" i="145"/>
  <c r="E13" i="145"/>
  <c r="E12" i="145"/>
  <c r="E11" i="145"/>
  <c r="E10" i="145"/>
  <c r="E9" i="145"/>
  <c r="E8" i="145"/>
  <c r="E7" i="145"/>
  <c r="E6" i="145"/>
  <c r="E84" i="145" l="1"/>
  <c r="E57" i="145"/>
  <c r="E88" i="145"/>
  <c r="E51" i="145"/>
  <c r="E62" i="145" s="1"/>
  <c r="C62" i="145"/>
  <c r="C73" i="145" s="1"/>
  <c r="E40" i="145"/>
  <c r="E72" i="145"/>
  <c r="B62" i="145"/>
  <c r="B73" i="145" s="1"/>
  <c r="B89" i="145" s="1"/>
  <c r="E14" i="145"/>
  <c r="B88" i="145"/>
  <c r="D62" i="145"/>
  <c r="C88" i="145"/>
  <c r="D73" i="145"/>
  <c r="E73" i="145" l="1"/>
  <c r="E89" i="145" s="1"/>
  <c r="C89" i="145"/>
  <c r="D89" i="145"/>
  <c r="L49" i="144" l="1"/>
  <c r="C49" i="144"/>
  <c r="E49" i="144" s="1"/>
  <c r="B49" i="144"/>
  <c r="L46" i="144"/>
  <c r="K46" i="144"/>
  <c r="I46" i="144"/>
  <c r="G46" i="144"/>
  <c r="D46" i="144"/>
  <c r="J45" i="144"/>
  <c r="J46" i="144" s="1"/>
  <c r="F45" i="144"/>
  <c r="C45" i="144"/>
  <c r="E45" i="144" s="1"/>
  <c r="B45" i="144"/>
  <c r="H44" i="144"/>
  <c r="C44" i="144"/>
  <c r="E44" i="144" s="1"/>
  <c r="B44" i="144"/>
  <c r="H43" i="144"/>
  <c r="C43" i="144"/>
  <c r="B43" i="144"/>
  <c r="I41" i="144"/>
  <c r="H41" i="144"/>
  <c r="C41" i="144"/>
  <c r="E41" i="144" s="1"/>
  <c r="B41" i="144"/>
  <c r="H39" i="144"/>
  <c r="G39" i="144"/>
  <c r="C39" i="144"/>
  <c r="E39" i="144" s="1"/>
  <c r="B39" i="144"/>
  <c r="H37" i="144"/>
  <c r="C37" i="144"/>
  <c r="E37" i="144" s="1"/>
  <c r="B37" i="144"/>
  <c r="L35" i="144"/>
  <c r="L47" i="144" s="1"/>
  <c r="K35" i="144"/>
  <c r="K47" i="144" s="1"/>
  <c r="I35" i="144"/>
  <c r="H35" i="144"/>
  <c r="G35" i="144"/>
  <c r="F35" i="144"/>
  <c r="D35" i="144"/>
  <c r="J34" i="144"/>
  <c r="C34" i="144"/>
  <c r="E34" i="144" s="1"/>
  <c r="B34" i="144"/>
  <c r="J33" i="144"/>
  <c r="C33" i="144"/>
  <c r="E33" i="144" s="1"/>
  <c r="B33" i="144"/>
  <c r="J32" i="144"/>
  <c r="C32" i="144"/>
  <c r="E32" i="144" s="1"/>
  <c r="B32" i="144"/>
  <c r="J31" i="144"/>
  <c r="C31" i="144"/>
  <c r="B31" i="144"/>
  <c r="H27" i="144"/>
  <c r="C27" i="144"/>
  <c r="E27" i="144" s="1"/>
  <c r="B27" i="144"/>
  <c r="L26" i="144"/>
  <c r="L28" i="144" s="1"/>
  <c r="K26" i="144"/>
  <c r="K28" i="144" s="1"/>
  <c r="H26" i="144"/>
  <c r="G26" i="144"/>
  <c r="G28" i="144" s="1"/>
  <c r="F26" i="144"/>
  <c r="F28" i="144" s="1"/>
  <c r="D26" i="144"/>
  <c r="D28" i="144" s="1"/>
  <c r="I25" i="144"/>
  <c r="C25" i="144"/>
  <c r="E25" i="144" s="1"/>
  <c r="B25" i="144"/>
  <c r="I24" i="144"/>
  <c r="C24" i="144"/>
  <c r="E24" i="144" s="1"/>
  <c r="B24" i="144"/>
  <c r="I23" i="144"/>
  <c r="C23" i="144"/>
  <c r="E23" i="144" s="1"/>
  <c r="B23" i="144"/>
  <c r="J22" i="144"/>
  <c r="I22" i="144"/>
  <c r="C22" i="144"/>
  <c r="E22" i="144" s="1"/>
  <c r="B22" i="144"/>
  <c r="J21" i="144"/>
  <c r="I21" i="144"/>
  <c r="C21" i="144"/>
  <c r="E21" i="144" s="1"/>
  <c r="B21" i="144"/>
  <c r="I20" i="144"/>
  <c r="C20" i="144"/>
  <c r="E20" i="144" s="1"/>
  <c r="B20" i="144"/>
  <c r="I19" i="144"/>
  <c r="C19" i="144"/>
  <c r="E19" i="144" s="1"/>
  <c r="B19" i="144"/>
  <c r="I18" i="144"/>
  <c r="C18" i="144"/>
  <c r="E18" i="144" s="1"/>
  <c r="B18" i="144"/>
  <c r="J17" i="144"/>
  <c r="I17" i="144"/>
  <c r="C17" i="144"/>
  <c r="E17" i="144" s="1"/>
  <c r="B17" i="144"/>
  <c r="J16" i="144"/>
  <c r="I16" i="144"/>
  <c r="C16" i="144"/>
  <c r="E16" i="144" s="1"/>
  <c r="B16" i="144"/>
  <c r="J15" i="144"/>
  <c r="I15" i="144"/>
  <c r="C15" i="144"/>
  <c r="E15" i="144" s="1"/>
  <c r="B15" i="144"/>
  <c r="I14" i="144"/>
  <c r="C14" i="144"/>
  <c r="E14" i="144" s="1"/>
  <c r="B14" i="144"/>
  <c r="I13" i="144"/>
  <c r="C13" i="144"/>
  <c r="E13" i="144" s="1"/>
  <c r="B13" i="144"/>
  <c r="I12" i="144"/>
  <c r="C12" i="144"/>
  <c r="E12" i="144" s="1"/>
  <c r="B12" i="144"/>
  <c r="I11" i="144"/>
  <c r="C11" i="144"/>
  <c r="E11" i="144" s="1"/>
  <c r="B11" i="144"/>
  <c r="I10" i="144"/>
  <c r="C10" i="144"/>
  <c r="E10" i="144" s="1"/>
  <c r="B10" i="144"/>
  <c r="I9" i="144"/>
  <c r="C9" i="144"/>
  <c r="E9" i="144" s="1"/>
  <c r="B9" i="144"/>
  <c r="I8" i="144"/>
  <c r="C8" i="144"/>
  <c r="E8" i="144" s="1"/>
  <c r="B8" i="144"/>
  <c r="C35" i="144" l="1"/>
  <c r="I47" i="144"/>
  <c r="K48" i="144"/>
  <c r="K50" i="144" s="1"/>
  <c r="J26" i="144"/>
  <c r="J28" i="144" s="1"/>
  <c r="C46" i="144"/>
  <c r="H28" i="144"/>
  <c r="D47" i="144"/>
  <c r="D48" i="144" s="1"/>
  <c r="D50" i="144" s="1"/>
  <c r="B26" i="144"/>
  <c r="B28" i="144" s="1"/>
  <c r="B35" i="144"/>
  <c r="B46" i="144"/>
  <c r="G47" i="144"/>
  <c r="G48" i="144" s="1"/>
  <c r="G50" i="144" s="1"/>
  <c r="E43" i="144"/>
  <c r="E46" i="144" s="1"/>
  <c r="E26" i="144"/>
  <c r="E28" i="144" s="1"/>
  <c r="L48" i="144"/>
  <c r="L50" i="144" s="1"/>
  <c r="J35" i="144"/>
  <c r="J47" i="144" s="1"/>
  <c r="F46" i="144"/>
  <c r="F47" i="144" s="1"/>
  <c r="F48" i="144" s="1"/>
  <c r="F50" i="144" s="1"/>
  <c r="C26" i="144"/>
  <c r="C28" i="144" s="1"/>
  <c r="E31" i="144"/>
  <c r="H46" i="144"/>
  <c r="H47" i="144" s="1"/>
  <c r="I26" i="144"/>
  <c r="I28" i="144" s="1"/>
  <c r="C47" i="144" l="1"/>
  <c r="I48" i="144"/>
  <c r="I50" i="144" s="1"/>
  <c r="H48" i="144"/>
  <c r="H50" i="144" s="1"/>
  <c r="C48" i="144"/>
  <c r="C50" i="144" s="1"/>
  <c r="J48" i="144"/>
  <c r="J50" i="144" s="1"/>
  <c r="B47" i="144"/>
  <c r="B48" i="144" s="1"/>
  <c r="B50" i="144" s="1"/>
  <c r="E35" i="144"/>
  <c r="E47" i="144" l="1"/>
  <c r="E48" i="144" l="1"/>
  <c r="E50" i="144" l="1"/>
  <c r="AC48" i="143" l="1"/>
  <c r="M48" i="143"/>
  <c r="AB47" i="143"/>
  <c r="AD47" i="143" s="1"/>
  <c r="Z47" i="143"/>
  <c r="Y47" i="143"/>
  <c r="W47" i="143"/>
  <c r="V47" i="143"/>
  <c r="P47" i="143"/>
  <c r="P48" i="143" s="1"/>
  <c r="O47" i="143"/>
  <c r="L47" i="143"/>
  <c r="N47" i="143" s="1"/>
  <c r="I47" i="143"/>
  <c r="H47" i="143"/>
  <c r="F47" i="143"/>
  <c r="E47" i="143"/>
  <c r="C47" i="143"/>
  <c r="B47" i="143"/>
  <c r="AB46" i="143"/>
  <c r="AD46" i="143" s="1"/>
  <c r="Z46" i="143"/>
  <c r="Y46" i="143"/>
  <c r="W46" i="143"/>
  <c r="V46" i="143"/>
  <c r="X46" i="143" s="1"/>
  <c r="O46" i="143"/>
  <c r="L46" i="143"/>
  <c r="N46" i="143" s="1"/>
  <c r="I46" i="143"/>
  <c r="H46" i="143"/>
  <c r="F46" i="143"/>
  <c r="E46" i="143"/>
  <c r="C46" i="143"/>
  <c r="B46" i="143"/>
  <c r="D46" i="143" s="1"/>
  <c r="AB45" i="143"/>
  <c r="Z45" i="143"/>
  <c r="Y45" i="143"/>
  <c r="W45" i="143"/>
  <c r="V45" i="143"/>
  <c r="O45" i="143"/>
  <c r="Q45" i="143" s="1"/>
  <c r="L45" i="143"/>
  <c r="N45" i="143" s="1"/>
  <c r="I45" i="143"/>
  <c r="H45" i="143"/>
  <c r="F45" i="143"/>
  <c r="E45" i="143"/>
  <c r="C45" i="143"/>
  <c r="B45" i="143"/>
  <c r="AB43" i="143"/>
  <c r="AD43" i="143" s="1"/>
  <c r="Z43" i="143"/>
  <c r="Y43" i="143"/>
  <c r="W43" i="143"/>
  <c r="V43" i="143"/>
  <c r="O43" i="143"/>
  <c r="Q43" i="143" s="1"/>
  <c r="L43" i="143"/>
  <c r="N43" i="143" s="1"/>
  <c r="I43" i="143"/>
  <c r="H43" i="143"/>
  <c r="J43" i="143" s="1"/>
  <c r="F43" i="143"/>
  <c r="E43" i="143"/>
  <c r="C43" i="143"/>
  <c r="B43" i="143"/>
  <c r="AB41" i="143"/>
  <c r="AD41" i="143" s="1"/>
  <c r="Z41" i="143"/>
  <c r="Y41" i="143"/>
  <c r="W41" i="143"/>
  <c r="V41" i="143"/>
  <c r="O41" i="143"/>
  <c r="Q41" i="143" s="1"/>
  <c r="L41" i="143"/>
  <c r="N41" i="143" s="1"/>
  <c r="I41" i="143"/>
  <c r="H41" i="143"/>
  <c r="F41" i="143"/>
  <c r="E41" i="143"/>
  <c r="G41" i="143" s="1"/>
  <c r="C41" i="143"/>
  <c r="B41" i="143"/>
  <c r="AB39" i="143"/>
  <c r="AD39" i="143" s="1"/>
  <c r="Z39" i="143"/>
  <c r="Y39" i="143"/>
  <c r="W39" i="143"/>
  <c r="V39" i="143"/>
  <c r="O39" i="143"/>
  <c r="Q39" i="143" s="1"/>
  <c r="L39" i="143"/>
  <c r="N39" i="143" s="1"/>
  <c r="I39" i="143"/>
  <c r="H39" i="143"/>
  <c r="F39" i="143"/>
  <c r="E39" i="143"/>
  <c r="C39" i="143"/>
  <c r="B39" i="143"/>
  <c r="AC37" i="143"/>
  <c r="AC49" i="143" s="1"/>
  <c r="P37" i="143"/>
  <c r="M37" i="143"/>
  <c r="AB36" i="143"/>
  <c r="AD36" i="143" s="1"/>
  <c r="Z36" i="143"/>
  <c r="Y36" i="143"/>
  <c r="W36" i="143"/>
  <c r="V36" i="143"/>
  <c r="O36" i="143"/>
  <c r="Q36" i="143" s="1"/>
  <c r="L36" i="143"/>
  <c r="N36" i="143" s="1"/>
  <c r="I36" i="143"/>
  <c r="H36" i="143"/>
  <c r="F36" i="143"/>
  <c r="E36" i="143"/>
  <c r="C36" i="143"/>
  <c r="B36" i="143"/>
  <c r="AB35" i="143"/>
  <c r="AD35" i="143" s="1"/>
  <c r="Z35" i="143"/>
  <c r="Y35" i="143"/>
  <c r="W35" i="143"/>
  <c r="V35" i="143"/>
  <c r="O35" i="143"/>
  <c r="Q35" i="143" s="1"/>
  <c r="L35" i="143"/>
  <c r="N35" i="143" s="1"/>
  <c r="I35" i="143"/>
  <c r="H35" i="143"/>
  <c r="F35" i="143"/>
  <c r="E35" i="143"/>
  <c r="C35" i="143"/>
  <c r="B35" i="143"/>
  <c r="AB34" i="143"/>
  <c r="AD34" i="143" s="1"/>
  <c r="Z34" i="143"/>
  <c r="Y34" i="143"/>
  <c r="W34" i="143"/>
  <c r="V34" i="143"/>
  <c r="X34" i="143" s="1"/>
  <c r="O34" i="143"/>
  <c r="Q34" i="143" s="1"/>
  <c r="L34" i="143"/>
  <c r="N34" i="143" s="1"/>
  <c r="I34" i="143"/>
  <c r="H34" i="143"/>
  <c r="F34" i="143"/>
  <c r="E34" i="143"/>
  <c r="C34" i="143"/>
  <c r="B34" i="143"/>
  <c r="D34" i="143" s="1"/>
  <c r="AB33" i="143"/>
  <c r="AD33" i="143" s="1"/>
  <c r="Z33" i="143"/>
  <c r="Y33" i="143"/>
  <c r="W33" i="143"/>
  <c r="V33" i="143"/>
  <c r="O33" i="143"/>
  <c r="L33" i="143"/>
  <c r="N33" i="143" s="1"/>
  <c r="I33" i="143"/>
  <c r="H33" i="143"/>
  <c r="F33" i="143"/>
  <c r="E33" i="143"/>
  <c r="C33" i="143"/>
  <c r="B33" i="143"/>
  <c r="AB29" i="143"/>
  <c r="AD29" i="143" s="1"/>
  <c r="Z29" i="143"/>
  <c r="Y29" i="143"/>
  <c r="AA29" i="143" s="1"/>
  <c r="W29" i="143"/>
  <c r="V29" i="143"/>
  <c r="X29" i="143" s="1"/>
  <c r="O29" i="143"/>
  <c r="Q29" i="143" s="1"/>
  <c r="L29" i="143"/>
  <c r="N29" i="143" s="1"/>
  <c r="I29" i="143"/>
  <c r="H29" i="143"/>
  <c r="F29" i="143"/>
  <c r="E29" i="143"/>
  <c r="G29" i="143" s="1"/>
  <c r="C29" i="143"/>
  <c r="B29" i="143"/>
  <c r="AC28" i="143"/>
  <c r="AC30" i="143" s="1"/>
  <c r="P28" i="143"/>
  <c r="P30" i="143" s="1"/>
  <c r="M28" i="143"/>
  <c r="M30" i="143" s="1"/>
  <c r="AB27" i="143"/>
  <c r="AD27" i="143" s="1"/>
  <c r="Z27" i="143"/>
  <c r="Y27" i="143"/>
  <c r="AA27" i="143" s="1"/>
  <c r="W27" i="143"/>
  <c r="V27" i="143"/>
  <c r="X27" i="143" s="1"/>
  <c r="O27" i="143"/>
  <c r="Q27" i="143" s="1"/>
  <c r="L27" i="143"/>
  <c r="N27" i="143" s="1"/>
  <c r="I27" i="143"/>
  <c r="H27" i="143"/>
  <c r="F27" i="143"/>
  <c r="E27" i="143"/>
  <c r="C27" i="143"/>
  <c r="B27" i="143"/>
  <c r="AB26" i="143"/>
  <c r="AD26" i="143" s="1"/>
  <c r="Z26" i="143"/>
  <c r="Y26" i="143"/>
  <c r="W26" i="143"/>
  <c r="V26" i="143"/>
  <c r="O26" i="143"/>
  <c r="Q26" i="143" s="1"/>
  <c r="L26" i="143"/>
  <c r="N26" i="143" s="1"/>
  <c r="I26" i="143"/>
  <c r="H26" i="143"/>
  <c r="F26" i="143"/>
  <c r="E26" i="143"/>
  <c r="C26" i="143"/>
  <c r="B26" i="143"/>
  <c r="AB25" i="143"/>
  <c r="AD25" i="143" s="1"/>
  <c r="Z25" i="143"/>
  <c r="Y25" i="143"/>
  <c r="AA25" i="143" s="1"/>
  <c r="W25" i="143"/>
  <c r="V25" i="143"/>
  <c r="O25" i="143"/>
  <c r="Q25" i="143" s="1"/>
  <c r="L25" i="143"/>
  <c r="N25" i="143" s="1"/>
  <c r="I25" i="143"/>
  <c r="H25" i="143"/>
  <c r="F25" i="143"/>
  <c r="E25" i="143"/>
  <c r="C25" i="143"/>
  <c r="B25" i="143"/>
  <c r="AB24" i="143"/>
  <c r="AD24" i="143" s="1"/>
  <c r="Z24" i="143"/>
  <c r="Y24" i="143"/>
  <c r="W24" i="143"/>
  <c r="V24" i="143"/>
  <c r="O24" i="143"/>
  <c r="Q24" i="143" s="1"/>
  <c r="L24" i="143"/>
  <c r="N24" i="143" s="1"/>
  <c r="I24" i="143"/>
  <c r="H24" i="143"/>
  <c r="F24" i="143"/>
  <c r="E24" i="143"/>
  <c r="C24" i="143"/>
  <c r="B24" i="143"/>
  <c r="AB23" i="143"/>
  <c r="Z23" i="143"/>
  <c r="Y23" i="143"/>
  <c r="W23" i="143"/>
  <c r="V23" i="143"/>
  <c r="O23" i="143"/>
  <c r="Q23" i="143" s="1"/>
  <c r="L23" i="143"/>
  <c r="I23" i="143"/>
  <c r="H23" i="143"/>
  <c r="F23" i="143"/>
  <c r="E23" i="143"/>
  <c r="C23" i="143"/>
  <c r="B23" i="143"/>
  <c r="AB22" i="143"/>
  <c r="AD22" i="143" s="1"/>
  <c r="Z22" i="143"/>
  <c r="Y22" i="143"/>
  <c r="W22" i="143"/>
  <c r="V22" i="143"/>
  <c r="O22" i="143"/>
  <c r="Q22" i="143" s="1"/>
  <c r="L22" i="143"/>
  <c r="N22" i="143" s="1"/>
  <c r="I22" i="143"/>
  <c r="H22" i="143"/>
  <c r="F22" i="143"/>
  <c r="E22" i="143"/>
  <c r="C22" i="143"/>
  <c r="B22" i="143"/>
  <c r="AB21" i="143"/>
  <c r="AD21" i="143" s="1"/>
  <c r="Z21" i="143"/>
  <c r="Y21" i="143"/>
  <c r="W21" i="143"/>
  <c r="V21" i="143"/>
  <c r="X21" i="143" s="1"/>
  <c r="O21" i="143"/>
  <c r="Q21" i="143" s="1"/>
  <c r="L21" i="143"/>
  <c r="N21" i="143" s="1"/>
  <c r="I21" i="143"/>
  <c r="H21" i="143"/>
  <c r="F21" i="143"/>
  <c r="E21" i="143"/>
  <c r="C21" i="143"/>
  <c r="B21" i="143"/>
  <c r="AB20" i="143"/>
  <c r="AD20" i="143" s="1"/>
  <c r="Z20" i="143"/>
  <c r="Y20" i="143"/>
  <c r="W20" i="143"/>
  <c r="V20" i="143"/>
  <c r="O20" i="143"/>
  <c r="Q20" i="143" s="1"/>
  <c r="L20" i="143"/>
  <c r="N20" i="143" s="1"/>
  <c r="I20" i="143"/>
  <c r="H20" i="143"/>
  <c r="F20" i="143"/>
  <c r="E20" i="143"/>
  <c r="C20" i="143"/>
  <c r="B20" i="143"/>
  <c r="AB19" i="143"/>
  <c r="AD19" i="143" s="1"/>
  <c r="Z19" i="143"/>
  <c r="Y19" i="143"/>
  <c r="AA19" i="143" s="1"/>
  <c r="W19" i="143"/>
  <c r="V19" i="143"/>
  <c r="O19" i="143"/>
  <c r="Q19" i="143" s="1"/>
  <c r="L19" i="143"/>
  <c r="N19" i="143" s="1"/>
  <c r="I19" i="143"/>
  <c r="H19" i="143"/>
  <c r="F19" i="143"/>
  <c r="E19" i="143"/>
  <c r="G19" i="143" s="1"/>
  <c r="C19" i="143"/>
  <c r="B19" i="143"/>
  <c r="AB18" i="143"/>
  <c r="AD18" i="143" s="1"/>
  <c r="Z18" i="143"/>
  <c r="Y18" i="143"/>
  <c r="W18" i="143"/>
  <c r="V18" i="143"/>
  <c r="O18" i="143"/>
  <c r="Q18" i="143" s="1"/>
  <c r="L18" i="143"/>
  <c r="N18" i="143" s="1"/>
  <c r="I18" i="143"/>
  <c r="H18" i="143"/>
  <c r="F18" i="143"/>
  <c r="E18" i="143"/>
  <c r="C18" i="143"/>
  <c r="B18" i="143"/>
  <c r="AB17" i="143"/>
  <c r="Z17" i="143"/>
  <c r="Y17" i="143"/>
  <c r="W17" i="143"/>
  <c r="V17" i="143"/>
  <c r="O17" i="143"/>
  <c r="Q17" i="143" s="1"/>
  <c r="L17" i="143"/>
  <c r="N17" i="143" s="1"/>
  <c r="I17" i="143"/>
  <c r="H17" i="143"/>
  <c r="J17" i="143" s="1"/>
  <c r="F17" i="143"/>
  <c r="E17" i="143"/>
  <c r="C17" i="143"/>
  <c r="B17" i="143"/>
  <c r="AB16" i="143"/>
  <c r="AD16" i="143" s="1"/>
  <c r="Z16" i="143"/>
  <c r="Y16" i="143"/>
  <c r="W16" i="143"/>
  <c r="V16" i="143"/>
  <c r="O16" i="143"/>
  <c r="Q16" i="143" s="1"/>
  <c r="L16" i="143"/>
  <c r="N16" i="143" s="1"/>
  <c r="I16" i="143"/>
  <c r="H16" i="143"/>
  <c r="F16" i="143"/>
  <c r="E16" i="143"/>
  <c r="C16" i="143"/>
  <c r="B16" i="143"/>
  <c r="AB15" i="143"/>
  <c r="AD15" i="143" s="1"/>
  <c r="Z15" i="143"/>
  <c r="Y15" i="143"/>
  <c r="W15" i="143"/>
  <c r="V15" i="143"/>
  <c r="O15" i="143"/>
  <c r="Q15" i="143" s="1"/>
  <c r="L15" i="143"/>
  <c r="N15" i="143" s="1"/>
  <c r="I15" i="143"/>
  <c r="H15" i="143"/>
  <c r="J15" i="143" s="1"/>
  <c r="F15" i="143"/>
  <c r="E15" i="143"/>
  <c r="C15" i="143"/>
  <c r="B15" i="143"/>
  <c r="AB14" i="143"/>
  <c r="AD14" i="143" s="1"/>
  <c r="Z14" i="143"/>
  <c r="Y14" i="143"/>
  <c r="W14" i="143"/>
  <c r="V14" i="143"/>
  <c r="O14" i="143"/>
  <c r="Q14" i="143" s="1"/>
  <c r="L14" i="143"/>
  <c r="N14" i="143" s="1"/>
  <c r="I14" i="143"/>
  <c r="H14" i="143"/>
  <c r="F14" i="143"/>
  <c r="E14" i="143"/>
  <c r="C14" i="143"/>
  <c r="B14" i="143"/>
  <c r="AB13" i="143"/>
  <c r="AD13" i="143" s="1"/>
  <c r="Z13" i="143"/>
  <c r="Y13" i="143"/>
  <c r="W13" i="143"/>
  <c r="V13" i="143"/>
  <c r="O13" i="143"/>
  <c r="Q13" i="143" s="1"/>
  <c r="L13" i="143"/>
  <c r="N13" i="143" s="1"/>
  <c r="I13" i="143"/>
  <c r="H13" i="143"/>
  <c r="F13" i="143"/>
  <c r="E13" i="143"/>
  <c r="C13" i="143"/>
  <c r="B13" i="143"/>
  <c r="AB12" i="143"/>
  <c r="AD12" i="143" s="1"/>
  <c r="Z12" i="143"/>
  <c r="Y12" i="143"/>
  <c r="W12" i="143"/>
  <c r="V12" i="143"/>
  <c r="O12" i="143"/>
  <c r="L12" i="143"/>
  <c r="N12" i="143" s="1"/>
  <c r="I12" i="143"/>
  <c r="H12" i="143"/>
  <c r="F12" i="143"/>
  <c r="E12" i="143"/>
  <c r="C12" i="143"/>
  <c r="B12" i="143"/>
  <c r="AB11" i="143"/>
  <c r="AD11" i="143" s="1"/>
  <c r="Z11" i="143"/>
  <c r="Y11" i="143"/>
  <c r="W11" i="143"/>
  <c r="V11" i="143"/>
  <c r="X11" i="143" s="1"/>
  <c r="O11" i="143"/>
  <c r="Q11" i="143" s="1"/>
  <c r="L11" i="143"/>
  <c r="N11" i="143" s="1"/>
  <c r="I11" i="143"/>
  <c r="H11" i="143"/>
  <c r="F11" i="143"/>
  <c r="E11" i="143"/>
  <c r="C11" i="143"/>
  <c r="B11" i="143"/>
  <c r="D11" i="143" s="1"/>
  <c r="AB10" i="143"/>
  <c r="Z10" i="143"/>
  <c r="Y10" i="143"/>
  <c r="W10" i="143"/>
  <c r="V10" i="143"/>
  <c r="O10" i="143"/>
  <c r="Q10" i="143" s="1"/>
  <c r="L10" i="143"/>
  <c r="I10" i="143"/>
  <c r="H10" i="143"/>
  <c r="F10" i="143"/>
  <c r="E10" i="143"/>
  <c r="C10" i="143"/>
  <c r="B10" i="143"/>
  <c r="AH48" i="142"/>
  <c r="Y48" i="142"/>
  <c r="V48" i="142"/>
  <c r="S48" i="142"/>
  <c r="L48" i="142"/>
  <c r="I48" i="142"/>
  <c r="F48" i="142"/>
  <c r="C48" i="142"/>
  <c r="AL47" i="142"/>
  <c r="AK47" i="142"/>
  <c r="AI47" i="142"/>
  <c r="AJ47" i="142" s="1"/>
  <c r="AB47" i="142"/>
  <c r="X47" i="142"/>
  <c r="Z47" i="142" s="1"/>
  <c r="U47" i="142"/>
  <c r="W47" i="142" s="1"/>
  <c r="R47" i="142"/>
  <c r="O47" i="142"/>
  <c r="K47" i="142"/>
  <c r="M47" i="142" s="1"/>
  <c r="H47" i="142"/>
  <c r="J47" i="142" s="1"/>
  <c r="E47" i="142"/>
  <c r="G47" i="142" s="1"/>
  <c r="B47" i="142"/>
  <c r="D47" i="142" s="1"/>
  <c r="AL46" i="142"/>
  <c r="AK46" i="142"/>
  <c r="AI46" i="142"/>
  <c r="AJ46" i="142" s="1"/>
  <c r="AB46" i="142"/>
  <c r="X46" i="142"/>
  <c r="Z46" i="142" s="1"/>
  <c r="U46" i="142"/>
  <c r="R46" i="142"/>
  <c r="O46" i="142"/>
  <c r="K46" i="142"/>
  <c r="M46" i="142" s="1"/>
  <c r="H46" i="142"/>
  <c r="J46" i="142" s="1"/>
  <c r="E46" i="142"/>
  <c r="G46" i="142" s="1"/>
  <c r="B46" i="142"/>
  <c r="D46" i="142" s="1"/>
  <c r="AL45" i="142"/>
  <c r="AK45" i="142"/>
  <c r="AI45" i="142"/>
  <c r="AB45" i="142"/>
  <c r="AB48" i="142" s="1"/>
  <c r="X45" i="142"/>
  <c r="U45" i="142"/>
  <c r="W45" i="142" s="1"/>
  <c r="R45" i="142"/>
  <c r="T45" i="142" s="1"/>
  <c r="O45" i="142"/>
  <c r="K45" i="142"/>
  <c r="H45" i="142"/>
  <c r="E45" i="142"/>
  <c r="B45" i="142"/>
  <c r="AL43" i="142"/>
  <c r="AK43" i="142"/>
  <c r="AI43" i="142"/>
  <c r="AJ43" i="142" s="1"/>
  <c r="AB43" i="142"/>
  <c r="X43" i="142"/>
  <c r="U43" i="142"/>
  <c r="W43" i="142" s="1"/>
  <c r="R43" i="142"/>
  <c r="T43" i="142" s="1"/>
  <c r="O43" i="142"/>
  <c r="K43" i="142"/>
  <c r="M43" i="142" s="1"/>
  <c r="H43" i="142"/>
  <c r="J43" i="142" s="1"/>
  <c r="E43" i="142"/>
  <c r="G43" i="142" s="1"/>
  <c r="B43" i="142"/>
  <c r="D43" i="142" s="1"/>
  <c r="AL41" i="142"/>
  <c r="AK41" i="142"/>
  <c r="AI41" i="142"/>
  <c r="AJ41" i="142" s="1"/>
  <c r="AB41" i="142"/>
  <c r="X41" i="142"/>
  <c r="U41" i="142"/>
  <c r="W41" i="142" s="1"/>
  <c r="R41" i="142"/>
  <c r="T41" i="142" s="1"/>
  <c r="O41" i="142"/>
  <c r="K41" i="142"/>
  <c r="M41" i="142" s="1"/>
  <c r="H41" i="142"/>
  <c r="J41" i="142" s="1"/>
  <c r="E41" i="142"/>
  <c r="G41" i="142" s="1"/>
  <c r="B41" i="142"/>
  <c r="AL39" i="142"/>
  <c r="AK39" i="142"/>
  <c r="AI39" i="142"/>
  <c r="AJ39" i="142" s="1"/>
  <c r="AB39" i="142"/>
  <c r="X39" i="142"/>
  <c r="Z39" i="142" s="1"/>
  <c r="U39" i="142"/>
  <c r="W39" i="142" s="1"/>
  <c r="R39" i="142"/>
  <c r="T39" i="142" s="1"/>
  <c r="O39" i="142"/>
  <c r="K39" i="142"/>
  <c r="M39" i="142" s="1"/>
  <c r="H39" i="142"/>
  <c r="J39" i="142" s="1"/>
  <c r="E39" i="142"/>
  <c r="G39" i="142" s="1"/>
  <c r="B39" i="142"/>
  <c r="AH37" i="142"/>
  <c r="AH49" i="142" s="1"/>
  <c r="Y37" i="142"/>
  <c r="V37" i="142"/>
  <c r="S37" i="142"/>
  <c r="L37" i="142"/>
  <c r="L49" i="142" s="1"/>
  <c r="I37" i="142"/>
  <c r="I49" i="142" s="1"/>
  <c r="F37" i="142"/>
  <c r="F49" i="142" s="1"/>
  <c r="C37" i="142"/>
  <c r="C49" i="142" s="1"/>
  <c r="AL36" i="142"/>
  <c r="AK36" i="142"/>
  <c r="AI36" i="142"/>
  <c r="AJ36" i="142" s="1"/>
  <c r="AB36" i="142"/>
  <c r="X36" i="142"/>
  <c r="Z36" i="142" s="1"/>
  <c r="U36" i="142"/>
  <c r="W36" i="142" s="1"/>
  <c r="R36" i="142"/>
  <c r="T36" i="142" s="1"/>
  <c r="O36" i="142"/>
  <c r="K36" i="142"/>
  <c r="M36" i="142" s="1"/>
  <c r="H36" i="142"/>
  <c r="J36" i="142" s="1"/>
  <c r="E36" i="142"/>
  <c r="G36" i="142" s="1"/>
  <c r="B36" i="142"/>
  <c r="D36" i="142" s="1"/>
  <c r="AL35" i="142"/>
  <c r="AK35" i="142"/>
  <c r="AI35" i="142"/>
  <c r="AJ35" i="142" s="1"/>
  <c r="AB35" i="142"/>
  <c r="X35" i="142"/>
  <c r="Z35" i="142" s="1"/>
  <c r="U35" i="142"/>
  <c r="W35" i="142" s="1"/>
  <c r="R35" i="142"/>
  <c r="T35" i="142" s="1"/>
  <c r="O35" i="142"/>
  <c r="K35" i="142"/>
  <c r="M35" i="142" s="1"/>
  <c r="H35" i="142"/>
  <c r="J35" i="142" s="1"/>
  <c r="E35" i="142"/>
  <c r="G35" i="142" s="1"/>
  <c r="B35" i="142"/>
  <c r="D35" i="142" s="1"/>
  <c r="AL34" i="142"/>
  <c r="AK34" i="142"/>
  <c r="AI34" i="142"/>
  <c r="AJ34" i="142" s="1"/>
  <c r="AB34" i="142"/>
  <c r="X34" i="142"/>
  <c r="Z34" i="142" s="1"/>
  <c r="U34" i="142"/>
  <c r="W34" i="142" s="1"/>
  <c r="R34" i="142"/>
  <c r="T34" i="142" s="1"/>
  <c r="O34" i="142"/>
  <c r="K34" i="142"/>
  <c r="H34" i="142"/>
  <c r="J34" i="142" s="1"/>
  <c r="E34" i="142"/>
  <c r="G34" i="142" s="1"/>
  <c r="B34" i="142"/>
  <c r="D34" i="142" s="1"/>
  <c r="AL33" i="142"/>
  <c r="AK33" i="142"/>
  <c r="AI33" i="142"/>
  <c r="AJ33" i="142" s="1"/>
  <c r="AB33" i="142"/>
  <c r="X33" i="142"/>
  <c r="U33" i="142"/>
  <c r="R33" i="142"/>
  <c r="T33" i="142" s="1"/>
  <c r="O33" i="142"/>
  <c r="K33" i="142"/>
  <c r="H33" i="142"/>
  <c r="J33" i="142" s="1"/>
  <c r="E33" i="142"/>
  <c r="G33" i="142" s="1"/>
  <c r="B33" i="142"/>
  <c r="D33" i="142" s="1"/>
  <c r="AL29" i="142"/>
  <c r="AK29" i="142"/>
  <c r="AM29" i="142" s="1"/>
  <c r="AI29" i="142"/>
  <c r="AJ29" i="142" s="1"/>
  <c r="AB29" i="142"/>
  <c r="X29" i="142"/>
  <c r="Z29" i="142" s="1"/>
  <c r="U29" i="142"/>
  <c r="W29" i="142" s="1"/>
  <c r="R29" i="142"/>
  <c r="O29" i="142"/>
  <c r="K29" i="142"/>
  <c r="M29" i="142" s="1"/>
  <c r="H29" i="142"/>
  <c r="J29" i="142" s="1"/>
  <c r="E29" i="142"/>
  <c r="G29" i="142" s="1"/>
  <c r="B29" i="142"/>
  <c r="D29" i="142" s="1"/>
  <c r="AH28" i="142"/>
  <c r="AH30" i="142" s="1"/>
  <c r="Y28" i="142"/>
  <c r="Y30" i="142" s="1"/>
  <c r="V28" i="142"/>
  <c r="V30" i="142" s="1"/>
  <c r="S28" i="142"/>
  <c r="S30" i="142" s="1"/>
  <c r="L28" i="142"/>
  <c r="L30" i="142" s="1"/>
  <c r="I28" i="142"/>
  <c r="I30" i="142" s="1"/>
  <c r="F28" i="142"/>
  <c r="F30" i="142" s="1"/>
  <c r="C28" i="142"/>
  <c r="C30" i="142" s="1"/>
  <c r="AL27" i="142"/>
  <c r="AK27" i="142"/>
  <c r="AI27" i="142"/>
  <c r="AJ27" i="142" s="1"/>
  <c r="AB27" i="142"/>
  <c r="X27" i="142"/>
  <c r="U27" i="142"/>
  <c r="W27" i="142" s="1"/>
  <c r="R27" i="142"/>
  <c r="T27" i="142" s="1"/>
  <c r="O27" i="142"/>
  <c r="K27" i="142"/>
  <c r="M27" i="142" s="1"/>
  <c r="H27" i="142"/>
  <c r="J27" i="142" s="1"/>
  <c r="E27" i="142"/>
  <c r="G27" i="142" s="1"/>
  <c r="B27" i="142"/>
  <c r="D27" i="142" s="1"/>
  <c r="AL26" i="142"/>
  <c r="AK26" i="142"/>
  <c r="AM26" i="142" s="1"/>
  <c r="AI26" i="142"/>
  <c r="AJ26" i="142" s="1"/>
  <c r="AB26" i="142"/>
  <c r="X26" i="142"/>
  <c r="Z26" i="142" s="1"/>
  <c r="U26" i="142"/>
  <c r="W26" i="142" s="1"/>
  <c r="R26" i="142"/>
  <c r="O26" i="142"/>
  <c r="K26" i="142"/>
  <c r="M26" i="142" s="1"/>
  <c r="H26" i="142"/>
  <c r="J26" i="142" s="1"/>
  <c r="E26" i="142"/>
  <c r="G26" i="142" s="1"/>
  <c r="B26" i="142"/>
  <c r="D26" i="142" s="1"/>
  <c r="AL25" i="142"/>
  <c r="AK25" i="142"/>
  <c r="AI25" i="142"/>
  <c r="AJ25" i="142" s="1"/>
  <c r="AB25" i="142"/>
  <c r="X25" i="142"/>
  <c r="U25" i="142"/>
  <c r="W25" i="142" s="1"/>
  <c r="R25" i="142"/>
  <c r="T25" i="142" s="1"/>
  <c r="O25" i="142"/>
  <c r="K25" i="142"/>
  <c r="M25" i="142" s="1"/>
  <c r="H25" i="142"/>
  <c r="J25" i="142" s="1"/>
  <c r="E25" i="142"/>
  <c r="G25" i="142" s="1"/>
  <c r="B25" i="142"/>
  <c r="D25" i="142" s="1"/>
  <c r="AL24" i="142"/>
  <c r="AK24" i="142"/>
  <c r="AI24" i="142"/>
  <c r="AJ24" i="142" s="1"/>
  <c r="AB24" i="142"/>
  <c r="X24" i="142"/>
  <c r="Z24" i="142" s="1"/>
  <c r="U24" i="142"/>
  <c r="W24" i="142" s="1"/>
  <c r="R24" i="142"/>
  <c r="T24" i="142" s="1"/>
  <c r="O24" i="142"/>
  <c r="K24" i="142"/>
  <c r="M24" i="142" s="1"/>
  <c r="H24" i="142"/>
  <c r="J24" i="142" s="1"/>
  <c r="E24" i="142"/>
  <c r="G24" i="142" s="1"/>
  <c r="B24" i="142"/>
  <c r="D24" i="142" s="1"/>
  <c r="AL23" i="142"/>
  <c r="AK23" i="142"/>
  <c r="AM23" i="142" s="1"/>
  <c r="AI23" i="142"/>
  <c r="AJ23" i="142" s="1"/>
  <c r="AB23" i="142"/>
  <c r="X23" i="142"/>
  <c r="Z23" i="142" s="1"/>
  <c r="U23" i="142"/>
  <c r="W23" i="142" s="1"/>
  <c r="R23" i="142"/>
  <c r="T23" i="142" s="1"/>
  <c r="AC23" i="142" s="1"/>
  <c r="O23" i="142"/>
  <c r="K23" i="142"/>
  <c r="M23" i="142" s="1"/>
  <c r="H23" i="142"/>
  <c r="J23" i="142" s="1"/>
  <c r="E23" i="142"/>
  <c r="G23" i="142" s="1"/>
  <c r="B23" i="142"/>
  <c r="AL22" i="142"/>
  <c r="AK22" i="142"/>
  <c r="AI22" i="142"/>
  <c r="AJ22" i="142" s="1"/>
  <c r="AB22" i="142"/>
  <c r="X22" i="142"/>
  <c r="U22" i="142"/>
  <c r="W22" i="142" s="1"/>
  <c r="R22" i="142"/>
  <c r="T22" i="142" s="1"/>
  <c r="O22" i="142"/>
  <c r="K22" i="142"/>
  <c r="H22" i="142"/>
  <c r="J22" i="142" s="1"/>
  <c r="E22" i="142"/>
  <c r="G22" i="142" s="1"/>
  <c r="B22" i="142"/>
  <c r="D22" i="142" s="1"/>
  <c r="AL21" i="142"/>
  <c r="AK21" i="142"/>
  <c r="AI21" i="142"/>
  <c r="AJ21" i="142" s="1"/>
  <c r="AB21" i="142"/>
  <c r="X21" i="142"/>
  <c r="Z21" i="142" s="1"/>
  <c r="U21" i="142"/>
  <c r="W21" i="142" s="1"/>
  <c r="R21" i="142"/>
  <c r="O21" i="142"/>
  <c r="K21" i="142"/>
  <c r="M21" i="142" s="1"/>
  <c r="H21" i="142"/>
  <c r="J21" i="142" s="1"/>
  <c r="E21" i="142"/>
  <c r="B21" i="142"/>
  <c r="D21" i="142" s="1"/>
  <c r="AL20" i="142"/>
  <c r="AK20" i="142"/>
  <c r="AI20" i="142"/>
  <c r="AJ20" i="142" s="1"/>
  <c r="AB20" i="142"/>
  <c r="X20" i="142"/>
  <c r="Z20" i="142" s="1"/>
  <c r="U20" i="142"/>
  <c r="W20" i="142" s="1"/>
  <c r="R20" i="142"/>
  <c r="T20" i="142" s="1"/>
  <c r="O20" i="142"/>
  <c r="K20" i="142"/>
  <c r="M20" i="142" s="1"/>
  <c r="H20" i="142"/>
  <c r="J20" i="142" s="1"/>
  <c r="E20" i="142"/>
  <c r="G20" i="142" s="1"/>
  <c r="B20" i="142"/>
  <c r="D20" i="142" s="1"/>
  <c r="AL19" i="142"/>
  <c r="AK19" i="142"/>
  <c r="AI19" i="142"/>
  <c r="AJ19" i="142" s="1"/>
  <c r="AB19" i="142"/>
  <c r="X19" i="142"/>
  <c r="U19" i="142"/>
  <c r="W19" i="142" s="1"/>
  <c r="R19" i="142"/>
  <c r="T19" i="142" s="1"/>
  <c r="O19" i="142"/>
  <c r="K19" i="142"/>
  <c r="M19" i="142" s="1"/>
  <c r="H19" i="142"/>
  <c r="E19" i="142"/>
  <c r="G19" i="142" s="1"/>
  <c r="B19" i="142"/>
  <c r="D19" i="142" s="1"/>
  <c r="AL18" i="142"/>
  <c r="AK18" i="142"/>
  <c r="AI18" i="142"/>
  <c r="AJ18" i="142" s="1"/>
  <c r="AB18" i="142"/>
  <c r="X18" i="142"/>
  <c r="Z18" i="142" s="1"/>
  <c r="U18" i="142"/>
  <c r="R18" i="142"/>
  <c r="T18" i="142" s="1"/>
  <c r="O18" i="142"/>
  <c r="K18" i="142"/>
  <c r="M18" i="142" s="1"/>
  <c r="H18" i="142"/>
  <c r="J18" i="142" s="1"/>
  <c r="E18" i="142"/>
  <c r="G18" i="142" s="1"/>
  <c r="B18" i="142"/>
  <c r="AL17" i="142"/>
  <c r="AK17" i="142"/>
  <c r="AI17" i="142"/>
  <c r="AJ17" i="142" s="1"/>
  <c r="AB17" i="142"/>
  <c r="X17" i="142"/>
  <c r="U17" i="142"/>
  <c r="W17" i="142" s="1"/>
  <c r="R17" i="142"/>
  <c r="T17" i="142" s="1"/>
  <c r="O17" i="142"/>
  <c r="K17" i="142"/>
  <c r="M17" i="142" s="1"/>
  <c r="H17" i="142"/>
  <c r="J17" i="142" s="1"/>
  <c r="E17" i="142"/>
  <c r="G17" i="142" s="1"/>
  <c r="B17" i="142"/>
  <c r="D17" i="142" s="1"/>
  <c r="AL16" i="142"/>
  <c r="AK16" i="142"/>
  <c r="AI16" i="142"/>
  <c r="AJ16" i="142" s="1"/>
  <c r="AB16" i="142"/>
  <c r="X16" i="142"/>
  <c r="Z16" i="142" s="1"/>
  <c r="U16" i="142"/>
  <c r="W16" i="142" s="1"/>
  <c r="R16" i="142"/>
  <c r="O16" i="142"/>
  <c r="K16" i="142"/>
  <c r="M16" i="142" s="1"/>
  <c r="H16" i="142"/>
  <c r="J16" i="142" s="1"/>
  <c r="E16" i="142"/>
  <c r="G16" i="142" s="1"/>
  <c r="B16" i="142"/>
  <c r="D16" i="142" s="1"/>
  <c r="AL15" i="142"/>
  <c r="AK15" i="142"/>
  <c r="AI15" i="142"/>
  <c r="AJ15" i="142" s="1"/>
  <c r="AB15" i="142"/>
  <c r="X15" i="142"/>
  <c r="Z15" i="142" s="1"/>
  <c r="U15" i="142"/>
  <c r="W15" i="142" s="1"/>
  <c r="R15" i="142"/>
  <c r="T15" i="142" s="1"/>
  <c r="O15" i="142"/>
  <c r="K15" i="142"/>
  <c r="M15" i="142" s="1"/>
  <c r="H15" i="142"/>
  <c r="J15" i="142" s="1"/>
  <c r="E15" i="142"/>
  <c r="G15" i="142" s="1"/>
  <c r="B15" i="142"/>
  <c r="AL14" i="142"/>
  <c r="AK14" i="142"/>
  <c r="AI14" i="142"/>
  <c r="AJ14" i="142" s="1"/>
  <c r="AB14" i="142"/>
  <c r="X14" i="142"/>
  <c r="U14" i="142"/>
  <c r="W14" i="142" s="1"/>
  <c r="R14" i="142"/>
  <c r="T14" i="142" s="1"/>
  <c r="O14" i="142"/>
  <c r="K14" i="142"/>
  <c r="H14" i="142"/>
  <c r="J14" i="142" s="1"/>
  <c r="E14" i="142"/>
  <c r="G14" i="142" s="1"/>
  <c r="B14" i="142"/>
  <c r="D14" i="142" s="1"/>
  <c r="AL13" i="142"/>
  <c r="AK13" i="142"/>
  <c r="AI13" i="142"/>
  <c r="AJ13" i="142" s="1"/>
  <c r="AB13" i="142"/>
  <c r="X13" i="142"/>
  <c r="Z13" i="142" s="1"/>
  <c r="U13" i="142"/>
  <c r="W13" i="142" s="1"/>
  <c r="R13" i="142"/>
  <c r="O13" i="142"/>
  <c r="K13" i="142"/>
  <c r="M13" i="142" s="1"/>
  <c r="H13" i="142"/>
  <c r="J13" i="142" s="1"/>
  <c r="E13" i="142"/>
  <c r="B13" i="142"/>
  <c r="D13" i="142" s="1"/>
  <c r="AL12" i="142"/>
  <c r="AK12" i="142"/>
  <c r="AI12" i="142"/>
  <c r="AJ12" i="142" s="1"/>
  <c r="AB12" i="142"/>
  <c r="X12" i="142"/>
  <c r="Z12" i="142" s="1"/>
  <c r="U12" i="142"/>
  <c r="W12" i="142" s="1"/>
  <c r="R12" i="142"/>
  <c r="T12" i="142" s="1"/>
  <c r="O12" i="142"/>
  <c r="K12" i="142"/>
  <c r="M12" i="142" s="1"/>
  <c r="H12" i="142"/>
  <c r="J12" i="142" s="1"/>
  <c r="E12" i="142"/>
  <c r="G12" i="142" s="1"/>
  <c r="B12" i="142"/>
  <c r="D12" i="142" s="1"/>
  <c r="AL11" i="142"/>
  <c r="AK11" i="142"/>
  <c r="AI11" i="142"/>
  <c r="AJ11" i="142" s="1"/>
  <c r="AB11" i="142"/>
  <c r="X11" i="142"/>
  <c r="U11" i="142"/>
  <c r="W11" i="142" s="1"/>
  <c r="R11" i="142"/>
  <c r="T11" i="142" s="1"/>
  <c r="O11" i="142"/>
  <c r="K11" i="142"/>
  <c r="M11" i="142" s="1"/>
  <c r="H11" i="142"/>
  <c r="E11" i="142"/>
  <c r="G11" i="142" s="1"/>
  <c r="B11" i="142"/>
  <c r="D11" i="142" s="1"/>
  <c r="AL10" i="142"/>
  <c r="AK10" i="142"/>
  <c r="AI10" i="142"/>
  <c r="AJ10" i="142" s="1"/>
  <c r="AB10" i="142"/>
  <c r="X10" i="142"/>
  <c r="U10" i="142"/>
  <c r="R10" i="142"/>
  <c r="T10" i="142" s="1"/>
  <c r="O10" i="142"/>
  <c r="K10" i="142"/>
  <c r="M10" i="142" s="1"/>
  <c r="H10" i="142"/>
  <c r="J10" i="142" s="1"/>
  <c r="E10" i="142"/>
  <c r="G10" i="142" s="1"/>
  <c r="B10" i="142"/>
  <c r="I112" i="52"/>
  <c r="J16" i="143" l="1"/>
  <c r="G18" i="143"/>
  <c r="D20" i="143"/>
  <c r="G26" i="143"/>
  <c r="AA26" i="143"/>
  <c r="D17" i="143"/>
  <c r="AA36" i="143"/>
  <c r="G39" i="143"/>
  <c r="X43" i="143"/>
  <c r="AM34" i="142"/>
  <c r="AM41" i="142"/>
  <c r="AF11" i="143"/>
  <c r="G14" i="143"/>
  <c r="X16" i="143"/>
  <c r="J20" i="143"/>
  <c r="X24" i="143"/>
  <c r="AF29" i="143"/>
  <c r="J33" i="143"/>
  <c r="G35" i="143"/>
  <c r="G16" i="143"/>
  <c r="AA16" i="143"/>
  <c r="D18" i="143"/>
  <c r="AA22" i="142"/>
  <c r="AE23" i="143"/>
  <c r="J47" i="143"/>
  <c r="AA12" i="143"/>
  <c r="AA27" i="142"/>
  <c r="AF10" i="143"/>
  <c r="J11" i="143"/>
  <c r="G21" i="143"/>
  <c r="X23" i="143"/>
  <c r="R27" i="143"/>
  <c r="AM39" i="142"/>
  <c r="AM43" i="142"/>
  <c r="G10" i="143"/>
  <c r="AA10" i="143"/>
  <c r="X12" i="143"/>
  <c r="X33" i="143"/>
  <c r="AF39" i="143"/>
  <c r="J41" i="143"/>
  <c r="J46" i="143"/>
  <c r="J22" i="143"/>
  <c r="AE36" i="143"/>
  <c r="D21" i="143"/>
  <c r="D12" i="143"/>
  <c r="S15" i="143"/>
  <c r="J24" i="143"/>
  <c r="AF12" i="143"/>
  <c r="D14" i="143"/>
  <c r="J18" i="143"/>
  <c r="AC50" i="143"/>
  <c r="D35" i="143"/>
  <c r="AA45" i="143"/>
  <c r="D47" i="143"/>
  <c r="Q47" i="143"/>
  <c r="X14" i="143"/>
  <c r="AA18" i="143"/>
  <c r="G24" i="143"/>
  <c r="J25" i="143"/>
  <c r="AF27" i="143"/>
  <c r="J36" i="143"/>
  <c r="I48" i="143"/>
  <c r="AE47" i="143"/>
  <c r="AE39" i="143"/>
  <c r="J12" i="143"/>
  <c r="D13" i="143"/>
  <c r="S17" i="143"/>
  <c r="AE20" i="143"/>
  <c r="L37" i="143"/>
  <c r="S39" i="143"/>
  <c r="S13" i="143"/>
  <c r="AA17" i="143"/>
  <c r="AF20" i="143"/>
  <c r="G23" i="143"/>
  <c r="J27" i="143"/>
  <c r="C37" i="143"/>
  <c r="M49" i="143"/>
  <c r="M50" i="143" s="1"/>
  <c r="S43" i="143"/>
  <c r="D45" i="143"/>
  <c r="D48" i="143" s="1"/>
  <c r="Y48" i="143"/>
  <c r="AE11" i="143"/>
  <c r="J14" i="143"/>
  <c r="S16" i="143"/>
  <c r="AF16" i="143"/>
  <c r="S20" i="143"/>
  <c r="AA20" i="143"/>
  <c r="D22" i="143"/>
  <c r="D25" i="143"/>
  <c r="S29" i="143"/>
  <c r="AI29" i="143" s="1"/>
  <c r="D36" i="143"/>
  <c r="AE41" i="143"/>
  <c r="AF45" i="143"/>
  <c r="J23" i="143"/>
  <c r="J39" i="143"/>
  <c r="G12" i="143"/>
  <c r="AF18" i="143"/>
  <c r="AF22" i="143"/>
  <c r="G25" i="143"/>
  <c r="AE35" i="143"/>
  <c r="C48" i="143"/>
  <c r="P49" i="143"/>
  <c r="P50" i="143" s="1"/>
  <c r="U37" i="142"/>
  <c r="AM10" i="142"/>
  <c r="AM18" i="142"/>
  <c r="AM20" i="142"/>
  <c r="AB37" i="142"/>
  <c r="AB49" i="142" s="1"/>
  <c r="Z22" i="142"/>
  <c r="AC22" i="142" s="1"/>
  <c r="W33" i="142"/>
  <c r="W37" i="142" s="1"/>
  <c r="AM22" i="142"/>
  <c r="J37" i="142"/>
  <c r="AM33" i="142"/>
  <c r="AA41" i="142"/>
  <c r="AA14" i="142"/>
  <c r="AM21" i="142"/>
  <c r="AA47" i="142"/>
  <c r="I50" i="142"/>
  <c r="G37" i="142"/>
  <c r="T47" i="142"/>
  <c r="AC47" i="142" s="1"/>
  <c r="N29" i="142"/>
  <c r="P47" i="142"/>
  <c r="N10" i="142"/>
  <c r="AC15" i="142"/>
  <c r="AA18" i="142"/>
  <c r="AA35" i="142"/>
  <c r="AA43" i="142"/>
  <c r="H48" i="142"/>
  <c r="AM45" i="142"/>
  <c r="AA46" i="142"/>
  <c r="P27" i="142"/>
  <c r="L50" i="142"/>
  <c r="AM14" i="142"/>
  <c r="AH50" i="142"/>
  <c r="Z43" i="142"/>
  <c r="K48" i="142"/>
  <c r="Z14" i="142"/>
  <c r="AC14" i="142" s="1"/>
  <c r="P29" i="142"/>
  <c r="V49" i="142"/>
  <c r="V50" i="142" s="1"/>
  <c r="P46" i="142"/>
  <c r="AM13" i="142"/>
  <c r="AA24" i="142"/>
  <c r="AM35" i="142"/>
  <c r="B37" i="142"/>
  <c r="Y49" i="142"/>
  <c r="Y50" i="142" s="1"/>
  <c r="K37" i="142"/>
  <c r="T46" i="142"/>
  <c r="AA34" i="143"/>
  <c r="AG34" i="143" s="1"/>
  <c r="X20" i="143"/>
  <c r="J26" i="143"/>
  <c r="X36" i="143"/>
  <c r="N48" i="143"/>
  <c r="B48" i="143"/>
  <c r="U28" i="142"/>
  <c r="U30" i="142" s="1"/>
  <c r="AL48" i="142"/>
  <c r="X18" i="143"/>
  <c r="G20" i="143"/>
  <c r="I37" i="143"/>
  <c r="J19" i="143"/>
  <c r="AD23" i="143"/>
  <c r="AE29" i="143"/>
  <c r="W10" i="142"/>
  <c r="AA16" i="142"/>
  <c r="T16" i="142"/>
  <c r="AC16" i="142" s="1"/>
  <c r="R12" i="143"/>
  <c r="S35" i="143"/>
  <c r="AA41" i="143"/>
  <c r="R47" i="143"/>
  <c r="L48" i="143"/>
  <c r="S21" i="143"/>
  <c r="X25" i="143"/>
  <c r="AG25" i="143" s="1"/>
  <c r="AF25" i="143"/>
  <c r="P20" i="142"/>
  <c r="W46" i="142"/>
  <c r="W48" i="142" s="1"/>
  <c r="U48" i="142"/>
  <c r="AA11" i="142"/>
  <c r="T29" i="142"/>
  <c r="AC29" i="142" s="1"/>
  <c r="AA29" i="142"/>
  <c r="S14" i="143"/>
  <c r="N37" i="143"/>
  <c r="AA23" i="142"/>
  <c r="AM24" i="142"/>
  <c r="Z27" i="142"/>
  <c r="AC27" i="142" s="1"/>
  <c r="P36" i="142"/>
  <c r="N47" i="142"/>
  <c r="V28" i="143"/>
  <c r="V30" i="143" s="1"/>
  <c r="AE17" i="143"/>
  <c r="AG29" i="143"/>
  <c r="O37" i="143"/>
  <c r="R45" i="143"/>
  <c r="W18" i="142"/>
  <c r="AC18" i="142" s="1"/>
  <c r="M45" i="142"/>
  <c r="M48" i="142" s="1"/>
  <c r="T26" i="142"/>
  <c r="AC26" i="142" s="1"/>
  <c r="AA26" i="142"/>
  <c r="M33" i="142"/>
  <c r="P33" i="142" s="1"/>
  <c r="AK28" i="142"/>
  <c r="AK30" i="142" s="1"/>
  <c r="N12" i="142"/>
  <c r="N20" i="142"/>
  <c r="N36" i="142"/>
  <c r="R48" i="142"/>
  <c r="W28" i="143"/>
  <c r="W30" i="143" s="1"/>
  <c r="S12" i="143"/>
  <c r="AA14" i="143"/>
  <c r="AE16" i="143"/>
  <c r="AF26" i="143"/>
  <c r="S27" i="143"/>
  <c r="AI27" i="143" s="1"/>
  <c r="X45" i="143"/>
  <c r="V48" i="143"/>
  <c r="E48" i="143"/>
  <c r="D10" i="142"/>
  <c r="P10" i="142" s="1"/>
  <c r="N33" i="142"/>
  <c r="AA10" i="142"/>
  <c r="AM11" i="142"/>
  <c r="AA15" i="142"/>
  <c r="AM16" i="142"/>
  <c r="AM19" i="142"/>
  <c r="N27" i="142"/>
  <c r="AA36" i="142"/>
  <c r="H37" i="142"/>
  <c r="X10" i="143"/>
  <c r="S18" i="143"/>
  <c r="AF19" i="143"/>
  <c r="R20" i="143"/>
  <c r="AH20" i="143" s="1"/>
  <c r="S25" i="143"/>
  <c r="J35" i="143"/>
  <c r="T35" i="143" s="1"/>
  <c r="AM12" i="142"/>
  <c r="P16" i="142"/>
  <c r="N18" i="142"/>
  <c r="AA25" i="142"/>
  <c r="AM27" i="142"/>
  <c r="P35" i="142"/>
  <c r="N41" i="142"/>
  <c r="AC41" i="142"/>
  <c r="I28" i="143"/>
  <c r="I30" i="143" s="1"/>
  <c r="AA11" i="143"/>
  <c r="AG11" i="143" s="1"/>
  <c r="AF13" i="143"/>
  <c r="R14" i="143"/>
  <c r="AF14" i="143"/>
  <c r="G15" i="143"/>
  <c r="G17" i="143"/>
  <c r="T17" i="143" s="1"/>
  <c r="X17" i="143"/>
  <c r="AF21" i="143"/>
  <c r="S22" i="143"/>
  <c r="AF33" i="143"/>
  <c r="S34" i="143"/>
  <c r="V37" i="143"/>
  <c r="AA39" i="143"/>
  <c r="AA47" i="143"/>
  <c r="P17" i="142"/>
  <c r="AM17" i="142"/>
  <c r="AL37" i="142"/>
  <c r="AE13" i="143"/>
  <c r="AE15" i="143"/>
  <c r="R22" i="143"/>
  <c r="AF23" i="143"/>
  <c r="S24" i="143"/>
  <c r="S41" i="143"/>
  <c r="AF43" i="143"/>
  <c r="G46" i="143"/>
  <c r="D18" i="142"/>
  <c r="P18" i="142" s="1"/>
  <c r="AA19" i="142"/>
  <c r="Z25" i="142"/>
  <c r="AC25" i="142" s="1"/>
  <c r="E37" i="142"/>
  <c r="AA34" i="142"/>
  <c r="AM36" i="142"/>
  <c r="R37" i="142"/>
  <c r="AA39" i="142"/>
  <c r="D41" i="142"/>
  <c r="P41" i="142" s="1"/>
  <c r="J13" i="143"/>
  <c r="X13" i="143"/>
  <c r="X15" i="143"/>
  <c r="AF17" i="143"/>
  <c r="S19" i="143"/>
  <c r="J21" i="143"/>
  <c r="AA23" i="143"/>
  <c r="AF24" i="143"/>
  <c r="AE25" i="143"/>
  <c r="D27" i="143"/>
  <c r="J29" i="143"/>
  <c r="AA35" i="143"/>
  <c r="AF41" i="143"/>
  <c r="AJ28" i="142"/>
  <c r="AJ30" i="142" s="1"/>
  <c r="P12" i="142"/>
  <c r="N21" i="142"/>
  <c r="G21" i="142"/>
  <c r="P21" i="142" s="1"/>
  <c r="AO39" i="142"/>
  <c r="AE39" i="142"/>
  <c r="AI48" i="142"/>
  <c r="AJ45" i="142"/>
  <c r="AJ48" i="142" s="1"/>
  <c r="D15" i="142"/>
  <c r="P15" i="142" s="1"/>
  <c r="N15" i="142"/>
  <c r="X37" i="142"/>
  <c r="AA33" i="142"/>
  <c r="Z33" i="142"/>
  <c r="Z37" i="142" s="1"/>
  <c r="N13" i="142"/>
  <c r="G13" i="142"/>
  <c r="P13" i="142" s="1"/>
  <c r="N22" i="142"/>
  <c r="M22" i="142"/>
  <c r="P22" i="142" s="1"/>
  <c r="AO23" i="142"/>
  <c r="AE23" i="142"/>
  <c r="N34" i="142"/>
  <c r="M34" i="142"/>
  <c r="D39" i="142"/>
  <c r="P39" i="142" s="1"/>
  <c r="N39" i="142"/>
  <c r="J19" i="142"/>
  <c r="P19" i="142" s="1"/>
  <c r="N19" i="142"/>
  <c r="AC20" i="142"/>
  <c r="AA21" i="142"/>
  <c r="T21" i="142"/>
  <c r="AC21" i="142" s="1"/>
  <c r="AJ37" i="142"/>
  <c r="S49" i="142"/>
  <c r="S50" i="142" s="1"/>
  <c r="N45" i="142"/>
  <c r="D45" i="142"/>
  <c r="B48" i="142"/>
  <c r="AA17" i="142"/>
  <c r="Z17" i="142"/>
  <c r="AC17" i="142" s="1"/>
  <c r="AC24" i="142"/>
  <c r="C50" i="142"/>
  <c r="P43" i="142"/>
  <c r="N14" i="142"/>
  <c r="M14" i="142"/>
  <c r="P14" i="142" s="1"/>
  <c r="K28" i="142"/>
  <c r="K30" i="142" s="1"/>
  <c r="AO15" i="142"/>
  <c r="AE15" i="142"/>
  <c r="P24" i="142"/>
  <c r="AB28" i="142"/>
  <c r="AB30" i="142" s="1"/>
  <c r="AB50" i="142" s="1"/>
  <c r="J11" i="142"/>
  <c r="P11" i="142" s="1"/>
  <c r="N11" i="142"/>
  <c r="AC12" i="142"/>
  <c r="AA13" i="142"/>
  <c r="R28" i="142"/>
  <c r="R30" i="142" s="1"/>
  <c r="T13" i="142"/>
  <c r="AC13" i="142" s="1"/>
  <c r="AM15" i="142"/>
  <c r="D23" i="142"/>
  <c r="P23" i="142" s="1"/>
  <c r="N23" i="142"/>
  <c r="P25" i="142"/>
  <c r="P26" i="142"/>
  <c r="O28" i="142"/>
  <c r="AO10" i="142"/>
  <c r="AE10" i="142"/>
  <c r="AL28" i="142"/>
  <c r="AL30" i="142" s="1"/>
  <c r="AO18" i="142"/>
  <c r="AE18" i="142"/>
  <c r="AM25" i="142"/>
  <c r="AO41" i="142"/>
  <c r="AE41" i="142"/>
  <c r="O48" i="142"/>
  <c r="AE48" i="142" s="1"/>
  <c r="AO45" i="142"/>
  <c r="AE45" i="142"/>
  <c r="AM46" i="142"/>
  <c r="O28" i="143"/>
  <c r="O30" i="143" s="1"/>
  <c r="R24" i="143"/>
  <c r="D24" i="143"/>
  <c r="AF35" i="143"/>
  <c r="X35" i="143"/>
  <c r="W37" i="143"/>
  <c r="S45" i="143"/>
  <c r="G45" i="143"/>
  <c r="F48" i="143"/>
  <c r="E28" i="142"/>
  <c r="E30" i="142" s="1"/>
  <c r="AO12" i="142"/>
  <c r="AE12" i="142"/>
  <c r="AA12" i="142"/>
  <c r="N17" i="142"/>
  <c r="AO20" i="142"/>
  <c r="AE20" i="142"/>
  <c r="AA20" i="142"/>
  <c r="N25" i="142"/>
  <c r="N26" i="142"/>
  <c r="AO27" i="142"/>
  <c r="AE27" i="142"/>
  <c r="B28" i="142"/>
  <c r="B30" i="142" s="1"/>
  <c r="AO29" i="142"/>
  <c r="AE29" i="142"/>
  <c r="N35" i="142"/>
  <c r="AO36" i="142"/>
  <c r="AE36" i="142"/>
  <c r="AC39" i="142"/>
  <c r="N43" i="142"/>
  <c r="AO47" i="142"/>
  <c r="AE47" i="142"/>
  <c r="R16" i="143"/>
  <c r="D16" i="143"/>
  <c r="T16" i="143" s="1"/>
  <c r="AE18" i="143"/>
  <c r="X19" i="143"/>
  <c r="AG19" i="143" s="1"/>
  <c r="AE19" i="143"/>
  <c r="G27" i="143"/>
  <c r="D43" i="143"/>
  <c r="R15" i="143"/>
  <c r="D15" i="143"/>
  <c r="AO17" i="142"/>
  <c r="AE17" i="142"/>
  <c r="AO25" i="142"/>
  <c r="AE25" i="142"/>
  <c r="AO26" i="142"/>
  <c r="AE26" i="142"/>
  <c r="AO35" i="142"/>
  <c r="AE35" i="142"/>
  <c r="AC36" i="142"/>
  <c r="AO43" i="142"/>
  <c r="AE43" i="142"/>
  <c r="E48" i="142"/>
  <c r="G45" i="142"/>
  <c r="G48" i="142" s="1"/>
  <c r="Z11" i="142"/>
  <c r="AC11" i="142" s="1"/>
  <c r="AO14" i="142"/>
  <c r="AE14" i="142"/>
  <c r="Z19" i="142"/>
  <c r="AC19" i="142" s="1"/>
  <c r="AO22" i="142"/>
  <c r="AE22" i="142"/>
  <c r="F50" i="142"/>
  <c r="AO34" i="142"/>
  <c r="AE34" i="142"/>
  <c r="AC35" i="142"/>
  <c r="T37" i="142"/>
  <c r="AI37" i="142"/>
  <c r="N46" i="142"/>
  <c r="AD17" i="143"/>
  <c r="D41" i="143"/>
  <c r="R41" i="143"/>
  <c r="AO11" i="142"/>
  <c r="AE11" i="142"/>
  <c r="N16" i="142"/>
  <c r="AO19" i="142"/>
  <c r="AE19" i="142"/>
  <c r="N24" i="142"/>
  <c r="H28" i="142"/>
  <c r="H30" i="142" s="1"/>
  <c r="AI28" i="142"/>
  <c r="AI30" i="142" s="1"/>
  <c r="O37" i="142"/>
  <c r="AO33" i="142"/>
  <c r="AE33" i="142"/>
  <c r="AC34" i="142"/>
  <c r="X48" i="142"/>
  <c r="AO46" i="142"/>
  <c r="AE46" i="142"/>
  <c r="AM47" i="142"/>
  <c r="AK48" i="142"/>
  <c r="L28" i="143"/>
  <c r="L30" i="143" s="1"/>
  <c r="R10" i="143"/>
  <c r="R11" i="143"/>
  <c r="N23" i="143"/>
  <c r="R23" i="143"/>
  <c r="D33" i="143"/>
  <c r="R33" i="143"/>
  <c r="X39" i="143"/>
  <c r="D19" i="143"/>
  <c r="R19" i="143"/>
  <c r="X28" i="142"/>
  <c r="X30" i="142" s="1"/>
  <c r="AO16" i="142"/>
  <c r="AE16" i="142"/>
  <c r="AO24" i="142"/>
  <c r="AE24" i="142"/>
  <c r="D37" i="142"/>
  <c r="AK37" i="142"/>
  <c r="AC43" i="142"/>
  <c r="Z45" i="142"/>
  <c r="Z48" i="142" s="1"/>
  <c r="N10" i="143"/>
  <c r="F28" i="143"/>
  <c r="F30" i="143" s="1"/>
  <c r="S11" i="143"/>
  <c r="R13" i="143"/>
  <c r="G13" i="143"/>
  <c r="Y28" i="143"/>
  <c r="Y30" i="143" s="1"/>
  <c r="R36" i="143"/>
  <c r="G36" i="143"/>
  <c r="B37" i="143"/>
  <c r="Z10" i="142"/>
  <c r="AO13" i="142"/>
  <c r="AE13" i="142"/>
  <c r="AO21" i="142"/>
  <c r="AE21" i="142"/>
  <c r="AA45" i="142"/>
  <c r="C28" i="143"/>
  <c r="C30" i="143" s="1"/>
  <c r="S10" i="143"/>
  <c r="D10" i="143"/>
  <c r="G11" i="143"/>
  <c r="AA15" i="143"/>
  <c r="AF15" i="143"/>
  <c r="Z28" i="143"/>
  <c r="Z30" i="143" s="1"/>
  <c r="X22" i="143"/>
  <c r="AE22" i="143"/>
  <c r="AF47" i="143"/>
  <c r="X47" i="143"/>
  <c r="W48" i="143"/>
  <c r="S23" i="143"/>
  <c r="D23" i="143"/>
  <c r="R43" i="143"/>
  <c r="E28" i="143"/>
  <c r="E30" i="143" s="1"/>
  <c r="AA13" i="143"/>
  <c r="AA21" i="143"/>
  <c r="AG21" i="143" s="1"/>
  <c r="AA22" i="143"/>
  <c r="D26" i="143"/>
  <c r="R26" i="143"/>
  <c r="AB48" i="143"/>
  <c r="AD45" i="143"/>
  <c r="AD48" i="143" s="1"/>
  <c r="O48" i="143"/>
  <c r="Q46" i="143"/>
  <c r="S26" i="143"/>
  <c r="F37" i="143"/>
  <c r="Y37" i="143"/>
  <c r="AA33" i="143"/>
  <c r="E37" i="143"/>
  <c r="G34" i="143"/>
  <c r="R34" i="143"/>
  <c r="AE43" i="143"/>
  <c r="AA43" i="143"/>
  <c r="AG43" i="143" s="1"/>
  <c r="J45" i="142"/>
  <c r="J48" i="142" s="1"/>
  <c r="AB28" i="143"/>
  <c r="AB30" i="143" s="1"/>
  <c r="R17" i="143"/>
  <c r="R18" i="143"/>
  <c r="AA24" i="143"/>
  <c r="AE24" i="143"/>
  <c r="X26" i="143"/>
  <c r="AG26" i="143" s="1"/>
  <c r="AE26" i="143"/>
  <c r="R39" i="143"/>
  <c r="D39" i="143"/>
  <c r="H28" i="143"/>
  <c r="H30" i="143" s="1"/>
  <c r="J10" i="143"/>
  <c r="AD10" i="143"/>
  <c r="Q12" i="143"/>
  <c r="AE14" i="143"/>
  <c r="R21" i="143"/>
  <c r="G22" i="143"/>
  <c r="R25" i="143"/>
  <c r="AD37" i="143"/>
  <c r="Z37" i="143"/>
  <c r="C49" i="143"/>
  <c r="AA46" i="143"/>
  <c r="B28" i="143"/>
  <c r="B30" i="143" s="1"/>
  <c r="AE10" i="143"/>
  <c r="AE27" i="143"/>
  <c r="Q33" i="143"/>
  <c r="Q37" i="143" s="1"/>
  <c r="J34" i="143"/>
  <c r="AF36" i="143"/>
  <c r="H48" i="143"/>
  <c r="AE45" i="143"/>
  <c r="R46" i="143"/>
  <c r="AG27" i="143"/>
  <c r="AE34" i="143"/>
  <c r="AB37" i="143"/>
  <c r="G43" i="143"/>
  <c r="S46" i="143"/>
  <c r="AE12" i="143"/>
  <c r="R29" i="143"/>
  <c r="G33" i="143"/>
  <c r="S33" i="143"/>
  <c r="AF34" i="143"/>
  <c r="J45" i="143"/>
  <c r="J48" i="143" s="1"/>
  <c r="AE21" i="143"/>
  <c r="H37" i="143"/>
  <c r="AE33" i="143"/>
  <c r="R35" i="143"/>
  <c r="S36" i="143"/>
  <c r="X41" i="143"/>
  <c r="S47" i="143"/>
  <c r="D29" i="143"/>
  <c r="Z48" i="143"/>
  <c r="AF46" i="143"/>
  <c r="G47" i="143"/>
  <c r="AE46" i="143"/>
  <c r="L7" i="63"/>
  <c r="K7" i="63"/>
  <c r="J7" i="63"/>
  <c r="I7" i="63"/>
  <c r="N8" i="64"/>
  <c r="M8" i="64"/>
  <c r="M7" i="63"/>
  <c r="H7" i="63"/>
  <c r="G7" i="63"/>
  <c r="F7" i="63"/>
  <c r="N7" i="63"/>
  <c r="N8" i="63"/>
  <c r="L8" i="63"/>
  <c r="L8" i="64"/>
  <c r="N7" i="64"/>
  <c r="L7" i="64"/>
  <c r="K7" i="64"/>
  <c r="J7" i="64"/>
  <c r="I7" i="64"/>
  <c r="H7" i="64"/>
  <c r="H10" i="64"/>
  <c r="F53" i="2"/>
  <c r="F49" i="2"/>
  <c r="U49" i="142" l="1"/>
  <c r="E49" i="143"/>
  <c r="T20" i="143"/>
  <c r="T18" i="143"/>
  <c r="Q48" i="143"/>
  <c r="AG36" i="143"/>
  <c r="AG16" i="143"/>
  <c r="AG24" i="143"/>
  <c r="AI11" i="143"/>
  <c r="J37" i="143"/>
  <c r="T25" i="143"/>
  <c r="T36" i="143"/>
  <c r="AJ36" i="143" s="1"/>
  <c r="AH47" i="143"/>
  <c r="AI17" i="143"/>
  <c r="AH27" i="143"/>
  <c r="AJ49" i="142"/>
  <c r="AJ50" i="142" s="1"/>
  <c r="M37" i="142"/>
  <c r="M49" i="142" s="1"/>
  <c r="AG15" i="143"/>
  <c r="AG45" i="143"/>
  <c r="AG23" i="143"/>
  <c r="AH18" i="143"/>
  <c r="AN27" i="142"/>
  <c r="AI14" i="143"/>
  <c r="AP18" i="142"/>
  <c r="AG33" i="143"/>
  <c r="AH35" i="143"/>
  <c r="T41" i="143"/>
  <c r="AG12" i="143"/>
  <c r="AH36" i="143"/>
  <c r="AH23" i="143"/>
  <c r="T12" i="143"/>
  <c r="AJ12" i="143" s="1"/>
  <c r="AN18" i="142"/>
  <c r="AI39" i="143"/>
  <c r="T19" i="143"/>
  <c r="AJ19" i="143" s="1"/>
  <c r="B49" i="142"/>
  <c r="B50" i="142" s="1"/>
  <c r="E49" i="142"/>
  <c r="E50" i="142" s="1"/>
  <c r="AI15" i="143"/>
  <c r="T13" i="143"/>
  <c r="AF35" i="142"/>
  <c r="H49" i="142"/>
  <c r="H50" i="142" s="1"/>
  <c r="AD33" i="142"/>
  <c r="N49" i="143"/>
  <c r="AI16" i="143"/>
  <c r="W28" i="142"/>
  <c r="W30" i="142" s="1"/>
  <c r="T48" i="142"/>
  <c r="T49" i="142" s="1"/>
  <c r="J49" i="142"/>
  <c r="AI24" i="143"/>
  <c r="AI25" i="143"/>
  <c r="AN47" i="142"/>
  <c r="L49" i="143"/>
  <c r="L50" i="143" s="1"/>
  <c r="K49" i="142"/>
  <c r="AG17" i="143"/>
  <c r="AJ17" i="143" s="1"/>
  <c r="AH11" i="143"/>
  <c r="AI18" i="143"/>
  <c r="J49" i="143"/>
  <c r="AI22" i="143"/>
  <c r="T47" i="143"/>
  <c r="R48" i="143"/>
  <c r="AH14" i="143"/>
  <c r="AH13" i="143"/>
  <c r="T21" i="143"/>
  <c r="AJ21" i="143" s="1"/>
  <c r="AG14" i="143"/>
  <c r="AG18" i="143"/>
  <c r="AJ18" i="143" s="1"/>
  <c r="AG20" i="143"/>
  <c r="AJ20" i="143" s="1"/>
  <c r="AI20" i="143"/>
  <c r="AH39" i="143"/>
  <c r="Y49" i="143"/>
  <c r="Y50" i="143" s="1"/>
  <c r="AH29" i="143"/>
  <c r="AF48" i="143"/>
  <c r="AH12" i="143"/>
  <c r="AE48" i="143"/>
  <c r="AI26" i="143"/>
  <c r="AH41" i="143"/>
  <c r="AI12" i="143"/>
  <c r="T14" i="143"/>
  <c r="AI23" i="143"/>
  <c r="AG39" i="143"/>
  <c r="T29" i="143"/>
  <c r="AJ29" i="143" s="1"/>
  <c r="Z49" i="143"/>
  <c r="Z50" i="143" s="1"/>
  <c r="T24" i="143"/>
  <c r="AJ24" i="143" s="1"/>
  <c r="AI13" i="143"/>
  <c r="T15" i="143"/>
  <c r="AJ15" i="143" s="1"/>
  <c r="AH25" i="143"/>
  <c r="AH15" i="143"/>
  <c r="AI43" i="143"/>
  <c r="AI35" i="143"/>
  <c r="T22" i="143"/>
  <c r="T39" i="143"/>
  <c r="AA37" i="143"/>
  <c r="B49" i="143"/>
  <c r="B50" i="143" s="1"/>
  <c r="AI19" i="143"/>
  <c r="I49" i="143"/>
  <c r="I50" i="143" s="1"/>
  <c r="AD18" i="142"/>
  <c r="AD12" i="142"/>
  <c r="R49" i="142"/>
  <c r="R50" i="142" s="1"/>
  <c r="AN36" i="142"/>
  <c r="AD10" i="142"/>
  <c r="W49" i="142"/>
  <c r="AP47" i="142"/>
  <c r="AM37" i="142"/>
  <c r="AP41" i="142"/>
  <c r="G49" i="142"/>
  <c r="AD20" i="142"/>
  <c r="AN41" i="142"/>
  <c r="AM48" i="142"/>
  <c r="AD47" i="142"/>
  <c r="AL49" i="142"/>
  <c r="AL50" i="142" s="1"/>
  <c r="AA28" i="142"/>
  <c r="AA30" i="142" s="1"/>
  <c r="AA48" i="142"/>
  <c r="AN29" i="142"/>
  <c r="AN33" i="142"/>
  <c r="AF41" i="142"/>
  <c r="AN10" i="142"/>
  <c r="AC46" i="142"/>
  <c r="AF46" i="142" s="1"/>
  <c r="AN12" i="142"/>
  <c r="AF27" i="142"/>
  <c r="AD36" i="142"/>
  <c r="N37" i="142"/>
  <c r="AD27" i="142"/>
  <c r="K50" i="142"/>
  <c r="AA37" i="142"/>
  <c r="AJ25" i="143"/>
  <c r="W49" i="143"/>
  <c r="W50" i="143" s="1"/>
  <c r="AI41" i="143"/>
  <c r="H49" i="143"/>
  <c r="H50" i="143" s="1"/>
  <c r="AI46" i="143"/>
  <c r="AA48" i="143"/>
  <c r="AH17" i="143"/>
  <c r="T34" i="143"/>
  <c r="AJ34" i="143" s="1"/>
  <c r="O49" i="143"/>
  <c r="O50" i="143" s="1"/>
  <c r="AA28" i="143"/>
  <c r="AA30" i="143" s="1"/>
  <c r="N28" i="143"/>
  <c r="N30" i="143" s="1"/>
  <c r="AD41" i="142"/>
  <c r="U50" i="142"/>
  <c r="AF29" i="142"/>
  <c r="AP16" i="142"/>
  <c r="V49" i="143"/>
  <c r="V50" i="143"/>
  <c r="AI21" i="143"/>
  <c r="T46" i="143"/>
  <c r="AH24" i="143"/>
  <c r="AG41" i="143"/>
  <c r="Q49" i="143"/>
  <c r="AD49" i="143"/>
  <c r="T26" i="143"/>
  <c r="AJ26" i="143" s="1"/>
  <c r="G28" i="143"/>
  <c r="G30" i="143" s="1"/>
  <c r="AK49" i="142"/>
  <c r="AK50" i="142" s="1"/>
  <c r="AH19" i="143"/>
  <c r="AD29" i="142"/>
  <c r="AP29" i="142"/>
  <c r="AH43" i="143"/>
  <c r="AF37" i="143"/>
  <c r="Q28" i="143"/>
  <c r="Q30" i="143" s="1"/>
  <c r="AH16" i="143"/>
  <c r="J28" i="143"/>
  <c r="J30" i="143" s="1"/>
  <c r="T23" i="143"/>
  <c r="AJ23" i="143" s="1"/>
  <c r="AH22" i="143"/>
  <c r="T27" i="143"/>
  <c r="AJ27" i="143" s="1"/>
  <c r="AM28" i="142"/>
  <c r="AM30" i="142" s="1"/>
  <c r="AP14" i="142"/>
  <c r="AF14" i="142"/>
  <c r="AF13" i="142"/>
  <c r="AP13" i="142"/>
  <c r="AF17" i="142"/>
  <c r="AP17" i="142"/>
  <c r="AP11" i="142"/>
  <c r="AF11" i="142"/>
  <c r="P28" i="142"/>
  <c r="AH45" i="143"/>
  <c r="AP27" i="142"/>
  <c r="AD23" i="142"/>
  <c r="AN23" i="142"/>
  <c r="AN11" i="142"/>
  <c r="AD11" i="142"/>
  <c r="AP39" i="142"/>
  <c r="AF39" i="142"/>
  <c r="AI47" i="143"/>
  <c r="F49" i="143"/>
  <c r="F50" i="143" s="1"/>
  <c r="E50" i="143"/>
  <c r="AG22" i="143"/>
  <c r="T10" i="143"/>
  <c r="D28" i="143"/>
  <c r="D30" i="143" s="1"/>
  <c r="AC33" i="142"/>
  <c r="AC37" i="142" s="1"/>
  <c r="AO48" i="142"/>
  <c r="P34" i="142"/>
  <c r="P37" i="142" s="1"/>
  <c r="AF23" i="142"/>
  <c r="AP23" i="142"/>
  <c r="AD14" i="142"/>
  <c r="AN14" i="142"/>
  <c r="J28" i="142"/>
  <c r="J30" i="142" s="1"/>
  <c r="AP36" i="142"/>
  <c r="AF18" i="142"/>
  <c r="AH21" i="143"/>
  <c r="AP19" i="142"/>
  <c r="AF19" i="142"/>
  <c r="AG46" i="143"/>
  <c r="S28" i="143"/>
  <c r="S30" i="143" s="1"/>
  <c r="AI10" i="143"/>
  <c r="AN24" i="142"/>
  <c r="AD24" i="142"/>
  <c r="Z49" i="142"/>
  <c r="AF12" i="142"/>
  <c r="AP12" i="142"/>
  <c r="S37" i="143"/>
  <c r="AI33" i="143"/>
  <c r="AB49" i="143"/>
  <c r="AB50" i="143" s="1"/>
  <c r="AH26" i="143"/>
  <c r="C50" i="143"/>
  <c r="Z28" i="142"/>
  <c r="Z30" i="142" s="1"/>
  <c r="AC45" i="142"/>
  <c r="G28" i="142"/>
  <c r="G30" i="142" s="1"/>
  <c r="AD17" i="142"/>
  <c r="AN17" i="142"/>
  <c r="G48" i="143"/>
  <c r="T45" i="143"/>
  <c r="AG13" i="143"/>
  <c r="M28" i="142"/>
  <c r="M30" i="142" s="1"/>
  <c r="AF20" i="142"/>
  <c r="D48" i="142"/>
  <c r="D49" i="142" s="1"/>
  <c r="P45" i="142"/>
  <c r="AF47" i="142"/>
  <c r="AN34" i="142"/>
  <c r="AD34" i="142"/>
  <c r="AF16" i="142"/>
  <c r="AD15" i="142"/>
  <c r="AN15" i="142"/>
  <c r="AP35" i="142"/>
  <c r="AN43" i="142"/>
  <c r="AD43" i="142"/>
  <c r="AF21" i="142"/>
  <c r="AP21" i="142"/>
  <c r="AP20" i="142"/>
  <c r="AI36" i="143"/>
  <c r="G37" i="143"/>
  <c r="AI34" i="143"/>
  <c r="AH34" i="143"/>
  <c r="AH10" i="143"/>
  <c r="R28" i="143"/>
  <c r="R30" i="143" s="1"/>
  <c r="AJ16" i="143"/>
  <c r="AF36" i="142"/>
  <c r="S48" i="143"/>
  <c r="AI45" i="143"/>
  <c r="AF24" i="142"/>
  <c r="AP24" i="142"/>
  <c r="AP43" i="142"/>
  <c r="AF43" i="142"/>
  <c r="N48" i="142"/>
  <c r="AN45" i="142"/>
  <c r="AD45" i="142"/>
  <c r="X49" i="142"/>
  <c r="X50" i="142" s="1"/>
  <c r="AF15" i="142"/>
  <c r="AP15" i="142"/>
  <c r="X28" i="143"/>
  <c r="X30" i="143" s="1"/>
  <c r="AN46" i="142"/>
  <c r="AD46" i="142"/>
  <c r="AF28" i="143"/>
  <c r="AF30" i="143" s="1"/>
  <c r="AP22" i="142"/>
  <c r="AF22" i="142"/>
  <c r="AE37" i="143"/>
  <c r="AH33" i="143"/>
  <c r="R37" i="143"/>
  <c r="AO37" i="142"/>
  <c r="T43" i="143"/>
  <c r="AJ43" i="143" s="1"/>
  <c r="AN26" i="142"/>
  <c r="AD26" i="142"/>
  <c r="X37" i="143"/>
  <c r="AG35" i="143"/>
  <c r="AO28" i="142"/>
  <c r="AF26" i="142"/>
  <c r="AP26" i="142"/>
  <c r="AN19" i="142"/>
  <c r="AD19" i="142"/>
  <c r="AD13" i="142"/>
  <c r="AN13" i="142"/>
  <c r="N28" i="142"/>
  <c r="AN20" i="142"/>
  <c r="T28" i="142"/>
  <c r="T30" i="142" s="1"/>
  <c r="AD28" i="143"/>
  <c r="AD30" i="143" s="1"/>
  <c r="AG10" i="143"/>
  <c r="T11" i="143"/>
  <c r="AJ11" i="143" s="1"/>
  <c r="X48" i="143"/>
  <c r="AG47" i="143"/>
  <c r="AN16" i="142"/>
  <c r="AD16" i="142"/>
  <c r="AE28" i="143"/>
  <c r="AE30" i="143" s="1"/>
  <c r="AH46" i="143"/>
  <c r="T33" i="143"/>
  <c r="D37" i="143"/>
  <c r="D49" i="143" s="1"/>
  <c r="O49" i="142"/>
  <c r="AE37" i="142"/>
  <c r="AE49" i="142" s="1"/>
  <c r="AI49" i="142"/>
  <c r="AI50" i="142" s="1"/>
  <c r="AN35" i="142"/>
  <c r="AD35" i="142"/>
  <c r="AN25" i="142"/>
  <c r="AD25" i="142"/>
  <c r="AC10" i="142"/>
  <c r="O30" i="142"/>
  <c r="AE28" i="142"/>
  <c r="AF25" i="142"/>
  <c r="AP25" i="142"/>
  <c r="AN39" i="142"/>
  <c r="AD39" i="142"/>
  <c r="AD22" i="142"/>
  <c r="AN22" i="142"/>
  <c r="D28" i="142"/>
  <c r="D30" i="142" s="1"/>
  <c r="AD21" i="142"/>
  <c r="AN21" i="142"/>
  <c r="L23" i="2"/>
  <c r="D51" i="7"/>
  <c r="D56" i="7"/>
  <c r="D7" i="10"/>
  <c r="D7" i="6"/>
  <c r="D11" i="7"/>
  <c r="E20" i="16"/>
  <c r="D7" i="16"/>
  <c r="AJ14" i="143" l="1"/>
  <c r="AG37" i="143"/>
  <c r="W50" i="142"/>
  <c r="M50" i="142"/>
  <c r="AJ41" i="143"/>
  <c r="J50" i="142"/>
  <c r="AA49" i="143"/>
  <c r="AA50" i="143" s="1"/>
  <c r="AM49" i="142"/>
  <c r="AM50" i="142" s="1"/>
  <c r="AF49" i="143"/>
  <c r="AF50" i="143" s="1"/>
  <c r="R49" i="143"/>
  <c r="R50" i="143" s="1"/>
  <c r="AE49" i="143"/>
  <c r="N50" i="143"/>
  <c r="J50" i="143"/>
  <c r="Q50" i="143"/>
  <c r="AD48" i="142"/>
  <c r="G50" i="142"/>
  <c r="AI28" i="143"/>
  <c r="AI30" i="143" s="1"/>
  <c r="AJ39" i="143"/>
  <c r="T50" i="142"/>
  <c r="AA49" i="142"/>
  <c r="AA50" i="142" s="1"/>
  <c r="AP46" i="142"/>
  <c r="AD37" i="142"/>
  <c r="AD49" i="142" s="1"/>
  <c r="AC48" i="142"/>
  <c r="AC49" i="142" s="1"/>
  <c r="AH37" i="143"/>
  <c r="AG48" i="143"/>
  <c r="AJ46" i="143"/>
  <c r="AG49" i="143"/>
  <c r="AJ13" i="143"/>
  <c r="X49" i="143"/>
  <c r="X50" i="143" s="1"/>
  <c r="AJ47" i="143"/>
  <c r="AD50" i="143"/>
  <c r="AI48" i="143"/>
  <c r="AN48" i="142"/>
  <c r="P30" i="142"/>
  <c r="AE50" i="143"/>
  <c r="P48" i="142"/>
  <c r="AP45" i="142"/>
  <c r="AF45" i="142"/>
  <c r="AI37" i="143"/>
  <c r="D50" i="143"/>
  <c r="T28" i="143"/>
  <c r="T30" i="143" s="1"/>
  <c r="AJ10" i="143"/>
  <c r="D50" i="142"/>
  <c r="O50" i="142"/>
  <c r="AE30" i="142"/>
  <c r="AE50" i="142" s="1"/>
  <c r="AN37" i="142"/>
  <c r="AG28" i="143"/>
  <c r="AG30" i="143" s="1"/>
  <c r="N49" i="142"/>
  <c r="AJ35" i="143"/>
  <c r="Z50" i="142"/>
  <c r="AF34" i="142"/>
  <c r="AP34" i="142"/>
  <c r="N30" i="142"/>
  <c r="AD28" i="142"/>
  <c r="T48" i="143"/>
  <c r="AJ45" i="143"/>
  <c r="AO49" i="142"/>
  <c r="G49" i="143"/>
  <c r="G50" i="143" s="1"/>
  <c r="AF37" i="142"/>
  <c r="T37" i="143"/>
  <c r="AJ33" i="143"/>
  <c r="S49" i="143"/>
  <c r="S50" i="143" s="1"/>
  <c r="AO30" i="142"/>
  <c r="AC28" i="142"/>
  <c r="AC30" i="142" s="1"/>
  <c r="AF10" i="142"/>
  <c r="AP10" i="142"/>
  <c r="AH28" i="143"/>
  <c r="AH30" i="143" s="1"/>
  <c r="AP33" i="142"/>
  <c r="AH48" i="143"/>
  <c r="AN28" i="142"/>
  <c r="AF33" i="142"/>
  <c r="AJ22" i="143"/>
  <c r="D116" i="11"/>
  <c r="D6" i="11"/>
  <c r="AG50" i="143" l="1"/>
  <c r="AH49" i="143"/>
  <c r="AJ37" i="143"/>
  <c r="AJ49" i="143" s="1"/>
  <c r="T49" i="143"/>
  <c r="T50" i="143" s="1"/>
  <c r="AF48" i="142"/>
  <c r="AF49" i="142" s="1"/>
  <c r="P49" i="142"/>
  <c r="AJ48" i="143"/>
  <c r="AI49" i="143"/>
  <c r="AI50" i="143" s="1"/>
  <c r="AH50" i="143"/>
  <c r="AJ28" i="143"/>
  <c r="AJ30" i="143" s="1"/>
  <c r="AC50" i="142"/>
  <c r="AP28" i="142"/>
  <c r="AO50" i="142"/>
  <c r="P50" i="142"/>
  <c r="AF30" i="142"/>
  <c r="AF28" i="142"/>
  <c r="N50" i="142"/>
  <c r="AD30" i="142"/>
  <c r="AD50" i="142" s="1"/>
  <c r="AN30" i="142"/>
  <c r="AP48" i="142"/>
  <c r="AN49" i="142"/>
  <c r="AP37" i="142"/>
  <c r="F64" i="23"/>
  <c r="AJ50" i="143" l="1"/>
  <c r="AF50" i="142"/>
  <c r="AN50" i="142"/>
  <c r="AP49" i="142"/>
  <c r="AP30" i="142"/>
  <c r="F33" i="23"/>
  <c r="F40" i="54"/>
  <c r="F41" i="54"/>
  <c r="D10" i="7"/>
  <c r="D25" i="9"/>
  <c r="D7" i="9"/>
  <c r="E13" i="23"/>
  <c r="E12" i="23"/>
  <c r="E11" i="23"/>
  <c r="F14" i="23"/>
  <c r="E24" i="128"/>
  <c r="D8" i="6"/>
  <c r="D7" i="11"/>
  <c r="E72" i="23"/>
  <c r="F15" i="23"/>
  <c r="D16" i="23"/>
  <c r="C16" i="23"/>
  <c r="E28" i="23"/>
  <c r="E47" i="23"/>
  <c r="D7" i="8"/>
  <c r="L17" i="2"/>
  <c r="D55" i="11"/>
  <c r="D21" i="16"/>
  <c r="D25" i="16" s="1"/>
  <c r="D27" i="16"/>
  <c r="B25" i="16"/>
  <c r="E24" i="16"/>
  <c r="E18" i="23"/>
  <c r="D20" i="17"/>
  <c r="E24" i="23"/>
  <c r="D78" i="11"/>
  <c r="D20" i="8"/>
  <c r="D9" i="8"/>
  <c r="F56" i="2"/>
  <c r="F57" i="2" s="1"/>
  <c r="I97" i="52"/>
  <c r="I107" i="52"/>
  <c r="H102" i="52"/>
  <c r="H133" i="52"/>
  <c r="D44" i="11"/>
  <c r="I115" i="52"/>
  <c r="K38" i="2"/>
  <c r="L38" i="2"/>
  <c r="J38" i="2"/>
  <c r="E36" i="16"/>
  <c r="M38" i="2" s="1"/>
  <c r="D17" i="10"/>
  <c r="D74" i="7"/>
  <c r="D72" i="7"/>
  <c r="D31" i="6"/>
  <c r="D30" i="6"/>
  <c r="D9" i="7"/>
  <c r="D8" i="7"/>
  <c r="F47" i="54"/>
  <c r="F48" i="54"/>
  <c r="F49" i="54"/>
  <c r="F50" i="54"/>
  <c r="F51" i="54"/>
  <c r="F52" i="54"/>
  <c r="F53" i="54"/>
  <c r="F54" i="54"/>
  <c r="F55" i="54"/>
  <c r="F56" i="54"/>
  <c r="D20" i="11"/>
  <c r="H43" i="52"/>
  <c r="I43" i="52" s="1"/>
  <c r="I19" i="52"/>
  <c r="G20" i="52"/>
  <c r="H20" i="52"/>
  <c r="F20" i="52"/>
  <c r="AP50" i="142" l="1"/>
  <c r="E16" i="23"/>
  <c r="F13" i="23"/>
  <c r="D23" i="17" l="1"/>
  <c r="D27" i="17"/>
  <c r="C30" i="16" l="1"/>
  <c r="D30" i="16"/>
  <c r="D31" i="16" s="1"/>
  <c r="D38" i="16" s="1"/>
  <c r="B30" i="16"/>
  <c r="B31" i="16" s="1"/>
  <c r="B38" i="16" s="1"/>
  <c r="D23" i="7" l="1"/>
  <c r="B23" i="7"/>
  <c r="E21" i="7"/>
  <c r="E22" i="7"/>
  <c r="E17" i="7"/>
  <c r="D18" i="7"/>
  <c r="B18" i="7"/>
  <c r="B24" i="7" s="1"/>
  <c r="E89" i="11"/>
  <c r="G40" i="52"/>
  <c r="H40" i="52"/>
  <c r="F40" i="52"/>
  <c r="I39" i="52"/>
  <c r="I55" i="52"/>
  <c r="D24" i="7" l="1"/>
  <c r="I54" i="52"/>
  <c r="F54" i="23" l="1"/>
  <c r="F55" i="23"/>
  <c r="F49" i="23"/>
  <c r="F72" i="23" l="1"/>
  <c r="F12" i="23"/>
  <c r="C14" i="11" l="1"/>
  <c r="D14" i="11"/>
  <c r="B14" i="11"/>
  <c r="J44" i="2"/>
  <c r="J34" i="2"/>
  <c r="J35" i="2"/>
  <c r="J36" i="2"/>
  <c r="D44" i="54" l="1"/>
  <c r="E44" i="54"/>
  <c r="C44" i="54"/>
  <c r="E31" i="11"/>
  <c r="H72" i="52" l="1"/>
  <c r="F72" i="52"/>
  <c r="C76" i="23" l="1"/>
  <c r="J43" i="2" s="1"/>
  <c r="C21" i="23"/>
  <c r="J42" i="2" s="1"/>
  <c r="J41" i="2"/>
  <c r="C9" i="23"/>
  <c r="J40" i="2" s="1"/>
  <c r="C58" i="54"/>
  <c r="D34" i="2" s="1"/>
  <c r="D33" i="2"/>
  <c r="C34" i="54"/>
  <c r="D32" i="2" s="1"/>
  <c r="C27" i="54"/>
  <c r="D31" i="2" s="1"/>
  <c r="B28" i="17"/>
  <c r="J15" i="2" s="1"/>
  <c r="B26" i="128"/>
  <c r="J13" i="2" s="1"/>
  <c r="B8" i="11"/>
  <c r="B85" i="11"/>
  <c r="B109" i="11"/>
  <c r="B118" i="11"/>
  <c r="J37" i="2" s="1"/>
  <c r="B11" i="10"/>
  <c r="B12" i="10" s="1"/>
  <c r="J11" i="2" s="1"/>
  <c r="B18" i="9"/>
  <c r="B19" i="9" s="1"/>
  <c r="J10" i="2" s="1"/>
  <c r="B35" i="8"/>
  <c r="B36" i="8" s="1"/>
  <c r="J9" i="2" s="1"/>
  <c r="B75" i="7"/>
  <c r="J33" i="2" s="1"/>
  <c r="B64" i="7"/>
  <c r="B58" i="7"/>
  <c r="B59" i="7" s="1"/>
  <c r="B50" i="7"/>
  <c r="B52" i="7" s="1"/>
  <c r="B12" i="7"/>
  <c r="B32" i="6"/>
  <c r="B24" i="6"/>
  <c r="B9" i="6"/>
  <c r="F148" i="52"/>
  <c r="F134" i="52"/>
  <c r="D10" i="2" s="1"/>
  <c r="F109" i="52"/>
  <c r="D9" i="2" s="1"/>
  <c r="D8" i="2"/>
  <c r="F57" i="52"/>
  <c r="F36" i="52"/>
  <c r="F32" i="52"/>
  <c r="F28" i="52"/>
  <c r="F12" i="52"/>
  <c r="F15" i="52" s="1"/>
  <c r="J57" i="2"/>
  <c r="J25" i="2"/>
  <c r="D57" i="2"/>
  <c r="J32" i="2" l="1"/>
  <c r="J39" i="2" s="1"/>
  <c r="B25" i="7"/>
  <c r="J45" i="2"/>
  <c r="C78" i="23"/>
  <c r="C59" i="54"/>
  <c r="B19" i="10"/>
  <c r="B27" i="9"/>
  <c r="B43" i="8"/>
  <c r="B65" i="7"/>
  <c r="B25" i="6"/>
  <c r="B34" i="6"/>
  <c r="F33" i="52"/>
  <c r="F37" i="52" s="1"/>
  <c r="F58" i="52" s="1"/>
  <c r="D46" i="2"/>
  <c r="B110" i="11"/>
  <c r="B111" i="11" s="1"/>
  <c r="J12" i="2" s="1"/>
  <c r="J7" i="2"/>
  <c r="D11" i="2"/>
  <c r="B66" i="7" l="1"/>
  <c r="J8" i="2" s="1"/>
  <c r="J46" i="2"/>
  <c r="D7" i="2"/>
  <c r="D26" i="2" s="1"/>
  <c r="D60" i="2" s="1"/>
  <c r="F149" i="52"/>
  <c r="B120" i="11"/>
  <c r="B77" i="7" l="1"/>
  <c r="M50" i="2"/>
  <c r="M51" i="2"/>
  <c r="M52" i="2"/>
  <c r="M53" i="2"/>
  <c r="M54" i="2"/>
  <c r="M55" i="2"/>
  <c r="M56" i="2"/>
  <c r="M49" i="2"/>
  <c r="G50" i="2"/>
  <c r="G51" i="2"/>
  <c r="G52" i="2"/>
  <c r="G53" i="2"/>
  <c r="G54" i="2"/>
  <c r="G56" i="2"/>
  <c r="G49" i="2"/>
  <c r="E55" i="2"/>
  <c r="E57" i="2" s="1"/>
  <c r="M20" i="2"/>
  <c r="M21" i="2"/>
  <c r="M22" i="2"/>
  <c r="M17" i="2"/>
  <c r="K24" i="2"/>
  <c r="K23" i="2"/>
  <c r="K19" i="2"/>
  <c r="K18" i="2"/>
  <c r="K17" i="2"/>
  <c r="F77" i="23"/>
  <c r="F75" i="23"/>
  <c r="F74" i="23"/>
  <c r="F73" i="23"/>
  <c r="F71" i="23"/>
  <c r="F70" i="23"/>
  <c r="F69" i="23"/>
  <c r="F68" i="23"/>
  <c r="F67" i="23"/>
  <c r="F66" i="23"/>
  <c r="F65" i="23"/>
  <c r="F63" i="23"/>
  <c r="F62" i="23"/>
  <c r="F61" i="23"/>
  <c r="F60" i="23"/>
  <c r="F59" i="23"/>
  <c r="F58" i="23"/>
  <c r="F57" i="23"/>
  <c r="F56" i="23"/>
  <c r="F53" i="23"/>
  <c r="F52" i="23"/>
  <c r="F51" i="23"/>
  <c r="F50" i="23"/>
  <c r="F48" i="23"/>
  <c r="F45" i="23"/>
  <c r="F44" i="23"/>
  <c r="F43" i="23"/>
  <c r="F40" i="23"/>
  <c r="F38" i="23"/>
  <c r="F37" i="23"/>
  <c r="F36" i="23"/>
  <c r="F35" i="23"/>
  <c r="F34" i="23"/>
  <c r="F31" i="23"/>
  <c r="F30" i="23"/>
  <c r="F29" i="23"/>
  <c r="F28" i="23"/>
  <c r="F27" i="23"/>
  <c r="F25" i="23"/>
  <c r="F24" i="23"/>
  <c r="F20" i="23"/>
  <c r="F19" i="23"/>
  <c r="F18" i="23"/>
  <c r="F11" i="23"/>
  <c r="F16" i="23" s="1"/>
  <c r="F7" i="23"/>
  <c r="F8" i="23"/>
  <c r="D47" i="23"/>
  <c r="F47" i="23" s="1"/>
  <c r="D42" i="23"/>
  <c r="F42" i="23" s="1"/>
  <c r="F57" i="54"/>
  <c r="F46" i="54"/>
  <c r="F37" i="54"/>
  <c r="F38" i="54"/>
  <c r="F42" i="54"/>
  <c r="F43" i="54"/>
  <c r="F33" i="54"/>
  <c r="F32" i="54"/>
  <c r="F31" i="54"/>
  <c r="F30" i="54"/>
  <c r="F29" i="54"/>
  <c r="F6" i="54"/>
  <c r="F7" i="54"/>
  <c r="F8" i="54"/>
  <c r="F9" i="54"/>
  <c r="F10" i="54"/>
  <c r="F11" i="54"/>
  <c r="F12" i="54"/>
  <c r="F13" i="54"/>
  <c r="F14" i="54"/>
  <c r="F15" i="54"/>
  <c r="F16" i="54"/>
  <c r="F17" i="54"/>
  <c r="F18" i="54"/>
  <c r="F19" i="54"/>
  <c r="F20" i="54"/>
  <c r="F21" i="54"/>
  <c r="F22" i="54"/>
  <c r="F23" i="54"/>
  <c r="F24" i="54"/>
  <c r="F25" i="54"/>
  <c r="F26" i="54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7" i="17"/>
  <c r="C27" i="17"/>
  <c r="E27" i="17" s="1"/>
  <c r="C21" i="17"/>
  <c r="E10" i="16"/>
  <c r="E11" i="16"/>
  <c r="E12" i="16"/>
  <c r="E7" i="16"/>
  <c r="E14" i="16"/>
  <c r="E16" i="16"/>
  <c r="E17" i="16"/>
  <c r="E18" i="16"/>
  <c r="E19" i="16"/>
  <c r="E21" i="16"/>
  <c r="E22" i="16"/>
  <c r="E23" i="16"/>
  <c r="E26" i="16"/>
  <c r="E27" i="16"/>
  <c r="E28" i="16"/>
  <c r="E29" i="16"/>
  <c r="C15" i="16"/>
  <c r="E15" i="16" s="1"/>
  <c r="C13" i="16"/>
  <c r="E13" i="16" s="1"/>
  <c r="C9" i="16"/>
  <c r="E9" i="16" s="1"/>
  <c r="C8" i="16"/>
  <c r="E9" i="128"/>
  <c r="E10" i="128"/>
  <c r="E13" i="128"/>
  <c r="E15" i="128"/>
  <c r="E16" i="128"/>
  <c r="E17" i="128"/>
  <c r="E18" i="128"/>
  <c r="E19" i="128"/>
  <c r="E20" i="128"/>
  <c r="E21" i="128"/>
  <c r="E23" i="128"/>
  <c r="E25" i="128"/>
  <c r="C22" i="128"/>
  <c r="E22" i="128" s="1"/>
  <c r="C18" i="128"/>
  <c r="C14" i="128"/>
  <c r="E14" i="128" s="1"/>
  <c r="C12" i="128"/>
  <c r="E12" i="128" s="1"/>
  <c r="C11" i="128"/>
  <c r="E11" i="128" s="1"/>
  <c r="C8" i="128"/>
  <c r="E8" i="128" s="1"/>
  <c r="C7" i="128"/>
  <c r="E7" i="128" s="1"/>
  <c r="E88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84" i="11"/>
  <c r="E82" i="11"/>
  <c r="E81" i="11"/>
  <c r="E80" i="11"/>
  <c r="E79" i="11"/>
  <c r="E76" i="11"/>
  <c r="E75" i="11"/>
  <c r="E74" i="11"/>
  <c r="E73" i="11"/>
  <c r="E72" i="11"/>
  <c r="E71" i="11"/>
  <c r="E70" i="11"/>
  <c r="E69" i="11"/>
  <c r="E68" i="11"/>
  <c r="E66" i="11"/>
  <c r="E64" i="11"/>
  <c r="E62" i="11"/>
  <c r="E61" i="11"/>
  <c r="E60" i="11"/>
  <c r="E59" i="11"/>
  <c r="E58" i="11"/>
  <c r="E56" i="11"/>
  <c r="E55" i="11"/>
  <c r="E51" i="11"/>
  <c r="E49" i="11"/>
  <c r="E48" i="11"/>
  <c r="E47" i="11"/>
  <c r="E46" i="11"/>
  <c r="E43" i="11"/>
  <c r="E41" i="11"/>
  <c r="E40" i="11"/>
  <c r="E39" i="11"/>
  <c r="E38" i="11"/>
  <c r="E36" i="11"/>
  <c r="E35" i="11"/>
  <c r="E34" i="11"/>
  <c r="E33" i="11"/>
  <c r="E32" i="11"/>
  <c r="E30" i="11"/>
  <c r="E29" i="11"/>
  <c r="E28" i="11"/>
  <c r="E27" i="11"/>
  <c r="E26" i="11"/>
  <c r="E25" i="11"/>
  <c r="E24" i="11"/>
  <c r="E23" i="11"/>
  <c r="E22" i="11"/>
  <c r="E21" i="11"/>
  <c r="E19" i="11"/>
  <c r="E18" i="11"/>
  <c r="E16" i="11"/>
  <c r="E13" i="11"/>
  <c r="E12" i="11"/>
  <c r="E11" i="11"/>
  <c r="E10" i="11"/>
  <c r="C87" i="11"/>
  <c r="E87" i="11" s="1"/>
  <c r="C78" i="11"/>
  <c r="E78" i="11" s="1"/>
  <c r="C67" i="11"/>
  <c r="E67" i="11" s="1"/>
  <c r="C65" i="11"/>
  <c r="E65" i="11" s="1"/>
  <c r="C57" i="11"/>
  <c r="E57" i="11" s="1"/>
  <c r="C54" i="11"/>
  <c r="E54" i="11" s="1"/>
  <c r="C53" i="11"/>
  <c r="E53" i="11" s="1"/>
  <c r="C44" i="11"/>
  <c r="E44" i="11" s="1"/>
  <c r="C37" i="11"/>
  <c r="E37" i="11" s="1"/>
  <c r="C20" i="11"/>
  <c r="E20" i="11" s="1"/>
  <c r="C17" i="11"/>
  <c r="E17" i="11" s="1"/>
  <c r="C7" i="11"/>
  <c r="E7" i="11" s="1"/>
  <c r="C6" i="11"/>
  <c r="E6" i="11" s="1"/>
  <c r="E116" i="11"/>
  <c r="C117" i="11"/>
  <c r="E117" i="11" s="1"/>
  <c r="E9" i="10"/>
  <c r="C10" i="10"/>
  <c r="E10" i="10" s="1"/>
  <c r="C7" i="10"/>
  <c r="E7" i="10" s="1"/>
  <c r="C17" i="10"/>
  <c r="E17" i="10" s="1"/>
  <c r="E25" i="9"/>
  <c r="E8" i="9"/>
  <c r="E9" i="9"/>
  <c r="E10" i="9"/>
  <c r="E11" i="9"/>
  <c r="E12" i="9"/>
  <c r="E13" i="9"/>
  <c r="E14" i="9"/>
  <c r="C17" i="9"/>
  <c r="E17" i="9" s="1"/>
  <c r="C16" i="9"/>
  <c r="E16" i="9" s="1"/>
  <c r="C15" i="9"/>
  <c r="E15" i="9" s="1"/>
  <c r="C7" i="9"/>
  <c r="E7" i="9" s="1"/>
  <c r="E41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4" i="8"/>
  <c r="E25" i="8"/>
  <c r="E27" i="8"/>
  <c r="E28" i="8"/>
  <c r="E29" i="8"/>
  <c r="E30" i="8"/>
  <c r="E31" i="8"/>
  <c r="E32" i="8"/>
  <c r="E33" i="8"/>
  <c r="E34" i="8"/>
  <c r="C26" i="8"/>
  <c r="E26" i="8" s="1"/>
  <c r="C23" i="8"/>
  <c r="E23" i="8" s="1"/>
  <c r="C20" i="8"/>
  <c r="C7" i="8"/>
  <c r="E7" i="8" s="1"/>
  <c r="E72" i="7"/>
  <c r="E73" i="7"/>
  <c r="E74" i="7"/>
  <c r="E71" i="7"/>
  <c r="E62" i="7"/>
  <c r="E63" i="7"/>
  <c r="E61" i="7"/>
  <c r="E56" i="7"/>
  <c r="E57" i="7"/>
  <c r="E53" i="7"/>
  <c r="E51" i="7"/>
  <c r="E47" i="7"/>
  <c r="E46" i="7"/>
  <c r="E45" i="7"/>
  <c r="E44" i="7"/>
  <c r="E43" i="7"/>
  <c r="E41" i="7"/>
  <c r="E35" i="7"/>
  <c r="E33" i="7"/>
  <c r="E29" i="7"/>
  <c r="E28" i="7"/>
  <c r="E19" i="7"/>
  <c r="E16" i="7"/>
  <c r="C55" i="7"/>
  <c r="E55" i="7" s="1"/>
  <c r="C49" i="7"/>
  <c r="E49" i="7" s="1"/>
  <c r="C48" i="7"/>
  <c r="E48" i="7" s="1"/>
  <c r="C42" i="7"/>
  <c r="E42" i="7" s="1"/>
  <c r="C40" i="7"/>
  <c r="E40" i="7" s="1"/>
  <c r="C39" i="7"/>
  <c r="E39" i="7" s="1"/>
  <c r="C38" i="7"/>
  <c r="E38" i="7" s="1"/>
  <c r="C37" i="7"/>
  <c r="E37" i="7" s="1"/>
  <c r="C36" i="7"/>
  <c r="E36" i="7" s="1"/>
  <c r="C34" i="7"/>
  <c r="E34" i="7" s="1"/>
  <c r="C32" i="7"/>
  <c r="E32" i="7" s="1"/>
  <c r="C31" i="7"/>
  <c r="E31" i="7" s="1"/>
  <c r="C30" i="7"/>
  <c r="E30" i="7" s="1"/>
  <c r="C20" i="7"/>
  <c r="C15" i="7"/>
  <c r="E15" i="7" s="1"/>
  <c r="C14" i="7"/>
  <c r="C11" i="7"/>
  <c r="E11" i="7" s="1"/>
  <c r="C10" i="7"/>
  <c r="E10" i="7" s="1"/>
  <c r="C9" i="7"/>
  <c r="E9" i="7" s="1"/>
  <c r="C8" i="7"/>
  <c r="E8" i="7" s="1"/>
  <c r="E31" i="6"/>
  <c r="E30" i="6"/>
  <c r="E12" i="6"/>
  <c r="E13" i="6"/>
  <c r="E14" i="6"/>
  <c r="E15" i="6"/>
  <c r="E16" i="6"/>
  <c r="E18" i="6"/>
  <c r="E19" i="6"/>
  <c r="E20" i="6"/>
  <c r="E21" i="6"/>
  <c r="E22" i="6"/>
  <c r="E23" i="6"/>
  <c r="E11" i="6"/>
  <c r="E10" i="6"/>
  <c r="E8" i="6"/>
  <c r="E7" i="6"/>
  <c r="C17" i="6"/>
  <c r="E17" i="6" s="1"/>
  <c r="C15" i="6"/>
  <c r="C8" i="6"/>
  <c r="C7" i="6"/>
  <c r="I141" i="52"/>
  <c r="I146" i="52"/>
  <c r="I114" i="52"/>
  <c r="I116" i="52"/>
  <c r="I117" i="52"/>
  <c r="I118" i="52"/>
  <c r="I119" i="52"/>
  <c r="I120" i="52"/>
  <c r="I121" i="52"/>
  <c r="I122" i="52"/>
  <c r="I123" i="52"/>
  <c r="I124" i="52"/>
  <c r="I125" i="52"/>
  <c r="I126" i="52"/>
  <c r="I127" i="52"/>
  <c r="I128" i="52"/>
  <c r="I129" i="52"/>
  <c r="I130" i="52"/>
  <c r="I131" i="52"/>
  <c r="I132" i="52"/>
  <c r="I133" i="52"/>
  <c r="I76" i="52"/>
  <c r="I77" i="52"/>
  <c r="I78" i="52"/>
  <c r="I79" i="52"/>
  <c r="I80" i="52"/>
  <c r="I81" i="52"/>
  <c r="I83" i="52"/>
  <c r="I84" i="52"/>
  <c r="I85" i="52"/>
  <c r="I86" i="52"/>
  <c r="I87" i="52"/>
  <c r="I88" i="52"/>
  <c r="I89" i="52"/>
  <c r="I90" i="52"/>
  <c r="I91" i="52"/>
  <c r="I92" i="52"/>
  <c r="I93" i="52"/>
  <c r="I94" i="52"/>
  <c r="I95" i="52"/>
  <c r="I96" i="52"/>
  <c r="I99" i="52"/>
  <c r="I100" i="52"/>
  <c r="I101" i="52"/>
  <c r="I102" i="52"/>
  <c r="I103" i="52"/>
  <c r="I106" i="52"/>
  <c r="I108" i="52"/>
  <c r="I66" i="52"/>
  <c r="I68" i="52"/>
  <c r="I69" i="52"/>
  <c r="I70" i="52"/>
  <c r="I71" i="52"/>
  <c r="I61" i="52"/>
  <c r="I44" i="52"/>
  <c r="I45" i="52"/>
  <c r="I46" i="52"/>
  <c r="I47" i="52"/>
  <c r="I48" i="52"/>
  <c r="I49" i="52"/>
  <c r="I50" i="52"/>
  <c r="I51" i="52"/>
  <c r="I52" i="52"/>
  <c r="I53" i="52"/>
  <c r="I56" i="52"/>
  <c r="I38" i="52"/>
  <c r="I40" i="52" s="1"/>
  <c r="I35" i="52"/>
  <c r="I31" i="52"/>
  <c r="I30" i="52"/>
  <c r="I23" i="52"/>
  <c r="I24" i="52"/>
  <c r="I25" i="52"/>
  <c r="I26" i="52"/>
  <c r="I27" i="52"/>
  <c r="I22" i="52"/>
  <c r="I18" i="52"/>
  <c r="I17" i="52"/>
  <c r="G147" i="52"/>
  <c r="I147" i="52" s="1"/>
  <c r="G145" i="52"/>
  <c r="I145" i="52" s="1"/>
  <c r="G144" i="52"/>
  <c r="I144" i="52" s="1"/>
  <c r="G143" i="52"/>
  <c r="I143" i="52" s="1"/>
  <c r="G142" i="52"/>
  <c r="I142" i="52" s="1"/>
  <c r="G140" i="52"/>
  <c r="I140" i="52" s="1"/>
  <c r="G139" i="52"/>
  <c r="I139" i="52" s="1"/>
  <c r="G138" i="52"/>
  <c r="I138" i="52" s="1"/>
  <c r="G137" i="52"/>
  <c r="I137" i="52" s="1"/>
  <c r="G136" i="52"/>
  <c r="I136" i="52" s="1"/>
  <c r="G105" i="52"/>
  <c r="I105" i="52" s="1"/>
  <c r="G75" i="52"/>
  <c r="I75" i="52" s="1"/>
  <c r="G65" i="52"/>
  <c r="I65" i="52" s="1"/>
  <c r="G63" i="52"/>
  <c r="I63" i="52" s="1"/>
  <c r="G42" i="52"/>
  <c r="I42" i="52" s="1"/>
  <c r="G41" i="52"/>
  <c r="I41" i="52" s="1"/>
  <c r="G14" i="52"/>
  <c r="I14" i="52" s="1"/>
  <c r="G13" i="52"/>
  <c r="I13" i="52" s="1"/>
  <c r="G11" i="52"/>
  <c r="I11" i="52" s="1"/>
  <c r="G10" i="52"/>
  <c r="I10" i="52" s="1"/>
  <c r="G9" i="52"/>
  <c r="I9" i="52" s="1"/>
  <c r="G8" i="52"/>
  <c r="I8" i="52" s="1"/>
  <c r="E20" i="7" l="1"/>
  <c r="E23" i="7" s="1"/>
  <c r="C23" i="7"/>
  <c r="E14" i="7"/>
  <c r="E18" i="7" s="1"/>
  <c r="E24" i="7" s="1"/>
  <c r="C18" i="7"/>
  <c r="C24" i="7" s="1"/>
  <c r="C25" i="16"/>
  <c r="I20" i="52"/>
  <c r="E8" i="16"/>
  <c r="E25" i="16" s="1"/>
  <c r="C31" i="16"/>
  <c r="C38" i="16" s="1"/>
  <c r="M24" i="2"/>
  <c r="M23" i="2"/>
  <c r="M19" i="2"/>
  <c r="M18" i="2"/>
  <c r="G55" i="2"/>
  <c r="G57" i="2" s="1"/>
  <c r="F44" i="54"/>
  <c r="E30" i="16"/>
  <c r="E14" i="11"/>
  <c r="I72" i="52"/>
  <c r="G72" i="52"/>
  <c r="E31" i="16" l="1"/>
  <c r="E38" i="16" s="1"/>
  <c r="E27" i="54" l="1"/>
  <c r="F27" i="54"/>
  <c r="D27" i="54"/>
  <c r="M7" i="64"/>
  <c r="G7" i="64"/>
  <c r="F7" i="64"/>
  <c r="E7" i="64"/>
  <c r="D7" i="64"/>
  <c r="C7" i="64"/>
  <c r="C10" i="63"/>
  <c r="M8" i="63" l="1"/>
  <c r="C10" i="64"/>
  <c r="E7" i="63"/>
  <c r="D7" i="63"/>
  <c r="C7" i="63"/>
  <c r="D17" i="77" l="1"/>
  <c r="E17" i="77"/>
  <c r="D13" i="77"/>
  <c r="E13" i="77"/>
  <c r="E18" i="77" s="1"/>
  <c r="E20" i="77" s="1"/>
  <c r="F19" i="77"/>
  <c r="F16" i="77"/>
  <c r="F15" i="77"/>
  <c r="F14" i="77"/>
  <c r="F9" i="77"/>
  <c r="F10" i="77"/>
  <c r="F11" i="77"/>
  <c r="F12" i="77"/>
  <c r="D18" i="77" l="1"/>
  <c r="D20" i="77" s="1"/>
  <c r="F17" i="77"/>
  <c r="L35" i="2"/>
  <c r="K35" i="2"/>
  <c r="H28" i="52" l="1"/>
  <c r="I28" i="52"/>
  <c r="G28" i="52"/>
  <c r="L57" i="2" l="1"/>
  <c r="M57" i="2"/>
  <c r="K57" i="2"/>
  <c r="C12" i="7" l="1"/>
  <c r="D12" i="7"/>
  <c r="E12" i="7" l="1"/>
  <c r="C109" i="11" l="1"/>
  <c r="D109" i="11"/>
  <c r="H57" i="52"/>
  <c r="I57" i="52"/>
  <c r="G57" i="52"/>
  <c r="D8" i="11" l="1"/>
  <c r="C8" i="11"/>
  <c r="E109" i="11" l="1"/>
  <c r="C13" i="77" l="1"/>
  <c r="E8" i="11" l="1"/>
  <c r="D26" i="128" l="1"/>
  <c r="L13" i="2" s="1"/>
  <c r="E26" i="128" l="1"/>
  <c r="C26" i="128"/>
  <c r="M13" i="2" l="1"/>
  <c r="K13" i="2"/>
  <c r="E9" i="23" l="1"/>
  <c r="F9" i="23"/>
  <c r="D9" i="23"/>
  <c r="E21" i="23"/>
  <c r="F21" i="23"/>
  <c r="D21" i="23"/>
  <c r="D9" i="6"/>
  <c r="E9" i="6"/>
  <c r="D25" i="7" l="1"/>
  <c r="D35" i="8"/>
  <c r="D36" i="8" s="1"/>
  <c r="E25" i="7" l="1"/>
  <c r="D28" i="17"/>
  <c r="D64" i="7" l="1"/>
  <c r="D50" i="7"/>
  <c r="D58" i="7"/>
  <c r="M35" i="2" l="1"/>
  <c r="D59" i="7"/>
  <c r="D76" i="23"/>
  <c r="K42" i="2"/>
  <c r="K41" i="2"/>
  <c r="K40" i="2"/>
  <c r="F9" i="63"/>
  <c r="F11" i="63" s="1"/>
  <c r="C18" i="64" s="1"/>
  <c r="L9" i="63"/>
  <c r="L11" i="63" s="1"/>
  <c r="C24" i="64" s="1"/>
  <c r="K9" i="63"/>
  <c r="K11" i="63" s="1"/>
  <c r="C23" i="64" s="1"/>
  <c r="H9" i="63"/>
  <c r="H11" i="63" s="1"/>
  <c r="C20" i="64" s="1"/>
  <c r="G9" i="63"/>
  <c r="G11" i="63" s="1"/>
  <c r="C19" i="64" s="1"/>
  <c r="J9" i="63"/>
  <c r="J11" i="63" s="1"/>
  <c r="C22" i="64" s="1"/>
  <c r="C9" i="63"/>
  <c r="C11" i="63" s="1"/>
  <c r="C15" i="64" s="1"/>
  <c r="G16" i="77"/>
  <c r="G15" i="77"/>
  <c r="G14" i="77"/>
  <c r="G19" i="77"/>
  <c r="B10" i="63" s="1"/>
  <c r="E118" i="11"/>
  <c r="L42" i="2"/>
  <c r="M42" i="2"/>
  <c r="F8" i="77"/>
  <c r="F13" i="77" s="1"/>
  <c r="F18" i="77" s="1"/>
  <c r="F20" i="77" s="1"/>
  <c r="M8" i="77"/>
  <c r="N8" i="77" s="1"/>
  <c r="G9" i="77"/>
  <c r="M9" i="77"/>
  <c r="G10" i="77"/>
  <c r="M10" i="77"/>
  <c r="N10" i="77" s="1"/>
  <c r="G11" i="77"/>
  <c r="M11" i="77"/>
  <c r="N11" i="77" s="1"/>
  <c r="G12" i="77"/>
  <c r="M12" i="77"/>
  <c r="N12" i="77" s="1"/>
  <c r="J13" i="77"/>
  <c r="K13" i="77"/>
  <c r="L13" i="77"/>
  <c r="M14" i="77"/>
  <c r="N14" i="77" s="1"/>
  <c r="M15" i="77"/>
  <c r="N15" i="77" s="1"/>
  <c r="M16" i="77"/>
  <c r="N16" i="77" s="1"/>
  <c r="C17" i="77"/>
  <c r="J17" i="77"/>
  <c r="K17" i="77"/>
  <c r="L17" i="77"/>
  <c r="M19" i="77"/>
  <c r="N19" i="77" s="1"/>
  <c r="B10" i="64" s="1"/>
  <c r="C9" i="64"/>
  <c r="D9" i="64"/>
  <c r="D11" i="64" s="1"/>
  <c r="D16" i="64" s="1"/>
  <c r="E9" i="64"/>
  <c r="E11" i="64" s="1"/>
  <c r="D17" i="64" s="1"/>
  <c r="F9" i="64"/>
  <c r="F11" i="64" s="1"/>
  <c r="D18" i="64" s="1"/>
  <c r="G9" i="64"/>
  <c r="G11" i="64" s="1"/>
  <c r="D19" i="64" s="1"/>
  <c r="H9" i="64"/>
  <c r="H11" i="64" s="1"/>
  <c r="D20" i="64" s="1"/>
  <c r="I9" i="64"/>
  <c r="I11" i="64" s="1"/>
  <c r="D21" i="64" s="1"/>
  <c r="J9" i="64"/>
  <c r="J11" i="64" s="1"/>
  <c r="D22" i="64" s="1"/>
  <c r="K9" i="64"/>
  <c r="K11" i="64" s="1"/>
  <c r="D23" i="64" s="1"/>
  <c r="L9" i="64"/>
  <c r="L11" i="64" s="1"/>
  <c r="D24" i="64" s="1"/>
  <c r="M9" i="64"/>
  <c r="M11" i="64" s="1"/>
  <c r="D25" i="64" s="1"/>
  <c r="N9" i="64"/>
  <c r="N11" i="64" s="1"/>
  <c r="D26" i="64" s="1"/>
  <c r="D9" i="63"/>
  <c r="D11" i="63" s="1"/>
  <c r="C16" i="64" s="1"/>
  <c r="I9" i="63"/>
  <c r="I11" i="63" s="1"/>
  <c r="C21" i="64" s="1"/>
  <c r="M9" i="63"/>
  <c r="M11" i="63" s="1"/>
  <c r="C25" i="64" s="1"/>
  <c r="L40" i="2"/>
  <c r="M40" i="2"/>
  <c r="L41" i="2"/>
  <c r="M41" i="2"/>
  <c r="E76" i="23"/>
  <c r="F76" i="23"/>
  <c r="F78" i="23" s="1"/>
  <c r="F34" i="54"/>
  <c r="D34" i="54"/>
  <c r="E32" i="2" s="1"/>
  <c r="E34" i="54"/>
  <c r="F32" i="2" s="1"/>
  <c r="E33" i="2"/>
  <c r="F33" i="2"/>
  <c r="G33" i="2"/>
  <c r="D58" i="54"/>
  <c r="E34" i="2" s="1"/>
  <c r="E58" i="54"/>
  <c r="F58" i="54"/>
  <c r="L15" i="2"/>
  <c r="D85" i="11"/>
  <c r="D118" i="11"/>
  <c r="L37" i="2" s="1"/>
  <c r="C11" i="10"/>
  <c r="C12" i="10" s="1"/>
  <c r="D11" i="10"/>
  <c r="D12" i="10" s="1"/>
  <c r="E11" i="10"/>
  <c r="E12" i="10" s="1"/>
  <c r="D18" i="9"/>
  <c r="D19" i="9" s="1"/>
  <c r="D27" i="9" s="1"/>
  <c r="M34" i="2"/>
  <c r="C75" i="7"/>
  <c r="D75" i="7"/>
  <c r="L33" i="2" s="1"/>
  <c r="D24" i="6"/>
  <c r="C32" i="6"/>
  <c r="D32" i="6"/>
  <c r="E32" i="6"/>
  <c r="G12" i="52"/>
  <c r="H12" i="52"/>
  <c r="H15" i="52" s="1"/>
  <c r="I12" i="52"/>
  <c r="G32" i="52"/>
  <c r="H32" i="52"/>
  <c r="I32" i="52"/>
  <c r="G36" i="52"/>
  <c r="H36" i="52"/>
  <c r="I36" i="52"/>
  <c r="F8" i="2"/>
  <c r="H109" i="52"/>
  <c r="F9" i="2" s="1"/>
  <c r="G134" i="52"/>
  <c r="E10" i="2" s="1"/>
  <c r="H134" i="52"/>
  <c r="F10" i="2" s="1"/>
  <c r="I134" i="52"/>
  <c r="G10" i="2" s="1"/>
  <c r="H148" i="52"/>
  <c r="F11" i="2" s="1"/>
  <c r="L25" i="2"/>
  <c r="K34" i="2"/>
  <c r="L34" i="2"/>
  <c r="K36" i="2"/>
  <c r="L36" i="2"/>
  <c r="M36" i="2"/>
  <c r="K44" i="2"/>
  <c r="L44" i="2"/>
  <c r="M44" i="2"/>
  <c r="E75" i="7"/>
  <c r="G17" i="77" l="1"/>
  <c r="K43" i="2"/>
  <c r="D78" i="23"/>
  <c r="L43" i="2"/>
  <c r="L45" i="2" s="1"/>
  <c r="E78" i="23"/>
  <c r="L32" i="2"/>
  <c r="L39" i="2" s="1"/>
  <c r="K32" i="2"/>
  <c r="D110" i="11"/>
  <c r="D111" i="11" s="1"/>
  <c r="K18" i="77"/>
  <c r="K20" i="77" s="1"/>
  <c r="G34" i="2"/>
  <c r="F31" i="2"/>
  <c r="C18" i="77"/>
  <c r="C20" i="77" s="1"/>
  <c r="L18" i="77"/>
  <c r="L20" i="77" s="1"/>
  <c r="C9" i="6"/>
  <c r="C25" i="7"/>
  <c r="C118" i="11"/>
  <c r="K37" i="2" s="1"/>
  <c r="M33" i="2"/>
  <c r="M32" i="2"/>
  <c r="M37" i="2"/>
  <c r="C35" i="8"/>
  <c r="L10" i="2"/>
  <c r="E28" i="17"/>
  <c r="C18" i="9"/>
  <c r="C19" i="9" s="1"/>
  <c r="C27" i="9" s="1"/>
  <c r="E35" i="8"/>
  <c r="E36" i="8" s="1"/>
  <c r="L11" i="2"/>
  <c r="C28" i="17"/>
  <c r="K15" i="2" s="1"/>
  <c r="C24" i="6"/>
  <c r="E24" i="6"/>
  <c r="E85" i="11"/>
  <c r="E110" i="11" s="1"/>
  <c r="D19" i="10"/>
  <c r="E18" i="9"/>
  <c r="C64" i="7"/>
  <c r="K11" i="2"/>
  <c r="E8" i="2"/>
  <c r="C19" i="10"/>
  <c r="M17" i="77"/>
  <c r="E64" i="7"/>
  <c r="E31" i="2"/>
  <c r="G148" i="52"/>
  <c r="E11" i="2" s="1"/>
  <c r="N9" i="63"/>
  <c r="N11" i="63" s="1"/>
  <c r="C26" i="64" s="1"/>
  <c r="C85" i="11"/>
  <c r="L7" i="2"/>
  <c r="N17" i="77"/>
  <c r="B8" i="64" s="1"/>
  <c r="D25" i="6"/>
  <c r="D34" i="6"/>
  <c r="H33" i="52"/>
  <c r="H37" i="52" s="1"/>
  <c r="H58" i="52" s="1"/>
  <c r="E50" i="7"/>
  <c r="C50" i="7"/>
  <c r="C52" i="7" s="1"/>
  <c r="D52" i="7"/>
  <c r="D65" i="7" s="1"/>
  <c r="E58" i="7"/>
  <c r="C58" i="7"/>
  <c r="C59" i="7" s="1"/>
  <c r="K25" i="2"/>
  <c r="I148" i="52"/>
  <c r="G109" i="52"/>
  <c r="E9" i="2" s="1"/>
  <c r="D43" i="8"/>
  <c r="L9" i="2"/>
  <c r="E9" i="63"/>
  <c r="E11" i="63" s="1"/>
  <c r="C17" i="64" s="1"/>
  <c r="G15" i="52"/>
  <c r="J18" i="77"/>
  <c r="J20" i="77" s="1"/>
  <c r="C11" i="64"/>
  <c r="D15" i="64" s="1"/>
  <c r="E15" i="64" s="1"/>
  <c r="E16" i="64" s="1"/>
  <c r="G8" i="77"/>
  <c r="M13" i="77"/>
  <c r="N9" i="77"/>
  <c r="N13" i="77" s="1"/>
  <c r="M43" i="2"/>
  <c r="M45" i="2" s="1"/>
  <c r="I109" i="52"/>
  <c r="F34" i="2"/>
  <c r="G32" i="2"/>
  <c r="M25" i="2"/>
  <c r="K33" i="2"/>
  <c r="I15" i="52"/>
  <c r="K39" i="2" l="1"/>
  <c r="M39" i="2"/>
  <c r="M46" i="2" s="1"/>
  <c r="L14" i="2"/>
  <c r="K45" i="2"/>
  <c r="G13" i="77"/>
  <c r="G18" i="77" s="1"/>
  <c r="G20" i="77" s="1"/>
  <c r="E19" i="9"/>
  <c r="E27" i="9" s="1"/>
  <c r="E111" i="11"/>
  <c r="C110" i="11"/>
  <c r="C111" i="11" s="1"/>
  <c r="C120" i="11" s="1"/>
  <c r="B8" i="63"/>
  <c r="D27" i="64"/>
  <c r="F46" i="2"/>
  <c r="E59" i="54"/>
  <c r="C27" i="64"/>
  <c r="G31" i="2"/>
  <c r="G46" i="2" s="1"/>
  <c r="C36" i="8"/>
  <c r="C25" i="6"/>
  <c r="K7" i="2"/>
  <c r="E25" i="6"/>
  <c r="C34" i="6"/>
  <c r="E34" i="6"/>
  <c r="E59" i="7"/>
  <c r="E46" i="2"/>
  <c r="D59" i="54"/>
  <c r="E17" i="64"/>
  <c r="E18" i="64" s="1"/>
  <c r="E19" i="64" s="1"/>
  <c r="E20" i="64" s="1"/>
  <c r="E21" i="64" s="1"/>
  <c r="E22" i="64" s="1"/>
  <c r="E23" i="64" s="1"/>
  <c r="E24" i="64" s="1"/>
  <c r="E25" i="64" s="1"/>
  <c r="E26" i="64" s="1"/>
  <c r="M18" i="77"/>
  <c r="M20" i="77" s="1"/>
  <c r="L12" i="2"/>
  <c r="D120" i="11"/>
  <c r="G8" i="2"/>
  <c r="E52" i="7"/>
  <c r="C65" i="7"/>
  <c r="D66" i="7"/>
  <c r="D77" i="7" s="1"/>
  <c r="L46" i="2"/>
  <c r="G11" i="2"/>
  <c r="G33" i="52"/>
  <c r="G37" i="52" s="1"/>
  <c r="H149" i="52"/>
  <c r="F7" i="2"/>
  <c r="F26" i="2" s="1"/>
  <c r="B7" i="64"/>
  <c r="N18" i="77"/>
  <c r="N20" i="77" s="1"/>
  <c r="M11" i="2"/>
  <c r="E19" i="10"/>
  <c r="K10" i="2"/>
  <c r="M15" i="2"/>
  <c r="I33" i="52"/>
  <c r="F59" i="54"/>
  <c r="G9" i="2"/>
  <c r="B7" i="63" l="1"/>
  <c r="K14" i="2"/>
  <c r="M10" i="2"/>
  <c r="E27" i="64"/>
  <c r="F60" i="2"/>
  <c r="K12" i="2"/>
  <c r="K9" i="2"/>
  <c r="C43" i="8"/>
  <c r="M14" i="2"/>
  <c r="M9" i="2"/>
  <c r="E65" i="7"/>
  <c r="M12" i="2"/>
  <c r="M7" i="2"/>
  <c r="E120" i="11"/>
  <c r="E43" i="8"/>
  <c r="C66" i="7"/>
  <c r="C77" i="7" s="1"/>
  <c r="L8" i="2"/>
  <c r="L26" i="2" s="1"/>
  <c r="B9" i="63"/>
  <c r="I37" i="52"/>
  <c r="K46" i="2"/>
  <c r="B9" i="64"/>
  <c r="E66" i="7" l="1"/>
  <c r="K8" i="2"/>
  <c r="L60" i="2"/>
  <c r="B11" i="64"/>
  <c r="I58" i="52"/>
  <c r="B11" i="63"/>
  <c r="E77" i="7" l="1"/>
  <c r="M8" i="2"/>
  <c r="K26" i="2"/>
  <c r="G7" i="2"/>
  <c r="G26" i="2" s="1"/>
  <c r="I149" i="52"/>
  <c r="M26" i="2" l="1"/>
  <c r="K60" i="2"/>
  <c r="G60" i="2"/>
  <c r="M60" i="2" l="1"/>
  <c r="G58" i="52" l="1"/>
  <c r="E7" i="2" l="1"/>
  <c r="G149" i="52"/>
  <c r="E26" i="2" l="1"/>
  <c r="E60" i="2" l="1"/>
  <c r="J14" i="2" l="1"/>
  <c r="J26" i="2" s="1"/>
  <c r="J60" i="2" s="1"/>
</calcChain>
</file>

<file path=xl/sharedStrings.xml><?xml version="1.0" encoding="utf-8"?>
<sst xmlns="http://schemas.openxmlformats.org/spreadsheetml/2006/main" count="1621" uniqueCount="869">
  <si>
    <t>Lakás bérleti díj támogatás</t>
  </si>
  <si>
    <t>Hézagkiöntés</t>
  </si>
  <si>
    <t>Hídfenntartás</t>
  </si>
  <si>
    <t>Idegenforgalmi adó</t>
  </si>
  <si>
    <t>Polgármesteri Hivatal</t>
  </si>
  <si>
    <t>Önkormányzat egyéb kiadásai</t>
  </si>
  <si>
    <t>Önkormányzat egyéb kiadásai (Főépítészi kiadások)</t>
  </si>
  <si>
    <t>Önkormányzat egyéb kiadásai (Hatósági kiadások)</t>
  </si>
  <si>
    <t>Önkormányzat egyéb kiadásai (informatikai kiadások)</t>
  </si>
  <si>
    <t>Informatikai fejlesztések</t>
  </si>
  <si>
    <t>Környezetvédelmi birság</t>
  </si>
  <si>
    <t>Tartalékok</t>
  </si>
  <si>
    <t xml:space="preserve"> </t>
  </si>
  <si>
    <t>Egyesített Bölcsődei Intézmény</t>
  </si>
  <si>
    <t>MŰKÖDÉSI BEVÉTELEK</t>
  </si>
  <si>
    <t>MŰKÖDÉSI KIADÁSOK</t>
  </si>
  <si>
    <t>Egyéb fejlesztések</t>
  </si>
  <si>
    <t>Egyéb adó és bírságok, pótlékok</t>
  </si>
  <si>
    <t>Szociális hét</t>
  </si>
  <si>
    <t>Nagyprojektek, projektek</t>
  </si>
  <si>
    <t>Posta költség</t>
  </si>
  <si>
    <t>TERMÉK ÉS SZOLGÁLTATÁSOK ADÓI</t>
  </si>
  <si>
    <t>JÖVEDELEMADÓK</t>
  </si>
  <si>
    <t>VAGYONI TÍPUSÚ ADÓK</t>
  </si>
  <si>
    <t>EGYÉB KÖZHATALMI BEVÉTELEK</t>
  </si>
  <si>
    <t>ÖNKORMÁNYZATOK MŰKÖDÉSI TÁMOGATÁSAI</t>
  </si>
  <si>
    <t>Kiszámlázott általános forgalmi adó és áfa visszatérítése</t>
  </si>
  <si>
    <t>Kamatbevételek</t>
  </si>
  <si>
    <t>Office 365 rendszer működtetése</t>
  </si>
  <si>
    <t>Felhalmozási célú visszatérítendő támogatások, kölcsönök visszatérülése államháztartáson kívülről</t>
  </si>
  <si>
    <t>Egyéb felhalmozási célú átvett pénzeszközök</t>
  </si>
  <si>
    <t>Működési célú visszatérítendő támogatások, kölcsönök visszatérülése államháztartáson kívülről</t>
  </si>
  <si>
    <t>Egyéb működési célú átvett pénzeszközök</t>
  </si>
  <si>
    <t>Munkáltatói kölcsön</t>
  </si>
  <si>
    <t>Állami és önkormányzati adatbázisok használati, továbbvezetési, karbantartási és szolgáltatási díja</t>
  </si>
  <si>
    <t>Működési kiadások</t>
  </si>
  <si>
    <t>Tartalékok össszesen</t>
  </si>
  <si>
    <t>Gyöngyöshermán-Szentkirályi Polgári Kör</t>
  </si>
  <si>
    <t>Herényi Kulturális és Sportegyesület</t>
  </si>
  <si>
    <t>Petőfi Telepért Egyesület</t>
  </si>
  <si>
    <t>Vásárok, rendezvények, karácsonyi díszkivilágítás</t>
  </si>
  <si>
    <t xml:space="preserve">Önkormányzati oktatási kiadások összesen </t>
  </si>
  <si>
    <t>Egyéb feladatok</t>
  </si>
  <si>
    <t>Kátyúkár - önerő biztosítása</t>
  </si>
  <si>
    <t>EGYÉB MŰKÖDÉSI CÉLÚ TÁMOGATÁSOK BEVÉTELEI ÁLLAMHÁZTARTÁSON BELÜLRŐL</t>
  </si>
  <si>
    <t>ELVONÁSOK ÉS BEFIZETÉSEK BEVÉTELEI</t>
  </si>
  <si>
    <t>Internet alapú városi hálózat</t>
  </si>
  <si>
    <t>Víziközmű és szennyvízközmű használati díjbevételhez kapcsolódó áfa visszaigénylés</t>
  </si>
  <si>
    <t>Működési célú költségvetési támogatások és kiegészítő támogatások</t>
  </si>
  <si>
    <t>Köztemetés költségeinek megtérítése</t>
  </si>
  <si>
    <t>Működési bevételek</t>
  </si>
  <si>
    <t>Oktatási ágazat kiadásai</t>
  </si>
  <si>
    <t>Szociális ágazat kiadásai</t>
  </si>
  <si>
    <t>Egészségügyi ágazat kiadásai</t>
  </si>
  <si>
    <t>Arany János ösztöndíj</t>
  </si>
  <si>
    <t>Capella Savaria</t>
  </si>
  <si>
    <t>Ferrum Színházi Társulat</t>
  </si>
  <si>
    <t>FELHALMOZÁSI BEVÉTELEK</t>
  </si>
  <si>
    <t>FELHALMOZÁSI BEVÉTELEK ÖSSZESEN</t>
  </si>
  <si>
    <t>FELHALMZÁSI CÉLÚ TÁMOGATÁSOK ÁLLAMHÁZTARTÁSON BELÜLRŐL</t>
  </si>
  <si>
    <t>KÖLTSÉGVETÉSI SZERVEK MŰKÖDÉSI BEVÉTELEI</t>
  </si>
  <si>
    <t>KÖLTSÉGVETÉSI SZERVEK MŰKÖDÉSI BEVÉTELEI ÖSSZESEN</t>
  </si>
  <si>
    <t>KÖLTSÉGVETÉSI SZERVEK FELHALMOZÁSI BEVÉTELEI ÖSSZESEN</t>
  </si>
  <si>
    <t>FELHALMZÁSI CÉLÚ TÁMOGATÁSOK ÁLLAMHÁZTARTÁSON BELÜLRŐL ÖSSZESEN</t>
  </si>
  <si>
    <t>FELHALMOZÁSI CÉLÚ ÁTVETT PÉNZESZKÖZÖK</t>
  </si>
  <si>
    <t>FELHALMOZÁSI CÉLÚ ÁTVETT PÉNZESZKÖZÖK ÖSSZESEN</t>
  </si>
  <si>
    <t>Felhalmozási bevételek</t>
  </si>
  <si>
    <t>Felhalmozási célú támogatások államháztartáson belülről</t>
  </si>
  <si>
    <t>Felhalmozási célú átvett péneszközök</t>
  </si>
  <si>
    <t>FELHALMOZÁSI KIADÁSOK</t>
  </si>
  <si>
    <t xml:space="preserve">" Szombathely visszavár" ösztöndíjrendszer </t>
  </si>
  <si>
    <t>Pálos K. Szociális Szolgáltató Központ és Gyermekjóléti Szolgálat</t>
  </si>
  <si>
    <t>Kötelező feladat</t>
  </si>
  <si>
    <t>Nem kötelező feladat</t>
  </si>
  <si>
    <t>Csaba úti felüljáró fenntartása, karbantartása</t>
  </si>
  <si>
    <t>Burkolati jelek festése</t>
  </si>
  <si>
    <t xml:space="preserve">Egészségügyi civil szervezetek támogatása </t>
  </si>
  <si>
    <t>Helyiségek és lakások bérleti díja</t>
  </si>
  <si>
    <t>Földhaszonbérlet</t>
  </si>
  <si>
    <t xml:space="preserve">Polgárőr szervezetek támogatása </t>
  </si>
  <si>
    <t>Felhalmozási kiadások</t>
  </si>
  <si>
    <t>Áfa visszaigénylés</t>
  </si>
  <si>
    <t>Folyékony hulladékgyűjtés</t>
  </si>
  <si>
    <t>Költségvetési szervek működési bevételei</t>
  </si>
  <si>
    <t>Költségvetési szervek felhalmozási bevételei</t>
  </si>
  <si>
    <t>Víziközmű és szennyvízközmű használati díjbevétel</t>
  </si>
  <si>
    <t>Jelzőtáblák (forgalmi rend változás)</t>
  </si>
  <si>
    <t>Savaria Szimfonikus Zenekar összesen</t>
  </si>
  <si>
    <t xml:space="preserve">Kommunális, városüzemeltetési és környezetvédelmi kiadások  </t>
  </si>
  <si>
    <t>Kommunális és városüzemeltetési kiadások összesen</t>
  </si>
  <si>
    <t>Környezetvédelmi kiadások</t>
  </si>
  <si>
    <t>Kommunális, városüzemeltetési és környezetvédelmi kiadások</t>
  </si>
  <si>
    <t>Esőemberke Alapítvány támogatása</t>
  </si>
  <si>
    <t>Működési célú nagyprojektek, projektek</t>
  </si>
  <si>
    <t>Éves hídvizsgálat</t>
  </si>
  <si>
    <t>Működési célú maradvány</t>
  </si>
  <si>
    <t>Mesebolt Bábszínház</t>
  </si>
  <si>
    <t>Mesebolt Bábszínház összesen</t>
  </si>
  <si>
    <t>MŰKÖDÉSI CÉLÚ TÁMOGATÁSOK ÁLLAMHÁZTARTÁSON BELÜLRŐL</t>
  </si>
  <si>
    <t>MŰKÖDÉSI CÉLÚ ÁTVETT PÉNZESZKÖZÖK</t>
  </si>
  <si>
    <t>KÖZHATALMI BEVÉTELEK</t>
  </si>
  <si>
    <t>Út-híd fenntartási kiadások</t>
  </si>
  <si>
    <t>KÖLTSÉGVETÉSI SZERVEK BEVÉTELEI</t>
  </si>
  <si>
    <t>MŰKÖDÉSI BEVÉTELEK ÖSSZESEN</t>
  </si>
  <si>
    <t>Költségvetési működési bevételek</t>
  </si>
  <si>
    <t>Működési célú támogatások ÁH-on belülről</t>
  </si>
  <si>
    <t>Működési célú átvett pénzeszközök</t>
  </si>
  <si>
    <t>Berzsenyi Dániel Könyvtár összesen</t>
  </si>
  <si>
    <t xml:space="preserve">Savaria Múzeum </t>
  </si>
  <si>
    <t>Versenyek, rendezvények, támogatások</t>
  </si>
  <si>
    <t>Önkormányzati napközis tábor megszervezése</t>
  </si>
  <si>
    <t>Bérleti díj</t>
  </si>
  <si>
    <t>Lakáskölcsöntörlesztés</t>
  </si>
  <si>
    <t>Szolgalmi joggal terhelt épületrész karbantartása</t>
  </si>
  <si>
    <t>Városfejlesztési alap</t>
  </si>
  <si>
    <t>Egyéb, más ágazathoz nem sorolható intézmények összesen</t>
  </si>
  <si>
    <t>Önkormányzati egyéb, más ágazathoz nem sorolható kiadások összesen</t>
  </si>
  <si>
    <t xml:space="preserve">  Kiadások és finanszírozási műveletek összesen</t>
  </si>
  <si>
    <t>Finanszírozási műveletek összesen</t>
  </si>
  <si>
    <t>Rendőrség támogatása</t>
  </si>
  <si>
    <t>Egyéb, más ágazathoz nem sorolható intézmények és feladatok kiadásai</t>
  </si>
  <si>
    <t>Nemzetiségi Önkormányzatok támogatása</t>
  </si>
  <si>
    <t>Integrált pénzügyi rendszer üzemeltetés az intézményekben</t>
  </si>
  <si>
    <t xml:space="preserve">Felhalmozási célú maradvány </t>
  </si>
  <si>
    <t>Költségvetési szervek beruházásai és felújításai összesen:</t>
  </si>
  <si>
    <t>ISIS Big Band támogatása</t>
  </si>
  <si>
    <t>Parkolásgazdálkodási kiadás</t>
  </si>
  <si>
    <t>Vagyongazdálkodásból származó bevétel</t>
  </si>
  <si>
    <t>Pénzeszközátadás</t>
  </si>
  <si>
    <t>Munkáltatói kölcsön visszatérülése</t>
  </si>
  <si>
    <t xml:space="preserve"> Működési célú bevételek összesen :</t>
  </si>
  <si>
    <t>Petz ösztöndíj</t>
  </si>
  <si>
    <t>Felhalmozási célú bevételek</t>
  </si>
  <si>
    <t>Ungaresca Táncegyüttes</t>
  </si>
  <si>
    <t>Polgármesteri keret</t>
  </si>
  <si>
    <t>Általános tartalék</t>
  </si>
  <si>
    <t>Egészség-hét</t>
  </si>
  <si>
    <t>Vagyongazdálkodás összesen</t>
  </si>
  <si>
    <t>Beruházások</t>
  </si>
  <si>
    <t>Szombathelyi Hospice Alapítvány</t>
  </si>
  <si>
    <t>Egészségügyi ágazat</t>
  </si>
  <si>
    <t>Útigénybevételi díj</t>
  </si>
  <si>
    <t>Finanszírozási műveletek</t>
  </si>
  <si>
    <t xml:space="preserve">  Bevételek és finanszírozási műveletek összesen</t>
  </si>
  <si>
    <t>Szociális ágazat</t>
  </si>
  <si>
    <t xml:space="preserve">Önkormányzat </t>
  </si>
  <si>
    <t>Savaria Múzeum összesen</t>
  </si>
  <si>
    <t>Horvát nemzetiségi nap támogatás</t>
  </si>
  <si>
    <t>Közterület foglalás</t>
  </si>
  <si>
    <t xml:space="preserve"> Működési célú kiadások összesen :</t>
  </si>
  <si>
    <t xml:space="preserve">      Felhalmozási célú bevételek összesen :</t>
  </si>
  <si>
    <t xml:space="preserve">      Felhalmozási célú kiadások összesen :</t>
  </si>
  <si>
    <t>Sport</t>
  </si>
  <si>
    <t>Pénzeszközátadás összesen:</t>
  </si>
  <si>
    <t>Költségvetési szervek beruházásai és felújításai</t>
  </si>
  <si>
    <t>Megnevezés</t>
  </si>
  <si>
    <t>Épitményadó</t>
  </si>
  <si>
    <t xml:space="preserve">Önkormányzati felhalmozási kiadások </t>
  </si>
  <si>
    <t>Intézményi felhalmozási kiadások</t>
  </si>
  <si>
    <t>Intézményi felhalmozási kiadások össszesen</t>
  </si>
  <si>
    <t>Önkormányzati felhalmozási kiadások össszesen</t>
  </si>
  <si>
    <t>MŰKÖDÉSI CÉLÚ ÁTVETT PÉNZESZKÖZÖK ÖSSZESEN</t>
  </si>
  <si>
    <t>KÖZHATALMI BEVÉTELEK ÖSSZESEN</t>
  </si>
  <si>
    <t xml:space="preserve">Közlekedés, útépítés, közvilágítás, hídfelújítás </t>
  </si>
  <si>
    <t>Közművesítés</t>
  </si>
  <si>
    <t>Egyéb beruházások</t>
  </si>
  <si>
    <t>1.</t>
  </si>
  <si>
    <t>2.</t>
  </si>
  <si>
    <t>3.</t>
  </si>
  <si>
    <t>4.</t>
  </si>
  <si>
    <t>Vagyongazdálkodás</t>
  </si>
  <si>
    <t>5.</t>
  </si>
  <si>
    <t>6.</t>
  </si>
  <si>
    <t>7.</t>
  </si>
  <si>
    <t>8.</t>
  </si>
  <si>
    <t xml:space="preserve">Technikai, bevétellel 100%-ig fedezett tételek </t>
  </si>
  <si>
    <t>Kiszámlázott és befizetendő áfa</t>
  </si>
  <si>
    <t>Helyreállítások (teljes pályaszerkezet csere)</t>
  </si>
  <si>
    <t>Járdafenntartás</t>
  </si>
  <si>
    <t>Óvodák</t>
  </si>
  <si>
    <t>Közhatalmi bevételek</t>
  </si>
  <si>
    <t xml:space="preserve">Háziorvosi rendelők karbantartása </t>
  </si>
  <si>
    <t>Szökőkutak előre nem látható hibaelhárítása</t>
  </si>
  <si>
    <t>Termőföld bérbeadásából szárm.jöv.adó</t>
  </si>
  <si>
    <t>Helyi iparűzési adó</t>
  </si>
  <si>
    <t>Egyéb működési célú bevétel</t>
  </si>
  <si>
    <t>összesen</t>
  </si>
  <si>
    <t>Út-híd fenntartás</t>
  </si>
  <si>
    <t>Szombathelyi Egészségügyi és Kulturális Intézmények GESZ</t>
  </si>
  <si>
    <t>Önkormányzati konferenciák, rendezvények, fogadások</t>
  </si>
  <si>
    <t xml:space="preserve">     Beruházások  összesen</t>
  </si>
  <si>
    <t>Áfa befizetés (saját bevételből)</t>
  </si>
  <si>
    <t>Intézményi vagyonbiztosítások</t>
  </si>
  <si>
    <t>Oktatási intézmények összesen:</t>
  </si>
  <si>
    <t>Szombathely Város Fúvószenekar támogatása</t>
  </si>
  <si>
    <t xml:space="preserve">Oktatási ágazat </t>
  </si>
  <si>
    <t>Lakás és helyiségüzemeltetés (bevétellel)</t>
  </si>
  <si>
    <t xml:space="preserve">Egyéb tagdijak </t>
  </si>
  <si>
    <t xml:space="preserve">Egyéb önkormányzati kitüntetések </t>
  </si>
  <si>
    <t xml:space="preserve"> összesen</t>
  </si>
  <si>
    <t>BEVÉTELEK</t>
  </si>
  <si>
    <t>ezer forintban</t>
  </si>
  <si>
    <t>Savaria Történelmi Karnevál Közhasznú Közalapítvány működési támogatása</t>
  </si>
  <si>
    <t>március</t>
  </si>
  <si>
    <t>április</t>
  </si>
  <si>
    <t>május</t>
  </si>
  <si>
    <t>szeptember</t>
  </si>
  <si>
    <t>Egyéb kiadások</t>
  </si>
  <si>
    <t>október</t>
  </si>
  <si>
    <t>Szombathely Megyei Jogú Város Önkormányzata</t>
  </si>
  <si>
    <t>9.</t>
  </si>
  <si>
    <t>10.</t>
  </si>
  <si>
    <t>11.</t>
  </si>
  <si>
    <t>12.</t>
  </si>
  <si>
    <t>Közterület-felügyelet átjátszó bérleti díj</t>
  </si>
  <si>
    <t>Víznyelők tisztítása</t>
  </si>
  <si>
    <t>Mindösszesen</t>
  </si>
  <si>
    <t>bevételek</t>
  </si>
  <si>
    <t>hónap</t>
  </si>
  <si>
    <t>Működési bevételek összesen</t>
  </si>
  <si>
    <t>Felhalmozási bevételek összesen</t>
  </si>
  <si>
    <t>KÖLTSÉGVETÉSI BEVÉTELEK ÖSSZESEN</t>
  </si>
  <si>
    <t>Finanszírozási bevételek</t>
  </si>
  <si>
    <t>MINDÖSSZESEN BEVÉTELEK</t>
  </si>
  <si>
    <t>KIADÁSOK</t>
  </si>
  <si>
    <t>kiadások</t>
  </si>
  <si>
    <t>Működési kiadások összesen</t>
  </si>
  <si>
    <t>Felhalmozási kiadások összesen</t>
  </si>
  <si>
    <t>KÖLTSÉGVETÉSI KIADÁSOK ÖSSZESEN</t>
  </si>
  <si>
    <t>Finanszírozási kiadások</t>
  </si>
  <si>
    <t>MINDÖSSZESEN KIADÁSOK</t>
  </si>
  <si>
    <t>pénzfogalmi bevételek</t>
  </si>
  <si>
    <t>pénzfogalmi kiadások</t>
  </si>
  <si>
    <t>időszaki pénzkészlet</t>
  </si>
  <si>
    <t>január</t>
  </si>
  <si>
    <t>február</t>
  </si>
  <si>
    <t>június</t>
  </si>
  <si>
    <t>július</t>
  </si>
  <si>
    <t>augusztus</t>
  </si>
  <si>
    <t>november</t>
  </si>
  <si>
    <t>december</t>
  </si>
  <si>
    <t>Működési célú támogatások államháztartáson belülről</t>
  </si>
  <si>
    <t>Személyi juttatások</t>
  </si>
  <si>
    <t>Munkaadókat terhelő járulékok és szociális hozzájárulási adó</t>
  </si>
  <si>
    <t>Dologi kiadások</t>
  </si>
  <si>
    <t>Ellátottak pénzbeli juttatásai</t>
  </si>
  <si>
    <t>Felújítások</t>
  </si>
  <si>
    <t>Felhalmozási célú átvett pénzeszközök</t>
  </si>
  <si>
    <t>Egyéb felhalmozási célú kiadások</t>
  </si>
  <si>
    <t>Környezetállapot értékelés (talaj, víz, levegő)</t>
  </si>
  <si>
    <t>Lakás és helyiségüzemeltetés veszteségpótlás</t>
  </si>
  <si>
    <t>Szünidei gyermekétkeztetés</t>
  </si>
  <si>
    <t xml:space="preserve">Egészségügyi dolgozók kitüntetése </t>
  </si>
  <si>
    <t xml:space="preserve">Kulturális kitüntetés díja, Év Civil Szervezete díja …. </t>
  </si>
  <si>
    <t>Gyermek és ifjúsági kitüntetések</t>
  </si>
  <si>
    <t>Szociális önkormányzati kitüntetések</t>
  </si>
  <si>
    <t>Érzékenyítő programok - Helyi esélyegyenlőségi program keretében</t>
  </si>
  <si>
    <t>Elvonások és befizetések bevételei</t>
  </si>
  <si>
    <t>Működési célú költségvetési támogatások és kiegészítő támogatások össszesen</t>
  </si>
  <si>
    <t>Elszámolásból származó bevételek összesen</t>
  </si>
  <si>
    <t xml:space="preserve">Elszámolásból származó bevételek </t>
  </si>
  <si>
    <t>a.)</t>
  </si>
  <si>
    <t>b.)</t>
  </si>
  <si>
    <t>c.)</t>
  </si>
  <si>
    <t>MŰKÖDÉSI CÉLÚ TÁMOGATÁSOK ÁLLAMHÁZTARTÁSON BELÜLRŐL ÖSSZESEN (a.) + b.) + c.))</t>
  </si>
  <si>
    <t>Szombathelyi Kézilabda Klub és Akadémia támogatása</t>
  </si>
  <si>
    <t>Vízközmű- és szennyvízközmű használati díj terhére végzett beruházás</t>
  </si>
  <si>
    <t>I. Helyi önkormányzatok működésének általános támogatása</t>
  </si>
  <si>
    <t>Településrendezési terv felülvizsgálata</t>
  </si>
  <si>
    <t>II. Települési önkormányzatok egyes köznevelési feladatainak támogatása</t>
  </si>
  <si>
    <t>OKTATÁSI MŰKÖDÉSI CÉLÚ KIADÁSOK ÖSSZESEN</t>
  </si>
  <si>
    <t>OKTATÁSI FELHALMOZÁSI CÉLÚ KIADÁSOK ÖSSZESEN</t>
  </si>
  <si>
    <t>OKTATÁSI ÁGAZAT KIADÁSAI MINDÖSSZESEN</t>
  </si>
  <si>
    <t>Kulturális ágazat, média kiadásai</t>
  </si>
  <si>
    <t>Kulturális ágazat, média</t>
  </si>
  <si>
    <t>SZOCIÁLIS MŰKÖDÉSI CÉLÚ KIADÁSOK ÖSSZESEN</t>
  </si>
  <si>
    <t>SZOCIÁLIS ÁGAZAT KIADÁSAI MINDÖSSZESEN</t>
  </si>
  <si>
    <t>KULTURÁLIS ÁGAZAT, MÉDAI KIADÁSAI MINDÖSSZESEN</t>
  </si>
  <si>
    <t>EGÉSZSÉGÜGYI MŰKÖDÉSI CÉLÚ KIADÁSOK ÖSSZESEN</t>
  </si>
  <si>
    <t>EGÉSZSÉGÜGYI ÁGAZAT KIADÁSAI MINDÖSSZESEN</t>
  </si>
  <si>
    <t>GYERMEKVÉDELMI MŰKÖDÉSI CÉLÚ KIADÁSOK ÖSSZESEN</t>
  </si>
  <si>
    <t>GYERMEKVÉDELMI ÁGAZAT KIADÁSAI MINDÖSSZESEN</t>
  </si>
  <si>
    <t>Gyermekvédelmi ágazat kiadásai</t>
  </si>
  <si>
    <t>Gyermekvédelemi ágazat</t>
  </si>
  <si>
    <t>Egyéb más ágazathoz nem sorolható intézmények és feladatok</t>
  </si>
  <si>
    <t>EGYÉB, MÁS ÁGAZATHOZ NEM SOROLHATÓ INTÉZMÉNYEK ÉS FELADATOK FELHALMOZÁSI CÉLÚ KIADÁSAI ÖSSZESEN</t>
  </si>
  <si>
    <t>EGYÉB, MÁS ÁGAZATHOZ NEM SOROLHATÓ INTÉZMÉNYEK ÉS FELADATOK MŰKÖDÉSI CÉLÚ KIADÁSAI ÖSSZESEN</t>
  </si>
  <si>
    <t>EGYÉB, MÁS ÁGAZATHOZ NEM SOROLHATÓ INÉTZMÉNYEK ÉS FELADATOK KIADÁSAI MINDÖSSZESEN</t>
  </si>
  <si>
    <t>KOMMUNÁLIS, VÁROSÜZEMELTETÉSI ÉS KÖRNYEZETVÉDELMI KIADÁSOK MINDÖSSZESEN</t>
  </si>
  <si>
    <t>ÚT-HÍD FENNTARTÁSI KIADÁSOK MINDÖSSZESEN</t>
  </si>
  <si>
    <t>FELHALMOZÁSI CÉLÚ BEVÉTELEK MINDÖSSZESEN</t>
  </si>
  <si>
    <t>ÖNKORMÁNYZATI FELHALMOZÁSI KIADÁSOK MINDÖSSZESEN</t>
  </si>
  <si>
    <t>Kerékpárút fenntartás</t>
  </si>
  <si>
    <t>Nyílt árok tisztítás, árokrendezés (árvízvédelmi művek, berendezések, karbantartása)</t>
  </si>
  <si>
    <t>KULTURÁLIS INTÉZMÉNYEK FELHALMOZÁSI KIADÁSAI ÖSSZESEN</t>
  </si>
  <si>
    <t>Szent Márton Esélyegyenlőségi Támogatási Program</t>
  </si>
  <si>
    <t>KÖLTSÉGVETÉSI MŰKÖDÉSI BEVÉTELEK MINDÖSSZESEN</t>
  </si>
  <si>
    <t>Illegális hulladéklerakás</t>
  </si>
  <si>
    <t xml:space="preserve">Költségvetési </t>
  </si>
  <si>
    <t>Önkormányzat</t>
  </si>
  <si>
    <t>szervek bevételei</t>
  </si>
  <si>
    <t>szervek kiadásai</t>
  </si>
  <si>
    <t>Kiemelt előirányzatok átcsoportosítása számviteli változások miatt</t>
  </si>
  <si>
    <t>kiadásai</t>
  </si>
  <si>
    <t xml:space="preserve">KÖLTSÉGVETÉSI BEVÉTELEK </t>
  </si>
  <si>
    <t>KÖLTSÉGVETÉSI KIADÁSOK</t>
  </si>
  <si>
    <t>B1</t>
  </si>
  <si>
    <t>K1</t>
  </si>
  <si>
    <t>B3</t>
  </si>
  <si>
    <t>K2</t>
  </si>
  <si>
    <t>B4</t>
  </si>
  <si>
    <t>Működési bevétel</t>
  </si>
  <si>
    <t>K3</t>
  </si>
  <si>
    <t>B6</t>
  </si>
  <si>
    <t>K4</t>
  </si>
  <si>
    <t>K5</t>
  </si>
  <si>
    <t>Egyéb működési célú kiadások</t>
  </si>
  <si>
    <t>B2</t>
  </si>
  <si>
    <t>K6</t>
  </si>
  <si>
    <t>B5</t>
  </si>
  <si>
    <t>K7</t>
  </si>
  <si>
    <t>B7</t>
  </si>
  <si>
    <t>K8</t>
  </si>
  <si>
    <t>B8</t>
  </si>
  <si>
    <t>K9</t>
  </si>
  <si>
    <t>Joskar-Ola Alapítvány</t>
  </si>
  <si>
    <t>Vasi Honvéd Bajtársi Egyesület támogatása</t>
  </si>
  <si>
    <t>Kátyúzás</t>
  </si>
  <si>
    <t>Vásárok bevétele</t>
  </si>
  <si>
    <t xml:space="preserve">Berzsenyi Dániel Könyvtár </t>
  </si>
  <si>
    <t>SZMJV Diákönkormányzat - rendezvények, programok, támogatások, egyéb kiadások</t>
  </si>
  <si>
    <t>eredeti előirányzat</t>
  </si>
  <si>
    <t>Olad Városrészért Egyesület</t>
  </si>
  <si>
    <t>Hátrányos Helyzetű Roma Fiatalokat Támogató Közhasznú Egyesület támogatása</t>
  </si>
  <si>
    <t>Térfigyelő kamerarendszer üzemeltetése és adatátviteli hálózat üzemeltetése</t>
  </si>
  <si>
    <t>Önkormányzati pavilonok tárolása, felújítása</t>
  </si>
  <si>
    <t>Önkormányzati tulajdonú területek kaszálása</t>
  </si>
  <si>
    <t>Vas Megyei Tudományos Ismeretterjesztő Egyesület támogatása - közművelődési megállapodás</t>
  </si>
  <si>
    <t>Savaria Városfejlesztési Nonprofit Kft. támogatása</t>
  </si>
  <si>
    <t>Óvoda intézményi karbantartás</t>
  </si>
  <si>
    <t>Egységes ügyiratkezelő szoftver az önkormányzat által müködtetett intézményekben</t>
  </si>
  <si>
    <t>ÖSSZESEN</t>
  </si>
  <si>
    <t>Vagyongazdálkodási kiadások (ingatlan kisajátítás, vásárlás)</t>
  </si>
  <si>
    <t>HÁROFIT Közhasznú Egyesület - közfoglalkoztatás támogatása</t>
  </si>
  <si>
    <t>módosított előirányzat</t>
  </si>
  <si>
    <t>ezer Ft-ban</t>
  </si>
  <si>
    <t>Közvilágítás pénzügyi lízing - kamat</t>
  </si>
  <si>
    <t>Közvilágítás díja</t>
  </si>
  <si>
    <t>Állatvédők Vasi Egyesülete és a Kutyamenhely Alapítvány által közösen működtetett állatmenhely fenntartási költségei, 1 fő alkalmazott bér és járulékainak költsége a Kutyamenhely Alapítvány részére</t>
  </si>
  <si>
    <t>Bursa Hungarica felsőoktatási ösztöndíj</t>
  </si>
  <si>
    <t>Kéményseprő ipari közszolgáltatás ellátásának támogatása</t>
  </si>
  <si>
    <t xml:space="preserve">Közösségi Bérlakás Rendszer                               </t>
  </si>
  <si>
    <t>Kariatida tanulmányi támogatás rendszerének működtetése - "Szombathely Szent Márton városa" Gyebrovszki János Alapítvány</t>
  </si>
  <si>
    <t>"Szombathely Szent Márton városa " Gyebrovszki János Alapítvány támogatása</t>
  </si>
  <si>
    <t>Hatósági díjak, egyéb kiadások, szakértői feladatok</t>
  </si>
  <si>
    <t>Aktív időskor Szombathelyen program</t>
  </si>
  <si>
    <t>Tervezések hatósági díja lejáró engedélyekhez, egyéb díjak</t>
  </si>
  <si>
    <t>Szent Márton plasztik kártya készítés</t>
  </si>
  <si>
    <t>Háziorvosi életpálya modell</t>
  </si>
  <si>
    <t>Bankköltség</t>
  </si>
  <si>
    <t>Bűnmegelőzési és katasztrófavédelmi kiadások</t>
  </si>
  <si>
    <t>Szombathely, a segítés városa program</t>
  </si>
  <si>
    <t>ELTE támogatás és gazdaságfejlesztés</t>
  </si>
  <si>
    <t>Padkarendezés</t>
  </si>
  <si>
    <t>Szegélyek javítása, akadálymentesítés</t>
  </si>
  <si>
    <t>ELTE támogatás</t>
  </si>
  <si>
    <t>Finanszírozási kiadás - közvilágítás pénzügyi lízing tőke</t>
  </si>
  <si>
    <t>Önkormányzati fenntartású Weöres Sándor Színház közös működtetési támogatása</t>
  </si>
  <si>
    <t>Önkormányzati fenntartású Mesebolt Bábszínház közös működtetési támogatása</t>
  </si>
  <si>
    <t>Önkormányzat egyéb kiadásai (Városüzemeltetési, vagyongazdálkodási kiadások)</t>
  </si>
  <si>
    <t>Cserkészház  - bérleti díj támogatás - Boldogulás Ösvényein Alapítvány részére</t>
  </si>
  <si>
    <t>Városi pedagógus nap, tanévnyitó ünnepség</t>
  </si>
  <si>
    <t>SZOVA Zrt. parkolásgazdálkodásból származó bevétel</t>
  </si>
  <si>
    <t>SZOVA Zrt. parkolásgazdálkodásból származó ÁFA visszatérülés</t>
  </si>
  <si>
    <t>Önkormányzati nagyrendezvények</t>
  </si>
  <si>
    <t>Sport nagyrendezvények</t>
  </si>
  <si>
    <t>Szent Márton Smartcity városkártya és portálrendszer üzemeltetése</t>
  </si>
  <si>
    <t>Köztemetés költségeinek megtérítése más önkormányzatoktól</t>
  </si>
  <si>
    <t>Közösségi Bérlakás Rendszer lakbér bevétele</t>
  </si>
  <si>
    <t>Egyéb sportcélú kiadások, támogatások</t>
  </si>
  <si>
    <t>Parkfenntartás - SZOMPARK Kft.</t>
  </si>
  <si>
    <t>Előző évi maradvány terhére teljesíthető működési célú projekt kiadások</t>
  </si>
  <si>
    <t>Előző évi maradvány terhére teljesíthető felhalmozási célú projekt kiadások</t>
  </si>
  <si>
    <t xml:space="preserve">Pedagógus kitüntetések </t>
  </si>
  <si>
    <t>Közösségi közlekedés (buszmegállók kialakítása, leszálló szigetek helyreállítása, kialakítás)</t>
  </si>
  <si>
    <t xml:space="preserve">KISZ Lakótelepért Egyesület </t>
  </si>
  <si>
    <t xml:space="preserve">SZOMBATHELY MEGYEI JOGÚ VÁROS ÖNKORMÁNYZATÁNAK  PÉNZÜGYI  MÉRLEGE        </t>
  </si>
  <si>
    <t xml:space="preserve">III. </t>
  </si>
  <si>
    <t xml:space="preserve">IV. </t>
  </si>
  <si>
    <t>Települési önkormányzatok gyermekétkeztetési  feladatainak támogatása</t>
  </si>
  <si>
    <t>V. Települési önkormányzatok kulturális feladatainak támogatása</t>
  </si>
  <si>
    <t>ÖSSZESEN (I.+II.+III.+IV.+V.)</t>
  </si>
  <si>
    <t>Zeneművészeti szervek támogatása - Savaria Szimfónikus zenekar központi támogatása</t>
  </si>
  <si>
    <t>Helyi önkormányzatok kiegészítő támogatásai összesen</t>
  </si>
  <si>
    <t>VOLÁNBUSZ  Zrt. - megállapodás alapján helyközi autóbuszjáratok helyi tarifával történő igénybevétele-Szombathely, Petőfi telep</t>
  </si>
  <si>
    <t>Helyi önkormányzatok kiegészítő támogatásai</t>
  </si>
  <si>
    <t>Települési önkormányzatok kulturális feladatainak támogatásai összesen</t>
  </si>
  <si>
    <t>Települési önkormányzatok kulturális feladatainak támogatása</t>
  </si>
  <si>
    <t>Települési önkormányzatok egyes szociális és gyermekjóléti feladatainak támogatása</t>
  </si>
  <si>
    <t>Könyvtári érdekeltségnövelő támogatás</t>
  </si>
  <si>
    <t>Szociális ágazati összevont pótlék</t>
  </si>
  <si>
    <t>Biztosító térítése, egyéb kártérítés, kötbér</t>
  </si>
  <si>
    <t>Támogatások elszámolása ÁH-on kívülről</t>
  </si>
  <si>
    <t>Közszolgáltatási szerződés helyi közlekedés</t>
  </si>
  <si>
    <t>Zanati Kulturális Egyesület</t>
  </si>
  <si>
    <t>Óvodai ellátó rendszerben prognosztizált munkaerő-hiány kezelése</t>
  </si>
  <si>
    <t>Tavak haszonbérbe adása</t>
  </si>
  <si>
    <t>Szociális és köznevelési intézmények év végi karácsonyi ajándékozás és rászoruló kiskorú gyermekeket nevelő családok év végi karácsonyi ajándékozása</t>
  </si>
  <si>
    <t>Szombathelyi Neumann J.Ált.Isk.területén 3 db műfüves labdarúgó pálya éves karbantartás</t>
  </si>
  <si>
    <t>JUSTNature projekt</t>
  </si>
  <si>
    <t>Egyéb kulturális rendezvények</t>
  </si>
  <si>
    <t>Egyéb lakásgazdálkodási és szociális kiadások</t>
  </si>
  <si>
    <t>Szombathelyi Szabadidősport rendezvények</t>
  </si>
  <si>
    <t>Évközi tervezések, útfelújítás tervezések, egyéb tervezések</t>
  </si>
  <si>
    <t>Állatvédők Vasi Egyesülete működési támogatás</t>
  </si>
  <si>
    <t xml:space="preserve">Vas megyei Szakképzési Centrum működési hozzájárulás </t>
  </si>
  <si>
    <t>Nemzetközi kapcsolatok</t>
  </si>
  <si>
    <t>Lelkisegély szolgálat támogatása (szerződés) - Telehumanitas Szombathelyi Mentálhigiénés Egyesület</t>
  </si>
  <si>
    <t>2025. évi</t>
  </si>
  <si>
    <t xml:space="preserve">Szombathelyi Nemzetiségi nap </t>
  </si>
  <si>
    <t>Laktanya terület út építési kötelezettség</t>
  </si>
  <si>
    <t>Veszélyhelyzet ideje alatt a szomszédos országban fennálló humanitárius katasztrófára tekintettel érkező személyek elhelyezésének támogatása</t>
  </si>
  <si>
    <t>Szombathelyi Neumann J.Ált.Isk.területén 3 db műfüves labdarúgó pálya éves karbantartási, továbbszámlázott költségének megtérítése</t>
  </si>
  <si>
    <t>Vásárokhoz kapcsolódó közterület foglalási díjbevétel</t>
  </si>
  <si>
    <t>Adventi vásár díszkivilágítás támogatása</t>
  </si>
  <si>
    <t>Országos tanulmányi versenyeken eredményesen szereplő diákok és tanáraik jutalmazása</t>
  </si>
  <si>
    <t>Veszélyhelyzet ideje alatt a szomszédos országban fennálló humanitárius katasztrófára tekintettel érkező személyek elhelyezésének támogatása (központi támogatásból)</t>
  </si>
  <si>
    <t>Savaria Karnevál megrendezése, kulturális rendezvények, fesztiválok megrendezése (Savaria Turizmus Nkft., egyéb kiadások, stb.)</t>
  </si>
  <si>
    <t>Bűnmegelőzési és katasztrófavédelmi kiadások; egyéb kiadások, támogatások</t>
  </si>
  <si>
    <t>Csapadékvíz elvezetés (üzemeltetés)</t>
  </si>
  <si>
    <t>RRF-1.1.2-21-2021-0007 Demográfiai és köznevelési bölcsődei nevelés fejlesztése - Új bölcsőde építése Szombathely Szentkirályi városrészen</t>
  </si>
  <si>
    <t>Erdei iskola utcai csapadékcsatorna építése</t>
  </si>
  <si>
    <t>Északi iparterület - közművesítések finanszírozása, fejlesztések finanszírozása, tanulmányterv készítése</t>
  </si>
  <si>
    <t xml:space="preserve">Vasi Tekesportért Alapítvány </t>
  </si>
  <si>
    <t>Fáklyavívők Egyesülete támogatás - Szombathelyi Alkotótábor megrendezése</t>
  </si>
  <si>
    <t>Könyvkiadás</t>
  </si>
  <si>
    <t>Erdő és vadgazdálkodási költség</t>
  </si>
  <si>
    <t>SZOVA, Szompark, AGORA, Turizmus Kft, Sportközpont Kft közös raktározás</t>
  </si>
  <si>
    <t>Fonyódi gyermektábor</t>
  </si>
  <si>
    <t>2026. évi</t>
  </si>
  <si>
    <t>TOP Plusz 1.3.1.-00001 Fenntartható városfejlesztés</t>
  </si>
  <si>
    <t>Továbbszámlázott költségek megtérítése</t>
  </si>
  <si>
    <t>INTERREG Europe OD4GROWTH pályázat</t>
  </si>
  <si>
    <t xml:space="preserve">Identitás program </t>
  </si>
  <si>
    <t>HÁROFIT Közhasznú Egyesület -Rászoruló családoknak nyújtott tanévkezdési támogatás</t>
  </si>
  <si>
    <t xml:space="preserve">INTERREG Europe OD4GROWTH pályázat </t>
  </si>
  <si>
    <t>Hajdú utca burkolat javítás</t>
  </si>
  <si>
    <t>Ekata rendszer havi díj</t>
  </si>
  <si>
    <t>VDKSZ  működtetés</t>
  </si>
  <si>
    <t>Szombathelypont működtetés</t>
  </si>
  <si>
    <t>Szociális térkép</t>
  </si>
  <si>
    <t>Egyéb rendezvények</t>
  </si>
  <si>
    <t>2024. évi útfelújítási program</t>
  </si>
  <si>
    <t>Nyugíjas Bérlők Háza befizetés</t>
  </si>
  <si>
    <t>Savaria Múzeum</t>
  </si>
  <si>
    <t xml:space="preserve">1000 fa program </t>
  </si>
  <si>
    <t>Fenntarthatósági és klímapolitikai célok megvalósulása</t>
  </si>
  <si>
    <t>Jelzőlámpák üzemeltetése és cseréje</t>
  </si>
  <si>
    <t>Közvilágítási elemek karbantartása, kiegészítése</t>
  </si>
  <si>
    <t>Szombathelyi Egyházmegyei Karitász - Hársfa-ház Pszichiátriai- és Szenvedélybetegek Nappali Ellátója és Átmeneti Otthona, RÉV Szenvedélybeteg-segítő Szolgálat és Közösségi Gondozó</t>
  </si>
  <si>
    <t>Vas Vármegyei Markusovszky Egyetemi Oktatókórház (parkoló bérlet díj támogatás)</t>
  </si>
  <si>
    <t xml:space="preserve">Szombathelyi Szépítő Egyesület támogatása </t>
  </si>
  <si>
    <t>Ingatlancseréből származó bevétel</t>
  </si>
  <si>
    <t>Ingatlancsere</t>
  </si>
  <si>
    <t>Japán nap támogatása</t>
  </si>
  <si>
    <t xml:space="preserve">City-to-City Exchanges (Városok közötti csereprogram) projekt </t>
  </si>
  <si>
    <t>Működési célú maradvány - projektekhez</t>
  </si>
  <si>
    <t>Felhalmozási célú maradvány - projektekhez</t>
  </si>
  <si>
    <t xml:space="preserve">Segély önkormányzati támogatásból </t>
  </si>
  <si>
    <t>Vas Vármegyei Katasztrófavédelmi Igazgatóság - Tűzoltóság támogatása</t>
  </si>
  <si>
    <t>Pálos Károly Szociális Szolgáltató Központ és Gyermekjóléti Szolgálat</t>
  </si>
  <si>
    <t>Szombathelyi Egyesített Bölcsődei Intézmény</t>
  </si>
  <si>
    <t>Szombathely Városi Vásárcsarnok</t>
  </si>
  <si>
    <t>Fekete István Állatvédő Egyesület támogatása</t>
  </si>
  <si>
    <t>Weöres Sándor Színház Nkft. összesen</t>
  </si>
  <si>
    <t xml:space="preserve">1. Városi kulturális intézmények </t>
  </si>
  <si>
    <t>2. Önkormányzati gazdasági társaságok</t>
  </si>
  <si>
    <t xml:space="preserve">Savaria Turizmus Nkft  támogatása </t>
  </si>
  <si>
    <t>2. Önkormányzati gazdasági társaságok összesen</t>
  </si>
  <si>
    <t>I. VÁROSI KULTURÁLIS INTÉZMÉNYEK ÉS ÖNKORMÁNYZATI GAZDASÁGI TÁRSASÁGOK MINDÖSSZESEN (1+2)</t>
  </si>
  <si>
    <t>ÖNKORMÁNYZATI KULTURÁLIS KIADÁSOK</t>
  </si>
  <si>
    <t>3. Kulturális és civil szervezetek támogatása</t>
  </si>
  <si>
    <t>3. Kulturális és civil szervezetek támogatása összesen</t>
  </si>
  <si>
    <t>4. Kulturális és civil alap</t>
  </si>
  <si>
    <t>II. KULTURÁLIS ÉS CIVIL SZERVEZETEK TÁMOGATÁSA ÉS KULTURÁLIS ÉS CIVIL ALAP MINDÖSSZESEN (3+4)</t>
  </si>
  <si>
    <t>5. Városi nagyrendezvények</t>
  </si>
  <si>
    <t>6. Egyéb kulturális rendezvények, programok</t>
  </si>
  <si>
    <t>6. Egyéb kulturális rendezvények, programok összesen</t>
  </si>
  <si>
    <t>III. KULTURÁLIS RENDEZVÉNYEK MINDÖSSZESEN (5+6)</t>
  </si>
  <si>
    <t>EGYÉB KULTURÁLIS KIADÁSOK</t>
  </si>
  <si>
    <t>V. ÖNKORMÁNYZATI KULTURÁLIS KIADÁSOK MINDÖSSZESEN (II+III+IV)</t>
  </si>
  <si>
    <t>VI. KULTURÁLIS ÁGAZAT MŰKÖDÉSI CÉLÚ KIADÁSOK MINDÖSSZESEN (I+V)</t>
  </si>
  <si>
    <t xml:space="preserve">Nyugat-dunántúli Regionális Hulladékgazdálkodási Önkormányzati Társulástól támogatás </t>
  </si>
  <si>
    <t>JustClimate projekt</t>
  </si>
  <si>
    <t>Interreg CE Program - Green LaMiS projekt</t>
  </si>
  <si>
    <t>Megyei Jogú Városok Szövetsége támogatás</t>
  </si>
  <si>
    <t>Nyugdíjas Bérlők Háza - használatba vételi díj visszafizetése</t>
  </si>
  <si>
    <t>Nyugat-dunántúli Regionális Hulladékgazdálkodási Önkormányzati Társulás működési hozzájárulás</t>
  </si>
  <si>
    <t>Fenntartható Energia és Klímavédelmi Cselekvési Terv felülvizsgálata (SECAP)</t>
  </si>
  <si>
    <t>Vízközmű- és szennyvízközmű beruházáshoz kapcsolódóan - gördülő fejlesztési tervmódosítás költségei</t>
  </si>
  <si>
    <t>Zanati városrész útjainak felújításához (Áfonya u., Eper u., Korpás u., Fenyő u.) terület vásárlás, járda felújítás, csapadékvíz szikkasztó medence átalakítása, vízjogi és üzemeltetési engedélyek stb.</t>
  </si>
  <si>
    <t>Egyéb finanszírozási célú bevétel a 2025. évi költségvetési támogatási előleghez</t>
  </si>
  <si>
    <t>Egyéb finanszírozási célú kiadás - 2025.évi költségvetési támogatási előleg</t>
  </si>
  <si>
    <t>Szolidarítási hozzájárulás</t>
  </si>
  <si>
    <t xml:space="preserve">IV. EGYÉB KULTURÁLIS KIADÁSOK MINDÖSSSZESEN </t>
  </si>
  <si>
    <t>Magyar - magyar közösségi tevékenységek támogatása - Közös értékek találkozása Vajdahunyadon projekt</t>
  </si>
  <si>
    <t xml:space="preserve">Kiszámlázott és befizetendő áfa bevétel (PRENOR Kft. bérleti díj után) </t>
  </si>
  <si>
    <t>PRENOR Kft.tagi kölcsön, bérleti díj után járó kamatbevétel</t>
  </si>
  <si>
    <t>CERV-2023-CITIZENS-TOWN-TT projekt - Testre szabott energia</t>
  </si>
  <si>
    <t>Horizon Europe WeGenerate ("Társ város") projekt</t>
  </si>
  <si>
    <t>Szalézi Rendház Szombathely támogatása (nyári napközis tábor)</t>
  </si>
  <si>
    <t>Pécsi Tudományegyetem támogatás</t>
  </si>
  <si>
    <t>Prenor Kft.tagi kölcsön nyújtása</t>
  </si>
  <si>
    <t xml:space="preserve">Viktória FC támogatása </t>
  </si>
  <si>
    <t xml:space="preserve">Mesebolt Bábszínház </t>
  </si>
  <si>
    <t xml:space="preserve">Savaria Szimfonikus Zenekar </t>
  </si>
  <si>
    <t>1. Városi kulturális intézmények működési kiadásai össezesen</t>
  </si>
  <si>
    <t>Akadálymentesítési koncepció - szakmérnöki vélemények</t>
  </si>
  <si>
    <t xml:space="preserve">Szombathelyi Egyesített Bölcsődei Intézmény </t>
  </si>
  <si>
    <t>Önkormányzati szociális ágazati kiadások összesen</t>
  </si>
  <si>
    <t>Önkormányzati szociális ágazati kiadások</t>
  </si>
  <si>
    <t>Önkormányzati egyészségügyi ágazati kiadásai</t>
  </si>
  <si>
    <t>Önkormányzati egészségügyi ágazati kiadások összesen</t>
  </si>
  <si>
    <t>Önkormányzati gyermekvédelmi ágazati kiadások</t>
  </si>
  <si>
    <t>Önkormányzati gyermekvédelmi ágazati kiadások összesen</t>
  </si>
  <si>
    <t>JustNature projekt</t>
  </si>
  <si>
    <t>Sárdi-éri iparterületen megvalósuló útfejlesztéshez kapcsolódó ingatlan kisajátítás kiadásai</t>
  </si>
  <si>
    <t>Települési hulladékkezelés és köztisztasági tevékenység, síkosság mentesítés</t>
  </si>
  <si>
    <t>SPORT ÁGAZAT KIADÁSAI MINDÖSSZESEN</t>
  </si>
  <si>
    <t>Önkormányzati sport kitüntetések</t>
  </si>
  <si>
    <t>Szombathelyi Pingvinek Jégkorong Klub támogatása</t>
  </si>
  <si>
    <t>Szombathelyi  Asztalitenisz Klub támogatása - asztalitenisz csarnok éves bérleti díj finanszírozására</t>
  </si>
  <si>
    <t>Szombathelyi Vívó Akadémia Egyesület támogatása - vívócsarnok éves bérleti díj finanszírozására</t>
  </si>
  <si>
    <t>Szombathelyi Sportközpont és Sportiskola Nonprofit Kft. támogatása</t>
  </si>
  <si>
    <t>FALCO KC Kft. támogatása</t>
  </si>
  <si>
    <t>Gyermek és ifjúsági sport támogatása</t>
  </si>
  <si>
    <t>Sport ágazat kiadásai</t>
  </si>
  <si>
    <t>ELAMEN Zrt. bérleti díj</t>
  </si>
  <si>
    <t>Haladás 1919 Labdarúgó Kft. támogatása</t>
  </si>
  <si>
    <t>HVSE támogatása</t>
  </si>
  <si>
    <t xml:space="preserve">Söpte Önkormányzatának járó juttatás SZMJV önkormányzati területek után </t>
  </si>
  <si>
    <t>VASIVÍZ ZRt.- Szombathelyi Fedett Uszoda és Termálfürdő  működési támogatása</t>
  </si>
  <si>
    <t>Vármegyei hatókörű városi múzeumok feladatainak támogatása - Savaria Múzeum feladatainak támogatása</t>
  </si>
  <si>
    <t>Vármegyei hatókörű városi könyvtárak feladatainak támogatása - Berzsenyi Dániel könyvtár feladatainak támogatása</t>
  </si>
  <si>
    <t>Szombathely, Akacs M. u. 7. épület utáni bérleti díjbevétel</t>
  </si>
  <si>
    <t>Vármegyeszékhely megyei jogú városok kulturális feladatainak támogatása</t>
  </si>
  <si>
    <t>Vármegyei hatókörű városi könyvtár kistelepülési könyvtári célú kiegészítő támogatása</t>
  </si>
  <si>
    <t>Egyéb különféle működési célú bevétel</t>
  </si>
  <si>
    <t>Szent Márton kártya értékesítése</t>
  </si>
  <si>
    <t>iSi Automotive Hungary Kft. támogatása a 3H jelű autóbusz járat működtetéséhez</t>
  </si>
  <si>
    <t>Szociális Szolgáltatók Közhasznú Egyesület részére támogatás (rászorulók karácsonyi ajándékozása)</t>
  </si>
  <si>
    <t>Alpokalja Nagycsaládos Egyesület Szombathely részére támogatás</t>
  </si>
  <si>
    <t xml:space="preserve">Polgármesteri Hivatal épület felújítás I. ütem - balesetveszély elhárítása </t>
  </si>
  <si>
    <t>Dobó SE támogatása</t>
  </si>
  <si>
    <t>Tartalék - városi cégek, intézmények, szolgáltatások működésére</t>
  </si>
  <si>
    <t xml:space="preserve">Derkovits Városrészért Kulturális és Szociális Egyesület </t>
  </si>
  <si>
    <t>Közlekedési infrastruktúra fejlesztése, fenntartása</t>
  </si>
  <si>
    <t>Önkormányzat működéséhez kapcsolódó, jogszabályon alapuló kiadások, egyéb kiadások</t>
  </si>
  <si>
    <t>Tartalék - a városi kistelepülési célú könyvtárakat megillető kiegészítő állami támogatás - kötött felhasználású támogatás a Berzsenyi D. könyvtár részére</t>
  </si>
  <si>
    <t xml:space="preserve">Tartalék - kulturális intézményekben és cégekben foglalkoztatottak jogszabály szerinti bérjellegű kiadásaira kapott állami támogatás tartaléka </t>
  </si>
  <si>
    <t>Bölcsődék karbantartási kiadásai, játszótéri eszközök beszerzése, cseréje</t>
  </si>
  <si>
    <t>Egyéb finanszírozási célú bevétel a 2026. évi költségvetési támogatási előleghez</t>
  </si>
  <si>
    <t>Egyéb finanszírozási célú kiadás - 2026.évi költségvetési támogatási előleg</t>
  </si>
  <si>
    <t>Települési önkormányzatok kulturális feladatainak bérjellegű támogatása (682/2021.(XII.6.) korm.rend.szerinti 20% és minimálbér és garantált bérminimum emelés)</t>
  </si>
  <si>
    <t>Pénzügyi megállapodás a MÁV Személyszállítási Zrt-vel - törlesztő részlet</t>
  </si>
  <si>
    <t>Versenyképes Járások Program</t>
  </si>
  <si>
    <t>Fogyatékossággal Élőket és Hajléktalanokat Ellátó Közhasznú Nkft. támogatása</t>
  </si>
  <si>
    <t>Fogyatékossággal Élőket és Hajléktalanokat Ellátó Közhasznú Nkft. támogatása (célja: tüzifa vásárlás)</t>
  </si>
  <si>
    <t>Szombathelyi Parkfenntartó Intézmény</t>
  </si>
  <si>
    <t>2025. évi helyi iparűzési adóbevétel többlete alapján meghatározott fizetési kötelezettség visszatérítése</t>
  </si>
  <si>
    <t>Támogatások elszámolása államháztartáson belülről</t>
  </si>
  <si>
    <t>Energiaügyi Minisztérium - "Zöld óvoda" program támogatás</t>
  </si>
  <si>
    <t>INTERREG VI-A AT-HU 0200115  program - Közös drogprevenció képzési program és megvalósítása az osztrák-magyar határtérségben</t>
  </si>
  <si>
    <t xml:space="preserve">Szombathelyi Fedett Uszoda és Termálfürdő fejlesztése és fenntartása </t>
  </si>
  <si>
    <t>Településképi bírság</t>
  </si>
  <si>
    <t>Prenor Kft. bérleti díj megtérítése 2024. évre</t>
  </si>
  <si>
    <t>Hulladékgazdálkodási feladatok ellátásához kapcsolódó önkormányatot megillető pénzügyi juttatás (MOHU-tól)</t>
  </si>
  <si>
    <t>Önkormányzat - lekötött Önkormányzati Magyar Államkötvény után</t>
  </si>
  <si>
    <t>Bloomsday fesztivál támogatása</t>
  </si>
  <si>
    <t>Alpok Energia Kereskedelmi és Szolgáltató kft.támogatása</t>
  </si>
  <si>
    <t>Vasutas Települések Szövetsége támogatás</t>
  </si>
  <si>
    <t xml:space="preserve">Szombathelyi Zsidó Hitközségtől kapott támogatás </t>
  </si>
  <si>
    <t>Interreg CE Program - Green LaMiS projekt - ERFA támogatás</t>
  </si>
  <si>
    <t>EUI (Európai Települési Kezdeményezés) Peer Review projekt</t>
  </si>
  <si>
    <t>Interreg Austria-Hungary NextRegion projekt - támogatás</t>
  </si>
  <si>
    <t>TOP Plusz-3.2.1-23-SH1-2025-00001 Közösségfejlesztés Szombathelyen</t>
  </si>
  <si>
    <t>TOP Plusz-3.2.1-23-SH1-2025-00003 Identitáserősítő folyamatok támogatása, programok megvalósítása</t>
  </si>
  <si>
    <t>TOP Plusz-3.2.1-23-SH1-2025-00002 Helyi humán fejlesztéseket célzó programok megvalósítása</t>
  </si>
  <si>
    <t>Savaria Szimfónikus Zenekar</t>
  </si>
  <si>
    <t>Energiaügyi Minisztérium "Zöld óvoda" program támogatás (Mocorgó Óvoda)</t>
  </si>
  <si>
    <t>Települési önkormányzatok kulturális feladatainak bérjellegű támogatása a 682/2021. (XII.6.) korm.rend.-hez kapcsolódó 20% -  központi támogatás</t>
  </si>
  <si>
    <t xml:space="preserve">Közösségi Bérlakás Rendszert népszerűsítő kampány                            </t>
  </si>
  <si>
    <t>Megállapodás alapján helyközi autóbuszjáratok helyi tarifával történő igénybevétele-Szombathely, Petőfi telep</t>
  </si>
  <si>
    <t>Pénzügyi megállapodás a MÁV Személyszállítási Zrt-vel - járulékos kiadások</t>
  </si>
  <si>
    <t xml:space="preserve">Helyi iparűzési adóbevétel többlete alapján meghatározott fizetési kötelezettség </t>
  </si>
  <si>
    <t>Önkormányzati Magyar Államkötvény vásárlása - névértéken kívüli felhalmozott kamat</t>
  </si>
  <si>
    <t xml:space="preserve">Apáczai Csere János Alapítvány támogatása </t>
  </si>
  <si>
    <t>Pénzeszköz átadás a Nyugat-dunántúli Vízügyi Igazgatóság részére  - Pap árok mederrendezés</t>
  </si>
  <si>
    <t>TOP Plusz 1.3.1.-00001 Fenntartható városfejlesztés - hozzájárulás</t>
  </si>
  <si>
    <t>INTERREG VI-A AT-HU program - Közös drogprevenciós képzési program kialakítása és megvalósítása az osztrák-magyar határtérségben  - támogatás és hozzájárulás</t>
  </si>
  <si>
    <t>Interreg Austria-Hungary NextRegion projekt támogatás</t>
  </si>
  <si>
    <t>Interreg Austria-Hungary NextRegion projekt hozzájárulás</t>
  </si>
  <si>
    <t>NetZeroCities Tanulóvárosi projekt</t>
  </si>
  <si>
    <t>Hulladékkezelési díj</t>
  </si>
  <si>
    <t xml:space="preserve">Parkoló kialakítása </t>
  </si>
  <si>
    <t>TOP – PLUSZ -3.4.1-23-SH1-2024-00003 – Bölcsődék fejlesztése Szombathelyen</t>
  </si>
  <si>
    <t>TOP – PLUSZ -3.4.1-23-SH1-2024-00006 – Gyermekjóléti és szociális alapszolgáltatások fejlesztése</t>
  </si>
  <si>
    <t>TOP – PLUSZ -3.4.1-23-SH1-2024-00005 – Óvoda fejlesztések Szombathelyen</t>
  </si>
  <si>
    <t>TOP – PLUSZ -3.4.1-23-SH1-2024-00004 – Szociális alapszolgáltatások minőségi fejlesztése</t>
  </si>
  <si>
    <t>TOP – PLUSZ -3.4.1-23-SH1-2024-00001 – Szociális alapszolgáltatások fejlesztése</t>
  </si>
  <si>
    <t>TOP – PLUSZ -3.4.1-23-SH1-2024-00002 – Egészségügyi alapellátás fejlesztése</t>
  </si>
  <si>
    <t>TOP – PLUSZ -6.2.1-23-SH1-2024-00001 – Sárdi-éri iparterület fejlesztése, kivezető út építése</t>
  </si>
  <si>
    <t>TOP – PLUSZ -1.3.2-23-SH1-2025-00001 – Parkolási infrastruktúra- és zöldfejlesztés a Derkovits városrészen</t>
  </si>
  <si>
    <t>TOP – PLUSZ -1.3.2-23-SH1-2025-00007 - Zöldfelületfejlesztés Szombathelyen</t>
  </si>
  <si>
    <t>TOP – PLUSZ -1.3.2-23-SH1-2025-00004 – Hunyadi út felújítása Szombathelyen I.ütem</t>
  </si>
  <si>
    <t>TOP – PLUSZ -1.3.2-23-SH1-2025-00005 - Kodály Z. u. felújítása Szombathelyen</t>
  </si>
  <si>
    <t>TOP – PLUSZ -1.3.2-23-SH1-2025-00012 –Belterületi úthálózat fejlesztése</t>
  </si>
  <si>
    <t>TOP – PLUSZ -1.3.2-23-SH1-2025-00002 – Kerékpárosbarát fejlesztések a déli városrészen</t>
  </si>
  <si>
    <t>TOP – PLUSZ -1.3.2-23-SH1-2025-00013 – Közúti infrastruktúra fejlesztése</t>
  </si>
  <si>
    <t>TOP – PLUSZ -1.3.2-23-SH1-2025-00009 - Belterületi utak fejlesztése Szombathelyen</t>
  </si>
  <si>
    <t>TOP – PLUSZ -1.3.2-23-SH1-2025-00003 - Kerékpárosbarát fejlesztések Szombathelyen</t>
  </si>
  <si>
    <t>TOP – PLUSZ -1.3.2-23-SH1-2025-00006 - Belterületi útfelújítások</t>
  </si>
  <si>
    <t>TOP – PLUSZ -1.3.2-23-SH1-2025-00010 – Belterületi utak korszerűsítése</t>
  </si>
  <si>
    <t>TOP – PLUSZ -1.3.2-23-SH1-2025-00011 –Markusovszky L. u. felújítása</t>
  </si>
  <si>
    <t>TOP – PLUSZ -1.3.2-23-SH1-2025-00014 - Bartók B.krt. híd felújítása</t>
  </si>
  <si>
    <t>TOP – PLUSZ -1.3.2-23-SH1-2025-00008 –Hunyadi utca felújítása Szombathelyen II.ütem</t>
  </si>
  <si>
    <t>Haladás 1919 Kft. üzletrész értékesítés</t>
  </si>
  <si>
    <t>Önkormányzati szociális bérlakás értékesítés</t>
  </si>
  <si>
    <t>Felhalmozáci célú pénzeszköz átvétel az MVM Zrt-től a Kálvária utca közműkivigtelezés utáni helyreállítás céljából megállapodás alapján</t>
  </si>
  <si>
    <t>Széll K. u. 51. sz. térfigyelő kamera telepítéséhez társasházak hozzájárulása</t>
  </si>
  <si>
    <t>Polgármesteri Hivatal épület felújítás I. ütem - balesetveszély elhárítása - fordított áfa kiadás</t>
  </si>
  <si>
    <t>Zanati városrész útjainak felújításához (Áfonya u., Eper u., Korpás u., Fenyő u.) terület vásárlás, járda felújítás, csapadékvíz szikkasztó medence átalakítása, vízjogi és üzemeltetési engedélyek stb. - fordított áfa kiadás</t>
  </si>
  <si>
    <t>Széll K. u. 51. sz. térfigyelő kamera telepítése</t>
  </si>
  <si>
    <t>Térfigyelő kamerarendszer tárhely bővítés</t>
  </si>
  <si>
    <t xml:space="preserve">Tartalék - önkormányzati szociális bérlakás értékesítéséből származó bevételből </t>
  </si>
  <si>
    <t>Tartalék a 2026. évi költségvetéshez</t>
  </si>
  <si>
    <t>Egyéb finanszírozási célú kiadás - Önkormányzati Magyar Államkötvény vásárlása</t>
  </si>
  <si>
    <t>Egyéb finanszírozási célú bevétel - Önkormányzati Magyar Államkötvény visszaváltása</t>
  </si>
  <si>
    <t xml:space="preserve">Polgármesteri Hivatal épület felújítás II. ütem </t>
  </si>
  <si>
    <t xml:space="preserve">EUI03-195 "EffiComfort" projekt önrész </t>
  </si>
  <si>
    <t>JustNature projekt - szenzor állomások működtetése (időjárás állomások üzemeltetése)</t>
  </si>
  <si>
    <t xml:space="preserve">TARTALÉK - projekt önerő - Interreg DANUBE program - DanubesChillCities pályázat </t>
  </si>
  <si>
    <t xml:space="preserve">TARTALÉK - projekt önerő - Interreg Central Europe SUNFLOWER projekt </t>
  </si>
  <si>
    <t>Választási kiadások</t>
  </si>
  <si>
    <t>Forgalomszámláló szenzorok üzemeltetése</t>
  </si>
  <si>
    <t xml:space="preserve">Forgalomszámláló szenzorok beszerzése </t>
  </si>
  <si>
    <t xml:space="preserve">éves hídvizsgálat alapján híd javítás, felújítás </t>
  </si>
  <si>
    <t>2025. évi helyi iparűzési adóbevétel többletéből központilag vissza kapott támogatás</t>
  </si>
  <si>
    <t>Vízkészlet használati járulék</t>
  </si>
  <si>
    <t>Önkormányzati és intézményi informatikai fejlesztések</t>
  </si>
  <si>
    <t>Projektek, TOP projektek - önerő, hozzájárulás, előkészítés, egyéb beruházási feladatok</t>
  </si>
  <si>
    <t xml:space="preserve">Szombathelyi Szabadidősport Szövetség támogatása </t>
  </si>
  <si>
    <t>Zárt csapadék csatorna fenntartása, mosatása</t>
  </si>
  <si>
    <t>Vas Vármegye és Szombathely Megyei Jogú Város Nyugdíjas Szövetsége támogatása</t>
  </si>
  <si>
    <t>Tulajdonosi bevételek</t>
  </si>
  <si>
    <t>Herényi Kulturális és Sportegyesület - Alkotótábor megrendezése</t>
  </si>
  <si>
    <t>Tartalék - Felsőcsatári gyerektábor tervezési költségeire</t>
  </si>
  <si>
    <t>Működési célú maradvány (intézményekhez kapcsolódóan)</t>
  </si>
  <si>
    <t>Kulturális 15%-os illetmény emeléshez normatív támogatás - kulturális intézmények</t>
  </si>
  <si>
    <t>Kulturális 15%-os illetmény emeléshez normatív támogatás - kulturális gazdasági társaságok</t>
  </si>
  <si>
    <t>Tartalék - kulturális gazdasági társaságok 15%-os béremelésének tartaléka</t>
  </si>
  <si>
    <t>Táncverseny</t>
  </si>
  <si>
    <t xml:space="preserve">Munkáltató kölcsön </t>
  </si>
  <si>
    <r>
      <t>Weöres Sándor Színház Nkft.</t>
    </r>
    <r>
      <rPr>
        <b/>
        <i/>
        <sz val="16"/>
        <rFont val="Calibri"/>
        <family val="2"/>
        <charset val="238"/>
        <scheme val="minor"/>
      </rPr>
      <t xml:space="preserve"> önkormányzati támogatása</t>
    </r>
  </si>
  <si>
    <r>
      <t xml:space="preserve">Önkormányzati fenntartású Weöres Sándor Színház Nkft. </t>
    </r>
    <r>
      <rPr>
        <i/>
        <sz val="16"/>
        <rFont val="Calibri"/>
        <family val="2"/>
        <charset val="238"/>
        <scheme val="minor"/>
      </rPr>
      <t>közös működtetési támogatása</t>
    </r>
  </si>
  <si>
    <t xml:space="preserve">Szombathelyi Egészségügyi és Kulturális Intézmények GESZ </t>
  </si>
  <si>
    <t xml:space="preserve">2026. évi I. sz. módosított bevételei  kiemelt előirányzatonként </t>
  </si>
  <si>
    <t xml:space="preserve">2026. évi  I. sz. módosított kiadásai kiemelt előirányzatonként </t>
  </si>
  <si>
    <t>Szombathely Megyei  Jogú Város Önkormányzata 2026. évi I. sz. módosított előirányzat felhasználási terve</t>
  </si>
  <si>
    <t>Szombathely Megyei Jogú Város Önkormányzata 2026. évi I. sz. módosított előirányzat felhasználási terve</t>
  </si>
  <si>
    <t>Egyéb működési bevételek</t>
  </si>
  <si>
    <t>2026. évi I.sz.</t>
  </si>
  <si>
    <t xml:space="preserve">Javasolt </t>
  </si>
  <si>
    <t>módosítás</t>
  </si>
  <si>
    <t>teljesítés</t>
  </si>
  <si>
    <t>Szombathelyi Köznevelési GAMESZ</t>
  </si>
  <si>
    <t>Kálvária utca közműkivitelezés utáni helyreállítása megállapodás alapján</t>
  </si>
  <si>
    <t>TOP – PLUSZ -6.2.1-23-SH1-2024-00001 – Sárdi-éri iparterület fejlesztése, kivezető út építése - hozzájárulás</t>
  </si>
  <si>
    <t>Központi támogatás elszámolása alapján</t>
  </si>
  <si>
    <t>TOP – PLUSZ -1.3.2-23-SH1-2025-00001 – Parkolási infrastruktúra- és zöldfejlesztés a Derkovits városrészen - hozzájárulás</t>
  </si>
  <si>
    <t>TOP – PLUSZ -1.3.2-23-SH1-2025-00012 –Belterületi úthálózat fejlesztése - hozzájárulás</t>
  </si>
  <si>
    <t xml:space="preserve">Járási igényeket kiszolgáló közösségi közlekedés fejlesztése és fenntartása </t>
  </si>
  <si>
    <t xml:space="preserve">Minőségi közétkeztetés biztosítása a járásban élő, szombathelyi köznevelési intézményekben ellátott gyermekek részére </t>
  </si>
  <si>
    <t xml:space="preserve">Laborjárat és a betegirányító, diszpécser „szolgáltatás” működtetési költségeinek finanszírozása </t>
  </si>
  <si>
    <t xml:space="preserve">Felsőcsatári gyerektábor tervezési költségeinek finanszírozása </t>
  </si>
  <si>
    <t>2025. évi helyi iparűzési adóbevétel többlet elszámolásával kapcsolatos visszatérítés</t>
  </si>
  <si>
    <t>Interreg CE Program - Green LaMiS projekt - hozzájárulás</t>
  </si>
  <si>
    <t>AGORA Savaria Kulturális és Médiaközpont Nkft. Támogatása összesen</t>
  </si>
  <si>
    <t>Kulturális gazdasági társaságokban foglalkoztatottak 15%-os béremelésének központi támogatása</t>
  </si>
  <si>
    <r>
      <t xml:space="preserve">AGORA Savaria Kulturális és Médiaközpont Nkft.  </t>
    </r>
    <r>
      <rPr>
        <b/>
        <i/>
        <sz val="16"/>
        <rFont val="Calibri"/>
        <family val="2"/>
        <charset val="238"/>
        <scheme val="minor"/>
      </rPr>
      <t>önkormányzai támogatása</t>
    </r>
  </si>
  <si>
    <t>Környezetvédelmi kiadások összesen</t>
  </si>
  <si>
    <t>Elektromos gépjármű töltőberendezések üzemeltetése</t>
  </si>
  <si>
    <t>Kiegészítő szociális ágazati pótlék</t>
  </si>
  <si>
    <t>Otthontámogatás</t>
  </si>
  <si>
    <t>KOMMUNÁLIS, VÁROSÜZEMELTETÉSI ÉS KÖRNYEZETVÉDELMI MŰKÖDÉSI KIADÁSOK MINDÖSSZESEN</t>
  </si>
  <si>
    <t>FÉHE Nkft-től a Green LaMiS projekthez</t>
  </si>
  <si>
    <t>2024 évi beszámolóhoz kapcsolódó kamat visszautalása Magyar Államkincstártól</t>
  </si>
  <si>
    <t>Elektromos töltőállomás bérleti díja</t>
  </si>
  <si>
    <t>Micimackó Óvoda inverter beszerzés</t>
  </si>
  <si>
    <t>Újperint SE támogatás</t>
  </si>
  <si>
    <t>Polgármesteri Hivatal épület felújítás II. ütem - fordított áfa kiadás</t>
  </si>
  <si>
    <t>OTP Bank Nyrt támogatása - vis maior védekezési költségekhez</t>
  </si>
  <si>
    <t>Vis maior védekezési költségek</t>
  </si>
  <si>
    <t>TOP – PLUSZ -1.3.2-23-SH1-2025-00008 –Hunyadi utca felújítása Szombathelyen II.ütem - hozzájárulás</t>
  </si>
  <si>
    <t>Szombathelyi Fő tér - fásítási tervek készítése</t>
  </si>
  <si>
    <t>Illés Akadémia - híd felújítás</t>
  </si>
  <si>
    <t>Költségvetési szervek 2026. évi bevételei</t>
  </si>
  <si>
    <t xml:space="preserve">I N T É Z M É N Y                               </t>
  </si>
  <si>
    <t>Működési célú átvett  pénzeszközök</t>
  </si>
  <si>
    <t>Saját bevételek összesen</t>
  </si>
  <si>
    <t>Előző év költségvetési maradványának igénybevétele</t>
  </si>
  <si>
    <t xml:space="preserve">Központi irányítószervtől kapott támogatás </t>
  </si>
  <si>
    <t xml:space="preserve">     Költségvetési bevételek összesen</t>
  </si>
  <si>
    <t>2026.</t>
  </si>
  <si>
    <t>2026. évi eredeti előirányzat</t>
  </si>
  <si>
    <t>Javasolt módosítás</t>
  </si>
  <si>
    <t>2026. évi I. sz. módosított előirányzat</t>
  </si>
  <si>
    <t>Ó v o d á k</t>
  </si>
  <si>
    <t>Aréna Óvoda</t>
  </si>
  <si>
    <t>Barátság  Óvoda</t>
  </si>
  <si>
    <t xml:space="preserve">Pipitér Óvoda </t>
  </si>
  <si>
    <t xml:space="preserve">Hétszínvirág Óvoda </t>
  </si>
  <si>
    <t xml:space="preserve">Szivárvány Óvoda </t>
  </si>
  <si>
    <t xml:space="preserve">Donászy Magda Óvoda </t>
  </si>
  <si>
    <t xml:space="preserve">Mesevár Óvoda </t>
  </si>
  <si>
    <t xml:space="preserve">Mesevár Ovoda </t>
  </si>
  <si>
    <t xml:space="preserve">Játéksziget  Óvoda </t>
  </si>
  <si>
    <t>Kőrösi Csoma Sándor Utcai Óvoda</t>
  </si>
  <si>
    <t xml:space="preserve">Gazdag Erzsi Óvoda  </t>
  </si>
  <si>
    <t>Maros  Óvoda</t>
  </si>
  <si>
    <t>Vadvirág Óvoda</t>
  </si>
  <si>
    <t xml:space="preserve">Margaréta Óvoda  </t>
  </si>
  <si>
    <t>Napsugár  Óvoda</t>
  </si>
  <si>
    <t>Szűrcsapó Óvoda</t>
  </si>
  <si>
    <t xml:space="preserve">Mocorgó Óvoda </t>
  </si>
  <si>
    <t>Benczúr Gyula Utcai Óvoda</t>
  </si>
  <si>
    <t xml:space="preserve">Weöres Sándor  Óvoda </t>
  </si>
  <si>
    <t>Óvodák  összesen</t>
  </si>
  <si>
    <t>Oktatási intézmények összesen</t>
  </si>
  <si>
    <t>Nem oktatási intézmények</t>
  </si>
  <si>
    <t>Kulturális intézmények</t>
  </si>
  <si>
    <t>Savaria Szimfonikus Zenekar</t>
  </si>
  <si>
    <t>Berzsenyi Dániel Könyvtár</t>
  </si>
  <si>
    <t xml:space="preserve">Összesen                             </t>
  </si>
  <si>
    <t>Szociális intézmény</t>
  </si>
  <si>
    <t>Egészségügyi intézmény</t>
  </si>
  <si>
    <t>Szombathelyi Egészségügyi és Kulturális GESZ</t>
  </si>
  <si>
    <t>Gyermekvédelmi intézmény</t>
  </si>
  <si>
    <t>Egyéb intézmények</t>
  </si>
  <si>
    <t xml:space="preserve">Összesen                                 </t>
  </si>
  <si>
    <t>Nem oktatási intézmények összesen</t>
  </si>
  <si>
    <t>Intézmények mindösszesen</t>
  </si>
  <si>
    <t>Költségvetési szervek 2026. évi kiadásai</t>
  </si>
  <si>
    <t>I N T É Z M É N Y</t>
  </si>
  <si>
    <t>Beruházás</t>
  </si>
  <si>
    <t>Felújítás</t>
  </si>
  <si>
    <t>Költségvetési kiadások összesen</t>
  </si>
  <si>
    <t>Szociális intézmények</t>
  </si>
  <si>
    <t>Egyéb intézmény</t>
  </si>
  <si>
    <t>Szombathely Megyei Jogú Város Önkormányzatának</t>
  </si>
  <si>
    <t>2026. évi  engedélyezett létszámelőirányzata</t>
  </si>
  <si>
    <t>fő</t>
  </si>
  <si>
    <t>Intézmény</t>
  </si>
  <si>
    <t>2026. évi I. sz. módosított előirányzat funkciócsoportokba sorolt létszám megoszlása bérrendszerek szerint</t>
  </si>
  <si>
    <t>2025. évi záró előirányzat</t>
  </si>
  <si>
    <t>Köztisztviselők</t>
  </si>
  <si>
    <t>Egészségügyi szolgálati jogviszonyban foglalkoztatottak</t>
  </si>
  <si>
    <t>Közalkalmazottak</t>
  </si>
  <si>
    <t>Pedagógus életpálya alapján foglalkoztatottak</t>
  </si>
  <si>
    <t>Munka Törvénykönyve hatálya alá tartozók</t>
  </si>
  <si>
    <t>Választott tisztségviselők</t>
  </si>
  <si>
    <t>ebből: közfoglalkoztatottak</t>
  </si>
  <si>
    <t>Ó v o d á k :</t>
  </si>
  <si>
    <t>Kőrösi Csoma Sándor utcai Óvoda</t>
  </si>
  <si>
    <t>Óvodák  összesen:</t>
  </si>
  <si>
    <t xml:space="preserve">Oktatási intézmények összesen:                                       </t>
  </si>
  <si>
    <t>Nem oktatási intézmények:</t>
  </si>
  <si>
    <t>Kulturális intézmény</t>
  </si>
  <si>
    <t xml:space="preserve">Összesen:                                       </t>
  </si>
  <si>
    <t xml:space="preserve">Összesen                                       </t>
  </si>
  <si>
    <t>Szombathely Megyei Jogú Város Önkormányzata általános működésének és ágazati feladatainak támogatása</t>
  </si>
  <si>
    <t>és a helyi önkormányzatok kiegészítő támogatásai</t>
  </si>
  <si>
    <t>ezer Forinban</t>
  </si>
  <si>
    <t>Önkormányzat általános működésének és ágazati feladatainak támogatása (Költségvetési törvény 2. melléklet)</t>
  </si>
  <si>
    <t>2025. év  teljesítés</t>
  </si>
  <si>
    <t xml:space="preserve">2026. év  eredeti előirányzat </t>
  </si>
  <si>
    <t xml:space="preserve">javasolt módosítás                 </t>
  </si>
  <si>
    <t xml:space="preserve">2026. év  I. sz. módosított előirányzat </t>
  </si>
  <si>
    <t>1.1. TELEPÜLÉSI ÖNKORMÁNYZATOK MŰKÖDÉSÉNEK ÁLTALÁNOS TÁMOGATÁSA</t>
  </si>
  <si>
    <t>1.1.1. Önkormányzati hivatal működésének támogatása</t>
  </si>
  <si>
    <t>1.1.2. Településüzemeltetés - zöldterület gazdálkodás támogatása</t>
  </si>
  <si>
    <t>1.1.3. Településüzemeltetés - közvilágítás támogatása</t>
  </si>
  <si>
    <t>1.1.4. Településüzemeltetés - köztemető támogatása</t>
  </si>
  <si>
    <t>1.1.5. Településüzemeltetés - közutak támogatása</t>
  </si>
  <si>
    <t>1.1.6. Egyéb önkormányzati feladatok támogatása</t>
  </si>
  <si>
    <t>1.1.7. Lakott külterülettel kapcsolatos feladatok támogatása</t>
  </si>
  <si>
    <t>1.1.8. Nem közművel összegyűjtött háztartási szennyvíz ártalmatlanítása</t>
  </si>
  <si>
    <t>A HELYI ÖNKORMÁNYZATOK MŰKÖDÉSÉNEK ÁLTALÁNOS TÁMOGATÁSA ÖSSZESEN</t>
  </si>
  <si>
    <t>1.2. A TELEPÜLÉSI ÖNKORMÁNYZATOK EGYES KÖZNEVELÉSI FELADATAINAK TÁMOGATÁSA</t>
  </si>
  <si>
    <t>1.2.1. Óvodaműködtetési támogatás</t>
  </si>
  <si>
    <t>1.2.1.1. Óvoda működtetési támogatás - Óvoda napi nyitvatartási ideje eléri a 8 órát</t>
  </si>
  <si>
    <t>1.2.2. Az óvodában foglalkoztatott pedagógusok átlagbéralapú támogatása</t>
  </si>
  <si>
    <t>1.2.2.1 Pedagógusok átlagbéralapú támogatása</t>
  </si>
  <si>
    <t>1.2.3. Kiegészítő támogatás a pedagógusok és a pedagógus szakképzettséggel rendelkező segítők  minosítésébol adódó többletkiadásaihoz</t>
  </si>
  <si>
    <t>1.2.3.1. Napi 8 órát elérő nyitvatartási idővel rendelkező óvodában foglalkoztatott</t>
  </si>
  <si>
    <t>1.2.3.1.1.Alapfokozatú végzettségű</t>
  </si>
  <si>
    <t>1.2.3.1.1.1. Pedagógus II.kategóriába sorolt pedagógusok , ped.szakképzettséggel rendelkező segítők kiegészítő támogatása</t>
  </si>
  <si>
    <t xml:space="preserve">                               ebből  - óvodák</t>
  </si>
  <si>
    <t xml:space="preserve">                                          -  Egyesített Bölcsődei Intézmény</t>
  </si>
  <si>
    <t>1.2.3.1.1.2. Mesterpedagógus, kutatótanár kategóriába sorolt pedagógusok kiegészítő támogatása</t>
  </si>
  <si>
    <t>1.2.3.1.2. Mesterfokú végzettségű</t>
  </si>
  <si>
    <t>1.2.3.1.2.1. Pedagógus II.kategóriába sorolt pedagógusok , ped.szakképzettséggel rendelkező segítők kiegészítő támogatása</t>
  </si>
  <si>
    <t>1.2.3.1.2.2. Mesterpedagógus, kutatótanár kategóriába sorolt pedagógusok kiegészítő támogatása</t>
  </si>
  <si>
    <t>1.2.4. Nemzetiségi pótlék</t>
  </si>
  <si>
    <t>1.2.4.1. Napi 8 órát elérő nyitvatartási idővel rendelkező óvodában foglalkoztatott</t>
  </si>
  <si>
    <t>1.2.4.1.1.Nemzetiségi pótlékban részesülő pedagógus - pótlék felső határa</t>
  </si>
  <si>
    <t>1.2.5. Az óvodában foglalkoztatott pedagógusok nevelőmunkáját közvetlenül segítők átlagbéralapú támogatása</t>
  </si>
  <si>
    <t>1.2.5.1. Napi 8 órát elérő nyitvatartási idővel rendelkező óvodában foglalkoztatott</t>
  </si>
  <si>
    <t>1.2.5.1.1.pedagógus szakképzettséggel nem rendelkező segítők átlagbéralapú támogatása</t>
  </si>
  <si>
    <t>1.2.5.1.2.pedagógus szakképzettséggel rendelkező segítők átlagbéralapú támogatása</t>
  </si>
  <si>
    <t>1.2.7. Diabétesz ellátási pótlék</t>
  </si>
  <si>
    <t>1.2. A TELEPÜLÉSI ÖNKORMÁNYZATOK EGYES KÖZNEVELÉSI FELADATAINAK TÁMOGATÁSA ÖSSZESEN</t>
  </si>
  <si>
    <t>1.3. TELEPÜLÉSI ÖNKORMÁNYZATOK EGYES SZOCIÁLIS ÉS GYERMEKJÓLÉTI FELADATAINAK TÁMOGATÁSA</t>
  </si>
  <si>
    <t>1.3.2. Egyes szociális és gyermekjóléti feladatok támogatása</t>
  </si>
  <si>
    <t xml:space="preserve">1.3.2.1.Család- és gyermekjóléti szolgálat </t>
  </si>
  <si>
    <t>1.3.2.2.1.Család- és gyermekjóléti központ</t>
  </si>
  <si>
    <t>1.3.2.2.2.Család- és gyermekjóléti központ-óvodai és iskolai szociális segítő tevékenység támogatása</t>
  </si>
  <si>
    <t>1.3.2.3.1. Szociális étkeztetés - önálló feladat ellátás</t>
  </si>
  <si>
    <t xml:space="preserve">1.3.2.4.1. Házi segítségnyújtás- szociális segítés </t>
  </si>
  <si>
    <t>1.3.2.4.2. Házi segítségnyújtás- személyi gondozás -önálló feladatellátás</t>
  </si>
  <si>
    <t>1.3.2.6.1. Időskorúak nappali intézményi ellátása  - önálló feladat ellátás</t>
  </si>
  <si>
    <t>1.3.2.8.1. Demens személyek nappali intézményi ellátása - önálló feladat ellátás</t>
  </si>
  <si>
    <t>1.3.3. Bölcsőde, mini bölcsőde támogatása</t>
  </si>
  <si>
    <t>1.3.3.1. Bölcsődei bértámogatás</t>
  </si>
  <si>
    <t>1.3.3.1.1. Felsőfokú végzettségű kisgyermeknevelők, szaktanácsadók bértámogatása</t>
  </si>
  <si>
    <t>1.3.3.1.2. Bölcsődei dajkák, középfokú végzettségű kisgyermeknevelők, szaktanácsadók bértámogatása</t>
  </si>
  <si>
    <t>1.3.3.2. Bölcsődei üzemeltetési támogatás</t>
  </si>
  <si>
    <t>1.3.3. Bölcsőde, mini bölcsőde támogatása összesen</t>
  </si>
  <si>
    <t>1.3.4. Települési önkormányzatok által biztosított egyes szoc.szakosított ellátsok, valamint a gyermekek átmeneti gondozásával kapcsolatos feladatok támogatása</t>
  </si>
  <si>
    <t>1.3.4.1. Bértámogatás</t>
  </si>
  <si>
    <t>1.3.4.2. Intézményüzemeltetési támogatás</t>
  </si>
  <si>
    <t>1.3.4. Települési önkormányzatok által biztosított egyes szoc.szakosított ellátsok, valamint a gyermekek átmeneti gondozásával kapcsolatos feladatok támogatása összesen</t>
  </si>
  <si>
    <t>1.3. TELEPÜLÉSI ÖNKORMÁNYZATOK EGYES SZOCIÁLIS ÉS GYERMEKJÓLÉTI FELADATAINAK TÁMOGATÁSA ÖSSZESEN</t>
  </si>
  <si>
    <t>1.4. TELEPÜLÉSI ÖNKORMÁNYZATOK GYERMEKÉTKEZTETÉSI FELADATAINAK TÁMOGATÁSA</t>
  </si>
  <si>
    <t>1.4.1. Intézményi gyermekétkeztetés támogatása</t>
  </si>
  <si>
    <t>1.4.1.1. Intézményi gyermekétkeztetés - bértámogatás</t>
  </si>
  <si>
    <t xml:space="preserve">1.4.1.2. Intézményi gyermekétkeztetés - üzemeltetési támogatása </t>
  </si>
  <si>
    <t>1.4.2. Szünidei étkeztetés támogatása</t>
  </si>
  <si>
    <t>1.4. TELEPÜLÉSI ÖNKORMÁNYZATOK GYERMEKÉTKEZTETÉS FELADATAINAK TÁMOGATÁSA ÖSSZESEN</t>
  </si>
  <si>
    <t xml:space="preserve">1.5. A TELEPÜLÉSI ÖNKORMÁNYZATOK KULTURÁLIS FELADATAINAK TÁMOGATÁSA </t>
  </si>
  <si>
    <t>1.5.1. Vármegyeszékhely megyei jogú városok kulturális  feladatainak támogatása</t>
  </si>
  <si>
    <t>1.5.5. Vármegyei hatókörű városi könyvtár kistelepülési könyvtári célú kiegészítő támogatása</t>
  </si>
  <si>
    <t>1.5. A TELEPÜLÉSI ÖNKORMÁNYZATOK KULTURÁLIS FELADATAINAK TÁMOGATÁSA ÖSSZESEN</t>
  </si>
  <si>
    <t>TELEPÜLÉSI ÖNKORMÁNYZATOK ÁLTALÁNOS MŰKÖDÉSÉNEK ÉS ÁGAZATI FELADATAINAK TÁMOGATÁSA MINDÖSSZESEN</t>
  </si>
  <si>
    <t>Helyi önkormányzatok kiegészítő támogatásai (Költségvetési törvény 3. melléklet)</t>
  </si>
  <si>
    <t xml:space="preserve">2.3.2. Szociális ágazati összevont  pótlék </t>
  </si>
  <si>
    <t>Kiegészítő  szociális ágazati pótlék</t>
  </si>
  <si>
    <t>Egyes szociális és gyermekjóléti feldatok működési célú támogatása összesen</t>
  </si>
  <si>
    <t>2.4.1. Vármegyei hatókörű városi múzeumok feladatainak támogatása</t>
  </si>
  <si>
    <t>2.4.2. Vármegyei hatókörű városi  könyvtárak feladatainak támogatása</t>
  </si>
  <si>
    <t>2.4.5. Zeneművészeti szervezetek támogatása</t>
  </si>
  <si>
    <t>2.4.6.  Települési önkormányzatok kulturális feladatainak bérjellegű támogatása  (20%)</t>
  </si>
  <si>
    <t>2.4.6.Települési önkormányzatok kulturális feladatainak bérjellegű támogatása -  Kulturális inézmények és cégek 15%-os bérfejlesztéséhez támogatás</t>
  </si>
  <si>
    <t>2.4.8. Könyvtári érdekeltségnövelő támogatás</t>
  </si>
  <si>
    <t>Kulturális feladatok támogatása összesen</t>
  </si>
  <si>
    <t>A kéményseprő ipari közszolgáltatás helyi önkormányzat általi ellátásának támogatása</t>
  </si>
  <si>
    <t>Működési célú költségvetési támogatások és kiegészítő támogatások összesen</t>
  </si>
  <si>
    <t>HELYI ÖNKORMÁNYZATOK KIEGÉSZÍTŐ TÁMOGATÁSAI MINDÖSSZESEN</t>
  </si>
  <si>
    <t>KVTV. 2. ÉS 3. MELLÉKLETE SZERINTI TÁMOGATÁSOK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</si>
</sst>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_ ;\-#,##0\ "/>
  </numFmts>
  <fonts count="94" x14ac:knownFonts="1">
    <font>
      <sz val="8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Times New Roman CE"/>
      <charset val="238"/>
    </font>
    <font>
      <sz val="10"/>
      <name val="Arial CE"/>
      <charset val="238"/>
    </font>
    <font>
      <sz val="12"/>
      <name val="Arial CE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2"/>
      <color indexed="8"/>
      <name val="garamond"/>
      <family val="2"/>
      <charset val="238"/>
    </font>
    <font>
      <sz val="12"/>
      <color indexed="9"/>
      <name val="garamond"/>
      <family val="2"/>
      <charset val="238"/>
    </font>
    <font>
      <b/>
      <sz val="15"/>
      <color indexed="56"/>
      <name val="garamond"/>
      <family val="2"/>
      <charset val="238"/>
    </font>
    <font>
      <b/>
      <sz val="13"/>
      <color indexed="56"/>
      <name val="garamond"/>
      <family val="2"/>
      <charset val="238"/>
    </font>
    <font>
      <b/>
      <sz val="11"/>
      <color indexed="56"/>
      <name val="garamond"/>
      <family val="2"/>
      <charset val="238"/>
    </font>
    <font>
      <sz val="12"/>
      <color indexed="62"/>
      <name val="garamond"/>
      <family val="2"/>
      <charset val="238"/>
    </font>
    <font>
      <sz val="12"/>
      <color indexed="52"/>
      <name val="garamond"/>
      <family val="2"/>
      <charset val="238"/>
    </font>
    <font>
      <b/>
      <sz val="12"/>
      <color indexed="63"/>
      <name val="garamond"/>
      <family val="2"/>
      <charset val="238"/>
    </font>
    <font>
      <b/>
      <sz val="18"/>
      <color indexed="56"/>
      <name val="Cambria"/>
      <family val="2"/>
      <charset val="238"/>
    </font>
    <font>
      <b/>
      <sz val="12"/>
      <color indexed="8"/>
      <name val="garamond"/>
      <family val="2"/>
      <charset val="238"/>
    </font>
    <font>
      <sz val="12"/>
      <color indexed="10"/>
      <name val="garamond"/>
      <family val="2"/>
      <charset val="238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u/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u/>
      <sz val="16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sz val="12"/>
      <name val="Times New Roman CE"/>
      <charset val="238"/>
    </font>
    <font>
      <b/>
      <sz val="36"/>
      <name val="Calibri"/>
      <family val="2"/>
      <charset val="238"/>
      <scheme val="minor"/>
    </font>
    <font>
      <b/>
      <sz val="36"/>
      <name val="Arial CE"/>
      <charset val="238"/>
    </font>
    <font>
      <b/>
      <sz val="30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i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sz val="36"/>
      <name val="Arial CE"/>
      <family val="2"/>
      <charset val="238"/>
    </font>
    <font>
      <b/>
      <sz val="36"/>
      <name val="Arial CE"/>
      <family val="2"/>
      <charset val="238"/>
    </font>
    <font>
      <sz val="36"/>
      <color rgb="FFFF0000"/>
      <name val="Calibri"/>
      <family val="2"/>
      <charset val="238"/>
      <scheme val="minor"/>
    </font>
    <font>
      <sz val="28"/>
      <color indexed="10"/>
      <name val="Calibri"/>
      <family val="2"/>
      <charset val="238"/>
      <scheme val="minor"/>
    </font>
    <font>
      <b/>
      <sz val="26"/>
      <name val="Arial CE"/>
      <family val="2"/>
      <charset val="238"/>
    </font>
    <font>
      <b/>
      <sz val="26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u/>
      <sz val="26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sz val="16"/>
      <name val="Arial CE"/>
      <family val="2"/>
      <charset val="238"/>
    </font>
    <font>
      <sz val="2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u/>
      <sz val="28"/>
      <name val="Calibri"/>
      <family val="2"/>
      <charset val="238"/>
      <scheme val="minor"/>
    </font>
    <font>
      <b/>
      <sz val="20"/>
      <color indexed="10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2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26"/>
      <name val="Arial"/>
      <family val="2"/>
      <charset val="238"/>
    </font>
    <font>
      <b/>
      <sz val="24"/>
      <color theme="1"/>
      <name val="Arial"/>
      <family val="2"/>
      <charset val="238"/>
    </font>
    <font>
      <b/>
      <sz val="24"/>
      <color indexed="8"/>
      <name val="Arial"/>
      <family val="2"/>
      <charset val="238"/>
    </font>
    <font>
      <b/>
      <sz val="24"/>
      <name val="Arial"/>
      <family val="2"/>
      <charset val="238"/>
    </font>
    <font>
      <sz val="24"/>
      <color indexed="8"/>
      <name val="Arial"/>
      <family val="2"/>
      <charset val="238"/>
    </font>
    <font>
      <sz val="20"/>
      <name val="Arial"/>
      <family val="2"/>
      <charset val="238"/>
    </font>
    <font>
      <sz val="24"/>
      <name val="Arial"/>
      <family val="2"/>
      <charset val="238"/>
    </font>
    <font>
      <b/>
      <sz val="22"/>
      <name val="Arial"/>
      <family val="2"/>
      <charset val="238"/>
    </font>
    <font>
      <sz val="22"/>
      <color theme="1"/>
      <name val="Arial"/>
      <family val="2"/>
      <charset val="238"/>
    </font>
    <font>
      <b/>
      <i/>
      <sz val="26"/>
      <name val="Arial"/>
      <family val="2"/>
      <charset val="238"/>
    </font>
    <font>
      <b/>
      <sz val="26"/>
      <color indexed="8"/>
      <name val="Arial"/>
      <family val="2"/>
      <charset val="238"/>
    </font>
    <font>
      <b/>
      <i/>
      <sz val="22"/>
      <name val="Calibri"/>
      <family val="2"/>
      <charset val="238"/>
    </font>
    <font>
      <sz val="24"/>
      <name val="Arial CE"/>
      <charset val="238"/>
    </font>
    <font>
      <b/>
      <i/>
      <sz val="24"/>
      <name val="Arial CE"/>
      <charset val="238"/>
    </font>
    <font>
      <b/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5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4" fillId="15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2" borderId="0" applyNumberFormat="0" applyBorder="0" applyAlignment="0" applyProtection="0"/>
    <xf numFmtId="0" fontId="10" fillId="6" borderId="0" applyNumberFormat="0" applyBorder="0" applyAlignment="0" applyProtection="0"/>
    <xf numFmtId="0" fontId="18" fillId="8" borderId="1" applyNumberFormat="0" applyAlignment="0" applyProtection="0"/>
    <xf numFmtId="0" fontId="12" fillId="20" borderId="1" applyNumberFormat="0" applyAlignment="0" applyProtection="0"/>
    <xf numFmtId="0" fontId="7" fillId="21" borderId="2" applyNumberFormat="0" applyAlignment="0" applyProtection="0"/>
    <xf numFmtId="0" fontId="21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7" fillId="21" borderId="2" applyNumberFormat="0" applyAlignment="0" applyProtection="0"/>
    <xf numFmtId="0" fontId="9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19" fillId="0" borderId="6" applyNumberFormat="0" applyFill="0" applyAlignment="0" applyProtection="0"/>
    <xf numFmtId="0" fontId="13" fillId="22" borderId="7" applyNumberFormat="0" applyFont="0" applyAlignment="0" applyProtection="0"/>
    <xf numFmtId="0" fontId="8" fillId="7" borderId="0" applyNumberFormat="0" applyBorder="0" applyAlignment="0" applyProtection="0"/>
    <xf numFmtId="0" fontId="20" fillId="23" borderId="8" applyNumberFormat="0" applyAlignment="0" applyProtection="0"/>
    <xf numFmtId="0" fontId="9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24" fillId="0" borderId="0"/>
    <xf numFmtId="0" fontId="6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22" fillId="0" borderId="9" applyNumberFormat="0" applyFill="0" applyAlignment="0" applyProtection="0"/>
    <xf numFmtId="0" fontId="10" fillId="6" borderId="0" applyNumberFormat="0" applyBorder="0" applyAlignment="0" applyProtection="0"/>
    <xf numFmtId="0" fontId="11" fillId="24" borderId="0" applyNumberFormat="0" applyBorder="0" applyAlignment="0" applyProtection="0"/>
    <xf numFmtId="0" fontId="12" fillId="20" borderId="1" applyNumberFormat="0" applyAlignment="0" applyProtection="0"/>
    <xf numFmtId="0" fontId="39" fillId="0" borderId="0"/>
    <xf numFmtId="164" fontId="39" fillId="0" borderId="0" applyFont="0" applyFill="0" applyBorder="0" applyAlignment="0" applyProtection="0"/>
    <xf numFmtId="0" fontId="5" fillId="0" borderId="0"/>
    <xf numFmtId="0" fontId="45" fillId="0" borderId="0"/>
    <xf numFmtId="0" fontId="45" fillId="0" borderId="0"/>
    <xf numFmtId="0" fontId="3" fillId="0" borderId="0"/>
    <xf numFmtId="0" fontId="2" fillId="0" borderId="0"/>
    <xf numFmtId="0" fontId="25" fillId="0" borderId="0"/>
    <xf numFmtId="0" fontId="1" fillId="0" borderId="0"/>
  </cellStyleXfs>
  <cellXfs count="1014">
    <xf numFmtId="0" fontId="0" fillId="0" borderId="0" xfId="0"/>
    <xf numFmtId="0" fontId="27" fillId="0" borderId="0" xfId="0" applyFont="1"/>
    <xf numFmtId="0" fontId="28" fillId="0" borderId="0" xfId="0" applyFont="1"/>
    <xf numFmtId="3" fontId="28" fillId="0" borderId="0" xfId="0" applyNumberFormat="1" applyFont="1"/>
    <xf numFmtId="3" fontId="28" fillId="0" borderId="21" xfId="0" applyNumberFormat="1" applyFont="1" applyBorder="1"/>
    <xf numFmtId="3" fontId="28" fillId="0" borderId="21" xfId="0" applyNumberFormat="1" applyFont="1" applyBorder="1" applyAlignment="1">
      <alignment horizontal="right"/>
    </xf>
    <xf numFmtId="3" fontId="28" fillId="0" borderId="33" xfId="0" applyNumberFormat="1" applyFont="1" applyBorder="1"/>
    <xf numFmtId="3" fontId="28" fillId="0" borderId="33" xfId="0" applyNumberFormat="1" applyFont="1" applyBorder="1" applyAlignment="1">
      <alignment horizontal="right"/>
    </xf>
    <xf numFmtId="3" fontId="28" fillId="0" borderId="26" xfId="0" applyNumberFormat="1" applyFont="1" applyBorder="1"/>
    <xf numFmtId="3" fontId="28" fillId="0" borderId="34" xfId="0" applyNumberFormat="1" applyFont="1" applyBorder="1"/>
    <xf numFmtId="3" fontId="30" fillId="0" borderId="26" xfId="0" applyNumberFormat="1" applyFont="1" applyBorder="1"/>
    <xf numFmtId="3" fontId="31" fillId="0" borderId="37" xfId="0" applyNumberFormat="1" applyFont="1" applyBorder="1" applyAlignment="1">
      <alignment horizontal="right"/>
    </xf>
    <xf numFmtId="3" fontId="28" fillId="0" borderId="26" xfId="0" applyNumberFormat="1" applyFont="1" applyBorder="1" applyAlignment="1">
      <alignment horizontal="right"/>
    </xf>
    <xf numFmtId="0" fontId="27" fillId="0" borderId="0" xfId="48" applyFont="1"/>
    <xf numFmtId="3" fontId="31" fillId="0" borderId="41" xfId="0" applyNumberFormat="1" applyFont="1" applyBorder="1"/>
    <xf numFmtId="3" fontId="31" fillId="0" borderId="37" xfId="0" applyNumberFormat="1" applyFont="1" applyBorder="1"/>
    <xf numFmtId="3" fontId="31" fillId="0" borderId="44" xfId="0" applyNumberFormat="1" applyFont="1" applyBorder="1"/>
    <xf numFmtId="3" fontId="31" fillId="0" borderId="0" xfId="0" applyNumberFormat="1" applyFont="1"/>
    <xf numFmtId="3" fontId="28" fillId="0" borderId="45" xfId="0" applyNumberFormat="1" applyFont="1" applyBorder="1"/>
    <xf numFmtId="3" fontId="30" fillId="0" borderId="0" xfId="0" applyNumberFormat="1" applyFont="1"/>
    <xf numFmtId="0" fontId="31" fillId="0" borderId="25" xfId="0" applyFont="1" applyBorder="1" applyAlignment="1">
      <alignment horizontal="left"/>
    </xf>
    <xf numFmtId="3" fontId="30" fillId="0" borderId="26" xfId="0" applyNumberFormat="1" applyFont="1" applyBorder="1" applyProtection="1">
      <protection locked="0"/>
    </xf>
    <xf numFmtId="3" fontId="30" fillId="0" borderId="48" xfId="0" applyNumberFormat="1" applyFont="1" applyBorder="1" applyProtection="1">
      <protection locked="0"/>
    </xf>
    <xf numFmtId="3" fontId="30" fillId="0" borderId="50" xfId="0" applyNumberFormat="1" applyFont="1" applyBorder="1" applyProtection="1">
      <protection locked="0"/>
    </xf>
    <xf numFmtId="3" fontId="28" fillId="0" borderId="21" xfId="0" applyNumberFormat="1" applyFont="1" applyBorder="1" applyProtection="1">
      <protection locked="0"/>
    </xf>
    <xf numFmtId="3" fontId="28" fillId="0" borderId="33" xfId="0" applyNumberFormat="1" applyFont="1" applyBorder="1" applyProtection="1">
      <protection locked="0"/>
    </xf>
    <xf numFmtId="3" fontId="30" fillId="0" borderId="48" xfId="0" applyNumberFormat="1" applyFont="1" applyBorder="1"/>
    <xf numFmtId="3" fontId="28" fillId="0" borderId="26" xfId="0" applyNumberFormat="1" applyFont="1" applyBorder="1" applyProtection="1">
      <protection locked="0"/>
    </xf>
    <xf numFmtId="3" fontId="30" fillId="0" borderId="50" xfId="0" applyNumberFormat="1" applyFont="1" applyBorder="1"/>
    <xf numFmtId="3" fontId="28" fillId="0" borderId="48" xfId="0" applyNumberFormat="1" applyFont="1" applyBorder="1"/>
    <xf numFmtId="3" fontId="30" fillId="0" borderId="41" xfId="0" applyNumberFormat="1" applyFont="1" applyBorder="1"/>
    <xf numFmtId="3" fontId="31" fillId="0" borderId="29" xfId="0" applyNumberFormat="1" applyFont="1" applyBorder="1"/>
    <xf numFmtId="3" fontId="31" fillId="0" borderId="41" xfId="0" applyNumberFormat="1" applyFont="1" applyBorder="1" applyProtection="1">
      <protection locked="0"/>
    </xf>
    <xf numFmtId="0" fontId="30" fillId="0" borderId="25" xfId="0" applyFont="1" applyBorder="1" applyAlignment="1">
      <alignment horizontal="left"/>
    </xf>
    <xf numFmtId="0" fontId="30" fillId="0" borderId="26" xfId="0" applyFont="1" applyBorder="1" applyAlignment="1">
      <alignment horizontal="left"/>
    </xf>
    <xf numFmtId="3" fontId="31" fillId="0" borderId="26" xfId="0" applyNumberFormat="1" applyFont="1" applyBorder="1"/>
    <xf numFmtId="3" fontId="28" fillId="0" borderId="34" xfId="0" applyNumberFormat="1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0" fontId="28" fillId="0" borderId="25" xfId="0" applyFont="1" applyBorder="1"/>
    <xf numFmtId="3" fontId="28" fillId="26" borderId="21" xfId="0" applyNumberFormat="1" applyFont="1" applyFill="1" applyBorder="1"/>
    <xf numFmtId="3" fontId="28" fillId="26" borderId="57" xfId="0" applyNumberFormat="1" applyFont="1" applyFill="1" applyBorder="1"/>
    <xf numFmtId="3" fontId="31" fillId="0" borderId="54" xfId="0" applyNumberFormat="1" applyFont="1" applyBorder="1" applyAlignment="1">
      <alignment horizontal="right" wrapText="1"/>
    </xf>
    <xf numFmtId="3" fontId="31" fillId="0" borderId="41" xfId="0" applyNumberFormat="1" applyFont="1" applyBorder="1" applyAlignment="1">
      <alignment horizontal="right" wrapText="1"/>
    </xf>
    <xf numFmtId="3" fontId="28" fillId="26" borderId="26" xfId="0" applyNumberFormat="1" applyFont="1" applyFill="1" applyBorder="1"/>
    <xf numFmtId="3" fontId="31" fillId="0" borderId="54" xfId="0" applyNumberFormat="1" applyFont="1" applyBorder="1"/>
    <xf numFmtId="0" fontId="31" fillId="0" borderId="0" xfId="0" applyFont="1"/>
    <xf numFmtId="3" fontId="28" fillId="0" borderId="25" xfId="0" applyNumberFormat="1" applyFont="1" applyBorder="1"/>
    <xf numFmtId="3" fontId="30" fillId="0" borderId="26" xfId="0" applyNumberFormat="1" applyFont="1" applyBorder="1" applyAlignment="1">
      <alignment horizontal="left"/>
    </xf>
    <xf numFmtId="3" fontId="28" fillId="0" borderId="21" xfId="0" applyNumberFormat="1" applyFont="1" applyBorder="1" applyAlignment="1">
      <alignment wrapText="1"/>
    </xf>
    <xf numFmtId="3" fontId="31" fillId="0" borderId="48" xfId="0" applyNumberFormat="1" applyFont="1" applyBorder="1" applyAlignment="1">
      <alignment horizontal="center"/>
    </xf>
    <xf numFmtId="3" fontId="28" fillId="0" borderId="21" xfId="51" applyNumberFormat="1" applyFont="1" applyBorder="1" applyAlignment="1">
      <alignment horizontal="right" wrapText="1"/>
    </xf>
    <xf numFmtId="3" fontId="31" fillId="26" borderId="37" xfId="0" applyNumberFormat="1" applyFont="1" applyFill="1" applyBorder="1" applyAlignment="1">
      <alignment horizontal="right"/>
    </xf>
    <xf numFmtId="3" fontId="28" fillId="0" borderId="34" xfId="0" applyNumberFormat="1" applyFont="1" applyBorder="1" applyAlignment="1">
      <alignment horizontal="right"/>
    </xf>
    <xf numFmtId="3" fontId="31" fillId="0" borderId="43" xfId="0" applyNumberFormat="1" applyFont="1" applyBorder="1"/>
    <xf numFmtId="3" fontId="31" fillId="0" borderId="18" xfId="0" applyNumberFormat="1" applyFont="1" applyBorder="1"/>
    <xf numFmtId="0" fontId="28" fillId="0" borderId="0" xfId="0" applyFont="1" applyAlignment="1">
      <alignment wrapText="1"/>
    </xf>
    <xf numFmtId="0" fontId="30" fillId="0" borderId="23" xfId="0" applyFont="1" applyBorder="1" applyAlignment="1">
      <alignment wrapText="1"/>
    </xf>
    <xf numFmtId="0" fontId="30" fillId="0" borderId="25" xfId="0" applyFont="1" applyBorder="1" applyAlignment="1">
      <alignment wrapText="1"/>
    </xf>
    <xf numFmtId="3" fontId="28" fillId="26" borderId="21" xfId="0" applyNumberFormat="1" applyFont="1" applyFill="1" applyBorder="1" applyAlignment="1">
      <alignment wrapText="1"/>
    </xf>
    <xf numFmtId="3" fontId="28" fillId="0" borderId="26" xfId="0" applyNumberFormat="1" applyFont="1" applyBorder="1" applyAlignment="1">
      <alignment wrapText="1"/>
    </xf>
    <xf numFmtId="3" fontId="31" fillId="0" borderId="41" xfId="0" applyNumberFormat="1" applyFont="1" applyBorder="1" applyAlignment="1">
      <alignment wrapText="1"/>
    </xf>
    <xf numFmtId="3" fontId="31" fillId="0" borderId="37" xfId="0" applyNumberFormat="1" applyFont="1" applyBorder="1" applyAlignment="1">
      <alignment wrapText="1"/>
    </xf>
    <xf numFmtId="0" fontId="31" fillId="0" borderId="0" xfId="0" applyFont="1" applyAlignment="1">
      <alignment wrapText="1"/>
    </xf>
    <xf numFmtId="3" fontId="28" fillId="0" borderId="21" xfId="0" applyNumberFormat="1" applyFont="1" applyBorder="1" applyAlignment="1">
      <alignment horizontal="right" wrapText="1"/>
    </xf>
    <xf numFmtId="0" fontId="31" fillId="0" borderId="40" xfId="0" applyFont="1" applyBorder="1" applyAlignment="1">
      <alignment wrapText="1"/>
    </xf>
    <xf numFmtId="3" fontId="31" fillId="0" borderId="44" xfId="0" applyNumberFormat="1" applyFont="1" applyBorder="1" applyAlignment="1">
      <alignment wrapText="1"/>
    </xf>
    <xf numFmtId="0" fontId="28" fillId="0" borderId="31" xfId="0" applyFont="1" applyBorder="1"/>
    <xf numFmtId="3" fontId="28" fillId="0" borderId="60" xfId="0" applyNumberFormat="1" applyFont="1" applyBorder="1"/>
    <xf numFmtId="3" fontId="31" fillId="0" borderId="61" xfId="0" applyNumberFormat="1" applyFont="1" applyBorder="1"/>
    <xf numFmtId="3" fontId="28" fillId="0" borderId="34" xfId="0" applyNumberFormat="1" applyFont="1" applyBorder="1" applyAlignment="1">
      <alignment horizontal="right" wrapText="1"/>
    </xf>
    <xf numFmtId="3" fontId="31" fillId="0" borderId="37" xfId="0" applyNumberFormat="1" applyFont="1" applyBorder="1" applyAlignment="1">
      <alignment horizontal="right" wrapText="1"/>
    </xf>
    <xf numFmtId="0" fontId="33" fillId="0" borderId="26" xfId="0" applyFont="1" applyBorder="1" applyAlignment="1">
      <alignment horizontal="right" wrapText="1"/>
    </xf>
    <xf numFmtId="3" fontId="28" fillId="26" borderId="21" xfId="0" applyNumberFormat="1" applyFont="1" applyFill="1" applyBorder="1" applyAlignment="1">
      <alignment horizontal="right" wrapText="1"/>
    </xf>
    <xf numFmtId="3" fontId="31" fillId="0" borderId="50" xfId="0" applyNumberFormat="1" applyFont="1" applyBorder="1" applyAlignment="1">
      <alignment horizontal="right" wrapText="1"/>
    </xf>
    <xf numFmtId="3" fontId="28" fillId="0" borderId="26" xfId="0" applyNumberFormat="1" applyFont="1" applyBorder="1" applyAlignment="1">
      <alignment horizontal="right" wrapText="1"/>
    </xf>
    <xf numFmtId="3" fontId="31" fillId="0" borderId="29" xfId="0" applyNumberFormat="1" applyFont="1" applyBorder="1" applyAlignment="1">
      <alignment horizontal="right" wrapText="1"/>
    </xf>
    <xf numFmtId="3" fontId="30" fillId="0" borderId="29" xfId="0" applyNumberFormat="1" applyFont="1" applyBorder="1" applyAlignment="1">
      <alignment horizontal="right" wrapText="1"/>
    </xf>
    <xf numFmtId="0" fontId="28" fillId="0" borderId="0" xfId="0" applyFont="1" applyAlignment="1">
      <alignment horizontal="right" wrapText="1"/>
    </xf>
    <xf numFmtId="3" fontId="34" fillId="0" borderId="0" xfId="0" applyNumberFormat="1" applyFont="1"/>
    <xf numFmtId="3" fontId="28" fillId="26" borderId="21" xfId="0" applyNumberFormat="1" applyFont="1" applyFill="1" applyBorder="1" applyProtection="1">
      <protection locked="0"/>
    </xf>
    <xf numFmtId="3" fontId="28" fillId="0" borderId="57" xfId="0" applyNumberFormat="1" applyFont="1" applyBorder="1" applyProtection="1">
      <protection locked="0"/>
    </xf>
    <xf numFmtId="3" fontId="28" fillId="26" borderId="33" xfId="0" applyNumberFormat="1" applyFont="1" applyFill="1" applyBorder="1" applyProtection="1">
      <protection locked="0"/>
    </xf>
    <xf numFmtId="3" fontId="28" fillId="26" borderId="33" xfId="46" applyNumberFormat="1" applyFont="1" applyFill="1" applyBorder="1" applyProtection="1">
      <protection locked="0"/>
    </xf>
    <xf numFmtId="3" fontId="28" fillId="26" borderId="26" xfId="0" applyNumberFormat="1" applyFont="1" applyFill="1" applyBorder="1" applyProtection="1">
      <protection locked="0"/>
    </xf>
    <xf numFmtId="3" fontId="28" fillId="26" borderId="26" xfId="46" applyNumberFormat="1" applyFont="1" applyFill="1" applyBorder="1" applyProtection="1">
      <protection locked="0"/>
    </xf>
    <xf numFmtId="3" fontId="28" fillId="0" borderId="21" xfId="48" applyNumberFormat="1" applyFont="1" applyBorder="1"/>
    <xf numFmtId="3" fontId="28" fillId="0" borderId="33" xfId="48" applyNumberFormat="1" applyFont="1" applyBorder="1"/>
    <xf numFmtId="3" fontId="31" fillId="0" borderId="37" xfId="48" applyNumberFormat="1" applyFont="1" applyBorder="1"/>
    <xf numFmtId="3" fontId="28" fillId="0" borderId="34" xfId="48" applyNumberFormat="1" applyFont="1" applyBorder="1"/>
    <xf numFmtId="3" fontId="31" fillId="0" borderId="50" xfId="48" applyNumberFormat="1" applyFont="1" applyBorder="1"/>
    <xf numFmtId="3" fontId="28" fillId="0" borderId="33" xfId="48" applyNumberFormat="1" applyFont="1" applyBorder="1" applyAlignment="1">
      <alignment horizontal="right"/>
    </xf>
    <xf numFmtId="3" fontId="31" fillId="0" borderId="50" xfId="48" applyNumberFormat="1" applyFont="1" applyBorder="1" applyAlignment="1">
      <alignment horizontal="right"/>
    </xf>
    <xf numFmtId="3" fontId="31" fillId="0" borderId="41" xfId="48" applyNumberFormat="1" applyFont="1" applyBorder="1" applyAlignment="1">
      <alignment horizontal="right"/>
    </xf>
    <xf numFmtId="0" fontId="29" fillId="0" borderId="0" xfId="48" applyFont="1" applyAlignment="1">
      <alignment horizontal="center"/>
    </xf>
    <xf numFmtId="0" fontId="31" fillId="0" borderId="25" xfId="48" applyFont="1" applyBorder="1"/>
    <xf numFmtId="3" fontId="28" fillId="25" borderId="33" xfId="48" applyNumberFormat="1" applyFont="1" applyFill="1" applyBorder="1" applyAlignment="1">
      <alignment horizontal="right"/>
    </xf>
    <xf numFmtId="3" fontId="31" fillId="0" borderId="48" xfId="48" applyNumberFormat="1" applyFont="1" applyBorder="1"/>
    <xf numFmtId="0" fontId="31" fillId="0" borderId="48" xfId="48" applyFont="1" applyBorder="1"/>
    <xf numFmtId="3" fontId="28" fillId="25" borderId="21" xfId="48" applyNumberFormat="1" applyFont="1" applyFill="1" applyBorder="1"/>
    <xf numFmtId="3" fontId="28" fillId="0" borderId="26" xfId="48" applyNumberFormat="1" applyFont="1" applyBorder="1"/>
    <xf numFmtId="0" fontId="30" fillId="0" borderId="26" xfId="48" applyFont="1" applyBorder="1"/>
    <xf numFmtId="3" fontId="31" fillId="0" borderId="29" xfId="48" applyNumberFormat="1" applyFont="1" applyBorder="1"/>
    <xf numFmtId="0" fontId="29" fillId="0" borderId="43" xfId="50" applyFont="1" applyBorder="1" applyAlignment="1">
      <alignment horizontal="justify"/>
    </xf>
    <xf numFmtId="3" fontId="29" fillId="0" borderId="37" xfId="50" applyNumberFormat="1" applyFont="1" applyBorder="1"/>
    <xf numFmtId="3" fontId="27" fillId="0" borderId="35" xfId="50" applyNumberFormat="1" applyFont="1" applyBorder="1"/>
    <xf numFmtId="3" fontId="27" fillId="0" borderId="26" xfId="50" applyNumberFormat="1" applyFont="1" applyBorder="1"/>
    <xf numFmtId="0" fontId="29" fillId="0" borderId="43" xfId="50" applyFont="1" applyBorder="1"/>
    <xf numFmtId="0" fontId="29" fillId="0" borderId="23" xfId="50" applyFont="1" applyBorder="1" applyAlignment="1">
      <alignment horizontal="justify"/>
    </xf>
    <xf numFmtId="0" fontId="27" fillId="0" borderId="22" xfId="49" applyFont="1" applyBorder="1"/>
    <xf numFmtId="0" fontId="27" fillId="0" borderId="11" xfId="49" applyFont="1" applyBorder="1"/>
    <xf numFmtId="0" fontId="27" fillId="0" borderId="11" xfId="49" applyFont="1" applyBorder="1" applyAlignment="1">
      <alignment wrapText="1"/>
    </xf>
    <xf numFmtId="0" fontId="27" fillId="0" borderId="63" xfId="49" applyFont="1" applyBorder="1"/>
    <xf numFmtId="0" fontId="27" fillId="0" borderId="23" xfId="49" applyFont="1" applyBorder="1"/>
    <xf numFmtId="0" fontId="27" fillId="0" borderId="18" xfId="49" applyFont="1" applyBorder="1"/>
    <xf numFmtId="0" fontId="29" fillId="0" borderId="18" xfId="50" applyFont="1" applyBorder="1" applyAlignment="1">
      <alignment horizontal="justify"/>
    </xf>
    <xf numFmtId="0" fontId="31" fillId="0" borderId="23" xfId="0" applyFont="1" applyBorder="1" applyAlignment="1">
      <alignment horizontal="left"/>
    </xf>
    <xf numFmtId="3" fontId="34" fillId="0" borderId="57" xfId="0" applyNumberFormat="1" applyFont="1" applyBorder="1"/>
    <xf numFmtId="3" fontId="34" fillId="0" borderId="21" xfId="0" applyNumberFormat="1" applyFont="1" applyBorder="1"/>
    <xf numFmtId="3" fontId="34" fillId="0" borderId="33" xfId="0" applyNumberFormat="1" applyFont="1" applyBorder="1"/>
    <xf numFmtId="3" fontId="34" fillId="0" borderId="57" xfId="0" applyNumberFormat="1" applyFont="1" applyBorder="1" applyAlignment="1">
      <alignment horizontal="right"/>
    </xf>
    <xf numFmtId="3" fontId="34" fillId="0" borderId="21" xfId="0" applyNumberFormat="1" applyFont="1" applyBorder="1" applyAlignment="1">
      <alignment horizontal="right"/>
    </xf>
    <xf numFmtId="3" fontId="34" fillId="0" borderId="33" xfId="0" applyNumberFormat="1" applyFont="1" applyBorder="1" applyAlignment="1">
      <alignment horizontal="right"/>
    </xf>
    <xf numFmtId="3" fontId="34" fillId="0" borderId="34" xfId="0" applyNumberFormat="1" applyFont="1" applyBorder="1"/>
    <xf numFmtId="3" fontId="35" fillId="0" borderId="36" xfId="0" applyNumberFormat="1" applyFont="1" applyBorder="1"/>
    <xf numFmtId="3" fontId="34" fillId="0" borderId="25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Continuous"/>
    </xf>
    <xf numFmtId="3" fontId="34" fillId="0" borderId="26" xfId="0" applyNumberFormat="1" applyFont="1" applyBorder="1" applyAlignment="1">
      <alignment horizontal="right"/>
    </xf>
    <xf numFmtId="3" fontId="34" fillId="0" borderId="21" xfId="48" applyNumberFormat="1" applyFont="1" applyBorder="1" applyAlignment="1">
      <alignment horizontal="right"/>
    </xf>
    <xf numFmtId="3" fontId="36" fillId="0" borderId="37" xfId="0" applyNumberFormat="1" applyFont="1" applyBorder="1" applyAlignment="1">
      <alignment horizontal="right"/>
    </xf>
    <xf numFmtId="3" fontId="36" fillId="0" borderId="37" xfId="0" applyNumberFormat="1" applyFont="1" applyBorder="1"/>
    <xf numFmtId="3" fontId="34" fillId="0" borderId="26" xfId="0" applyNumberFormat="1" applyFont="1" applyBorder="1"/>
    <xf numFmtId="3" fontId="36" fillId="0" borderId="41" xfId="0" applyNumberFormat="1" applyFont="1" applyBorder="1" applyAlignment="1">
      <alignment horizontal="right"/>
    </xf>
    <xf numFmtId="3" fontId="36" fillId="0" borderId="26" xfId="0" applyNumberFormat="1" applyFont="1" applyBorder="1" applyAlignment="1">
      <alignment horizontal="centerContinuous"/>
    </xf>
    <xf numFmtId="3" fontId="36" fillId="0" borderId="26" xfId="0" applyNumberFormat="1" applyFont="1" applyBorder="1" applyAlignment="1">
      <alignment horizontal="right"/>
    </xf>
    <xf numFmtId="3" fontId="34" fillId="0" borderId="26" xfId="0" applyNumberFormat="1" applyFont="1" applyBorder="1" applyAlignment="1">
      <alignment horizontal="center"/>
    </xf>
    <xf numFmtId="3" fontId="34" fillId="0" borderId="29" xfId="0" applyNumberFormat="1" applyFont="1" applyBorder="1" applyAlignment="1">
      <alignment horizontal="center"/>
    </xf>
    <xf numFmtId="3" fontId="36" fillId="0" borderId="25" xfId="0" applyNumberFormat="1" applyFont="1" applyBorder="1"/>
    <xf numFmtId="3" fontId="36" fillId="0" borderId="44" xfId="0" applyNumberFormat="1" applyFont="1" applyBorder="1"/>
    <xf numFmtId="3" fontId="34" fillId="0" borderId="29" xfId="0" applyNumberFormat="1" applyFont="1" applyBorder="1"/>
    <xf numFmtId="0" fontId="28" fillId="0" borderId="19" xfId="0" applyFont="1" applyBorder="1"/>
    <xf numFmtId="0" fontId="34" fillId="0" borderId="19" xfId="0" applyFont="1" applyBorder="1"/>
    <xf numFmtId="0" fontId="34" fillId="0" borderId="0" xfId="0" applyFont="1"/>
    <xf numFmtId="3" fontId="36" fillId="0" borderId="0" xfId="0" applyNumberFormat="1" applyFont="1" applyAlignment="1">
      <alignment horizontal="left"/>
    </xf>
    <xf numFmtId="3" fontId="36" fillId="0" borderId="26" xfId="0" applyNumberFormat="1" applyFont="1" applyBorder="1" applyAlignment="1">
      <alignment horizontal="left"/>
    </xf>
    <xf numFmtId="3" fontId="37" fillId="0" borderId="40" xfId="0" applyNumberFormat="1" applyFont="1" applyBorder="1" applyAlignment="1">
      <alignment horizontal="centerContinuous"/>
    </xf>
    <xf numFmtId="3" fontId="36" fillId="0" borderId="40" xfId="0" applyNumberFormat="1" applyFont="1" applyBorder="1" applyAlignment="1">
      <alignment horizontal="centerContinuous"/>
    </xf>
    <xf numFmtId="3" fontId="36" fillId="0" borderId="25" xfId="0" applyNumberFormat="1" applyFont="1" applyBorder="1" applyAlignment="1">
      <alignment horizontal="left"/>
    </xf>
    <xf numFmtId="0" fontId="34" fillId="0" borderId="28" xfId="0" applyFont="1" applyBorder="1" applyAlignment="1">
      <alignment horizontal="left"/>
    </xf>
    <xf numFmtId="3" fontId="34" fillId="0" borderId="28" xfId="0" applyNumberFormat="1" applyFont="1" applyBorder="1"/>
    <xf numFmtId="0" fontId="28" fillId="0" borderId="30" xfId="0" applyFont="1" applyBorder="1"/>
    <xf numFmtId="0" fontId="28" fillId="0" borderId="58" xfId="0" applyFont="1" applyBorder="1"/>
    <xf numFmtId="0" fontId="28" fillId="0" borderId="32" xfId="0" applyFont="1" applyBorder="1"/>
    <xf numFmtId="0" fontId="28" fillId="0" borderId="18" xfId="0" applyFont="1" applyBorder="1"/>
    <xf numFmtId="3" fontId="31" fillId="0" borderId="32" xfId="0" applyNumberFormat="1" applyFont="1" applyBorder="1"/>
    <xf numFmtId="3" fontId="28" fillId="0" borderId="32" xfId="0" applyNumberFormat="1" applyFont="1" applyBorder="1"/>
    <xf numFmtId="0" fontId="28" fillId="0" borderId="0" xfId="48" applyFont="1"/>
    <xf numFmtId="0" fontId="31" fillId="0" borderId="24" xfId="0" applyFont="1" applyBorder="1"/>
    <xf numFmtId="0" fontId="31" fillId="0" borderId="40" xfId="0" applyFont="1" applyBorder="1"/>
    <xf numFmtId="0" fontId="28" fillId="0" borderId="32" xfId="0" applyFont="1" applyBorder="1" applyAlignment="1">
      <alignment wrapText="1"/>
    </xf>
    <xf numFmtId="3" fontId="31" fillId="26" borderId="43" xfId="0" applyNumberFormat="1" applyFont="1" applyFill="1" applyBorder="1" applyAlignment="1">
      <alignment horizontal="right"/>
    </xf>
    <xf numFmtId="3" fontId="31" fillId="26" borderId="37" xfId="0" applyNumberFormat="1" applyFont="1" applyFill="1" applyBorder="1"/>
    <xf numFmtId="0" fontId="28" fillId="0" borderId="19" xfId="48" applyFont="1" applyBorder="1" applyAlignment="1">
      <alignment horizontal="justify"/>
    </xf>
    <xf numFmtId="0" fontId="27" fillId="0" borderId="19" xfId="48" applyFont="1" applyBorder="1" applyAlignment="1">
      <alignment horizontal="justify"/>
    </xf>
    <xf numFmtId="0" fontId="28" fillId="0" borderId="25" xfId="48" applyFont="1" applyBorder="1" applyAlignment="1">
      <alignment horizontal="center"/>
    </xf>
    <xf numFmtId="3" fontId="28" fillId="0" borderId="70" xfId="0" applyNumberFormat="1" applyFont="1" applyBorder="1" applyAlignment="1">
      <alignment horizontal="right" wrapText="1"/>
    </xf>
    <xf numFmtId="0" fontId="27" fillId="0" borderId="27" xfId="50" applyFont="1" applyBorder="1"/>
    <xf numFmtId="3" fontId="28" fillId="26" borderId="21" xfId="46" applyNumberFormat="1" applyFont="1" applyFill="1" applyBorder="1" applyProtection="1">
      <protection locked="0"/>
    </xf>
    <xf numFmtId="0" fontId="28" fillId="0" borderId="62" xfId="0" applyFont="1" applyBorder="1"/>
    <xf numFmtId="3" fontId="28" fillId="0" borderId="0" xfId="0" applyNumberFormat="1" applyFont="1" applyAlignment="1">
      <alignment horizontal="right" wrapText="1"/>
    </xf>
    <xf numFmtId="3" fontId="31" fillId="26" borderId="26" xfId="0" applyNumberFormat="1" applyFont="1" applyFill="1" applyBorder="1" applyAlignment="1">
      <alignment horizontal="right" wrapText="1"/>
    </xf>
    <xf numFmtId="3" fontId="28" fillId="26" borderId="35" xfId="0" applyNumberFormat="1" applyFont="1" applyFill="1" applyBorder="1"/>
    <xf numFmtId="3" fontId="31" fillId="0" borderId="25" xfId="0" applyNumberFormat="1" applyFont="1" applyBorder="1"/>
    <xf numFmtId="3" fontId="31" fillId="25" borderId="29" xfId="48" applyNumberFormat="1" applyFont="1" applyFill="1" applyBorder="1"/>
    <xf numFmtId="3" fontId="28" fillId="0" borderId="0" xfId="0" applyNumberFormat="1" applyFont="1" applyAlignment="1">
      <alignment wrapText="1"/>
    </xf>
    <xf numFmtId="3" fontId="28" fillId="0" borderId="19" xfId="0" applyNumberFormat="1" applyFont="1" applyBorder="1"/>
    <xf numFmtId="3" fontId="28" fillId="0" borderId="56" xfId="0" applyNumberFormat="1" applyFont="1" applyBorder="1" applyAlignment="1">
      <alignment wrapText="1"/>
    </xf>
    <xf numFmtId="0" fontId="31" fillId="0" borderId="18" xfId="48" applyFont="1" applyBorder="1"/>
    <xf numFmtId="0" fontId="28" fillId="0" borderId="18" xfId="48" applyFont="1" applyBorder="1" applyAlignment="1">
      <alignment horizontal="right"/>
    </xf>
    <xf numFmtId="3" fontId="28" fillId="0" borderId="60" xfId="0" applyNumberFormat="1" applyFont="1" applyBorder="1" applyAlignment="1">
      <alignment horizontal="right" wrapText="1"/>
    </xf>
    <xf numFmtId="3" fontId="28" fillId="0" borderId="46" xfId="0" applyNumberFormat="1" applyFont="1" applyBorder="1" applyAlignment="1">
      <alignment horizontal="right"/>
    </xf>
    <xf numFmtId="0" fontId="31" fillId="0" borderId="0" xfId="48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29" fillId="0" borderId="24" xfId="48" applyFont="1" applyBorder="1" applyAlignment="1">
      <alignment horizontal="center"/>
    </xf>
    <xf numFmtId="3" fontId="31" fillId="0" borderId="25" xfId="0" applyNumberFormat="1" applyFont="1" applyBorder="1" applyAlignment="1">
      <alignment horizontal="center"/>
    </xf>
    <xf numFmtId="0" fontId="31" fillId="0" borderId="27" xfId="48" applyFont="1" applyBorder="1" applyAlignment="1">
      <alignment horizontal="center"/>
    </xf>
    <xf numFmtId="0" fontId="31" fillId="0" borderId="28" xfId="48" applyFont="1" applyBorder="1" applyAlignment="1">
      <alignment horizontal="center"/>
    </xf>
    <xf numFmtId="3" fontId="31" fillId="0" borderId="26" xfId="0" applyNumberFormat="1" applyFont="1" applyBorder="1" applyAlignment="1">
      <alignment horizontal="center"/>
    </xf>
    <xf numFmtId="0" fontId="31" fillId="0" borderId="18" xfId="48" applyFont="1" applyBorder="1" applyAlignment="1">
      <alignment horizontal="left"/>
    </xf>
    <xf numFmtId="0" fontId="28" fillId="0" borderId="19" xfId="48" applyFont="1" applyBorder="1" applyAlignment="1">
      <alignment wrapText="1"/>
    </xf>
    <xf numFmtId="0" fontId="27" fillId="0" borderId="0" xfId="50" applyFont="1"/>
    <xf numFmtId="0" fontId="40" fillId="0" borderId="0" xfId="50" applyFont="1"/>
    <xf numFmtId="0" fontId="29" fillId="0" borderId="0" xfId="50" applyFont="1"/>
    <xf numFmtId="0" fontId="29" fillId="0" borderId="0" xfId="50" applyFont="1" applyAlignment="1">
      <alignment horizontal="right"/>
    </xf>
    <xf numFmtId="0" fontId="29" fillId="0" borderId="25" xfId="50" applyFont="1" applyBorder="1" applyAlignment="1">
      <alignment horizontal="center"/>
    </xf>
    <xf numFmtId="0" fontId="29" fillId="0" borderId="23" xfId="50" applyFont="1" applyBorder="1" applyAlignment="1">
      <alignment horizontal="center"/>
    </xf>
    <xf numFmtId="0" fontId="29" fillId="0" borderId="66" xfId="50" applyFont="1" applyBorder="1" applyAlignment="1">
      <alignment horizontal="center"/>
    </xf>
    <xf numFmtId="0" fontId="29" fillId="0" borderId="26" xfId="50" applyFont="1" applyBorder="1" applyAlignment="1">
      <alignment horizontal="center"/>
    </xf>
    <xf numFmtId="0" fontId="27" fillId="0" borderId="18" xfId="50" applyFont="1" applyBorder="1"/>
    <xf numFmtId="0" fontId="29" fillId="0" borderId="38" xfId="50" applyFont="1" applyBorder="1" applyAlignment="1">
      <alignment horizontal="center"/>
    </xf>
    <xf numFmtId="0" fontId="29" fillId="0" borderId="29" xfId="50" applyFont="1" applyBorder="1" applyAlignment="1">
      <alignment horizontal="center"/>
    </xf>
    <xf numFmtId="0" fontId="29" fillId="0" borderId="29" xfId="50" applyFont="1" applyBorder="1" applyAlignment="1">
      <alignment horizontal="center" vertical="center" wrapText="1"/>
    </xf>
    <xf numFmtId="0" fontId="29" fillId="0" borderId="39" xfId="50" applyFont="1" applyBorder="1" applyAlignment="1">
      <alignment horizontal="center" vertical="center" wrapText="1"/>
    </xf>
    <xf numFmtId="0" fontId="27" fillId="0" borderId="29" xfId="50" applyFont="1" applyBorder="1" applyAlignment="1">
      <alignment horizontal="center" vertical="center" wrapText="1"/>
    </xf>
    <xf numFmtId="0" fontId="29" fillId="0" borderId="39" xfId="50" applyFont="1" applyBorder="1" applyAlignment="1">
      <alignment horizontal="justify"/>
    </xf>
    <xf numFmtId="0" fontId="29" fillId="0" borderId="18" xfId="50" applyFont="1" applyBorder="1" applyAlignment="1">
      <alignment horizontal="center"/>
    </xf>
    <xf numFmtId="0" fontId="27" fillId="0" borderId="25" xfId="50" applyFont="1" applyBorder="1" applyAlignment="1">
      <alignment horizontal="center"/>
    </xf>
    <xf numFmtId="0" fontId="27" fillId="0" borderId="66" xfId="50" applyFont="1" applyBorder="1" applyAlignment="1">
      <alignment horizontal="center"/>
    </xf>
    <xf numFmtId="3" fontId="29" fillId="0" borderId="35" xfId="50" applyNumberFormat="1" applyFont="1" applyBorder="1" applyAlignment="1">
      <alignment horizontal="center"/>
    </xf>
    <xf numFmtId="3" fontId="29" fillId="0" borderId="35" xfId="50" applyNumberFormat="1" applyFont="1" applyBorder="1"/>
    <xf numFmtId="3" fontId="29" fillId="0" borderId="26" xfId="50" applyNumberFormat="1" applyFont="1" applyBorder="1" applyAlignment="1">
      <alignment horizontal="center"/>
    </xf>
    <xf numFmtId="3" fontId="29" fillId="0" borderId="50" xfId="50" applyNumberFormat="1" applyFont="1" applyBorder="1" applyAlignment="1">
      <alignment horizontal="center"/>
    </xf>
    <xf numFmtId="3" fontId="27" fillId="0" borderId="50" xfId="50" applyNumberFormat="1" applyFont="1" applyBorder="1"/>
    <xf numFmtId="3" fontId="29" fillId="0" borderId="48" xfId="50" applyNumberFormat="1" applyFont="1" applyBorder="1" applyAlignment="1">
      <alignment horizontal="center"/>
    </xf>
    <xf numFmtId="3" fontId="29" fillId="0" borderId="26" xfId="50" applyNumberFormat="1" applyFont="1" applyBorder="1"/>
    <xf numFmtId="3" fontId="29" fillId="0" borderId="37" xfId="50" applyNumberFormat="1" applyFont="1" applyBorder="1" applyAlignment="1">
      <alignment horizontal="center"/>
    </xf>
    <xf numFmtId="3" fontId="29" fillId="0" borderId="70" xfId="50" applyNumberFormat="1" applyFont="1" applyBorder="1" applyAlignment="1">
      <alignment horizontal="center"/>
    </xf>
    <xf numFmtId="3" fontId="27" fillId="0" borderId="25" xfId="50" applyNumberFormat="1" applyFont="1" applyBorder="1"/>
    <xf numFmtId="3" fontId="27" fillId="0" borderId="37" xfId="50" applyNumberFormat="1" applyFont="1" applyBorder="1"/>
    <xf numFmtId="3" fontId="27" fillId="0" borderId="38" xfId="50" applyNumberFormat="1" applyFont="1" applyBorder="1"/>
    <xf numFmtId="3" fontId="29" fillId="0" borderId="25" xfId="50" applyNumberFormat="1" applyFont="1" applyBorder="1" applyAlignment="1">
      <alignment horizontal="center"/>
    </xf>
    <xf numFmtId="3" fontId="27" fillId="0" borderId="66" xfId="50" applyNumberFormat="1" applyFont="1" applyBorder="1"/>
    <xf numFmtId="3" fontId="36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right"/>
    </xf>
    <xf numFmtId="0" fontId="36" fillId="0" borderId="23" xfId="0" applyFont="1" applyBorder="1" applyAlignment="1">
      <alignment horizontal="left"/>
    </xf>
    <xf numFmtId="3" fontId="36" fillId="0" borderId="24" xfId="0" applyNumberFormat="1" applyFont="1" applyBorder="1" applyAlignment="1">
      <alignment horizontal="left"/>
    </xf>
    <xf numFmtId="3" fontId="36" fillId="0" borderId="25" xfId="0" applyNumberFormat="1" applyFont="1" applyBorder="1" applyAlignment="1">
      <alignment horizontal="center"/>
    </xf>
    <xf numFmtId="3" fontId="34" fillId="0" borderId="24" xfId="0" applyNumberFormat="1" applyFont="1" applyBorder="1"/>
    <xf numFmtId="0" fontId="36" fillId="0" borderId="18" xfId="0" applyFont="1" applyBorder="1" applyAlignment="1">
      <alignment horizontal="left"/>
    </xf>
    <xf numFmtId="3" fontId="36" fillId="0" borderId="26" xfId="0" applyNumberFormat="1" applyFont="1" applyBorder="1" applyAlignment="1">
      <alignment horizontal="center"/>
    </xf>
    <xf numFmtId="3" fontId="36" fillId="0" borderId="27" xfId="0" applyNumberFormat="1" applyFont="1" applyBorder="1" applyAlignment="1">
      <alignment horizontal="centerContinuous"/>
    </xf>
    <xf numFmtId="3" fontId="36" fillId="0" borderId="28" xfId="0" applyNumberFormat="1" applyFont="1" applyBorder="1" applyAlignment="1">
      <alignment horizontal="centerContinuous"/>
    </xf>
    <xf numFmtId="3" fontId="36" fillId="0" borderId="29" xfId="0" applyNumberFormat="1" applyFont="1" applyBorder="1" applyAlignment="1">
      <alignment horizontal="right"/>
    </xf>
    <xf numFmtId="0" fontId="34" fillId="0" borderId="28" xfId="0" applyFont="1" applyBorder="1"/>
    <xf numFmtId="3" fontId="36" fillId="0" borderId="28" xfId="0" applyNumberFormat="1" applyFont="1" applyBorder="1" applyAlignment="1">
      <alignment horizontal="right"/>
    </xf>
    <xf numFmtId="0" fontId="34" fillId="0" borderId="30" xfId="0" applyFont="1" applyBorder="1"/>
    <xf numFmtId="0" fontId="34" fillId="0" borderId="71" xfId="0" applyFont="1" applyBorder="1"/>
    <xf numFmtId="3" fontId="36" fillId="0" borderId="71" xfId="0" applyNumberFormat="1" applyFont="1" applyBorder="1" applyAlignment="1">
      <alignment horizontal="right"/>
    </xf>
    <xf numFmtId="0" fontId="34" fillId="0" borderId="58" xfId="0" applyFont="1" applyBorder="1"/>
    <xf numFmtId="3" fontId="36" fillId="0" borderId="19" xfId="0" applyNumberFormat="1" applyFont="1" applyBorder="1"/>
    <xf numFmtId="0" fontId="34" fillId="0" borderId="31" xfId="0" applyFont="1" applyBorder="1"/>
    <xf numFmtId="0" fontId="34" fillId="0" borderId="32" xfId="0" applyFont="1" applyBorder="1"/>
    <xf numFmtId="3" fontId="37" fillId="0" borderId="32" xfId="0" applyNumberFormat="1" applyFont="1" applyBorder="1" applyAlignment="1">
      <alignment horizontal="left"/>
    </xf>
    <xf numFmtId="3" fontId="34" fillId="0" borderId="18" xfId="0" applyNumberFormat="1" applyFont="1" applyBorder="1"/>
    <xf numFmtId="3" fontId="36" fillId="0" borderId="32" xfId="0" applyNumberFormat="1" applyFont="1" applyBorder="1"/>
    <xf numFmtId="0" fontId="34" fillId="0" borderId="18" xfId="0" applyFont="1" applyBorder="1"/>
    <xf numFmtId="0" fontId="34" fillId="0" borderId="26" xfId="0" applyFont="1" applyBorder="1"/>
    <xf numFmtId="3" fontId="34" fillId="0" borderId="32" xfId="0" applyNumberFormat="1" applyFont="1" applyBorder="1"/>
    <xf numFmtId="3" fontId="34" fillId="0" borderId="32" xfId="0" applyNumberFormat="1" applyFont="1" applyBorder="1" applyAlignment="1">
      <alignment horizontal="left"/>
    </xf>
    <xf numFmtId="0" fontId="34" fillId="0" borderId="64" xfId="0" applyFont="1" applyBorder="1"/>
    <xf numFmtId="3" fontId="36" fillId="0" borderId="18" xfId="0" applyNumberFormat="1" applyFont="1" applyBorder="1"/>
    <xf numFmtId="3" fontId="37" fillId="0" borderId="0" xfId="0" applyNumberFormat="1" applyFont="1"/>
    <xf numFmtId="3" fontId="37" fillId="0" borderId="26" xfId="0" applyNumberFormat="1" applyFont="1" applyBorder="1"/>
    <xf numFmtId="0" fontId="34" fillId="0" borderId="32" xfId="0" applyFont="1" applyBorder="1" applyAlignment="1">
      <alignment wrapText="1"/>
    </xf>
    <xf numFmtId="3" fontId="36" fillId="0" borderId="22" xfId="0" applyNumberFormat="1" applyFont="1" applyBorder="1"/>
    <xf numFmtId="0" fontId="36" fillId="0" borderId="20" xfId="0" applyFont="1" applyBorder="1"/>
    <xf numFmtId="3" fontId="36" fillId="0" borderId="20" xfId="0" applyNumberFormat="1" applyFont="1" applyBorder="1"/>
    <xf numFmtId="3" fontId="36" fillId="0" borderId="35" xfId="0" applyNumberFormat="1" applyFont="1" applyBorder="1"/>
    <xf numFmtId="0" fontId="35" fillId="0" borderId="53" xfId="0" applyFont="1" applyBorder="1"/>
    <xf numFmtId="3" fontId="36" fillId="0" borderId="54" xfId="0" applyNumberFormat="1" applyFont="1" applyBorder="1" applyAlignment="1">
      <alignment horizontal="left"/>
    </xf>
    <xf numFmtId="3" fontId="36" fillId="0" borderId="53" xfId="0" applyNumberFormat="1" applyFont="1" applyBorder="1" applyAlignment="1">
      <alignment horizontal="centerContinuous"/>
    </xf>
    <xf numFmtId="3" fontId="36" fillId="0" borderId="72" xfId="0" applyNumberFormat="1" applyFont="1" applyBorder="1" applyAlignment="1">
      <alignment horizontal="center"/>
    </xf>
    <xf numFmtId="3" fontId="36" fillId="0" borderId="66" xfId="0" applyNumberFormat="1" applyFont="1" applyBorder="1" applyAlignment="1">
      <alignment horizontal="left"/>
    </xf>
    <xf numFmtId="0" fontId="36" fillId="0" borderId="24" xfId="0" applyFont="1" applyBorder="1" applyAlignment="1">
      <alignment horizontal="left"/>
    </xf>
    <xf numFmtId="3" fontId="36" fillId="0" borderId="38" xfId="0" applyNumberFormat="1" applyFont="1" applyBorder="1" applyAlignment="1">
      <alignment horizontal="left"/>
    </xf>
    <xf numFmtId="0" fontId="36" fillId="0" borderId="0" xfId="0" applyFont="1" applyAlignment="1">
      <alignment horizontal="left"/>
    </xf>
    <xf numFmtId="3" fontId="36" fillId="0" borderId="39" xfId="0" applyNumberFormat="1" applyFont="1" applyBorder="1" applyAlignment="1">
      <alignment horizontal="centerContinuous"/>
    </xf>
    <xf numFmtId="3" fontId="34" fillId="0" borderId="18" xfId="0" applyNumberFormat="1" applyFont="1" applyBorder="1" applyAlignment="1">
      <alignment horizontal="left"/>
    </xf>
    <xf numFmtId="3" fontId="34" fillId="0" borderId="0" xfId="0" applyNumberFormat="1" applyFont="1" applyAlignment="1">
      <alignment horizontal="left"/>
    </xf>
    <xf numFmtId="3" fontId="34" fillId="0" borderId="0" xfId="0" applyNumberFormat="1" applyFont="1" applyAlignment="1">
      <alignment horizontal="centerContinuous"/>
    </xf>
    <xf numFmtId="0" fontId="36" fillId="0" borderId="24" xfId="0" applyFont="1" applyBorder="1"/>
    <xf numFmtId="3" fontId="36" fillId="0" borderId="24" xfId="0" applyNumberFormat="1" applyFont="1" applyBorder="1" applyAlignment="1">
      <alignment horizontal="right"/>
    </xf>
    <xf numFmtId="3" fontId="36" fillId="0" borderId="25" xfId="0" applyNumberFormat="1" applyFont="1" applyBorder="1" applyAlignment="1">
      <alignment horizontal="right"/>
    </xf>
    <xf numFmtId="3" fontId="34" fillId="0" borderId="31" xfId="0" applyNumberFormat="1" applyFont="1" applyBorder="1" applyAlignment="1">
      <alignment horizontal="left"/>
    </xf>
    <xf numFmtId="3" fontId="34" fillId="0" borderId="32" xfId="0" applyNumberFormat="1" applyFont="1" applyBorder="1" applyAlignment="1">
      <alignment horizontal="centerContinuous"/>
    </xf>
    <xf numFmtId="3" fontId="36" fillId="0" borderId="19" xfId="0" applyNumberFormat="1" applyFont="1" applyBorder="1" applyAlignment="1">
      <alignment horizontal="right"/>
    </xf>
    <xf numFmtId="3" fontId="34" fillId="0" borderId="32" xfId="0" applyNumberFormat="1" applyFont="1" applyBorder="1" applyAlignment="1">
      <alignment horizontal="center"/>
    </xf>
    <xf numFmtId="3" fontId="36" fillId="0" borderId="32" xfId="0" applyNumberFormat="1" applyFont="1" applyBorder="1" applyAlignment="1">
      <alignment horizontal="right"/>
    </xf>
    <xf numFmtId="3" fontId="34" fillId="0" borderId="18" xfId="0" applyNumberFormat="1" applyFont="1" applyBorder="1" applyAlignment="1">
      <alignment horizontal="centerContinuous"/>
    </xf>
    <xf numFmtId="3" fontId="36" fillId="0" borderId="18" xfId="0" applyNumberFormat="1" applyFont="1" applyBorder="1" applyAlignment="1">
      <alignment horizontal="centerContinuous"/>
    </xf>
    <xf numFmtId="3" fontId="36" fillId="0" borderId="0" xfId="0" applyNumberFormat="1" applyFont="1" applyAlignment="1">
      <alignment horizontal="centerContinuous"/>
    </xf>
    <xf numFmtId="0" fontId="36" fillId="0" borderId="40" xfId="0" applyFont="1" applyBorder="1"/>
    <xf numFmtId="3" fontId="36" fillId="0" borderId="40" xfId="0" applyNumberFormat="1" applyFont="1" applyBorder="1" applyAlignment="1">
      <alignment horizontal="right"/>
    </xf>
    <xf numFmtId="3" fontId="36" fillId="0" borderId="18" xfId="0" applyNumberFormat="1" applyFont="1" applyBorder="1" applyAlignment="1">
      <alignment horizontal="left"/>
    </xf>
    <xf numFmtId="0" fontId="34" fillId="0" borderId="0" xfId="48" applyFont="1"/>
    <xf numFmtId="3" fontId="34" fillId="0" borderId="0" xfId="0" applyNumberFormat="1" applyFont="1" applyAlignment="1">
      <alignment horizontal="center"/>
    </xf>
    <xf numFmtId="0" fontId="34" fillId="0" borderId="0" xfId="48" applyFont="1" applyAlignment="1">
      <alignment horizontal="left"/>
    </xf>
    <xf numFmtId="0" fontId="36" fillId="0" borderId="49" xfId="0" applyFont="1" applyBorder="1"/>
    <xf numFmtId="3" fontId="36" fillId="0" borderId="49" xfId="0" applyNumberFormat="1" applyFont="1" applyBorder="1" applyAlignment="1">
      <alignment horizontal="right"/>
    </xf>
    <xf numFmtId="3" fontId="36" fillId="0" borderId="41" xfId="0" applyNumberFormat="1" applyFont="1" applyBorder="1"/>
    <xf numFmtId="3" fontId="36" fillId="0" borderId="43" xfId="0" applyNumberFormat="1" applyFont="1" applyBorder="1"/>
    <xf numFmtId="3" fontId="36" fillId="0" borderId="40" xfId="0" applyNumberFormat="1" applyFont="1" applyBorder="1"/>
    <xf numFmtId="3" fontId="36" fillId="0" borderId="40" xfId="0" applyNumberFormat="1" applyFont="1" applyBorder="1" applyAlignment="1">
      <alignment horizontal="left"/>
    </xf>
    <xf numFmtId="3" fontId="36" fillId="0" borderId="0" xfId="0" applyNumberFormat="1" applyFont="1"/>
    <xf numFmtId="3" fontId="36" fillId="0" borderId="24" xfId="0" applyNumberFormat="1" applyFont="1" applyBorder="1"/>
    <xf numFmtId="3" fontId="36" fillId="0" borderId="15" xfId="0" applyNumberFormat="1" applyFont="1" applyBorder="1"/>
    <xf numFmtId="3" fontId="36" fillId="0" borderId="67" xfId="0" applyNumberFormat="1" applyFont="1" applyBorder="1"/>
    <xf numFmtId="3" fontId="36" fillId="0" borderId="42" xfId="0" applyNumberFormat="1" applyFont="1" applyBorder="1"/>
    <xf numFmtId="3" fontId="36" fillId="0" borderId="42" xfId="0" applyNumberFormat="1" applyFont="1" applyBorder="1" applyAlignment="1">
      <alignment horizontal="left"/>
    </xf>
    <xf numFmtId="0" fontId="34" fillId="0" borderId="19" xfId="48" applyFont="1" applyBorder="1" applyAlignment="1">
      <alignment horizontal="justify"/>
    </xf>
    <xf numFmtId="0" fontId="34" fillId="27" borderId="19" xfId="48" applyFont="1" applyFill="1" applyBorder="1" applyAlignment="1">
      <alignment horizontal="justify"/>
    </xf>
    <xf numFmtId="0" fontId="34" fillId="0" borderId="32" xfId="48" applyFont="1" applyBorder="1" applyAlignment="1">
      <alignment horizontal="justify"/>
    </xf>
    <xf numFmtId="0" fontId="37" fillId="0" borderId="43" xfId="0" applyFont="1" applyBorder="1"/>
    <xf numFmtId="3" fontId="36" fillId="0" borderId="27" xfId="0" applyNumberFormat="1" applyFont="1" applyBorder="1"/>
    <xf numFmtId="0" fontId="37" fillId="0" borderId="27" xfId="0" applyFont="1" applyBorder="1"/>
    <xf numFmtId="0" fontId="28" fillId="0" borderId="28" xfId="0" applyFont="1" applyBorder="1"/>
    <xf numFmtId="0" fontId="31" fillId="0" borderId="28" xfId="0" applyFont="1" applyBorder="1"/>
    <xf numFmtId="3" fontId="28" fillId="0" borderId="0" xfId="0" applyNumberFormat="1" applyFont="1" applyAlignment="1">
      <alignment horizontal="right"/>
    </xf>
    <xf numFmtId="0" fontId="28" fillId="0" borderId="24" xfId="0" applyFont="1" applyBorder="1"/>
    <xf numFmtId="0" fontId="28" fillId="0" borderId="27" xfId="0" applyFont="1" applyBorder="1"/>
    <xf numFmtId="0" fontId="31" fillId="0" borderId="28" xfId="0" applyFont="1" applyBorder="1" applyAlignment="1">
      <alignment horizontal="left"/>
    </xf>
    <xf numFmtId="0" fontId="31" fillId="0" borderId="28" xfId="0" applyFont="1" applyBorder="1" applyAlignment="1">
      <alignment horizontal="right"/>
    </xf>
    <xf numFmtId="0" fontId="31" fillId="0" borderId="18" xfId="0" applyFont="1" applyBorder="1"/>
    <xf numFmtId="0" fontId="31" fillId="0" borderId="0" xfId="0" applyFont="1" applyAlignment="1">
      <alignment horizontal="left"/>
    </xf>
    <xf numFmtId="0" fontId="30" fillId="0" borderId="18" xfId="0" applyFont="1" applyBorder="1"/>
    <xf numFmtId="0" fontId="30" fillId="0" borderId="0" xfId="0" applyFont="1"/>
    <xf numFmtId="3" fontId="30" fillId="0" borderId="0" xfId="0" applyNumberFormat="1" applyFont="1" applyProtection="1">
      <protection locked="0"/>
    </xf>
    <xf numFmtId="0" fontId="30" fillId="0" borderId="47" xfId="0" applyFont="1" applyBorder="1"/>
    <xf numFmtId="3" fontId="30" fillId="0" borderId="47" xfId="0" applyNumberFormat="1" applyFont="1" applyBorder="1" applyProtection="1">
      <protection locked="0"/>
    </xf>
    <xf numFmtId="0" fontId="30" fillId="0" borderId="20" xfId="0" applyFont="1" applyBorder="1"/>
    <xf numFmtId="0" fontId="30" fillId="0" borderId="0" xfId="0" applyFont="1" applyAlignment="1">
      <alignment wrapText="1"/>
    </xf>
    <xf numFmtId="0" fontId="30" fillId="0" borderId="49" xfId="0" applyFont="1" applyBorder="1"/>
    <xf numFmtId="0" fontId="30" fillId="0" borderId="49" xfId="0" applyFont="1" applyBorder="1" applyAlignment="1">
      <alignment wrapText="1"/>
    </xf>
    <xf numFmtId="0" fontId="30" fillId="0" borderId="47" xfId="0" applyFont="1" applyBorder="1" applyAlignment="1">
      <alignment wrapText="1"/>
    </xf>
    <xf numFmtId="3" fontId="28" fillId="0" borderId="19" xfId="0" applyNumberFormat="1" applyFont="1" applyBorder="1" applyProtection="1">
      <protection locked="0"/>
    </xf>
    <xf numFmtId="0" fontId="28" fillId="0" borderId="20" xfId="0" applyFont="1" applyBorder="1"/>
    <xf numFmtId="0" fontId="28" fillId="0" borderId="51" xfId="0" applyFont="1" applyBorder="1"/>
    <xf numFmtId="3" fontId="28" fillId="0" borderId="52" xfId="0" applyNumberFormat="1" applyFont="1" applyBorder="1" applyProtection="1">
      <protection locked="0"/>
    </xf>
    <xf numFmtId="3" fontId="28" fillId="0" borderId="32" xfId="0" applyNumberFormat="1" applyFont="1" applyBorder="1" applyProtection="1">
      <protection locked="0"/>
    </xf>
    <xf numFmtId="3" fontId="30" fillId="0" borderId="49" xfId="0" applyNumberFormat="1" applyFont="1" applyBorder="1"/>
    <xf numFmtId="3" fontId="30" fillId="0" borderId="47" xfId="0" applyNumberFormat="1" applyFont="1" applyBorder="1"/>
    <xf numFmtId="0" fontId="30" fillId="0" borderId="18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3" fontId="28" fillId="0" borderId="19" xfId="0" applyNumberFormat="1" applyFont="1" applyBorder="1" applyAlignment="1" applyProtection="1">
      <alignment wrapText="1"/>
      <protection locked="0"/>
    </xf>
    <xf numFmtId="0" fontId="30" fillId="0" borderId="51" xfId="0" applyFont="1" applyBorder="1"/>
    <xf numFmtId="3" fontId="30" fillId="0" borderId="49" xfId="0" applyNumberFormat="1" applyFont="1" applyBorder="1" applyProtection="1">
      <protection locked="0"/>
    </xf>
    <xf numFmtId="0" fontId="30" fillId="0" borderId="11" xfId="0" applyFont="1" applyBorder="1"/>
    <xf numFmtId="3" fontId="28" fillId="0" borderId="38" xfId="0" applyNumberFormat="1" applyFont="1" applyBorder="1"/>
    <xf numFmtId="0" fontId="30" fillId="0" borderId="53" xfId="0" applyFont="1" applyBorder="1"/>
    <xf numFmtId="3" fontId="30" fillId="0" borderId="53" xfId="0" applyNumberFormat="1" applyFont="1" applyBorder="1" applyProtection="1">
      <protection locked="0"/>
    </xf>
    <xf numFmtId="0" fontId="30" fillId="0" borderId="28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42" fillId="0" borderId="65" xfId="0" applyFont="1" applyBorder="1" applyAlignment="1">
      <alignment wrapText="1"/>
    </xf>
    <xf numFmtId="3" fontId="28" fillId="0" borderId="32" xfId="0" applyNumberFormat="1" applyFont="1" applyBorder="1" applyAlignment="1" applyProtection="1">
      <alignment wrapText="1"/>
      <protection locked="0"/>
    </xf>
    <xf numFmtId="0" fontId="28" fillId="0" borderId="19" xfId="0" applyFont="1" applyBorder="1" applyAlignment="1">
      <alignment horizontal="left"/>
    </xf>
    <xf numFmtId="0" fontId="31" fillId="0" borderId="40" xfId="0" applyFont="1" applyBorder="1" applyAlignment="1">
      <alignment horizontal="left"/>
    </xf>
    <xf numFmtId="0" fontId="31" fillId="0" borderId="54" xfId="0" applyFont="1" applyBorder="1"/>
    <xf numFmtId="0" fontId="30" fillId="0" borderId="53" xfId="0" applyFont="1" applyBorder="1" applyAlignment="1">
      <alignment horizontal="left"/>
    </xf>
    <xf numFmtId="0" fontId="31" fillId="0" borderId="53" xfId="0" applyFont="1" applyBorder="1" applyAlignment="1">
      <alignment horizontal="left"/>
    </xf>
    <xf numFmtId="0" fontId="31" fillId="0" borderId="23" xfId="0" applyFont="1" applyBorder="1"/>
    <xf numFmtId="0" fontId="30" fillId="0" borderId="24" xfId="0" applyFont="1" applyBorder="1"/>
    <xf numFmtId="0" fontId="30" fillId="0" borderId="2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0" fillId="0" borderId="38" xfId="0" applyFont="1" applyBorder="1" applyAlignment="1">
      <alignment horizontal="left"/>
    </xf>
    <xf numFmtId="0" fontId="28" fillId="0" borderId="19" xfId="0" applyFont="1" applyBorder="1" applyAlignment="1">
      <alignment vertical="top" wrapText="1"/>
    </xf>
    <xf numFmtId="0" fontId="32" fillId="0" borderId="32" xfId="0" applyFont="1" applyBorder="1"/>
    <xf numFmtId="0" fontId="32" fillId="0" borderId="19" xfId="0" applyFont="1" applyBorder="1"/>
    <xf numFmtId="0" fontId="31" fillId="0" borderId="55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31" fillId="0" borderId="0" xfId="48" applyFont="1" applyAlignment="1">
      <alignment horizontal="left"/>
    </xf>
    <xf numFmtId="0" fontId="31" fillId="0" borderId="18" xfId="0" applyFont="1" applyBorder="1" applyAlignment="1">
      <alignment horizontal="center"/>
    </xf>
    <xf numFmtId="0" fontId="28" fillId="0" borderId="56" xfId="0" applyFont="1" applyBorder="1" applyAlignment="1">
      <alignment wrapText="1"/>
    </xf>
    <xf numFmtId="0" fontId="32" fillId="0" borderId="0" xfId="0" applyFont="1" applyAlignment="1">
      <alignment horizontal="left"/>
    </xf>
    <xf numFmtId="0" fontId="28" fillId="0" borderId="56" xfId="0" applyFont="1" applyBorder="1" applyAlignment="1">
      <alignment horizontal="left"/>
    </xf>
    <xf numFmtId="0" fontId="30" fillId="0" borderId="18" xfId="0" applyFont="1" applyBorder="1" applyAlignment="1">
      <alignment horizontal="left"/>
    </xf>
    <xf numFmtId="0" fontId="28" fillId="0" borderId="32" xfId="0" applyFont="1" applyBorder="1" applyAlignment="1">
      <alignment horizontal="left"/>
    </xf>
    <xf numFmtId="0" fontId="30" fillId="0" borderId="32" xfId="0" applyFont="1" applyBorder="1" applyAlignment="1">
      <alignment horizontal="left"/>
    </xf>
    <xf numFmtId="0" fontId="31" fillId="0" borderId="25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3" fontId="31" fillId="0" borderId="29" xfId="0" applyNumberFormat="1" applyFont="1" applyBorder="1" applyAlignment="1">
      <alignment horizontal="center"/>
    </xf>
    <xf numFmtId="0" fontId="28" fillId="26" borderId="31" xfId="0" applyFont="1" applyFill="1" applyBorder="1"/>
    <xf numFmtId="0" fontId="28" fillId="26" borderId="58" xfId="0" applyFont="1" applyFill="1" applyBorder="1"/>
    <xf numFmtId="0" fontId="31" fillId="26" borderId="37" xfId="0" applyFont="1" applyFill="1" applyBorder="1"/>
    <xf numFmtId="0" fontId="28" fillId="0" borderId="31" xfId="0" applyFont="1" applyBorder="1" applyAlignment="1">
      <alignment wrapText="1"/>
    </xf>
    <xf numFmtId="0" fontId="28" fillId="0" borderId="33" xfId="0" applyFont="1" applyBorder="1" applyAlignment="1">
      <alignment horizontal="justify"/>
    </xf>
    <xf numFmtId="0" fontId="28" fillId="0" borderId="35" xfId="0" applyFont="1" applyBorder="1" applyAlignment="1">
      <alignment wrapText="1"/>
    </xf>
    <xf numFmtId="0" fontId="31" fillId="0" borderId="41" xfId="0" applyFont="1" applyBorder="1" applyAlignment="1">
      <alignment wrapText="1"/>
    </xf>
    <xf numFmtId="0" fontId="31" fillId="0" borderId="23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28" fillId="26" borderId="30" xfId="0" applyFont="1" applyFill="1" applyBorder="1"/>
    <xf numFmtId="0" fontId="31" fillId="0" borderId="43" xfId="0" applyFont="1" applyBorder="1"/>
    <xf numFmtId="3" fontId="28" fillId="26" borderId="0" xfId="0" applyNumberFormat="1" applyFont="1" applyFill="1" applyAlignment="1">
      <alignment horizontal="right"/>
    </xf>
    <xf numFmtId="0" fontId="28" fillId="0" borderId="29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1" fillId="0" borderId="29" xfId="0" applyFont="1" applyBorder="1" applyAlignment="1">
      <alignment horizontal="justify"/>
    </xf>
    <xf numFmtId="0" fontId="31" fillId="0" borderId="37" xfId="0" applyFont="1" applyBorder="1" applyAlignment="1">
      <alignment horizontal="justify"/>
    </xf>
    <xf numFmtId="0" fontId="30" fillId="0" borderId="37" xfId="0" applyFont="1" applyBorder="1"/>
    <xf numFmtId="0" fontId="30" fillId="0" borderId="25" xfId="0" applyFont="1" applyBorder="1" applyAlignment="1">
      <alignment horizontal="center"/>
    </xf>
    <xf numFmtId="0" fontId="28" fillId="0" borderId="21" xfId="0" applyFont="1" applyBorder="1"/>
    <xf numFmtId="0" fontId="28" fillId="0" borderId="46" xfId="46" applyFont="1" applyBorder="1" applyAlignment="1">
      <alignment wrapText="1"/>
    </xf>
    <xf numFmtId="0" fontId="31" fillId="0" borderId="37" xfId="0" applyFont="1" applyBorder="1"/>
    <xf numFmtId="0" fontId="31" fillId="0" borderId="37" xfId="0" applyFont="1" applyBorder="1" applyAlignment="1">
      <alignment horizontal="left" wrapText="1"/>
    </xf>
    <xf numFmtId="0" fontId="31" fillId="0" borderId="26" xfId="0" applyFont="1" applyBorder="1" applyAlignment="1">
      <alignment horizontal="center" wrapText="1"/>
    </xf>
    <xf numFmtId="0" fontId="28" fillId="0" borderId="33" xfId="0" applyFont="1" applyBorder="1"/>
    <xf numFmtId="3" fontId="28" fillId="0" borderId="59" xfId="51" applyNumberFormat="1" applyFont="1" applyBorder="1" applyAlignment="1">
      <alignment horizontal="justify" wrapText="1"/>
    </xf>
    <xf numFmtId="0" fontId="28" fillId="0" borderId="31" xfId="0" applyFont="1" applyBorder="1" applyAlignment="1">
      <alignment horizontal="justify"/>
    </xf>
    <xf numFmtId="3" fontId="28" fillId="0" borderId="33" xfId="51" applyNumberFormat="1" applyFont="1" applyBorder="1" applyAlignment="1">
      <alignment horizontal="justify" vertical="top" wrapText="1"/>
    </xf>
    <xf numFmtId="3" fontId="28" fillId="0" borderId="59" xfId="51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/>
    </xf>
    <xf numFmtId="0" fontId="30" fillId="0" borderId="41" xfId="0" applyFont="1" applyBorder="1" applyAlignment="1">
      <alignment horizontal="center"/>
    </xf>
    <xf numFmtId="0" fontId="31" fillId="0" borderId="29" xfId="0" applyFont="1" applyBorder="1" applyAlignment="1">
      <alignment wrapText="1"/>
    </xf>
    <xf numFmtId="0" fontId="30" fillId="0" borderId="37" xfId="0" applyFont="1" applyBorder="1" applyAlignment="1">
      <alignment horizontal="center"/>
    </xf>
    <xf numFmtId="3" fontId="28" fillId="0" borderId="58" xfId="51" applyNumberFormat="1" applyFont="1" applyBorder="1" applyAlignment="1">
      <alignment horizontal="justify" vertical="top" wrapText="1"/>
    </xf>
    <xf numFmtId="0" fontId="30" fillId="0" borderId="41" xfId="0" applyFont="1" applyBorder="1"/>
    <xf numFmtId="0" fontId="31" fillId="0" borderId="41" xfId="0" applyFont="1" applyBorder="1"/>
    <xf numFmtId="0" fontId="31" fillId="0" borderId="26" xfId="0" applyFont="1" applyBorder="1" applyAlignment="1">
      <alignment horizontal="center"/>
    </xf>
    <xf numFmtId="3" fontId="28" fillId="0" borderId="21" xfId="51" applyNumberFormat="1" applyFont="1" applyBorder="1" applyAlignment="1">
      <alignment horizontal="justify" vertical="top" wrapText="1"/>
    </xf>
    <xf numFmtId="3" fontId="28" fillId="0" borderId="18" xfId="51" applyNumberFormat="1" applyFont="1" applyBorder="1" applyAlignment="1">
      <alignment horizontal="justify" vertical="top" wrapText="1"/>
    </xf>
    <xf numFmtId="0" fontId="30" fillId="0" borderId="37" xfId="0" applyFont="1" applyBorder="1" applyAlignment="1">
      <alignment horizontal="left" wrapText="1"/>
    </xf>
    <xf numFmtId="0" fontId="31" fillId="0" borderId="29" xfId="0" applyFont="1" applyBorder="1"/>
    <xf numFmtId="0" fontId="30" fillId="0" borderId="0" xfId="0" applyFont="1" applyAlignment="1">
      <alignment horizontal="left" wrapText="1"/>
    </xf>
    <xf numFmtId="0" fontId="31" fillId="0" borderId="25" xfId="0" applyFont="1" applyBorder="1" applyAlignment="1">
      <alignment horizontal="center" wrapText="1"/>
    </xf>
    <xf numFmtId="0" fontId="31" fillId="0" borderId="29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31" fillId="26" borderId="57" xfId="0" applyFont="1" applyFill="1" applyBorder="1" applyAlignment="1">
      <alignment horizontal="justify" wrapText="1"/>
    </xf>
    <xf numFmtId="0" fontId="28" fillId="26" borderId="58" xfId="0" applyFont="1" applyFill="1" applyBorder="1" applyAlignment="1">
      <alignment horizontal="left" wrapText="1"/>
    </xf>
    <xf numFmtId="0" fontId="28" fillId="26" borderId="31" xfId="0" applyFont="1" applyFill="1" applyBorder="1" applyAlignment="1">
      <alignment horizontal="justify" wrapText="1"/>
    </xf>
    <xf numFmtId="0" fontId="28" fillId="0" borderId="58" xfId="0" applyFont="1" applyBorder="1" applyAlignment="1">
      <alignment wrapText="1"/>
    </xf>
    <xf numFmtId="0" fontId="28" fillId="0" borderId="34" xfId="0" applyFont="1" applyBorder="1" applyAlignment="1">
      <alignment horizontal="justify" wrapText="1"/>
    </xf>
    <xf numFmtId="0" fontId="28" fillId="0" borderId="31" xfId="0" applyFont="1" applyBorder="1" applyAlignment="1">
      <alignment horizontal="justify" wrapText="1"/>
    </xf>
    <xf numFmtId="0" fontId="31" fillId="0" borderId="54" xfId="0" applyFont="1" applyBorder="1" applyAlignment="1">
      <alignment wrapText="1"/>
    </xf>
    <xf numFmtId="0" fontId="31" fillId="0" borderId="27" xfId="0" applyFont="1" applyBorder="1" applyAlignment="1">
      <alignment wrapText="1"/>
    </xf>
    <xf numFmtId="0" fontId="31" fillId="0" borderId="23" xfId="0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0" fontId="31" fillId="0" borderId="43" xfId="0" applyFont="1" applyBorder="1" applyAlignment="1">
      <alignment horizontal="justify" wrapText="1"/>
    </xf>
    <xf numFmtId="0" fontId="31" fillId="0" borderId="43" xfId="0" applyFont="1" applyBorder="1" applyAlignment="1">
      <alignment wrapText="1"/>
    </xf>
    <xf numFmtId="3" fontId="28" fillId="26" borderId="0" xfId="0" applyNumberFormat="1" applyFont="1" applyFill="1" applyAlignment="1">
      <alignment horizontal="right" wrapText="1"/>
    </xf>
    <xf numFmtId="0" fontId="31" fillId="26" borderId="37" xfId="0" applyFont="1" applyFill="1" applyBorder="1" applyAlignment="1">
      <alignment horizontal="justify"/>
    </xf>
    <xf numFmtId="0" fontId="30" fillId="0" borderId="18" xfId="0" applyFont="1" applyBorder="1" applyAlignment="1">
      <alignment horizontal="justify"/>
    </xf>
    <xf numFmtId="0" fontId="28" fillId="0" borderId="33" xfId="0" applyFont="1" applyBorder="1" applyAlignment="1">
      <alignment wrapText="1"/>
    </xf>
    <xf numFmtId="0" fontId="31" fillId="0" borderId="54" xfId="0" applyFont="1" applyBorder="1" applyAlignment="1">
      <alignment horizontal="left"/>
    </xf>
    <xf numFmtId="0" fontId="31" fillId="0" borderId="27" xfId="0" applyFont="1" applyBorder="1" applyAlignment="1">
      <alignment horizontal="left"/>
    </xf>
    <xf numFmtId="3" fontId="31" fillId="26" borderId="37" xfId="0" applyNumberFormat="1" applyFont="1" applyFill="1" applyBorder="1" applyAlignment="1">
      <alignment wrapText="1"/>
    </xf>
    <xf numFmtId="3" fontId="30" fillId="0" borderId="18" xfId="0" applyNumberFormat="1" applyFont="1" applyBorder="1" applyAlignment="1">
      <alignment wrapText="1"/>
    </xf>
    <xf numFmtId="0" fontId="31" fillId="0" borderId="27" xfId="0" applyFont="1" applyBorder="1"/>
    <xf numFmtId="3" fontId="28" fillId="26" borderId="0" xfId="0" applyNumberFormat="1" applyFont="1" applyFill="1"/>
    <xf numFmtId="0" fontId="32" fillId="0" borderId="0" xfId="0" applyFont="1" applyAlignment="1">
      <alignment horizontal="right" wrapText="1"/>
    </xf>
    <xf numFmtId="0" fontId="28" fillId="0" borderId="29" xfId="0" applyFont="1" applyBorder="1" applyAlignment="1">
      <alignment horizontal="left" wrapText="1"/>
    </xf>
    <xf numFmtId="0" fontId="31" fillId="0" borderId="37" xfId="0" applyFont="1" applyBorder="1" applyAlignment="1">
      <alignment horizontal="justify" wrapText="1"/>
    </xf>
    <xf numFmtId="0" fontId="31" fillId="26" borderId="21" xfId="0" applyFont="1" applyFill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43" fillId="0" borderId="26" xfId="0" applyFont="1" applyBorder="1" applyAlignment="1">
      <alignment horizontal="left" wrapText="1"/>
    </xf>
    <xf numFmtId="0" fontId="28" fillId="26" borderId="21" xfId="0" applyFont="1" applyFill="1" applyBorder="1" applyAlignment="1">
      <alignment horizontal="left" wrapText="1"/>
    </xf>
    <xf numFmtId="0" fontId="28" fillId="26" borderId="33" xfId="0" applyFont="1" applyFill="1" applyBorder="1" applyAlignment="1">
      <alignment horizontal="left" wrapText="1"/>
    </xf>
    <xf numFmtId="0" fontId="31" fillId="0" borderId="50" xfId="0" applyFont="1" applyBorder="1" applyAlignment="1">
      <alignment horizontal="left" wrapText="1"/>
    </xf>
    <xf numFmtId="0" fontId="43" fillId="0" borderId="48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/>
    </xf>
    <xf numFmtId="0" fontId="28" fillId="0" borderId="33" xfId="0" applyFont="1" applyBorder="1" applyAlignment="1">
      <alignment horizontal="left" wrapText="1"/>
    </xf>
    <xf numFmtId="0" fontId="33" fillId="0" borderId="26" xfId="0" applyFont="1" applyBorder="1" applyAlignment="1">
      <alignment horizontal="left" wrapText="1"/>
    </xf>
    <xf numFmtId="0" fontId="28" fillId="0" borderId="60" xfId="0" applyFont="1" applyBorder="1" applyAlignment="1">
      <alignment horizontal="left" wrapText="1"/>
    </xf>
    <xf numFmtId="0" fontId="28" fillId="0" borderId="34" xfId="0" applyFont="1" applyBorder="1" applyAlignment="1">
      <alignment horizontal="left" wrapText="1"/>
    </xf>
    <xf numFmtId="0" fontId="43" fillId="0" borderId="34" xfId="0" applyFont="1" applyBorder="1" applyAlignment="1">
      <alignment horizontal="left" wrapText="1"/>
    </xf>
    <xf numFmtId="0" fontId="43" fillId="0" borderId="25" xfId="0" applyFont="1" applyBorder="1" applyAlignment="1">
      <alignment horizontal="left" wrapText="1"/>
    </xf>
    <xf numFmtId="0" fontId="28" fillId="0" borderId="21" xfId="0" applyFont="1" applyBorder="1" applyAlignment="1">
      <alignment horizontal="left" wrapText="1" shrinkToFit="1"/>
    </xf>
    <xf numFmtId="0" fontId="28" fillId="0" borderId="33" xfId="0" applyFont="1" applyBorder="1" applyAlignment="1">
      <alignment horizontal="left" wrapText="1" shrinkToFit="1"/>
    </xf>
    <xf numFmtId="0" fontId="31" fillId="0" borderId="29" xfId="0" applyFont="1" applyBorder="1" applyAlignment="1">
      <alignment horizontal="left" wrapText="1"/>
    </xf>
    <xf numFmtId="0" fontId="30" fillId="0" borderId="29" xfId="0" applyFont="1" applyBorder="1" applyAlignment="1">
      <alignment horizontal="left" wrapText="1"/>
    </xf>
    <xf numFmtId="0" fontId="30" fillId="0" borderId="0" xfId="0" applyFont="1" applyAlignment="1">
      <alignment horizontal="center" wrapText="1"/>
    </xf>
    <xf numFmtId="0" fontId="28" fillId="0" borderId="0" xfId="0" applyFont="1" applyAlignment="1">
      <alignment horizontal="left" wrapText="1"/>
    </xf>
    <xf numFmtId="0" fontId="28" fillId="0" borderId="27" xfId="0" applyFont="1" applyBorder="1" applyAlignment="1">
      <alignment horizontal="left" wrapText="1"/>
    </xf>
    <xf numFmtId="0" fontId="28" fillId="0" borderId="73" xfId="0" applyFont="1" applyBorder="1" applyAlignment="1">
      <alignment horizontal="justify" wrapText="1"/>
    </xf>
    <xf numFmtId="0" fontId="31" fillId="0" borderId="43" xfId="0" applyFont="1" applyBorder="1" applyAlignment="1">
      <alignment horizontal="left" wrapText="1"/>
    </xf>
    <xf numFmtId="0" fontId="28" fillId="0" borderId="18" xfId="0" applyFont="1" applyBorder="1" applyAlignment="1">
      <alignment horizontal="left" wrapText="1"/>
    </xf>
    <xf numFmtId="0" fontId="28" fillId="26" borderId="57" xfId="0" applyFont="1" applyFill="1" applyBorder="1"/>
    <xf numFmtId="0" fontId="28" fillId="0" borderId="21" xfId="0" applyFont="1" applyBorder="1" applyAlignment="1">
      <alignment horizontal="justify"/>
    </xf>
    <xf numFmtId="164" fontId="28" fillId="0" borderId="0" xfId="36" applyFont="1"/>
    <xf numFmtId="0" fontId="28" fillId="0" borderId="0" xfId="0" applyFont="1" applyAlignment="1">
      <alignment horizontal="right"/>
    </xf>
    <xf numFmtId="0" fontId="28" fillId="26" borderId="62" xfId="0" applyFont="1" applyFill="1" applyBorder="1"/>
    <xf numFmtId="0" fontId="26" fillId="0" borderId="31" xfId="0" applyFont="1" applyBorder="1"/>
    <xf numFmtId="0" fontId="30" fillId="0" borderId="43" xfId="0" applyFont="1" applyBorder="1" applyAlignment="1">
      <alignment horizontal="left"/>
    </xf>
    <xf numFmtId="0" fontId="28" fillId="0" borderId="34" xfId="0" applyFont="1" applyBorder="1"/>
    <xf numFmtId="0" fontId="31" fillId="0" borderId="43" xfId="0" applyFont="1" applyBorder="1" applyAlignment="1">
      <alignment horizontal="left"/>
    </xf>
    <xf numFmtId="3" fontId="31" fillId="0" borderId="25" xfId="0" applyNumberFormat="1" applyFont="1" applyBorder="1" applyAlignment="1">
      <alignment horizontal="center" wrapText="1"/>
    </xf>
    <xf numFmtId="3" fontId="31" fillId="0" borderId="29" xfId="0" applyNumberFormat="1" applyFont="1" applyBorder="1" applyAlignment="1">
      <alignment horizontal="center" wrapText="1"/>
    </xf>
    <xf numFmtId="0" fontId="28" fillId="26" borderId="31" xfId="0" applyFont="1" applyFill="1" applyBorder="1" applyAlignment="1">
      <alignment horizontal="left"/>
    </xf>
    <xf numFmtId="0" fontId="28" fillId="26" borderId="31" xfId="0" applyFont="1" applyFill="1" applyBorder="1" applyAlignment="1">
      <alignment horizontal="left" vertical="center" wrapText="1"/>
    </xf>
    <xf numFmtId="0" fontId="28" fillId="26" borderId="31" xfId="0" applyFont="1" applyFill="1" applyBorder="1" applyAlignment="1">
      <alignment horizontal="justify"/>
    </xf>
    <xf numFmtId="0" fontId="28" fillId="26" borderId="31" xfId="0" applyFont="1" applyFill="1" applyBorder="1" applyAlignment="1">
      <alignment horizontal="left" wrapText="1"/>
    </xf>
    <xf numFmtId="0" fontId="28" fillId="26" borderId="18" xfId="0" applyFont="1" applyFill="1" applyBorder="1" applyAlignment="1">
      <alignment horizontal="left" wrapText="1"/>
    </xf>
    <xf numFmtId="3" fontId="28" fillId="26" borderId="0" xfId="0" applyNumberFormat="1" applyFont="1" applyFill="1" applyProtection="1">
      <protection locked="0"/>
    </xf>
    <xf numFmtId="0" fontId="44" fillId="0" borderId="0" xfId="48" applyFont="1"/>
    <xf numFmtId="0" fontId="28" fillId="0" borderId="23" xfId="48" applyFont="1" applyBorder="1"/>
    <xf numFmtId="0" fontId="28" fillId="0" borderId="27" xfId="48" applyFont="1" applyBorder="1"/>
    <xf numFmtId="0" fontId="31" fillId="0" borderId="23" xfId="48" applyFont="1" applyBorder="1"/>
    <xf numFmtId="0" fontId="31" fillId="0" borderId="43" xfId="48" applyFont="1" applyBorder="1"/>
    <xf numFmtId="0" fontId="31" fillId="0" borderId="63" xfId="48" applyFont="1" applyBorder="1" applyAlignment="1">
      <alignment horizontal="left"/>
    </xf>
    <xf numFmtId="0" fontId="31" fillId="0" borderId="25" xfId="48" applyFont="1" applyBorder="1" applyAlignment="1">
      <alignment horizontal="center"/>
    </xf>
    <xf numFmtId="0" fontId="31" fillId="0" borderId="26" xfId="48" applyFont="1" applyBorder="1" applyAlignment="1">
      <alignment horizontal="justify"/>
    </xf>
    <xf numFmtId="0" fontId="31" fillId="0" borderId="34" xfId="48" applyFont="1" applyBorder="1" applyAlignment="1">
      <alignment horizontal="justify"/>
    </xf>
    <xf numFmtId="0" fontId="28" fillId="0" borderId="19" xfId="48" applyFont="1" applyBorder="1" applyAlignment="1">
      <alignment horizontal="left" wrapText="1"/>
    </xf>
    <xf numFmtId="0" fontId="31" fillId="0" borderId="48" xfId="48" applyFont="1" applyBorder="1" applyAlignment="1">
      <alignment horizontal="left"/>
    </xf>
    <xf numFmtId="0" fontId="41" fillId="0" borderId="0" xfId="48" applyFont="1"/>
    <xf numFmtId="0" fontId="27" fillId="0" borderId="28" xfId="48" applyFont="1" applyBorder="1" applyAlignment="1">
      <alignment horizontal="center"/>
    </xf>
    <xf numFmtId="0" fontId="27" fillId="0" borderId="24" xfId="48" applyFont="1" applyBorder="1" applyAlignment="1">
      <alignment horizontal="center"/>
    </xf>
    <xf numFmtId="0" fontId="27" fillId="0" borderId="19" xfId="48" applyFont="1" applyBorder="1" applyAlignment="1">
      <alignment horizontal="left"/>
    </xf>
    <xf numFmtId="0" fontId="27" fillId="0" borderId="32" xfId="48" applyFont="1" applyBorder="1" applyAlignment="1">
      <alignment horizontal="left"/>
    </xf>
    <xf numFmtId="0" fontId="27" fillId="0" borderId="40" xfId="48" applyFont="1" applyBorder="1" applyAlignment="1">
      <alignment horizontal="center"/>
    </xf>
    <xf numFmtId="0" fontId="29" fillId="0" borderId="47" xfId="48" applyFont="1" applyBorder="1" applyAlignment="1">
      <alignment horizontal="center"/>
    </xf>
    <xf numFmtId="0" fontId="29" fillId="0" borderId="0" xfId="48" applyFont="1" applyAlignment="1">
      <alignment horizontal="justify"/>
    </xf>
    <xf numFmtId="0" fontId="29" fillId="0" borderId="64" xfId="48" applyFont="1" applyBorder="1" applyAlignment="1">
      <alignment horizontal="justify"/>
    </xf>
    <xf numFmtId="0" fontId="27" fillId="0" borderId="19" xfId="48" applyFont="1" applyBorder="1" applyAlignment="1">
      <alignment horizontal="left" wrapText="1"/>
    </xf>
    <xf numFmtId="0" fontId="31" fillId="0" borderId="0" xfId="48" applyFont="1"/>
    <xf numFmtId="3" fontId="28" fillId="0" borderId="0" xfId="48" applyNumberFormat="1" applyFont="1"/>
    <xf numFmtId="0" fontId="31" fillId="0" borderId="18" xfId="48" applyFont="1" applyBorder="1" applyAlignment="1">
      <alignment horizontal="right"/>
    </xf>
    <xf numFmtId="0" fontId="31" fillId="0" borderId="24" xfId="48" applyFont="1" applyBorder="1"/>
    <xf numFmtId="0" fontId="31" fillId="0" borderId="11" xfId="48" applyFont="1" applyBorder="1" applyAlignment="1">
      <alignment horizontal="right"/>
    </xf>
    <xf numFmtId="0" fontId="31" fillId="0" borderId="49" xfId="48" applyFont="1" applyBorder="1" applyAlignment="1">
      <alignment horizontal="center"/>
    </xf>
    <xf numFmtId="0" fontId="31" fillId="0" borderId="63" xfId="48" applyFont="1" applyBorder="1" applyAlignment="1">
      <alignment horizontal="right"/>
    </xf>
    <xf numFmtId="0" fontId="31" fillId="0" borderId="47" xfId="48" applyFont="1" applyBorder="1"/>
    <xf numFmtId="0" fontId="28" fillId="0" borderId="19" xfId="48" applyFont="1" applyBorder="1"/>
    <xf numFmtId="3" fontId="28" fillId="0" borderId="19" xfId="0" applyNumberFormat="1" applyFont="1" applyBorder="1" applyAlignment="1">
      <alignment horizontal="justify"/>
    </xf>
    <xf numFmtId="0" fontId="31" fillId="0" borderId="49" xfId="48" applyFont="1" applyBorder="1"/>
    <xf numFmtId="0" fontId="38" fillId="0" borderId="0" xfId="48" applyFont="1"/>
    <xf numFmtId="0" fontId="30" fillId="0" borderId="18" xfId="48" applyFont="1" applyBorder="1" applyAlignment="1">
      <alignment horizontal="left"/>
    </xf>
    <xf numFmtId="0" fontId="30" fillId="0" borderId="0" xfId="48" applyFont="1"/>
    <xf numFmtId="0" fontId="28" fillId="0" borderId="32" xfId="48" applyFont="1" applyBorder="1" applyAlignment="1">
      <alignment wrapText="1"/>
    </xf>
    <xf numFmtId="3" fontId="28" fillId="0" borderId="0" xfId="0" applyNumberFormat="1" applyFont="1" applyAlignment="1">
      <alignment horizontal="justify"/>
    </xf>
    <xf numFmtId="0" fontId="28" fillId="0" borderId="43" xfId="48" applyFont="1" applyBorder="1" applyAlignment="1">
      <alignment horizontal="right"/>
    </xf>
    <xf numFmtId="0" fontId="31" fillId="0" borderId="40" xfId="48" applyFont="1" applyBorder="1"/>
    <xf numFmtId="0" fontId="31" fillId="0" borderId="27" xfId="48" applyFont="1" applyBorder="1" applyAlignment="1">
      <alignment horizontal="right"/>
    </xf>
    <xf numFmtId="0" fontId="31" fillId="0" borderId="28" xfId="48" applyFont="1" applyBorder="1"/>
    <xf numFmtId="0" fontId="38" fillId="0" borderId="0" xfId="50" applyFont="1"/>
    <xf numFmtId="0" fontId="31" fillId="0" borderId="0" xfId="50" applyFont="1" applyAlignment="1">
      <alignment horizontal="center"/>
    </xf>
    <xf numFmtId="0" fontId="28" fillId="0" borderId="0" xfId="50" applyFont="1"/>
    <xf numFmtId="3" fontId="28" fillId="0" borderId="0" xfId="50" applyNumberFormat="1" applyFont="1"/>
    <xf numFmtId="0" fontId="28" fillId="0" borderId="0" xfId="50" applyFont="1" applyAlignment="1">
      <alignment horizontal="right"/>
    </xf>
    <xf numFmtId="0" fontId="31" fillId="0" borderId="23" xfId="50" applyFont="1" applyBorder="1" applyAlignment="1">
      <alignment horizontal="center"/>
    </xf>
    <xf numFmtId="0" fontId="28" fillId="0" borderId="25" xfId="50" applyFont="1" applyBorder="1" applyAlignment="1">
      <alignment horizontal="center"/>
    </xf>
    <xf numFmtId="0" fontId="28" fillId="0" borderId="18" xfId="50" applyFont="1" applyBorder="1"/>
    <xf numFmtId="0" fontId="28" fillId="0" borderId="26" xfId="50" applyFont="1" applyBorder="1" applyAlignment="1">
      <alignment horizontal="center"/>
    </xf>
    <xf numFmtId="0" fontId="28" fillId="0" borderId="27" xfId="50" applyFont="1" applyBorder="1"/>
    <xf numFmtId="0" fontId="28" fillId="0" borderId="29" xfId="50" applyFont="1" applyBorder="1" applyAlignment="1">
      <alignment horizontal="center" vertical="center" wrapText="1"/>
    </xf>
    <xf numFmtId="3" fontId="31" fillId="0" borderId="0" xfId="50" applyNumberFormat="1" applyFont="1"/>
    <xf numFmtId="0" fontId="28" fillId="0" borderId="73" xfId="50" applyFont="1" applyBorder="1"/>
    <xf numFmtId="3" fontId="28" fillId="0" borderId="70" xfId="50" applyNumberFormat="1" applyFont="1" applyBorder="1"/>
    <xf numFmtId="3" fontId="28" fillId="0" borderId="29" xfId="50" applyNumberFormat="1" applyFont="1" applyBorder="1"/>
    <xf numFmtId="0" fontId="31" fillId="0" borderId="43" xfId="50" applyFont="1" applyBorder="1" applyAlignment="1">
      <alignment horizontal="justify"/>
    </xf>
    <xf numFmtId="3" fontId="31" fillId="0" borderId="37" xfId="50" applyNumberFormat="1" applyFont="1" applyBorder="1"/>
    <xf numFmtId="0" fontId="31" fillId="0" borderId="0" xfId="50" applyFont="1"/>
    <xf numFmtId="0" fontId="28" fillId="0" borderId="18" xfId="50" applyFont="1" applyBorder="1" applyAlignment="1">
      <alignment horizontal="justify"/>
    </xf>
    <xf numFmtId="3" fontId="28" fillId="0" borderId="35" xfId="50" applyNumberFormat="1" applyFont="1" applyBorder="1"/>
    <xf numFmtId="3" fontId="28" fillId="0" borderId="26" xfId="50" applyNumberFormat="1" applyFont="1" applyBorder="1"/>
    <xf numFmtId="0" fontId="31" fillId="0" borderId="43" xfId="50" applyFont="1" applyBorder="1"/>
    <xf numFmtId="2" fontId="28" fillId="0" borderId="0" xfId="50" applyNumberFormat="1" applyFont="1"/>
    <xf numFmtId="3" fontId="38" fillId="0" borderId="0" xfId="50" applyNumberFormat="1" applyFont="1"/>
    <xf numFmtId="0" fontId="28" fillId="0" borderId="29" xfId="50" applyFont="1" applyBorder="1" applyAlignment="1">
      <alignment horizontal="justify"/>
    </xf>
    <xf numFmtId="0" fontId="28" fillId="0" borderId="23" xfId="50" applyFont="1" applyBorder="1" applyAlignment="1">
      <alignment horizontal="justify"/>
    </xf>
    <xf numFmtId="0" fontId="28" fillId="0" borderId="23" xfId="0" applyFont="1" applyBorder="1" applyAlignment="1">
      <alignment horizontal="center"/>
    </xf>
    <xf numFmtId="0" fontId="28" fillId="0" borderId="67" xfId="0" applyFont="1" applyBorder="1" applyAlignment="1">
      <alignment horizontal="center" wrapText="1"/>
    </xf>
    <xf numFmtId="0" fontId="28" fillId="0" borderId="16" xfId="0" applyFont="1" applyBorder="1" applyAlignment="1">
      <alignment horizontal="center" wrapText="1"/>
    </xf>
    <xf numFmtId="0" fontId="31" fillId="0" borderId="68" xfId="0" applyFont="1" applyBorder="1"/>
    <xf numFmtId="0" fontId="28" fillId="0" borderId="68" xfId="0" applyFont="1" applyBorder="1"/>
    <xf numFmtId="0" fontId="28" fillId="0" borderId="17" xfId="0" applyFont="1" applyBorder="1"/>
    <xf numFmtId="4" fontId="28" fillId="0" borderId="0" xfId="0" applyNumberFormat="1" applyFont="1"/>
    <xf numFmtId="3" fontId="28" fillId="0" borderId="22" xfId="0" applyNumberFormat="1" applyFont="1" applyBorder="1"/>
    <xf numFmtId="3" fontId="28" fillId="0" borderId="46" xfId="0" applyNumberFormat="1" applyFont="1" applyBorder="1"/>
    <xf numFmtId="3" fontId="28" fillId="0" borderId="10" xfId="0" applyNumberFormat="1" applyFont="1" applyBorder="1"/>
    <xf numFmtId="3" fontId="28" fillId="0" borderId="11" xfId="0" applyNumberFormat="1" applyFont="1" applyBorder="1"/>
    <xf numFmtId="3" fontId="28" fillId="0" borderId="13" xfId="0" applyNumberFormat="1" applyFont="1" applyBorder="1"/>
    <xf numFmtId="3" fontId="28" fillId="0" borderId="54" xfId="0" applyNumberFormat="1" applyFont="1" applyBorder="1"/>
    <xf numFmtId="3" fontId="28" fillId="0" borderId="69" xfId="0" applyNumberFormat="1" applyFont="1" applyBorder="1"/>
    <xf numFmtId="3" fontId="28" fillId="0" borderId="69" xfId="0" applyNumberFormat="1" applyFont="1" applyBorder="1" applyAlignment="1">
      <alignment horizontal="right"/>
    </xf>
    <xf numFmtId="3" fontId="31" fillId="0" borderId="27" xfId="0" applyNumberFormat="1" applyFont="1" applyBorder="1"/>
    <xf numFmtId="3" fontId="28" fillId="0" borderId="68" xfId="0" applyNumberFormat="1" applyFont="1" applyBorder="1"/>
    <xf numFmtId="3" fontId="31" fillId="0" borderId="68" xfId="0" applyNumberFormat="1" applyFont="1" applyBorder="1" applyAlignment="1">
      <alignment horizontal="right"/>
    </xf>
    <xf numFmtId="3" fontId="28" fillId="0" borderId="17" xfId="0" applyNumberFormat="1" applyFont="1" applyBorder="1"/>
    <xf numFmtId="165" fontId="28" fillId="0" borderId="0" xfId="36" applyNumberFormat="1" applyFont="1" applyFill="1"/>
    <xf numFmtId="0" fontId="27" fillId="0" borderId="32" xfId="48" applyFont="1" applyBorder="1" applyAlignment="1">
      <alignment horizontal="left" wrapText="1"/>
    </xf>
    <xf numFmtId="3" fontId="28" fillId="0" borderId="74" xfId="0" applyNumberFormat="1" applyFont="1" applyBorder="1"/>
    <xf numFmtId="3" fontId="28" fillId="0" borderId="33" xfId="0" applyNumberFormat="1" applyFont="1" applyBorder="1" applyAlignment="1">
      <alignment horizontal="left" wrapText="1"/>
    </xf>
    <xf numFmtId="0" fontId="28" fillId="0" borderId="21" xfId="0" applyFont="1" applyBorder="1" applyAlignment="1">
      <alignment wrapText="1"/>
    </xf>
    <xf numFmtId="3" fontId="32" fillId="0" borderId="21" xfId="0" applyNumberFormat="1" applyFont="1" applyBorder="1"/>
    <xf numFmtId="0" fontId="32" fillId="0" borderId="0" xfId="0" applyFont="1"/>
    <xf numFmtId="0" fontId="28" fillId="0" borderId="25" xfId="48" applyFont="1" applyBorder="1" applyAlignment="1">
      <alignment horizontal="right"/>
    </xf>
    <xf numFmtId="3" fontId="31" fillId="0" borderId="0" xfId="48" applyNumberFormat="1" applyFont="1" applyAlignment="1">
      <alignment horizontal="center"/>
    </xf>
    <xf numFmtId="0" fontId="28" fillId="0" borderId="32" xfId="48" applyFont="1" applyBorder="1" applyAlignment="1">
      <alignment horizontal="left" wrapText="1"/>
    </xf>
    <xf numFmtId="0" fontId="28" fillId="0" borderId="40" xfId="48" applyFont="1" applyBorder="1"/>
    <xf numFmtId="3" fontId="28" fillId="0" borderId="21" xfId="48" applyNumberFormat="1" applyFont="1" applyBorder="1" applyAlignment="1">
      <alignment horizontal="right"/>
    </xf>
    <xf numFmtId="0" fontId="28" fillId="0" borderId="26" xfId="48" applyFont="1" applyBorder="1" applyAlignment="1">
      <alignment horizontal="right"/>
    </xf>
    <xf numFmtId="0" fontId="28" fillId="0" borderId="48" xfId="48" applyFont="1" applyBorder="1" applyAlignment="1">
      <alignment horizontal="right"/>
    </xf>
    <xf numFmtId="3" fontId="28" fillId="26" borderId="58" xfId="0" applyNumberFormat="1" applyFont="1" applyFill="1" applyBorder="1"/>
    <xf numFmtId="3" fontId="28" fillId="26" borderId="18" xfId="0" applyNumberFormat="1" applyFont="1" applyFill="1" applyBorder="1"/>
    <xf numFmtId="3" fontId="28" fillId="0" borderId="58" xfId="0" applyNumberFormat="1" applyFont="1" applyBorder="1" applyAlignment="1">
      <alignment wrapText="1"/>
    </xf>
    <xf numFmtId="3" fontId="28" fillId="0" borderId="58" xfId="0" applyNumberFormat="1" applyFont="1" applyBorder="1"/>
    <xf numFmtId="3" fontId="28" fillId="26" borderId="30" xfId="0" applyNumberFormat="1" applyFont="1" applyFill="1" applyBorder="1"/>
    <xf numFmtId="3" fontId="28" fillId="0" borderId="58" xfId="0" applyNumberFormat="1" applyFont="1" applyBorder="1" applyAlignment="1">
      <alignment horizontal="right" wrapText="1"/>
    </xf>
    <xf numFmtId="3" fontId="28" fillId="26" borderId="58" xfId="0" applyNumberFormat="1" applyFont="1" applyFill="1" applyBorder="1" applyAlignment="1">
      <alignment horizontal="right"/>
    </xf>
    <xf numFmtId="3" fontId="28" fillId="0" borderId="58" xfId="0" applyNumberFormat="1" applyFont="1" applyBorder="1" applyAlignment="1">
      <alignment horizontal="right"/>
    </xf>
    <xf numFmtId="3" fontId="30" fillId="0" borderId="26" xfId="0" applyNumberFormat="1" applyFont="1" applyBorder="1" applyAlignment="1">
      <alignment horizontal="center"/>
    </xf>
    <xf numFmtId="3" fontId="31" fillId="0" borderId="26" xfId="0" applyNumberFormat="1" applyFont="1" applyBorder="1" applyAlignment="1">
      <alignment horizontal="center" wrapText="1"/>
    </xf>
    <xf numFmtId="3" fontId="30" fillId="0" borderId="0" xfId="0" applyNumberFormat="1" applyFont="1" applyAlignment="1">
      <alignment horizontal="left" wrapText="1"/>
    </xf>
    <xf numFmtId="3" fontId="31" fillId="26" borderId="43" xfId="0" applyNumberFormat="1" applyFont="1" applyFill="1" applyBorder="1"/>
    <xf numFmtId="3" fontId="31" fillId="0" borderId="0" xfId="0" applyNumberFormat="1" applyFont="1" applyAlignment="1">
      <alignment horizontal="right"/>
    </xf>
    <xf numFmtId="3" fontId="31" fillId="0" borderId="29" xfId="0" applyNumberFormat="1" applyFont="1" applyBorder="1" applyAlignment="1">
      <alignment horizontal="right"/>
    </xf>
    <xf numFmtId="3" fontId="28" fillId="0" borderId="58" xfId="51" applyNumberFormat="1" applyFont="1" applyBorder="1" applyAlignment="1">
      <alignment horizontal="right" wrapText="1"/>
    </xf>
    <xf numFmtId="3" fontId="28" fillId="0" borderId="21" xfId="51" applyNumberFormat="1" applyFont="1" applyBorder="1" applyAlignment="1">
      <alignment horizontal="right" vertical="top" wrapText="1"/>
    </xf>
    <xf numFmtId="3" fontId="28" fillId="0" borderId="60" xfId="51" applyNumberFormat="1" applyFont="1" applyBorder="1" applyAlignment="1">
      <alignment horizontal="right" vertical="top" wrapText="1"/>
    </xf>
    <xf numFmtId="3" fontId="31" fillId="0" borderId="41" xfId="0" applyNumberFormat="1" applyFont="1" applyBorder="1" applyAlignment="1">
      <alignment horizontal="right"/>
    </xf>
    <xf numFmtId="3" fontId="28" fillId="0" borderId="58" xfId="51" applyNumberFormat="1" applyFont="1" applyBorder="1" applyAlignment="1">
      <alignment horizontal="right" vertical="top" wrapText="1"/>
    </xf>
    <xf numFmtId="3" fontId="28" fillId="0" borderId="18" xfId="51" applyNumberFormat="1" applyFont="1" applyBorder="1" applyAlignment="1">
      <alignment horizontal="right" vertical="top" wrapText="1"/>
    </xf>
    <xf numFmtId="3" fontId="31" fillId="0" borderId="0" xfId="0" applyNumberFormat="1" applyFont="1" applyAlignment="1">
      <alignment horizontal="center" wrapText="1"/>
    </xf>
    <xf numFmtId="3" fontId="30" fillId="0" borderId="0" xfId="0" applyNumberFormat="1" applyFont="1" applyAlignment="1">
      <alignment wrapText="1"/>
    </xf>
    <xf numFmtId="3" fontId="31" fillId="0" borderId="40" xfId="0" applyNumberFormat="1" applyFont="1" applyBorder="1" applyAlignment="1">
      <alignment wrapText="1"/>
    </xf>
    <xf numFmtId="3" fontId="31" fillId="0" borderId="0" xfId="0" applyNumberFormat="1" applyFont="1" applyAlignment="1">
      <alignment wrapText="1"/>
    </xf>
    <xf numFmtId="3" fontId="31" fillId="26" borderId="25" xfId="0" applyNumberFormat="1" applyFont="1" applyFill="1" applyBorder="1" applyAlignment="1">
      <alignment horizontal="right" wrapText="1"/>
    </xf>
    <xf numFmtId="3" fontId="30" fillId="0" borderId="23" xfId="0" applyNumberFormat="1" applyFont="1" applyBorder="1" applyAlignment="1">
      <alignment horizontal="right" wrapText="1"/>
    </xf>
    <xf numFmtId="3" fontId="28" fillId="26" borderId="58" xfId="0" applyNumberFormat="1" applyFont="1" applyFill="1" applyBorder="1" applyAlignment="1">
      <alignment horizontal="right" wrapText="1"/>
    </xf>
    <xf numFmtId="3" fontId="28" fillId="0" borderId="18" xfId="0" applyNumberFormat="1" applyFont="1" applyBorder="1" applyAlignment="1">
      <alignment horizontal="right" wrapText="1"/>
    </xf>
    <xf numFmtId="3" fontId="30" fillId="0" borderId="18" xfId="0" applyNumberFormat="1" applyFont="1" applyBorder="1" applyAlignment="1">
      <alignment horizontal="right"/>
    </xf>
    <xf numFmtId="3" fontId="31" fillId="0" borderId="24" xfId="0" applyNumberFormat="1" applyFont="1" applyBorder="1"/>
    <xf numFmtId="3" fontId="31" fillId="26" borderId="37" xfId="0" applyNumberFormat="1" applyFont="1" applyFill="1" applyBorder="1" applyAlignment="1">
      <alignment horizontal="right" wrapText="1"/>
    </xf>
    <xf numFmtId="3" fontId="30" fillId="0" borderId="18" xfId="0" applyNumberFormat="1" applyFont="1" applyBorder="1" applyAlignment="1">
      <alignment horizontal="right" wrapText="1"/>
    </xf>
    <xf numFmtId="3" fontId="28" fillId="0" borderId="31" xfId="0" applyNumberFormat="1" applyFont="1" applyBorder="1" applyAlignment="1">
      <alignment horizontal="right" wrapText="1"/>
    </xf>
    <xf numFmtId="3" fontId="31" fillId="0" borderId="43" xfId="0" applyNumberFormat="1" applyFont="1" applyBorder="1" applyAlignment="1">
      <alignment horizontal="right" wrapText="1"/>
    </xf>
    <xf numFmtId="3" fontId="31" fillId="0" borderId="61" xfId="0" applyNumberFormat="1" applyFont="1" applyBorder="1" applyAlignment="1">
      <alignment horizontal="right"/>
    </xf>
    <xf numFmtId="3" fontId="28" fillId="0" borderId="0" xfId="0" applyNumberFormat="1" applyFont="1" applyAlignment="1">
      <alignment horizontal="left" wrapText="1"/>
    </xf>
    <xf numFmtId="3" fontId="43" fillId="0" borderId="26" xfId="0" applyNumberFormat="1" applyFont="1" applyBorder="1" applyAlignment="1">
      <alignment horizontal="right" wrapText="1"/>
    </xf>
    <xf numFmtId="3" fontId="33" fillId="0" borderId="26" xfId="0" applyNumberFormat="1" applyFont="1" applyBorder="1" applyAlignment="1">
      <alignment horizontal="right" wrapText="1"/>
    </xf>
    <xf numFmtId="3" fontId="28" fillId="0" borderId="21" xfId="0" applyNumberFormat="1" applyFont="1" applyBorder="1" applyAlignment="1">
      <alignment horizontal="right" wrapText="1" shrinkToFit="1"/>
    </xf>
    <xf numFmtId="3" fontId="28" fillId="0" borderId="73" xfId="0" applyNumberFormat="1" applyFont="1" applyBorder="1" applyAlignment="1">
      <alignment horizontal="right" wrapText="1"/>
    </xf>
    <xf numFmtId="3" fontId="28" fillId="26" borderId="57" xfId="0" applyNumberFormat="1" applyFont="1" applyFill="1" applyBorder="1" applyAlignment="1">
      <alignment horizontal="right"/>
    </xf>
    <xf numFmtId="3" fontId="28" fillId="0" borderId="33" xfId="0" applyNumberFormat="1" applyFont="1" applyBorder="1" applyAlignment="1">
      <alignment horizontal="right" wrapText="1"/>
    </xf>
    <xf numFmtId="3" fontId="28" fillId="26" borderId="21" xfId="0" applyNumberFormat="1" applyFont="1" applyFill="1" applyBorder="1" applyAlignment="1" applyProtection="1">
      <alignment horizontal="right"/>
      <protection locked="0"/>
    </xf>
    <xf numFmtId="3" fontId="28" fillId="0" borderId="21" xfId="0" applyNumberFormat="1" applyFont="1" applyBorder="1" applyAlignment="1" applyProtection="1">
      <alignment horizontal="right"/>
      <protection locked="0"/>
    </xf>
    <xf numFmtId="3" fontId="28" fillId="0" borderId="57" xfId="0" applyNumberFormat="1" applyFont="1" applyBorder="1" applyAlignment="1" applyProtection="1">
      <alignment horizontal="right"/>
      <protection locked="0"/>
    </xf>
    <xf numFmtId="3" fontId="28" fillId="0" borderId="33" xfId="0" applyNumberFormat="1" applyFont="1" applyBorder="1" applyAlignment="1" applyProtection="1">
      <alignment horizontal="right"/>
      <protection locked="0"/>
    </xf>
    <xf numFmtId="3" fontId="28" fillId="0" borderId="34" xfId="0" applyNumberFormat="1" applyFont="1" applyBorder="1" applyAlignment="1" applyProtection="1">
      <alignment horizontal="right"/>
      <protection locked="0"/>
    </xf>
    <xf numFmtId="3" fontId="28" fillId="26" borderId="31" xfId="0" applyNumberFormat="1" applyFont="1" applyFill="1" applyBorder="1" applyAlignment="1">
      <alignment horizontal="right"/>
    </xf>
    <xf numFmtId="3" fontId="28" fillId="26" borderId="31" xfId="0" applyNumberFormat="1" applyFont="1" applyFill="1" applyBorder="1" applyAlignment="1">
      <alignment horizontal="right" vertical="center" wrapText="1"/>
    </xf>
    <xf numFmtId="3" fontId="28" fillId="26" borderId="31" xfId="0" applyNumberFormat="1" applyFont="1" applyFill="1" applyBorder="1" applyAlignment="1">
      <alignment horizontal="right" wrapText="1"/>
    </xf>
    <xf numFmtId="3" fontId="28" fillId="26" borderId="18" xfId="0" applyNumberFormat="1" applyFont="1" applyFill="1" applyBorder="1" applyAlignment="1">
      <alignment horizontal="right" wrapText="1"/>
    </xf>
    <xf numFmtId="3" fontId="27" fillId="0" borderId="25" xfId="48" applyNumberFormat="1" applyFont="1" applyBorder="1" applyAlignment="1">
      <alignment horizontal="right"/>
    </xf>
    <xf numFmtId="3" fontId="27" fillId="0" borderId="21" xfId="48" applyNumberFormat="1" applyFont="1" applyBorder="1" applyAlignment="1">
      <alignment horizontal="right"/>
    </xf>
    <xf numFmtId="3" fontId="27" fillId="0" borderId="21" xfId="48" applyNumberFormat="1" applyFont="1" applyBorder="1" applyAlignment="1">
      <alignment horizontal="right" wrapText="1"/>
    </xf>
    <xf numFmtId="3" fontId="31" fillId="0" borderId="37" xfId="48" applyNumberFormat="1" applyFont="1" applyBorder="1" applyAlignment="1">
      <alignment horizontal="right"/>
    </xf>
    <xf numFmtId="3" fontId="31" fillId="0" borderId="25" xfId="48" applyNumberFormat="1" applyFont="1" applyBorder="1" applyAlignment="1">
      <alignment horizontal="right"/>
    </xf>
    <xf numFmtId="3" fontId="31" fillId="0" borderId="26" xfId="48" applyNumberFormat="1" applyFont="1" applyBorder="1" applyAlignment="1">
      <alignment horizontal="right"/>
    </xf>
    <xf numFmtId="3" fontId="28" fillId="0" borderId="34" xfId="48" applyNumberFormat="1" applyFont="1" applyBorder="1" applyAlignment="1">
      <alignment horizontal="right"/>
    </xf>
    <xf numFmtId="3" fontId="28" fillId="0" borderId="26" xfId="48" applyNumberFormat="1" applyFont="1" applyBorder="1" applyAlignment="1">
      <alignment horizontal="right"/>
    </xf>
    <xf numFmtId="3" fontId="29" fillId="0" borderId="26" xfId="48" applyNumberFormat="1" applyFont="1" applyBorder="1" applyAlignment="1">
      <alignment horizontal="right"/>
    </xf>
    <xf numFmtId="3" fontId="27" fillId="0" borderId="33" xfId="0" applyNumberFormat="1" applyFont="1" applyBorder="1" applyAlignment="1">
      <alignment horizontal="right"/>
    </xf>
    <xf numFmtId="3" fontId="28" fillId="0" borderId="21" xfId="48" applyNumberFormat="1" applyFont="1" applyBorder="1" applyAlignment="1">
      <alignment horizontal="right" wrapText="1"/>
    </xf>
    <xf numFmtId="3" fontId="31" fillId="0" borderId="48" xfId="48" applyNumberFormat="1" applyFont="1" applyBorder="1" applyAlignment="1">
      <alignment horizontal="right"/>
    </xf>
    <xf numFmtId="3" fontId="30" fillId="0" borderId="26" xfId="48" applyNumberFormat="1" applyFont="1" applyBorder="1" applyAlignment="1">
      <alignment horizontal="right"/>
    </xf>
    <xf numFmtId="3" fontId="31" fillId="0" borderId="29" xfId="48" applyNumberFormat="1" applyFont="1" applyBorder="1" applyAlignment="1">
      <alignment horizontal="right"/>
    </xf>
    <xf numFmtId="3" fontId="28" fillId="0" borderId="0" xfId="48" applyNumberFormat="1" applyFont="1" applyAlignment="1">
      <alignment horizontal="right"/>
    </xf>
    <xf numFmtId="0" fontId="28" fillId="0" borderId="76" xfId="0" applyFont="1" applyBorder="1" applyAlignment="1">
      <alignment horizontal="left"/>
    </xf>
    <xf numFmtId="3" fontId="28" fillId="0" borderId="70" xfId="0" applyNumberFormat="1" applyFont="1" applyBorder="1"/>
    <xf numFmtId="3" fontId="28" fillId="0" borderId="35" xfId="0" applyNumberFormat="1" applyFont="1" applyBorder="1"/>
    <xf numFmtId="0" fontId="28" fillId="0" borderId="77" xfId="46" applyFont="1" applyBorder="1" applyAlignment="1">
      <alignment wrapText="1"/>
    </xf>
    <xf numFmtId="3" fontId="28" fillId="0" borderId="33" xfId="0" applyNumberFormat="1" applyFont="1" applyBorder="1" applyAlignment="1">
      <alignment wrapText="1"/>
    </xf>
    <xf numFmtId="0" fontId="28" fillId="0" borderId="26" xfId="0" applyFont="1" applyBorder="1"/>
    <xf numFmtId="0" fontId="28" fillId="0" borderId="62" xfId="0" applyFont="1" applyBorder="1" applyAlignment="1">
      <alignment wrapText="1"/>
    </xf>
    <xf numFmtId="0" fontId="31" fillId="26" borderId="27" xfId="0" applyFont="1" applyFill="1" applyBorder="1" applyAlignment="1">
      <alignment horizontal="justify"/>
    </xf>
    <xf numFmtId="3" fontId="31" fillId="26" borderId="29" xfId="0" applyNumberFormat="1" applyFont="1" applyFill="1" applyBorder="1" applyAlignment="1">
      <alignment horizontal="right"/>
    </xf>
    <xf numFmtId="3" fontId="28" fillId="25" borderId="21" xfId="48" applyNumberFormat="1" applyFont="1" applyFill="1" applyBorder="1" applyAlignment="1">
      <alignment horizontal="right"/>
    </xf>
    <xf numFmtId="3" fontId="28" fillId="0" borderId="0" xfId="0" applyNumberFormat="1" applyFont="1" applyProtection="1">
      <protection locked="0"/>
    </xf>
    <xf numFmtId="3" fontId="27" fillId="0" borderId="21" xfId="0" applyNumberFormat="1" applyFont="1" applyBorder="1" applyAlignment="1">
      <alignment horizontal="right"/>
    </xf>
    <xf numFmtId="0" fontId="29" fillId="0" borderId="0" xfId="48" applyFont="1" applyAlignment="1">
      <alignment horizontal="left"/>
    </xf>
    <xf numFmtId="3" fontId="31" fillId="26" borderId="37" xfId="0" applyNumberFormat="1" applyFont="1" applyFill="1" applyBorder="1" applyAlignment="1" applyProtection="1">
      <alignment horizontal="right"/>
      <protection locked="0"/>
    </xf>
    <xf numFmtId="3" fontId="31" fillId="26" borderId="37" xfId="0" applyNumberFormat="1" applyFont="1" applyFill="1" applyBorder="1" applyProtection="1">
      <protection locked="0"/>
    </xf>
    <xf numFmtId="0" fontId="28" fillId="26" borderId="21" xfId="0" applyFont="1" applyFill="1" applyBorder="1"/>
    <xf numFmtId="3" fontId="30" fillId="26" borderId="37" xfId="0" applyNumberFormat="1" applyFont="1" applyFill="1" applyBorder="1" applyAlignment="1" applyProtection="1">
      <alignment horizontal="right"/>
      <protection locked="0"/>
    </xf>
    <xf numFmtId="0" fontId="31" fillId="26" borderId="43" xfId="0" applyFont="1" applyFill="1" applyBorder="1"/>
    <xf numFmtId="0" fontId="30" fillId="0" borderId="32" xfId="0" applyFont="1" applyBorder="1"/>
    <xf numFmtId="0" fontId="28" fillId="0" borderId="0" xfId="48" applyFont="1" applyAlignment="1">
      <alignment horizontal="left" wrapText="1"/>
    </xf>
    <xf numFmtId="3" fontId="28" fillId="0" borderId="26" xfId="48" applyNumberFormat="1" applyFont="1" applyBorder="1" applyAlignment="1">
      <alignment horizontal="right" wrapText="1"/>
    </xf>
    <xf numFmtId="3" fontId="28" fillId="25" borderId="26" xfId="48" applyNumberFormat="1" applyFont="1" applyFill="1" applyBorder="1"/>
    <xf numFmtId="3" fontId="46" fillId="0" borderId="0" xfId="47" applyNumberFormat="1" applyFont="1"/>
    <xf numFmtId="3" fontId="46" fillId="0" borderId="0" xfId="47" applyNumberFormat="1" applyFont="1" applyAlignment="1">
      <alignment horizontal="right"/>
    </xf>
    <xf numFmtId="3" fontId="46" fillId="0" borderId="0" xfId="47" applyNumberFormat="1" applyFont="1" applyAlignment="1">
      <alignment horizontal="center"/>
    </xf>
    <xf numFmtId="3" fontId="47" fillId="0" borderId="0" xfId="47" applyNumberFormat="1" applyFont="1"/>
    <xf numFmtId="0" fontId="46" fillId="0" borderId="0" xfId="47" applyFont="1"/>
    <xf numFmtId="3" fontId="46" fillId="0" borderId="25" xfId="47" applyNumberFormat="1" applyFont="1" applyBorder="1" applyAlignment="1">
      <alignment horizontal="center" vertical="center" wrapText="1"/>
    </xf>
    <xf numFmtId="3" fontId="46" fillId="0" borderId="0" xfId="47" applyNumberFormat="1" applyFont="1" applyAlignment="1">
      <alignment horizontal="justify"/>
    </xf>
    <xf numFmtId="3" fontId="47" fillId="0" borderId="0" xfId="47" applyNumberFormat="1" applyFont="1" applyAlignment="1">
      <alignment horizontal="justify"/>
    </xf>
    <xf numFmtId="3" fontId="46" fillId="0" borderId="26" xfId="47" applyNumberFormat="1" applyFont="1" applyBorder="1" applyAlignment="1">
      <alignment horizontal="center" vertical="center" wrapText="1"/>
    </xf>
    <xf numFmtId="3" fontId="46" fillId="0" borderId="28" xfId="47" applyNumberFormat="1" applyFont="1" applyBorder="1" applyAlignment="1">
      <alignment horizontal="center"/>
    </xf>
    <xf numFmtId="3" fontId="46" fillId="0" borderId="27" xfId="47" applyNumberFormat="1" applyFont="1" applyBorder="1"/>
    <xf numFmtId="3" fontId="46" fillId="0" borderId="28" xfId="47" applyNumberFormat="1" applyFont="1" applyBorder="1"/>
    <xf numFmtId="3" fontId="46" fillId="0" borderId="39" xfId="47" applyNumberFormat="1" applyFont="1" applyBorder="1"/>
    <xf numFmtId="3" fontId="46" fillId="0" borderId="27" xfId="47" applyNumberFormat="1" applyFont="1" applyBorder="1" applyAlignment="1">
      <alignment wrapText="1"/>
    </xf>
    <xf numFmtId="3" fontId="46" fillId="0" borderId="28" xfId="47" applyNumberFormat="1" applyFont="1" applyBorder="1" applyAlignment="1">
      <alignment wrapText="1"/>
    </xf>
    <xf numFmtId="3" fontId="46" fillId="0" borderId="39" xfId="47" applyNumberFormat="1" applyFont="1" applyBorder="1" applyAlignment="1">
      <alignment wrapText="1"/>
    </xf>
    <xf numFmtId="3" fontId="46" fillId="0" borderId="29" xfId="47" applyNumberFormat="1" applyFont="1" applyBorder="1" applyAlignment="1">
      <alignment vertical="center" wrapText="1"/>
    </xf>
    <xf numFmtId="3" fontId="48" fillId="0" borderId="29" xfId="47" applyNumberFormat="1" applyFont="1" applyBorder="1" applyAlignment="1">
      <alignment horizontal="center" wrapText="1"/>
    </xf>
    <xf numFmtId="3" fontId="47" fillId="0" borderId="0" xfId="47" applyNumberFormat="1" applyFont="1" applyAlignment="1">
      <alignment horizontal="center"/>
    </xf>
    <xf numFmtId="3" fontId="46" fillId="0" borderId="25" xfId="47" applyNumberFormat="1" applyFont="1" applyBorder="1" applyAlignment="1">
      <alignment horizontal="center" vertical="center"/>
    </xf>
    <xf numFmtId="3" fontId="46" fillId="0" borderId="25" xfId="47" applyNumberFormat="1" applyFont="1" applyBorder="1" applyAlignment="1">
      <alignment horizontal="right"/>
    </xf>
    <xf numFmtId="3" fontId="46" fillId="0" borderId="25" xfId="47" applyNumberFormat="1" applyFont="1" applyBorder="1" applyAlignment="1">
      <alignment horizontal="center"/>
    </xf>
    <xf numFmtId="3" fontId="49" fillId="0" borderId="35" xfId="47" applyNumberFormat="1" applyFont="1" applyBorder="1" applyAlignment="1">
      <alignment horizontal="left"/>
    </xf>
    <xf numFmtId="3" fontId="49" fillId="0" borderId="35" xfId="47" applyNumberFormat="1" applyFont="1" applyBorder="1" applyAlignment="1">
      <alignment horizontal="right"/>
    </xf>
    <xf numFmtId="3" fontId="46" fillId="0" borderId="35" xfId="47" applyNumberFormat="1" applyFont="1" applyBorder="1" applyAlignment="1">
      <alignment horizontal="right"/>
    </xf>
    <xf numFmtId="3" fontId="49" fillId="0" borderId="50" xfId="47" applyNumberFormat="1" applyFont="1" applyBorder="1" applyAlignment="1">
      <alignment horizontal="left"/>
    </xf>
    <xf numFmtId="3" fontId="49" fillId="0" borderId="41" xfId="47" applyNumberFormat="1" applyFont="1" applyBorder="1" applyAlignment="1">
      <alignment horizontal="left"/>
    </xf>
    <xf numFmtId="3" fontId="49" fillId="0" borderId="26" xfId="47" applyNumberFormat="1" applyFont="1" applyBorder="1" applyAlignment="1">
      <alignment horizontal="right"/>
    </xf>
    <xf numFmtId="3" fontId="46" fillId="0" borderId="41" xfId="47" applyNumberFormat="1" applyFont="1" applyBorder="1" applyAlignment="1">
      <alignment horizontal="right"/>
    </xf>
    <xf numFmtId="3" fontId="46" fillId="0" borderId="27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right"/>
    </xf>
    <xf numFmtId="3" fontId="46" fillId="0" borderId="27" xfId="47" applyNumberFormat="1" applyFont="1" applyBorder="1" applyAlignment="1">
      <alignment horizontal="right"/>
    </xf>
    <xf numFmtId="3" fontId="49" fillId="0" borderId="54" xfId="47" applyNumberFormat="1" applyFont="1" applyBorder="1" applyAlignment="1">
      <alignment horizontal="left"/>
    </xf>
    <xf numFmtId="3" fontId="49" fillId="0" borderId="37" xfId="47" applyNumberFormat="1" applyFont="1" applyBorder="1" applyAlignment="1">
      <alignment horizontal="right"/>
    </xf>
    <xf numFmtId="3" fontId="46" fillId="0" borderId="43" xfId="47" applyNumberFormat="1" applyFont="1" applyBorder="1" applyAlignment="1">
      <alignment horizontal="right"/>
    </xf>
    <xf numFmtId="3" fontId="46" fillId="0" borderId="54" xfId="47" applyNumberFormat="1" applyFont="1" applyBorder="1" applyAlignment="1">
      <alignment horizontal="left"/>
    </xf>
    <xf numFmtId="3" fontId="46" fillId="0" borderId="26" xfId="47" applyNumberFormat="1" applyFont="1" applyBorder="1" applyAlignment="1">
      <alignment horizontal="right"/>
    </xf>
    <xf numFmtId="3" fontId="46" fillId="0" borderId="26" xfId="47" applyNumberFormat="1" applyFont="1" applyBorder="1" applyAlignment="1">
      <alignment horizontal="center" vertical="center"/>
    </xf>
    <xf numFmtId="3" fontId="50" fillId="0" borderId="26" xfId="47" applyNumberFormat="1" applyFont="1" applyBorder="1" applyAlignment="1">
      <alignment horizontal="center"/>
    </xf>
    <xf numFmtId="3" fontId="46" fillId="0" borderId="38" xfId="47" applyNumberFormat="1" applyFont="1" applyBorder="1" applyAlignment="1">
      <alignment horizontal="right"/>
    </xf>
    <xf numFmtId="3" fontId="49" fillId="0" borderId="26" xfId="47" applyNumberFormat="1" applyFont="1" applyBorder="1" applyAlignment="1">
      <alignment horizontal="justify"/>
    </xf>
    <xf numFmtId="3" fontId="46" fillId="0" borderId="29" xfId="47" applyNumberFormat="1" applyFont="1" applyBorder="1" applyAlignment="1">
      <alignment horizontal="right"/>
    </xf>
    <xf numFmtId="3" fontId="49" fillId="0" borderId="50" xfId="47" applyNumberFormat="1" applyFont="1" applyBorder="1" applyAlignment="1">
      <alignment horizontal="right"/>
    </xf>
    <xf numFmtId="3" fontId="49" fillId="0" borderId="29" xfId="47" applyNumberFormat="1" applyFont="1" applyBorder="1" applyAlignment="1">
      <alignment horizontal="left"/>
    </xf>
    <xf numFmtId="3" fontId="49" fillId="0" borderId="48" xfId="47" applyNumberFormat="1" applyFont="1" applyBorder="1" applyAlignment="1">
      <alignment horizontal="right"/>
    </xf>
    <xf numFmtId="3" fontId="49" fillId="0" borderId="26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left"/>
    </xf>
    <xf numFmtId="3" fontId="50" fillId="0" borderId="25" xfId="47" applyNumberFormat="1" applyFont="1" applyBorder="1" applyAlignment="1">
      <alignment horizontal="center"/>
    </xf>
    <xf numFmtId="3" fontId="49" fillId="0" borderId="29" xfId="47" applyNumberFormat="1" applyFont="1" applyBorder="1" applyAlignment="1">
      <alignment horizontal="right"/>
    </xf>
    <xf numFmtId="3" fontId="46" fillId="0" borderId="23" xfId="47" applyNumberFormat="1" applyFont="1" applyBorder="1" applyAlignment="1">
      <alignment horizontal="right"/>
    </xf>
    <xf numFmtId="3" fontId="46" fillId="0" borderId="66" xfId="47" applyNumberFormat="1" applyFont="1" applyBorder="1" applyAlignment="1">
      <alignment horizontal="right"/>
    </xf>
    <xf numFmtId="3" fontId="49" fillId="0" borderId="21" xfId="47" applyNumberFormat="1" applyFont="1" applyBorder="1" applyAlignment="1">
      <alignment horizontal="left"/>
    </xf>
    <xf numFmtId="3" fontId="49" fillId="0" borderId="27" xfId="47" applyNumberFormat="1" applyFont="1" applyBorder="1" applyAlignment="1">
      <alignment horizontal="right"/>
    </xf>
    <xf numFmtId="3" fontId="49" fillId="0" borderId="39" xfId="47" applyNumberFormat="1" applyFont="1" applyBorder="1" applyAlignment="1">
      <alignment horizontal="right"/>
    </xf>
    <xf numFmtId="3" fontId="46" fillId="0" borderId="18" xfId="47" applyNumberFormat="1" applyFont="1" applyBorder="1" applyAlignment="1">
      <alignment horizontal="right"/>
    </xf>
    <xf numFmtId="3" fontId="49" fillId="0" borderId="35" xfId="47" applyNumberFormat="1" applyFont="1" applyBorder="1" applyAlignment="1">
      <alignment horizontal="justify"/>
    </xf>
    <xf numFmtId="3" fontId="49" fillId="0" borderId="10" xfId="47" applyNumberFormat="1" applyFont="1" applyBorder="1" applyAlignment="1">
      <alignment horizontal="right"/>
    </xf>
    <xf numFmtId="3" fontId="49" fillId="0" borderId="0" xfId="47" applyNumberFormat="1" applyFont="1" applyAlignment="1">
      <alignment horizontal="right"/>
    </xf>
    <xf numFmtId="3" fontId="49" fillId="0" borderId="41" xfId="47" applyNumberFormat="1" applyFont="1" applyBorder="1" applyAlignment="1">
      <alignment horizontal="left" vertical="center"/>
    </xf>
    <xf numFmtId="3" fontId="49" fillId="0" borderId="41" xfId="47" applyNumberFormat="1" applyFont="1" applyBorder="1" applyAlignment="1">
      <alignment horizontal="right"/>
    </xf>
    <xf numFmtId="3" fontId="49" fillId="0" borderId="53" xfId="47" applyNumberFormat="1" applyFont="1" applyBorder="1" applyAlignment="1">
      <alignment horizontal="right"/>
    </xf>
    <xf numFmtId="3" fontId="46" fillId="0" borderId="53" xfId="47" applyNumberFormat="1" applyFont="1" applyBorder="1" applyAlignment="1">
      <alignment horizontal="right"/>
    </xf>
    <xf numFmtId="3" fontId="47" fillId="0" borderId="28" xfId="47" applyNumberFormat="1" applyFont="1" applyBorder="1" applyAlignment="1">
      <alignment horizontal="justify"/>
    </xf>
    <xf numFmtId="3" fontId="46" fillId="0" borderId="26" xfId="47" applyNumberFormat="1" applyFont="1" applyBorder="1" applyAlignment="1">
      <alignment horizontal="left"/>
    </xf>
    <xf numFmtId="3" fontId="46" fillId="0" borderId="37" xfId="47" applyNumberFormat="1" applyFont="1" applyBorder="1" applyAlignment="1">
      <alignment horizontal="left" vertical="center"/>
    </xf>
    <xf numFmtId="3" fontId="46" fillId="0" borderId="29" xfId="47" applyNumberFormat="1" applyFont="1" applyBorder="1" applyAlignment="1">
      <alignment horizontal="left" vertical="center"/>
    </xf>
    <xf numFmtId="3" fontId="46" fillId="0" borderId="28" xfId="47" applyNumberFormat="1" applyFont="1" applyBorder="1" applyAlignment="1">
      <alignment horizontal="right"/>
    </xf>
    <xf numFmtId="3" fontId="47" fillId="0" borderId="0" xfId="47" applyNumberFormat="1" applyFont="1" applyAlignment="1">
      <alignment horizontal="right"/>
    </xf>
    <xf numFmtId="3" fontId="49" fillId="0" borderId="0" xfId="47" applyNumberFormat="1" applyFont="1"/>
    <xf numFmtId="3" fontId="52" fillId="0" borderId="0" xfId="47" applyNumberFormat="1" applyFont="1"/>
    <xf numFmtId="3" fontId="53" fillId="0" borderId="0" xfId="47" applyNumberFormat="1" applyFont="1" applyAlignment="1">
      <alignment horizontal="center"/>
    </xf>
    <xf numFmtId="3" fontId="53" fillId="0" borderId="0" xfId="47" applyNumberFormat="1" applyFont="1" applyAlignment="1">
      <alignment horizontal="justify"/>
    </xf>
    <xf numFmtId="3" fontId="46" fillId="0" borderId="29" xfId="47" applyNumberFormat="1" applyFont="1" applyBorder="1" applyAlignment="1">
      <alignment vertical="center"/>
    </xf>
    <xf numFmtId="3" fontId="53" fillId="0" borderId="0" xfId="47" applyNumberFormat="1" applyFont="1"/>
    <xf numFmtId="3" fontId="49" fillId="0" borderId="35" xfId="47" applyNumberFormat="1" applyFont="1" applyBorder="1"/>
    <xf numFmtId="3" fontId="54" fillId="0" borderId="35" xfId="47" applyNumberFormat="1" applyFont="1" applyBorder="1" applyAlignment="1">
      <alignment horizontal="right"/>
    </xf>
    <xf numFmtId="3" fontId="49" fillId="0" borderId="41" xfId="47" applyNumberFormat="1" applyFont="1" applyBorder="1" applyAlignment="1">
      <alignment horizontal="right" vertical="center"/>
    </xf>
    <xf numFmtId="3" fontId="53" fillId="0" borderId="28" xfId="47" applyNumberFormat="1" applyFont="1" applyBorder="1"/>
    <xf numFmtId="3" fontId="46" fillId="0" borderId="29" xfId="47" applyNumberFormat="1" applyFont="1" applyBorder="1" applyAlignment="1">
      <alignment horizontal="left"/>
    </xf>
    <xf numFmtId="3" fontId="52" fillId="0" borderId="0" xfId="47" applyNumberFormat="1" applyFont="1" applyAlignment="1">
      <alignment horizontal="right"/>
    </xf>
    <xf numFmtId="4" fontId="57" fillId="0" borderId="44" xfId="58" applyNumberFormat="1" applyFont="1" applyBorder="1" applyAlignment="1">
      <alignment horizontal="center"/>
    </xf>
    <xf numFmtId="4" fontId="57" fillId="0" borderId="37" xfId="58" applyNumberFormat="1" applyFont="1" applyBorder="1" applyAlignment="1">
      <alignment horizontal="center" wrapText="1"/>
    </xf>
    <xf numFmtId="4" fontId="57" fillId="0" borderId="43" xfId="58" applyNumberFormat="1" applyFont="1" applyBorder="1" applyAlignment="1">
      <alignment horizontal="center" wrapText="1"/>
    </xf>
    <xf numFmtId="4" fontId="57" fillId="0" borderId="44" xfId="58" applyNumberFormat="1" applyFont="1" applyBorder="1" applyAlignment="1">
      <alignment horizontal="center" wrapText="1"/>
    </xf>
    <xf numFmtId="4" fontId="57" fillId="0" borderId="29" xfId="58" applyNumberFormat="1" applyFont="1" applyBorder="1" applyAlignment="1">
      <alignment wrapText="1"/>
    </xf>
    <xf numFmtId="4" fontId="57" fillId="0" borderId="40" xfId="58" applyNumberFormat="1" applyFont="1" applyBorder="1" applyAlignment="1">
      <alignment horizontal="center" wrapText="1"/>
    </xf>
    <xf numFmtId="4" fontId="58" fillId="0" borderId="44" xfId="58" applyNumberFormat="1" applyFont="1" applyBorder="1" applyAlignment="1">
      <alignment horizontal="left" vertical="center" wrapText="1"/>
    </xf>
    <xf numFmtId="4" fontId="60" fillId="0" borderId="26" xfId="58" applyNumberFormat="1" applyFont="1" applyBorder="1" applyAlignment="1">
      <alignment horizontal="center"/>
    </xf>
    <xf numFmtId="4" fontId="31" fillId="0" borderId="25" xfId="58" applyNumberFormat="1" applyFont="1" applyBorder="1" applyAlignment="1">
      <alignment horizontal="justify"/>
    </xf>
    <xf numFmtId="4" fontId="31" fillId="0" borderId="66" xfId="58" applyNumberFormat="1" applyFont="1" applyBorder="1" applyAlignment="1">
      <alignment horizontal="justify"/>
    </xf>
    <xf numFmtId="4" fontId="57" fillId="0" borderId="37" xfId="58" applyNumberFormat="1" applyFont="1" applyBorder="1"/>
    <xf numFmtId="4" fontId="63" fillId="0" borderId="37" xfId="58" applyNumberFormat="1" applyFont="1" applyBorder="1"/>
    <xf numFmtId="4" fontId="60" fillId="0" borderId="25" xfId="58" applyNumberFormat="1" applyFont="1" applyBorder="1" applyAlignment="1">
      <alignment horizontal="center"/>
    </xf>
    <xf numFmtId="4" fontId="57" fillId="0" borderId="29" xfId="58" applyNumberFormat="1" applyFont="1" applyBorder="1"/>
    <xf numFmtId="4" fontId="57" fillId="0" borderId="29" xfId="58" applyNumberFormat="1" applyFont="1" applyBorder="1" applyAlignment="1">
      <alignment horizontal="left"/>
    </xf>
    <xf numFmtId="4" fontId="56" fillId="0" borderId="0" xfId="58" applyNumberFormat="1" applyFont="1"/>
    <xf numFmtId="4" fontId="57" fillId="0" borderId="0" xfId="58" applyNumberFormat="1" applyFont="1"/>
    <xf numFmtId="4" fontId="58" fillId="0" borderId="0" xfId="58" applyNumberFormat="1" applyFont="1"/>
    <xf numFmtId="4" fontId="57" fillId="0" borderId="0" xfId="58" applyNumberFormat="1" applyFont="1" applyAlignment="1">
      <alignment horizontal="right"/>
    </xf>
    <xf numFmtId="4" fontId="59" fillId="0" borderId="0" xfId="58" applyNumberFormat="1" applyFont="1"/>
    <xf numFmtId="4" fontId="57" fillId="0" borderId="25" xfId="60" applyNumberFormat="1" applyFont="1" applyBorder="1" applyAlignment="1">
      <alignment horizontal="center"/>
    </xf>
    <xf numFmtId="4" fontId="57" fillId="0" borderId="23" xfId="60" applyNumberFormat="1" applyFont="1" applyBorder="1" applyAlignment="1">
      <alignment horizontal="center"/>
    </xf>
    <xf numFmtId="4" fontId="57" fillId="0" borderId="26" xfId="60" applyNumberFormat="1" applyFont="1" applyBorder="1" applyAlignment="1">
      <alignment horizontal="center"/>
    </xf>
    <xf numFmtId="4" fontId="57" fillId="0" borderId="26" xfId="60" applyNumberFormat="1" applyFont="1" applyBorder="1" applyAlignment="1">
      <alignment horizontal="center" wrapText="1"/>
    </xf>
    <xf numFmtId="4" fontId="57" fillId="0" borderId="29" xfId="60" applyNumberFormat="1" applyFont="1" applyBorder="1" applyAlignment="1">
      <alignment horizontal="left"/>
    </xf>
    <xf numFmtId="4" fontId="57" fillId="0" borderId="40" xfId="58" applyNumberFormat="1" applyFont="1" applyBorder="1" applyAlignment="1">
      <alignment horizontal="center" vertical="center" wrapText="1"/>
    </xf>
    <xf numFmtId="4" fontId="57" fillId="0" borderId="44" xfId="58" applyNumberFormat="1" applyFont="1" applyBorder="1" applyAlignment="1">
      <alignment vertical="center" wrapText="1"/>
    </xf>
    <xf numFmtId="4" fontId="61" fillId="0" borderId="0" xfId="0" applyNumberFormat="1" applyFont="1" applyAlignment="1">
      <alignment horizontal="center" vertical="center" wrapText="1"/>
    </xf>
    <xf numFmtId="4" fontId="61" fillId="0" borderId="25" xfId="0" applyNumberFormat="1" applyFont="1" applyBorder="1" applyAlignment="1">
      <alignment horizontal="center" vertical="center" wrapText="1"/>
    </xf>
    <xf numFmtId="4" fontId="61" fillId="0" borderId="66" xfId="0" applyNumberFormat="1" applyFont="1" applyBorder="1" applyAlignment="1">
      <alignment horizontal="center" vertical="center" wrapText="1"/>
    </xf>
    <xf numFmtId="4" fontId="62" fillId="0" borderId="0" xfId="58" applyNumberFormat="1" applyFont="1" applyAlignment="1">
      <alignment horizontal="justify"/>
    </xf>
    <xf numFmtId="4" fontId="63" fillId="0" borderId="35" xfId="0" applyNumberFormat="1" applyFont="1" applyBorder="1" applyAlignment="1">
      <alignment horizontal="left"/>
    </xf>
    <xf numFmtId="4" fontId="64" fillId="0" borderId="26" xfId="0" applyNumberFormat="1" applyFont="1" applyBorder="1" applyAlignment="1">
      <alignment horizontal="right"/>
    </xf>
    <xf numFmtId="4" fontId="64" fillId="0" borderId="18" xfId="58" applyNumberFormat="1" applyFont="1" applyBorder="1" applyAlignment="1">
      <alignment horizontal="right"/>
    </xf>
    <xf numFmtId="4" fontId="51" fillId="0" borderId="26" xfId="58" applyNumberFormat="1" applyFont="1" applyBorder="1"/>
    <xf numFmtId="4" fontId="64" fillId="0" borderId="26" xfId="58" applyNumberFormat="1" applyFont="1" applyBorder="1"/>
    <xf numFmtId="4" fontId="64" fillId="0" borderId="38" xfId="58" applyNumberFormat="1" applyFont="1" applyBorder="1"/>
    <xf numFmtId="4" fontId="62" fillId="0" borderId="0" xfId="58" applyNumberFormat="1" applyFont="1"/>
    <xf numFmtId="4" fontId="63" fillId="0" borderId="50" xfId="0" applyNumberFormat="1" applyFont="1" applyBorder="1" applyAlignment="1">
      <alignment horizontal="left"/>
    </xf>
    <xf numFmtId="4" fontId="64" fillId="0" borderId="50" xfId="0" applyNumberFormat="1" applyFont="1" applyBorder="1" applyAlignment="1">
      <alignment horizontal="right"/>
    </xf>
    <xf numFmtId="4" fontId="64" fillId="0" borderId="63" xfId="58" applyNumberFormat="1" applyFont="1" applyBorder="1" applyAlignment="1">
      <alignment horizontal="right"/>
    </xf>
    <xf numFmtId="4" fontId="51" fillId="0" borderId="48" xfId="58" applyNumberFormat="1" applyFont="1" applyBorder="1"/>
    <xf numFmtId="4" fontId="64" fillId="0" borderId="48" xfId="58" applyNumberFormat="1" applyFont="1" applyBorder="1"/>
    <xf numFmtId="4" fontId="64" fillId="0" borderId="75" xfId="58" applyNumberFormat="1" applyFont="1" applyBorder="1"/>
    <xf numFmtId="4" fontId="64" fillId="0" borderId="50" xfId="58" applyNumberFormat="1" applyFont="1" applyBorder="1"/>
    <xf numFmtId="4" fontId="64" fillId="0" borderId="12" xfId="58" applyNumberFormat="1" applyFont="1" applyBorder="1"/>
    <xf numFmtId="4" fontId="64" fillId="0" borderId="11" xfId="58" applyNumberFormat="1" applyFont="1" applyBorder="1" applyAlignment="1">
      <alignment horizontal="right"/>
    </xf>
    <xf numFmtId="4" fontId="51" fillId="0" borderId="50" xfId="58" applyNumberFormat="1" applyFont="1" applyBorder="1"/>
    <xf numFmtId="4" fontId="65" fillId="0" borderId="50" xfId="58" applyNumberFormat="1" applyFont="1" applyBorder="1"/>
    <xf numFmtId="4" fontId="65" fillId="0" borderId="12" xfId="58" applyNumberFormat="1" applyFont="1" applyBorder="1"/>
    <xf numFmtId="4" fontId="64" fillId="0" borderId="48" xfId="58" applyNumberFormat="1" applyFont="1" applyBorder="1" applyAlignment="1">
      <alignment horizontal="justify"/>
    </xf>
    <xf numFmtId="4" fontId="64" fillId="0" borderId="75" xfId="58" applyNumberFormat="1" applyFont="1" applyBorder="1" applyAlignment="1">
      <alignment horizontal="justify"/>
    </xf>
    <xf numFmtId="4" fontId="55" fillId="0" borderId="11" xfId="58" applyNumberFormat="1" applyFont="1" applyBorder="1" applyAlignment="1">
      <alignment horizontal="right"/>
    </xf>
    <xf numFmtId="4" fontId="55" fillId="0" borderId="50" xfId="58" applyNumberFormat="1" applyFont="1" applyBorder="1"/>
    <xf numFmtId="4" fontId="64" fillId="0" borderId="35" xfId="0" applyNumberFormat="1" applyFont="1" applyBorder="1" applyAlignment="1">
      <alignment horizontal="right"/>
    </xf>
    <xf numFmtId="4" fontId="64" fillId="0" borderId="22" xfId="58" applyNumberFormat="1" applyFont="1" applyBorder="1" applyAlignment="1">
      <alignment horizontal="right"/>
    </xf>
    <xf numFmtId="4" fontId="51" fillId="0" borderId="35" xfId="58" applyNumberFormat="1" applyFont="1" applyBorder="1"/>
    <xf numFmtId="4" fontId="64" fillId="0" borderId="35" xfId="58" applyNumberFormat="1" applyFont="1" applyBorder="1"/>
    <xf numFmtId="4" fontId="64" fillId="0" borderId="14" xfId="58" applyNumberFormat="1" applyFont="1" applyBorder="1"/>
    <xf numFmtId="4" fontId="63" fillId="0" borderId="26" xfId="0" applyNumberFormat="1" applyFont="1" applyBorder="1" applyAlignment="1">
      <alignment horizontal="left"/>
    </xf>
    <xf numFmtId="4" fontId="55" fillId="0" borderId="27" xfId="58" applyNumberFormat="1" applyFont="1" applyBorder="1" applyAlignment="1">
      <alignment horizontal="right"/>
    </xf>
    <xf numFmtId="4" fontId="64" fillId="0" borderId="29" xfId="58" applyNumberFormat="1" applyFont="1" applyBorder="1"/>
    <xf numFmtId="4" fontId="55" fillId="0" borderId="29" xfId="58" applyNumberFormat="1" applyFont="1" applyBorder="1"/>
    <xf numFmtId="4" fontId="51" fillId="0" borderId="37" xfId="58" applyNumberFormat="1" applyFont="1" applyBorder="1" applyAlignment="1">
      <alignment horizontal="right"/>
    </xf>
    <xf numFmtId="4" fontId="51" fillId="0" borderId="43" xfId="58" applyNumberFormat="1" applyFont="1" applyBorder="1" applyAlignment="1">
      <alignment horizontal="right"/>
    </xf>
    <xf numFmtId="4" fontId="51" fillId="0" borderId="37" xfId="58" applyNumberFormat="1" applyFont="1" applyBorder="1"/>
    <xf numFmtId="4" fontId="64" fillId="0" borderId="26" xfId="58" applyNumberFormat="1" applyFont="1" applyBorder="1" applyAlignment="1">
      <alignment horizontal="right"/>
    </xf>
    <xf numFmtId="4" fontId="64" fillId="0" borderId="0" xfId="58" applyNumberFormat="1" applyFont="1" applyAlignment="1">
      <alignment horizontal="right"/>
    </xf>
    <xf numFmtId="4" fontId="64" fillId="0" borderId="37" xfId="58" applyNumberFormat="1" applyFont="1" applyBorder="1"/>
    <xf numFmtId="4" fontId="51" fillId="0" borderId="44" xfId="58" applyNumberFormat="1" applyFont="1" applyBorder="1" applyAlignment="1">
      <alignment horizontal="right"/>
    </xf>
    <xf numFmtId="4" fontId="51" fillId="0" borderId="40" xfId="58" applyNumberFormat="1" applyFont="1" applyBorder="1" applyAlignment="1">
      <alignment horizontal="right"/>
    </xf>
    <xf numFmtId="4" fontId="51" fillId="0" borderId="44" xfId="58" applyNumberFormat="1" applyFont="1" applyBorder="1"/>
    <xf numFmtId="4" fontId="66" fillId="0" borderId="25" xfId="58" applyNumberFormat="1" applyFont="1" applyBorder="1" applyAlignment="1">
      <alignment horizontal="right"/>
    </xf>
    <xf numFmtId="4" fontId="51" fillId="0" borderId="0" xfId="58" applyNumberFormat="1" applyFont="1" applyAlignment="1">
      <alignment horizontal="right"/>
    </xf>
    <xf numFmtId="4" fontId="51" fillId="0" borderId="38" xfId="58" applyNumberFormat="1" applyFont="1" applyBorder="1"/>
    <xf numFmtId="4" fontId="66" fillId="0" borderId="26" xfId="58" applyNumberFormat="1" applyFont="1" applyBorder="1" applyAlignment="1">
      <alignment horizontal="right"/>
    </xf>
    <xf numFmtId="4" fontId="51" fillId="0" borderId="14" xfId="58" applyNumberFormat="1" applyFont="1" applyBorder="1"/>
    <xf numFmtId="4" fontId="64" fillId="0" borderId="49" xfId="58" applyNumberFormat="1" applyFont="1" applyBorder="1" applyAlignment="1">
      <alignment horizontal="right"/>
    </xf>
    <xf numFmtId="4" fontId="63" fillId="0" borderId="41" xfId="0" applyNumberFormat="1" applyFont="1" applyBorder="1" applyAlignment="1">
      <alignment horizontal="left"/>
    </xf>
    <xf numFmtId="4" fontId="64" fillId="0" borderId="41" xfId="0" applyNumberFormat="1" applyFont="1" applyBorder="1" applyAlignment="1">
      <alignment horizontal="right"/>
    </xf>
    <xf numFmtId="4" fontId="66" fillId="0" borderId="66" xfId="58" applyNumberFormat="1" applyFont="1" applyBorder="1" applyAlignment="1">
      <alignment horizontal="right"/>
    </xf>
    <xf numFmtId="4" fontId="51" fillId="0" borderId="24" xfId="58" applyNumberFormat="1" applyFont="1" applyBorder="1" applyAlignment="1">
      <alignment horizontal="right"/>
    </xf>
    <xf numFmtId="4" fontId="51" fillId="0" borderId="25" xfId="58" applyNumberFormat="1" applyFont="1" applyBorder="1"/>
    <xf numFmtId="4" fontId="51" fillId="0" borderId="66" xfId="58" applyNumberFormat="1" applyFont="1" applyBorder="1"/>
    <xf numFmtId="4" fontId="63" fillId="0" borderId="21" xfId="0" applyNumberFormat="1" applyFont="1" applyBorder="1" applyAlignment="1">
      <alignment horizontal="left" wrapText="1"/>
    </xf>
    <xf numFmtId="4" fontId="64" fillId="0" borderId="26" xfId="0" applyNumberFormat="1" applyFont="1" applyBorder="1" applyAlignment="1">
      <alignment horizontal="right" wrapText="1"/>
    </xf>
    <xf numFmtId="4" fontId="64" fillId="0" borderId="20" xfId="58" applyNumberFormat="1" applyFont="1" applyBorder="1" applyAlignment="1">
      <alignment horizontal="right"/>
    </xf>
    <xf numFmtId="4" fontId="64" fillId="0" borderId="39" xfId="58" applyNumberFormat="1" applyFont="1" applyBorder="1"/>
    <xf numFmtId="4" fontId="63" fillId="0" borderId="21" xfId="0" applyNumberFormat="1" applyFont="1" applyBorder="1" applyAlignment="1">
      <alignment horizontal="left"/>
    </xf>
    <xf numFmtId="4" fontId="64" fillId="0" borderId="28" xfId="58" applyNumberFormat="1" applyFont="1" applyBorder="1" applyAlignment="1">
      <alignment horizontal="right"/>
    </xf>
    <xf numFmtId="4" fontId="51" fillId="0" borderId="29" xfId="58" applyNumberFormat="1" applyFont="1" applyBorder="1"/>
    <xf numFmtId="4" fontId="64" fillId="0" borderId="14" xfId="0" applyNumberFormat="1" applyFont="1" applyBorder="1" applyAlignment="1">
      <alignment horizontal="right"/>
    </xf>
    <xf numFmtId="4" fontId="55" fillId="0" borderId="20" xfId="58" applyNumberFormat="1" applyFont="1" applyBorder="1" applyAlignment="1">
      <alignment horizontal="right"/>
    </xf>
    <xf numFmtId="4" fontId="55" fillId="0" borderId="14" xfId="58" applyNumberFormat="1" applyFont="1" applyBorder="1"/>
    <xf numFmtId="4" fontId="64" fillId="0" borderId="38" xfId="0" applyNumberFormat="1" applyFont="1" applyBorder="1" applyAlignment="1">
      <alignment horizontal="right"/>
    </xf>
    <xf numFmtId="4" fontId="55" fillId="0" borderId="0" xfId="58" applyNumberFormat="1" applyFont="1" applyAlignment="1">
      <alignment horizontal="right"/>
    </xf>
    <xf numFmtId="4" fontId="55" fillId="0" borderId="38" xfId="58" applyNumberFormat="1" applyFont="1" applyBorder="1"/>
    <xf numFmtId="4" fontId="64" fillId="0" borderId="53" xfId="58" applyNumberFormat="1" applyFont="1" applyBorder="1" applyAlignment="1">
      <alignment horizontal="right"/>
    </xf>
    <xf numFmtId="4" fontId="51" fillId="0" borderId="41" xfId="58" applyNumberFormat="1" applyFont="1" applyBorder="1"/>
    <xf numFmtId="4" fontId="64" fillId="0" borderId="36" xfId="58" applyNumberFormat="1" applyFont="1" applyBorder="1"/>
    <xf numFmtId="4" fontId="51" fillId="0" borderId="36" xfId="58" applyNumberFormat="1" applyFont="1" applyBorder="1"/>
    <xf numFmtId="4" fontId="51" fillId="0" borderId="39" xfId="58" applyNumberFormat="1" applyFont="1" applyBorder="1" applyAlignment="1">
      <alignment horizontal="right"/>
    </xf>
    <xf numFmtId="4" fontId="51" fillId="0" borderId="28" xfId="58" applyNumberFormat="1" applyFont="1" applyBorder="1" applyAlignment="1">
      <alignment horizontal="right"/>
    </xf>
    <xf numFmtId="4" fontId="51" fillId="0" borderId="39" xfId="58" applyNumberFormat="1" applyFont="1" applyBorder="1"/>
    <xf numFmtId="4" fontId="67" fillId="0" borderId="0" xfId="58" applyNumberFormat="1" applyFont="1"/>
    <xf numFmtId="4" fontId="31" fillId="0" borderId="0" xfId="58" applyNumberFormat="1" applyFont="1"/>
    <xf numFmtId="4" fontId="29" fillId="0" borderId="0" xfId="58" applyNumberFormat="1" applyFont="1"/>
    <xf numFmtId="4" fontId="45" fillId="0" borderId="0" xfId="59" applyNumberFormat="1"/>
    <xf numFmtId="3" fontId="46" fillId="0" borderId="23" xfId="47" applyNumberFormat="1" applyFont="1" applyBorder="1" applyAlignment="1">
      <alignment horizontal="center" vertical="center" wrapText="1"/>
    </xf>
    <xf numFmtId="3" fontId="46" fillId="0" borderId="24" xfId="47" applyNumberFormat="1" applyFont="1" applyBorder="1" applyAlignment="1">
      <alignment horizontal="center" vertical="center" wrapText="1"/>
    </xf>
    <xf numFmtId="3" fontId="46" fillId="0" borderId="66" xfId="47" applyNumberFormat="1" applyFont="1" applyBorder="1" applyAlignment="1">
      <alignment horizontal="center" vertical="center" wrapText="1"/>
    </xf>
    <xf numFmtId="3" fontId="46" fillId="0" borderId="18" xfId="47" applyNumberFormat="1" applyFont="1" applyBorder="1" applyAlignment="1">
      <alignment horizontal="center" vertical="center" wrapText="1"/>
    </xf>
    <xf numFmtId="3" fontId="46" fillId="0" borderId="0" xfId="47" applyNumberFormat="1" applyFont="1" applyAlignment="1">
      <alignment horizontal="center" vertical="center" wrapText="1"/>
    </xf>
    <xf numFmtId="3" fontId="46" fillId="0" borderId="38" xfId="47" applyNumberFormat="1" applyFont="1" applyBorder="1" applyAlignment="1">
      <alignment horizontal="center" vertical="center" wrapText="1"/>
    </xf>
    <xf numFmtId="3" fontId="46" fillId="0" borderId="27" xfId="47" applyNumberFormat="1" applyFont="1" applyBorder="1" applyAlignment="1">
      <alignment horizontal="center" vertical="center" wrapText="1"/>
    </xf>
    <xf numFmtId="3" fontId="46" fillId="0" borderId="28" xfId="47" applyNumberFormat="1" applyFont="1" applyBorder="1" applyAlignment="1">
      <alignment horizontal="center" vertical="center" wrapText="1"/>
    </xf>
    <xf numFmtId="3" fontId="46" fillId="0" borderId="39" xfId="47" applyNumberFormat="1" applyFont="1" applyBorder="1" applyAlignment="1">
      <alignment horizontal="center" vertical="center" wrapText="1"/>
    </xf>
    <xf numFmtId="3" fontId="46" fillId="0" borderId="0" xfId="47" applyNumberFormat="1" applyFont="1" applyAlignment="1">
      <alignment horizontal="center"/>
    </xf>
    <xf numFmtId="3" fontId="46" fillId="0" borderId="23" xfId="47" applyNumberFormat="1" applyFont="1" applyBorder="1" applyAlignment="1">
      <alignment horizontal="center" vertical="center"/>
    </xf>
    <xf numFmtId="3" fontId="46" fillId="0" borderId="24" xfId="47" applyNumberFormat="1" applyFont="1" applyBorder="1" applyAlignment="1">
      <alignment horizontal="center" vertical="center"/>
    </xf>
    <xf numFmtId="3" fontId="46" fillId="0" borderId="66" xfId="47" applyNumberFormat="1" applyFont="1" applyBorder="1" applyAlignment="1">
      <alignment horizontal="center" vertical="center"/>
    </xf>
    <xf numFmtId="3" fontId="46" fillId="0" borderId="18" xfId="47" applyNumberFormat="1" applyFont="1" applyBorder="1" applyAlignment="1">
      <alignment horizontal="center" vertical="center"/>
    </xf>
    <xf numFmtId="3" fontId="46" fillId="0" borderId="0" xfId="47" applyNumberFormat="1" applyFont="1" applyAlignment="1">
      <alignment horizontal="center" vertical="center"/>
    </xf>
    <xf numFmtId="3" fontId="46" fillId="0" borderId="38" xfId="47" applyNumberFormat="1" applyFont="1" applyBorder="1" applyAlignment="1">
      <alignment horizontal="center" vertical="center"/>
    </xf>
    <xf numFmtId="3" fontId="46" fillId="0" borderId="27" xfId="47" applyNumberFormat="1" applyFont="1" applyBorder="1" applyAlignment="1">
      <alignment horizontal="center" vertical="center"/>
    </xf>
    <xf numFmtId="3" fontId="46" fillId="0" borderId="28" xfId="47" applyNumberFormat="1" applyFont="1" applyBorder="1" applyAlignment="1">
      <alignment horizontal="center" vertical="center"/>
    </xf>
    <xf numFmtId="3" fontId="46" fillId="0" borderId="39" xfId="47" applyNumberFormat="1" applyFont="1" applyBorder="1" applyAlignment="1">
      <alignment horizontal="center" vertical="center"/>
    </xf>
    <xf numFmtId="3" fontId="46" fillId="0" borderId="25" xfId="47" applyNumberFormat="1" applyFont="1" applyBorder="1" applyAlignment="1">
      <alignment horizontal="center" vertical="center"/>
    </xf>
    <xf numFmtId="3" fontId="46" fillId="0" borderId="26" xfId="47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3" fontId="36" fillId="0" borderId="0" xfId="0" applyNumberFormat="1" applyFont="1" applyAlignment="1">
      <alignment horizontal="center"/>
    </xf>
    <xf numFmtId="0" fontId="28" fillId="0" borderId="32" xfId="0" applyFont="1" applyBorder="1" applyAlignment="1">
      <alignment horizontal="left" wrapText="1"/>
    </xf>
    <xf numFmtId="0" fontId="28" fillId="0" borderId="65" xfId="0" applyFont="1" applyBorder="1" applyAlignment="1">
      <alignment horizontal="left" wrapText="1"/>
    </xf>
    <xf numFmtId="0" fontId="31" fillId="0" borderId="0" xfId="0" applyFont="1" applyAlignment="1">
      <alignment horizontal="center"/>
    </xf>
    <xf numFmtId="0" fontId="46" fillId="0" borderId="0" xfId="47" applyFont="1" applyAlignment="1">
      <alignment horizontal="center"/>
    </xf>
    <xf numFmtId="3" fontId="46" fillId="0" borderId="23" xfId="47" applyNumberFormat="1" applyFont="1" applyBorder="1" applyAlignment="1">
      <alignment horizontal="center" wrapText="1"/>
    </xf>
    <xf numFmtId="3" fontId="46" fillId="0" borderId="24" xfId="47" applyNumberFormat="1" applyFont="1" applyBorder="1" applyAlignment="1">
      <alignment horizontal="center" wrapText="1"/>
    </xf>
    <xf numFmtId="3" fontId="46" fillId="0" borderId="66" xfId="47" applyNumberFormat="1" applyFont="1" applyBorder="1" applyAlignment="1">
      <alignment horizontal="center" wrapText="1"/>
    </xf>
    <xf numFmtId="3" fontId="46" fillId="0" borderId="23" xfId="47" applyNumberFormat="1" applyFont="1" applyBorder="1" applyAlignment="1">
      <alignment horizontal="center"/>
    </xf>
    <xf numFmtId="3" fontId="46" fillId="0" borderId="24" xfId="47" applyNumberFormat="1" applyFont="1" applyBorder="1" applyAlignment="1">
      <alignment horizontal="center"/>
    </xf>
    <xf numFmtId="3" fontId="46" fillId="0" borderId="66" xfId="47" applyNumberFormat="1" applyFont="1" applyBorder="1" applyAlignment="1">
      <alignment horizontal="center"/>
    </xf>
    <xf numFmtId="3" fontId="46" fillId="0" borderId="27" xfId="47" applyNumberFormat="1" applyFont="1" applyBorder="1" applyAlignment="1">
      <alignment horizontal="center"/>
    </xf>
    <xf numFmtId="3" fontId="46" fillId="0" borderId="28" xfId="47" applyNumberFormat="1" applyFont="1" applyBorder="1" applyAlignment="1">
      <alignment horizontal="center"/>
    </xf>
    <xf numFmtId="3" fontId="46" fillId="0" borderId="39" xfId="47" applyNumberFormat="1" applyFont="1" applyBorder="1" applyAlignment="1">
      <alignment horizontal="center"/>
    </xf>
    <xf numFmtId="4" fontId="48" fillId="0" borderId="0" xfId="58" applyNumberFormat="1" applyFont="1" applyAlignment="1">
      <alignment horizontal="center"/>
    </xf>
    <xf numFmtId="4" fontId="57" fillId="0" borderId="25" xfId="58" applyNumberFormat="1" applyFont="1" applyBorder="1" applyAlignment="1">
      <alignment horizontal="center" wrapText="1"/>
    </xf>
    <xf numFmtId="4" fontId="57" fillId="0" borderId="26" xfId="58" applyNumberFormat="1" applyFont="1" applyBorder="1" applyAlignment="1">
      <alignment horizontal="center" wrapText="1"/>
    </xf>
    <xf numFmtId="4" fontId="57" fillId="0" borderId="25" xfId="58" applyNumberFormat="1" applyFont="1" applyBorder="1" applyAlignment="1">
      <alignment horizontal="center" vertical="center" wrapText="1"/>
    </xf>
    <xf numFmtId="4" fontId="57" fillId="0" borderId="26" xfId="58" applyNumberFormat="1" applyFont="1" applyBorder="1" applyAlignment="1">
      <alignment horizontal="center" vertical="center" wrapText="1"/>
    </xf>
    <xf numFmtId="4" fontId="57" fillId="0" borderId="29" xfId="58" applyNumberFormat="1" applyFont="1" applyBorder="1" applyAlignment="1">
      <alignment horizontal="center" vertical="center" wrapText="1"/>
    </xf>
    <xf numFmtId="4" fontId="57" fillId="0" borderId="43" xfId="58" applyNumberFormat="1" applyFont="1" applyBorder="1" applyAlignment="1">
      <alignment horizontal="center"/>
    </xf>
    <xf numFmtId="4" fontId="57" fillId="0" borderId="40" xfId="58" applyNumberFormat="1" applyFont="1" applyBorder="1" applyAlignment="1">
      <alignment horizontal="center"/>
    </xf>
    <xf numFmtId="4" fontId="57" fillId="0" borderId="44" xfId="58" applyNumberFormat="1" applyFont="1" applyBorder="1" applyAlignment="1">
      <alignment horizontal="center"/>
    </xf>
    <xf numFmtId="4" fontId="57" fillId="0" borderId="43" xfId="58" applyNumberFormat="1" applyFont="1" applyBorder="1" applyAlignment="1">
      <alignment horizontal="center" wrapText="1"/>
    </xf>
    <xf numFmtId="4" fontId="57" fillId="0" borderId="44" xfId="58" applyNumberFormat="1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31" fillId="0" borderId="54" xfId="48" applyFont="1" applyBorder="1" applyAlignment="1">
      <alignment horizontal="left"/>
    </xf>
    <xf numFmtId="0" fontId="31" fillId="0" borderId="53" xfId="48" applyFont="1" applyBorder="1" applyAlignment="1">
      <alignment horizontal="left"/>
    </xf>
    <xf numFmtId="0" fontId="31" fillId="0" borderId="11" xfId="48" applyFont="1" applyBorder="1" applyAlignment="1">
      <alignment horizontal="left" wrapText="1"/>
    </xf>
    <xf numFmtId="0" fontId="31" fillId="0" borderId="49" xfId="48" applyFont="1" applyBorder="1" applyAlignment="1">
      <alignment horizontal="left" wrapText="1"/>
    </xf>
    <xf numFmtId="0" fontId="31" fillId="0" borderId="11" xfId="48" applyFont="1" applyBorder="1" applyAlignment="1">
      <alignment horizontal="left"/>
    </xf>
    <xf numFmtId="0" fontId="31" fillId="0" borderId="49" xfId="48" applyFont="1" applyBorder="1" applyAlignment="1">
      <alignment horizontal="left"/>
    </xf>
    <xf numFmtId="0" fontId="31" fillId="0" borderId="0" xfId="48" applyFont="1" applyAlignment="1">
      <alignment horizontal="center"/>
    </xf>
    <xf numFmtId="0" fontId="31" fillId="0" borderId="43" xfId="48" applyFont="1" applyBorder="1" applyAlignment="1">
      <alignment horizontal="left"/>
    </xf>
    <xf numFmtId="0" fontId="31" fillId="0" borderId="40" xfId="48" applyFont="1" applyBorder="1" applyAlignment="1">
      <alignment horizontal="left"/>
    </xf>
    <xf numFmtId="0" fontId="31" fillId="0" borderId="23" xfId="48" applyFont="1" applyBorder="1" applyAlignment="1">
      <alignment horizontal="center"/>
    </xf>
    <xf numFmtId="0" fontId="31" fillId="0" borderId="24" xfId="48" applyFont="1" applyBorder="1" applyAlignment="1">
      <alignment horizontal="center"/>
    </xf>
    <xf numFmtId="0" fontId="30" fillId="0" borderId="18" xfId="48" applyFont="1" applyBorder="1" applyAlignment="1">
      <alignment horizontal="left"/>
    </xf>
    <xf numFmtId="0" fontId="30" fillId="0" borderId="0" xfId="48" applyFont="1" applyAlignment="1">
      <alignment horizontal="left"/>
    </xf>
    <xf numFmtId="0" fontId="31" fillId="0" borderId="0" xfId="50" applyFont="1" applyAlignment="1">
      <alignment horizontal="center"/>
    </xf>
    <xf numFmtId="0" fontId="68" fillId="0" borderId="0" xfId="63" applyFont="1" applyAlignment="1">
      <alignment horizontal="center"/>
    </xf>
    <xf numFmtId="0" fontId="69" fillId="0" borderId="0" xfId="64" applyFont="1"/>
    <xf numFmtId="0" fontId="70" fillId="0" borderId="0" xfId="64" applyFont="1" applyAlignment="1">
      <alignment horizontal="center" wrapText="1"/>
    </xf>
    <xf numFmtId="0" fontId="71" fillId="0" borderId="0" xfId="64" applyFont="1"/>
    <xf numFmtId="0" fontId="71" fillId="0" borderId="0" xfId="64" applyFont="1" applyAlignment="1">
      <alignment wrapText="1"/>
    </xf>
    <xf numFmtId="3" fontId="72" fillId="0" borderId="0" xfId="64" applyNumberFormat="1" applyFont="1"/>
    <xf numFmtId="3" fontId="72" fillId="0" borderId="0" xfId="64" applyNumberFormat="1" applyFont="1" applyAlignment="1">
      <alignment horizontal="right"/>
    </xf>
    <xf numFmtId="0" fontId="73" fillId="0" borderId="73" xfId="64" applyFont="1" applyBorder="1" applyAlignment="1">
      <alignment horizontal="center" wrapText="1"/>
    </xf>
    <xf numFmtId="3" fontId="70" fillId="0" borderId="78" xfId="64" applyNumberFormat="1" applyFont="1" applyBorder="1" applyAlignment="1">
      <alignment horizontal="center" vertical="center" wrapText="1"/>
    </xf>
    <xf numFmtId="0" fontId="74" fillId="0" borderId="0" xfId="64" applyFont="1"/>
    <xf numFmtId="0" fontId="68" fillId="0" borderId="63" xfId="64" applyFont="1" applyBorder="1" applyAlignment="1">
      <alignment wrapText="1"/>
    </xf>
    <xf numFmtId="3" fontId="75" fillId="0" borderId="79" xfId="64" applyNumberFormat="1" applyFont="1" applyBorder="1"/>
    <xf numFmtId="0" fontId="76" fillId="0" borderId="0" xfId="64" applyFont="1"/>
    <xf numFmtId="0" fontId="77" fillId="0" borderId="22" xfId="64" applyFont="1" applyBorder="1" applyAlignment="1">
      <alignment wrapText="1"/>
    </xf>
    <xf numFmtId="3" fontId="78" fillId="0" borderId="10" xfId="64" applyNumberFormat="1" applyFont="1" applyBorder="1"/>
    <xf numFmtId="0" fontId="77" fillId="0" borderId="11" xfId="64" applyFont="1" applyBorder="1" applyAlignment="1">
      <alignment wrapText="1"/>
    </xf>
    <xf numFmtId="3" fontId="78" fillId="0" borderId="13" xfId="64" applyNumberFormat="1" applyFont="1" applyBorder="1"/>
    <xf numFmtId="3" fontId="78" fillId="27" borderId="13" xfId="64" applyNumberFormat="1" applyFont="1" applyFill="1" applyBorder="1"/>
    <xf numFmtId="0" fontId="77" fillId="0" borderId="18" xfId="64" applyFont="1" applyBorder="1" applyAlignment="1">
      <alignment wrapText="1"/>
    </xf>
    <xf numFmtId="0" fontId="68" fillId="28" borderId="80" xfId="64" applyFont="1" applyFill="1" applyBorder="1" applyAlignment="1">
      <alignment wrapText="1"/>
    </xf>
    <xf numFmtId="3" fontId="79" fillId="28" borderId="81" xfId="64" applyNumberFormat="1" applyFont="1" applyFill="1" applyBorder="1"/>
    <xf numFmtId="0" fontId="68" fillId="0" borderId="0" xfId="64" applyFont="1"/>
    <xf numFmtId="0" fontId="68" fillId="0" borderId="18" xfId="64" applyFont="1" applyBorder="1" applyAlignment="1">
      <alignment wrapText="1"/>
    </xf>
    <xf numFmtId="3" fontId="79" fillId="0" borderId="82" xfId="64" applyNumberFormat="1" applyFont="1" applyBorder="1"/>
    <xf numFmtId="0" fontId="80" fillId="0" borderId="18" xfId="64" applyFont="1" applyBorder="1" applyAlignment="1">
      <alignment wrapText="1"/>
    </xf>
    <xf numFmtId="3" fontId="78" fillId="0" borderId="82" xfId="64" applyNumberFormat="1" applyFont="1" applyBorder="1"/>
    <xf numFmtId="0" fontId="81" fillId="0" borderId="22" xfId="64" applyFont="1" applyBorder="1" applyAlignment="1">
      <alignment wrapText="1"/>
    </xf>
    <xf numFmtId="0" fontId="82" fillId="0" borderId="18" xfId="64" applyFont="1" applyBorder="1" applyAlignment="1">
      <alignment wrapText="1"/>
    </xf>
    <xf numFmtId="3" fontId="78" fillId="0" borderId="79" xfId="64" applyNumberFormat="1" applyFont="1" applyBorder="1"/>
    <xf numFmtId="0" fontId="80" fillId="0" borderId="22" xfId="64" applyFont="1" applyBorder="1" applyAlignment="1">
      <alignment wrapText="1"/>
    </xf>
    <xf numFmtId="0" fontId="80" fillId="0" borderId="63" xfId="64" applyFont="1" applyBorder="1" applyAlignment="1">
      <alignment wrapText="1"/>
    </xf>
    <xf numFmtId="0" fontId="83" fillId="0" borderId="18" xfId="64" applyFont="1" applyBorder="1" applyAlignment="1">
      <alignment wrapText="1"/>
    </xf>
    <xf numFmtId="0" fontId="80" fillId="0" borderId="83" xfId="64" applyFont="1" applyBorder="1" applyAlignment="1">
      <alignment wrapText="1"/>
    </xf>
    <xf numFmtId="0" fontId="77" fillId="0" borderId="18" xfId="64" applyFont="1" applyBorder="1" applyAlignment="1">
      <alignment horizontal="left" wrapText="1"/>
    </xf>
    <xf numFmtId="0" fontId="77" fillId="0" borderId="45" xfId="64" applyFont="1" applyBorder="1" applyAlignment="1">
      <alignment wrapText="1"/>
    </xf>
    <xf numFmtId="0" fontId="77" fillId="0" borderId="84" xfId="64" applyFont="1" applyBorder="1" applyAlignment="1">
      <alignment horizontal="left" wrapText="1"/>
    </xf>
    <xf numFmtId="0" fontId="81" fillId="0" borderId="63" xfId="64" applyFont="1" applyBorder="1" applyAlignment="1">
      <alignment wrapText="1"/>
    </xf>
    <xf numFmtId="0" fontId="83" fillId="0" borderId="22" xfId="64" applyFont="1" applyBorder="1" applyAlignment="1">
      <alignment wrapText="1"/>
    </xf>
    <xf numFmtId="0" fontId="77" fillId="0" borderId="85" xfId="64" applyFont="1" applyBorder="1" applyAlignment="1">
      <alignment wrapText="1"/>
    </xf>
    <xf numFmtId="3" fontId="78" fillId="0" borderId="86" xfId="64" applyNumberFormat="1" applyFont="1" applyBorder="1"/>
    <xf numFmtId="3" fontId="78" fillId="28" borderId="81" xfId="64" applyNumberFormat="1" applyFont="1" applyFill="1" applyBorder="1"/>
    <xf numFmtId="0" fontId="84" fillId="0" borderId="0" xfId="64" applyFont="1"/>
    <xf numFmtId="3" fontId="77" fillId="0" borderId="18" xfId="64" applyNumberFormat="1" applyFont="1" applyBorder="1"/>
    <xf numFmtId="3" fontId="78" fillId="27" borderId="10" xfId="64" applyNumberFormat="1" applyFont="1" applyFill="1" applyBorder="1"/>
    <xf numFmtId="0" fontId="77" fillId="27" borderId="11" xfId="64" applyFont="1" applyFill="1" applyBorder="1" applyAlignment="1">
      <alignment wrapText="1"/>
    </xf>
    <xf numFmtId="0" fontId="83" fillId="0" borderId="11" xfId="64" applyFont="1" applyBorder="1" applyAlignment="1">
      <alignment wrapText="1"/>
    </xf>
    <xf numFmtId="0" fontId="85" fillId="0" borderId="11" xfId="64" applyFont="1" applyBorder="1" applyAlignment="1">
      <alignment wrapText="1"/>
    </xf>
    <xf numFmtId="0" fontId="80" fillId="0" borderId="80" xfId="64" applyFont="1" applyBorder="1" applyAlignment="1">
      <alignment wrapText="1"/>
    </xf>
    <xf numFmtId="3" fontId="78" fillId="0" borderId="81" xfId="64" applyNumberFormat="1" applyFont="1" applyBorder="1"/>
    <xf numFmtId="0" fontId="80" fillId="0" borderId="85" xfId="64" applyFont="1" applyBorder="1" applyAlignment="1">
      <alignment wrapText="1"/>
    </xf>
    <xf numFmtId="0" fontId="80" fillId="0" borderId="87" xfId="64" applyFont="1" applyBorder="1" applyAlignment="1">
      <alignment wrapText="1"/>
    </xf>
    <xf numFmtId="3" fontId="78" fillId="0" borderId="88" xfId="64" applyNumberFormat="1" applyFont="1" applyBorder="1"/>
    <xf numFmtId="0" fontId="74" fillId="0" borderId="18" xfId="64" applyFont="1" applyBorder="1" applyAlignment="1">
      <alignment wrapText="1"/>
    </xf>
    <xf numFmtId="0" fontId="86" fillId="0" borderId="18" xfId="64" applyFont="1" applyBorder="1" applyAlignment="1">
      <alignment wrapText="1"/>
    </xf>
    <xf numFmtId="0" fontId="87" fillId="0" borderId="18" xfId="64" applyFont="1" applyBorder="1" applyAlignment="1">
      <alignment wrapText="1"/>
    </xf>
    <xf numFmtId="0" fontId="87" fillId="0" borderId="11" xfId="64" applyFont="1" applyBorder="1" applyAlignment="1">
      <alignment horizontal="left" wrapText="1"/>
    </xf>
    <xf numFmtId="0" fontId="74" fillId="28" borderId="80" xfId="64" applyFont="1" applyFill="1" applyBorder="1" applyAlignment="1">
      <alignment wrapText="1"/>
    </xf>
    <xf numFmtId="0" fontId="74" fillId="0" borderId="87" xfId="64" applyFont="1" applyBorder="1" applyAlignment="1">
      <alignment wrapText="1"/>
    </xf>
    <xf numFmtId="0" fontId="76" fillId="0" borderId="22" xfId="64" applyFont="1" applyBorder="1" applyAlignment="1">
      <alignment wrapText="1"/>
    </xf>
    <xf numFmtId="0" fontId="76" fillId="0" borderId="11" xfId="64" applyFont="1" applyBorder="1" applyAlignment="1">
      <alignment wrapText="1"/>
    </xf>
    <xf numFmtId="0" fontId="74" fillId="28" borderId="89" xfId="64" applyFont="1" applyFill="1" applyBorder="1" applyAlignment="1">
      <alignment wrapText="1"/>
    </xf>
    <xf numFmtId="3" fontId="78" fillId="28" borderId="90" xfId="64" applyNumberFormat="1" applyFont="1" applyFill="1" applyBorder="1"/>
    <xf numFmtId="0" fontId="86" fillId="0" borderId="23" xfId="64" applyFont="1" applyBorder="1" applyAlignment="1">
      <alignment horizontal="center" wrapText="1"/>
    </xf>
    <xf numFmtId="3" fontId="89" fillId="0" borderId="16" xfId="64" applyNumberFormat="1" applyFont="1" applyBorder="1" applyAlignment="1">
      <alignment horizontal="center"/>
    </xf>
    <xf numFmtId="0" fontId="85" fillId="27" borderId="22" xfId="63" applyFont="1" applyFill="1" applyBorder="1" applyAlignment="1">
      <alignment horizontal="left"/>
    </xf>
    <xf numFmtId="3" fontId="89" fillId="0" borderId="82" xfId="64" applyNumberFormat="1" applyFont="1" applyBorder="1" applyAlignment="1">
      <alignment horizontal="right"/>
    </xf>
    <xf numFmtId="3" fontId="89" fillId="0" borderId="82" xfId="64" applyNumberFormat="1" applyFont="1" applyBorder="1" applyAlignment="1">
      <alignment horizontal="center"/>
    </xf>
    <xf numFmtId="0" fontId="77" fillId="0" borderId="0" xfId="64" applyFont="1"/>
    <xf numFmtId="3" fontId="89" fillId="0" borderId="13" xfId="64" applyNumberFormat="1" applyFont="1" applyBorder="1" applyAlignment="1">
      <alignment horizontal="center"/>
    </xf>
    <xf numFmtId="3" fontId="89" fillId="0" borderId="13" xfId="64" applyNumberFormat="1" applyFont="1" applyBorder="1" applyAlignment="1">
      <alignment horizontal="right"/>
    </xf>
    <xf numFmtId="0" fontId="90" fillId="29" borderId="91" xfId="63" applyFont="1" applyFill="1" applyBorder="1" applyAlignment="1">
      <alignment wrapText="1"/>
    </xf>
    <xf numFmtId="3" fontId="89" fillId="29" borderId="13" xfId="64" applyNumberFormat="1" applyFont="1" applyFill="1" applyBorder="1" applyAlignment="1">
      <alignment horizontal="right"/>
    </xf>
    <xf numFmtId="0" fontId="91" fillId="27" borderId="22" xfId="63" applyFont="1" applyFill="1" applyBorder="1" applyAlignment="1">
      <alignment horizontal="left"/>
    </xf>
    <xf numFmtId="3" fontId="79" fillId="27" borderId="82" xfId="64" applyNumberFormat="1" applyFont="1" applyFill="1" applyBorder="1"/>
    <xf numFmtId="3" fontId="79" fillId="27" borderId="13" xfId="64" applyNumberFormat="1" applyFont="1" applyFill="1" applyBorder="1"/>
    <xf numFmtId="0" fontId="91" fillId="27" borderId="18" xfId="63" applyFont="1" applyFill="1" applyBorder="1"/>
    <xf numFmtId="0" fontId="91" fillId="0" borderId="11" xfId="63" applyFont="1" applyBorder="1" applyAlignment="1">
      <alignment wrapText="1"/>
    </xf>
    <xf numFmtId="0" fontId="91" fillId="0" borderId="91" xfId="63" applyFont="1" applyBorder="1" applyAlignment="1">
      <alignment wrapText="1"/>
    </xf>
    <xf numFmtId="3" fontId="79" fillId="27" borderId="12" xfId="64" applyNumberFormat="1" applyFont="1" applyFill="1" applyBorder="1"/>
    <xf numFmtId="0" fontId="91" fillId="0" borderId="84" xfId="63" applyFont="1" applyBorder="1" applyAlignment="1">
      <alignment wrapText="1"/>
    </xf>
    <xf numFmtId="0" fontId="92" fillId="29" borderId="84" xfId="63" applyFont="1" applyFill="1" applyBorder="1" applyAlignment="1">
      <alignment wrapText="1"/>
    </xf>
    <xf numFmtId="3" fontId="88" fillId="29" borderId="12" xfId="64" applyNumberFormat="1" applyFont="1" applyFill="1" applyBorder="1"/>
    <xf numFmtId="0" fontId="93" fillId="0" borderId="0" xfId="64" applyFont="1"/>
    <xf numFmtId="0" fontId="85" fillId="27" borderId="11" xfId="63" applyFont="1" applyFill="1" applyBorder="1" applyAlignment="1">
      <alignment vertical="top" wrapText="1"/>
    </xf>
    <xf numFmtId="3" fontId="88" fillId="0" borderId="45" xfId="64" applyNumberFormat="1" applyFont="1" applyBorder="1"/>
    <xf numFmtId="3" fontId="88" fillId="0" borderId="12" xfId="64" applyNumberFormat="1" applyFont="1" applyBorder="1"/>
    <xf numFmtId="0" fontId="85" fillId="27" borderId="91" xfId="63" applyFont="1" applyFill="1" applyBorder="1" applyAlignment="1">
      <alignment vertical="top" wrapText="1"/>
    </xf>
    <xf numFmtId="3" fontId="88" fillId="0" borderId="38" xfId="64" applyNumberFormat="1" applyFont="1" applyBorder="1"/>
    <xf numFmtId="3" fontId="79" fillId="27" borderId="38" xfId="64" applyNumberFormat="1" applyFont="1" applyFill="1" applyBorder="1"/>
    <xf numFmtId="0" fontId="92" fillId="29" borderId="91" xfId="63" applyFont="1" applyFill="1" applyBorder="1" applyAlignment="1">
      <alignment wrapText="1"/>
    </xf>
    <xf numFmtId="0" fontId="68" fillId="28" borderId="50" xfId="64" applyFont="1" applyFill="1" applyBorder="1" applyAlignment="1">
      <alignment wrapText="1"/>
    </xf>
    <xf numFmtId="3" fontId="79" fillId="28" borderId="50" xfId="64" applyNumberFormat="1" applyFont="1" applyFill="1" applyBorder="1"/>
    <xf numFmtId="3" fontId="68" fillId="28" borderId="85" xfId="64" applyNumberFormat="1" applyFont="1" applyFill="1" applyBorder="1" applyAlignment="1">
      <alignment wrapText="1"/>
    </xf>
    <xf numFmtId="3" fontId="79" fillId="28" borderId="92" xfId="64" applyNumberFormat="1" applyFont="1" applyFill="1" applyBorder="1"/>
    <xf numFmtId="3" fontId="69" fillId="0" borderId="0" xfId="64" applyNumberFormat="1" applyFont="1"/>
  </cellXfs>
  <cellStyles count="65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Bevitel" xfId="26" xr:uid="{00000000-0005-0000-0000-000019000000}"/>
    <cellStyle name="Calculation" xfId="27" xr:uid="{00000000-0005-0000-0000-00001A000000}"/>
    <cellStyle name="Check Cell" xfId="28" xr:uid="{00000000-0005-0000-0000-00001B000000}"/>
    <cellStyle name="Cím" xfId="29" xr:uid="{00000000-0005-0000-0000-00001C000000}"/>
    <cellStyle name="Címsor 1" xfId="30" xr:uid="{00000000-0005-0000-0000-00001D000000}"/>
    <cellStyle name="Címsor 2" xfId="31" xr:uid="{00000000-0005-0000-0000-00001E000000}"/>
    <cellStyle name="Címsor 3" xfId="32" xr:uid="{00000000-0005-0000-0000-00001F000000}"/>
    <cellStyle name="Címsor 4" xfId="33" xr:uid="{00000000-0005-0000-0000-000020000000}"/>
    <cellStyle name="Ellenőrzőcella" xfId="34" xr:uid="{00000000-0005-0000-0000-000021000000}"/>
    <cellStyle name="Explanatory Text" xfId="35" xr:uid="{00000000-0005-0000-0000-000022000000}"/>
    <cellStyle name="Ezres" xfId="36" builtinId="3"/>
    <cellStyle name="Ezres 2" xfId="57" xr:uid="{621AA41D-BF7C-4240-89D7-7A2FB216C0C6}"/>
    <cellStyle name="Figyelmeztetés" xfId="37" xr:uid="{00000000-0005-0000-0000-000024000000}"/>
    <cellStyle name="Good" xfId="38" xr:uid="{00000000-0005-0000-0000-000025000000}"/>
    <cellStyle name="Hivatkozott cella" xfId="39" xr:uid="{00000000-0005-0000-0000-000026000000}"/>
    <cellStyle name="Jegyzet" xfId="40" xr:uid="{00000000-0005-0000-0000-000027000000}"/>
    <cellStyle name="Jó" xfId="41" xr:uid="{00000000-0005-0000-0000-000028000000}"/>
    <cellStyle name="Kimenet" xfId="42" xr:uid="{00000000-0005-0000-0000-000029000000}"/>
    <cellStyle name="Magyarázó szöveg" xfId="43" xr:uid="{00000000-0005-0000-0000-00002A000000}"/>
    <cellStyle name="Neutral" xfId="44" xr:uid="{00000000-0005-0000-0000-00002B000000}"/>
    <cellStyle name="Normál" xfId="0" builtinId="0"/>
    <cellStyle name="Normal 2" xfId="45" xr:uid="{00000000-0005-0000-0000-00002D000000}"/>
    <cellStyle name="Normál 2" xfId="46" xr:uid="{00000000-0005-0000-0000-00002E000000}"/>
    <cellStyle name="Normál 3" xfId="47" xr:uid="{00000000-0005-0000-0000-00002F000000}"/>
    <cellStyle name="Normál 4" xfId="56" xr:uid="{D263C561-080B-4D75-A6C1-2F84914E3D5B}"/>
    <cellStyle name="Normál 5" xfId="61" xr:uid="{1A895983-8044-4B40-8CF4-2488294C3654}"/>
    <cellStyle name="Normál 6" xfId="62" xr:uid="{91C7277B-30C2-4644-8726-F964588FD9E4}"/>
    <cellStyle name="Normál 7" xfId="64" xr:uid="{A89E6B74-107B-4666-8E07-1C2D22011D35}"/>
    <cellStyle name="Normál_99LETSZ_LETSZ02" xfId="58" xr:uid="{E73DD4F2-2D03-4638-94C3-F81B0417B4C7}"/>
    <cellStyle name="Normál_GUCIFEJL" xfId="48" xr:uid="{00000000-0005-0000-0000-000030000000}"/>
    <cellStyle name="Normál_IKÖZI" xfId="63" xr:uid="{E9B6E77A-4E98-4920-BF57-2603C99CE4D9}"/>
    <cellStyle name="Normál_kiemelt eik 2013" xfId="49" xr:uid="{00000000-0005-0000-0000-000031000000}"/>
    <cellStyle name="Normál_LETSZ06" xfId="60" xr:uid="{89BE0284-661A-4A5B-A94F-9E001AFF7295}"/>
    <cellStyle name="Normál_letsz2011" xfId="59" xr:uid="{D2ADE628-E2B1-48D5-BFED-E5573434ED03}"/>
    <cellStyle name="Normál_módIV12önk" xfId="50" xr:uid="{00000000-0005-0000-0000-000033000000}"/>
    <cellStyle name="Normál_Munkafüzet2" xfId="51" xr:uid="{00000000-0005-0000-0000-000034000000}"/>
    <cellStyle name="Összesen" xfId="52" xr:uid="{00000000-0005-0000-0000-000036000000}"/>
    <cellStyle name="Rossz" xfId="53" xr:uid="{00000000-0005-0000-0000-000037000000}"/>
    <cellStyle name="Semleges" xfId="54" xr:uid="{00000000-0005-0000-0000-000038000000}"/>
    <cellStyle name="Számítás" xfId="55" xr:uid="{00000000-0005-0000-0000-00003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liana\Local%20Settings\Temporary%20Internet%20Files\OLK4D\norma_2008\0_eredeti\igeny_kieg_tablak\5_Kieg%20t&#225;bla%20k&#246;zs&#233;geknek%20a%203.%20sz&#225;m&#250;%20mell&#233;klethez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ndalf\Dokumentumok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2026/K&#246;lts&#233;gvet&#233;s/Int&#233;zm&#233;nyi%20k&#246;lts&#233;gvet&#233;s/Int&#233;zm&#233;nyi%20Kgy%20t&#225;bl&#225;k/INTkvet&#233;s%20kgy%20t&#225;bla%202026.xls" TargetMode="External"/><Relationship Id="rId1" Type="http://schemas.openxmlformats.org/officeDocument/2006/relationships/externalLinkPath" Target="/kozgazd/2026/K&#246;lts&#233;gvet&#233;s/Int&#233;zm&#233;nyi%20k&#246;lts&#233;gvet&#233;s/Int&#233;zm&#233;nyi%20Kgy%20t&#225;bl&#225;k/INTkvet&#233;s%20kgy%20t&#225;bla%202026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6/Rendeletm&#243;dos&#237;t&#225;s/INTrend.m&#243;d.2026.xls" TargetMode="External"/><Relationship Id="rId2" Type="http://schemas.openxmlformats.org/officeDocument/2006/relationships/externalLinkPath" Target="file:///O:\kozgazd\2026\Rendeletm&#243;dos&#237;t&#225;s\INTrend.m&#243;d.2026.xls" TargetMode="External"/><Relationship Id="rId1" Type="http://schemas.openxmlformats.org/officeDocument/2006/relationships/externalLinkPath" Target="/kozgazd/2026/Rendeletm&#243;dos&#237;t&#225;s/INTrend.m&#243;d.2026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6/K&#246;lts&#233;gvet&#233;s/Int&#233;zm&#233;nyi%20k&#246;lts&#233;gvet&#233;s/Int&#233;zm&#233;nyi%20Kgy%20t&#225;bl&#225;k/Int.l&#233;tsz&#225;m2026%20ktgvet&#233;s.xls" TargetMode="External"/><Relationship Id="rId2" Type="http://schemas.openxmlformats.org/officeDocument/2006/relationships/externalLinkPath" Target="file:///O:\kozgazd\2026\K&#246;lts&#233;gvet&#233;s\Int&#233;zm&#233;nyi%20k&#246;lts&#233;gvet&#233;s\Int&#233;zm&#233;nyi%20Kgy%20t&#225;bl&#225;k\Int.l&#233;tsz&#225;m2026%20ktgvet&#233;s.xls" TargetMode="External"/><Relationship Id="rId1" Type="http://schemas.openxmlformats.org/officeDocument/2006/relationships/externalLinkPath" Target="/kozgazd/2026/K&#246;lts&#233;gvet&#233;s/Int&#233;zm&#233;nyi%20k&#246;lts&#233;gvet&#233;s/Int&#233;zm&#233;nyi%20Kgy%20t&#225;bl&#225;k/Int.l&#233;tsz&#225;m2026%20ktgvet&#233;s.xls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2026/Statisztika/Rendeletm&#243;dos&#237;t&#225;s.xlsx" TargetMode="External"/><Relationship Id="rId2" Type="http://schemas.openxmlformats.org/officeDocument/2006/relationships/externalLinkPath" Target="file:///O:\kozgazd\2026\Statisztika\Rendeletm&#243;dos&#237;t&#225;s.xlsx" TargetMode="External"/><Relationship Id="rId1" Type="http://schemas.openxmlformats.org/officeDocument/2006/relationships/externalLinkPath" Target="/kozgazd/2026/Statisztika/Rendelet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</sheetData>
      <sheetData sheetId="3"/>
      <sheetData sheetId="4">
        <row r="9">
          <cell r="C9" t="str">
            <v>Aka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t.bevételek2026"/>
      <sheetName val="int.kiadások2026"/>
    </sheetNames>
    <sheetDataSet>
      <sheetData sheetId="0">
        <row r="9">
          <cell r="B9">
            <v>2568</v>
          </cell>
          <cell r="L9">
            <v>306829</v>
          </cell>
        </row>
        <row r="10">
          <cell r="B10">
            <v>1000</v>
          </cell>
          <cell r="L10">
            <v>210791</v>
          </cell>
        </row>
        <row r="11">
          <cell r="B11">
            <v>960</v>
          </cell>
          <cell r="L11">
            <v>216073</v>
          </cell>
        </row>
        <row r="12">
          <cell r="B12">
            <v>1256</v>
          </cell>
          <cell r="L12">
            <v>260628</v>
          </cell>
        </row>
        <row r="13">
          <cell r="B13">
            <v>1328</v>
          </cell>
          <cell r="L13">
            <v>255416</v>
          </cell>
        </row>
        <row r="14">
          <cell r="B14">
            <v>1600</v>
          </cell>
          <cell r="L14">
            <v>238167</v>
          </cell>
        </row>
        <row r="15">
          <cell r="B15">
            <v>1400</v>
          </cell>
          <cell r="L15">
            <v>171210</v>
          </cell>
        </row>
        <row r="16">
          <cell r="B16">
            <v>1568</v>
          </cell>
          <cell r="L16">
            <v>184002</v>
          </cell>
        </row>
        <row r="17">
          <cell r="B17">
            <v>880</v>
          </cell>
          <cell r="L17">
            <v>257950</v>
          </cell>
        </row>
        <row r="18">
          <cell r="B18">
            <v>3384</v>
          </cell>
          <cell r="L18">
            <v>302427</v>
          </cell>
        </row>
        <row r="19">
          <cell r="B19">
            <v>0</v>
          </cell>
          <cell r="L19">
            <v>138671</v>
          </cell>
        </row>
        <row r="20">
          <cell r="B20">
            <v>1160</v>
          </cell>
          <cell r="L20">
            <v>139749</v>
          </cell>
        </row>
        <row r="21">
          <cell r="B21">
            <v>2552</v>
          </cell>
          <cell r="L21">
            <v>171255</v>
          </cell>
        </row>
        <row r="22">
          <cell r="B22">
            <v>280</v>
          </cell>
          <cell r="L22">
            <v>205296</v>
          </cell>
        </row>
        <row r="23">
          <cell r="B23">
            <v>1640</v>
          </cell>
          <cell r="L23">
            <v>289324</v>
          </cell>
        </row>
        <row r="24">
          <cell r="B24">
            <v>320</v>
          </cell>
          <cell r="L24">
            <v>207353</v>
          </cell>
        </row>
        <row r="25">
          <cell r="B25">
            <v>1104</v>
          </cell>
          <cell r="L25">
            <v>170456</v>
          </cell>
        </row>
        <row r="26">
          <cell r="B26">
            <v>1600</v>
          </cell>
          <cell r="L26">
            <v>115314</v>
          </cell>
        </row>
        <row r="28">
          <cell r="B28">
            <v>694181</v>
          </cell>
          <cell r="L28">
            <v>2003033</v>
          </cell>
        </row>
        <row r="32">
          <cell r="B32">
            <v>38471</v>
          </cell>
          <cell r="L32">
            <v>204103</v>
          </cell>
        </row>
        <row r="33">
          <cell r="B33">
            <v>133344</v>
          </cell>
          <cell r="L33">
            <v>623956</v>
          </cell>
        </row>
        <row r="34">
          <cell r="B34">
            <v>34400</v>
          </cell>
          <cell r="L34">
            <v>384957</v>
          </cell>
        </row>
        <row r="35">
          <cell r="B35">
            <v>154078</v>
          </cell>
          <cell r="L35">
            <v>785529</v>
          </cell>
        </row>
        <row r="38">
          <cell r="B38">
            <v>254185</v>
          </cell>
          <cell r="L38">
            <v>1549755</v>
          </cell>
        </row>
        <row r="40">
          <cell r="B40">
            <v>70816</v>
          </cell>
          <cell r="C40">
            <v>532064</v>
          </cell>
          <cell r="L40">
            <v>356299</v>
          </cell>
        </row>
        <row r="42">
          <cell r="B42">
            <v>85032</v>
          </cell>
          <cell r="L42">
            <v>2106968</v>
          </cell>
        </row>
        <row r="44">
          <cell r="B44">
            <v>203300</v>
          </cell>
          <cell r="L44">
            <v>15274</v>
          </cell>
        </row>
        <row r="45">
          <cell r="B45">
            <v>21537</v>
          </cell>
          <cell r="L45">
            <v>491966</v>
          </cell>
        </row>
        <row r="46">
          <cell r="B46">
            <v>21655</v>
          </cell>
          <cell r="E46">
            <v>1350</v>
          </cell>
          <cell r="L46">
            <v>3259921</v>
          </cell>
        </row>
      </sheetData>
      <sheetData sheetId="1">
        <row r="9">
          <cell r="B9">
            <v>263678</v>
          </cell>
          <cell r="C9">
            <v>38887</v>
          </cell>
          <cell r="D9">
            <v>6832</v>
          </cell>
        </row>
        <row r="10">
          <cell r="B10">
            <v>184522</v>
          </cell>
          <cell r="C10">
            <v>23984</v>
          </cell>
          <cell r="D10">
            <v>3285</v>
          </cell>
        </row>
        <row r="11">
          <cell r="B11">
            <v>188363</v>
          </cell>
          <cell r="C11">
            <v>24425</v>
          </cell>
          <cell r="D11">
            <v>4245</v>
          </cell>
        </row>
        <row r="12">
          <cell r="B12">
            <v>224194</v>
          </cell>
          <cell r="C12">
            <v>33118</v>
          </cell>
          <cell r="D12">
            <v>4572</v>
          </cell>
        </row>
        <row r="13">
          <cell r="B13">
            <v>220656</v>
          </cell>
          <cell r="C13">
            <v>32278</v>
          </cell>
          <cell r="D13">
            <v>3810</v>
          </cell>
        </row>
        <row r="14">
          <cell r="B14">
            <v>209105</v>
          </cell>
          <cell r="C14">
            <v>27304</v>
          </cell>
          <cell r="D14">
            <v>3358</v>
          </cell>
        </row>
        <row r="15">
          <cell r="B15">
            <v>149792</v>
          </cell>
          <cell r="C15">
            <v>19422</v>
          </cell>
          <cell r="D15">
            <v>3396</v>
          </cell>
        </row>
        <row r="16">
          <cell r="B16">
            <v>160991</v>
          </cell>
          <cell r="C16">
            <v>20870</v>
          </cell>
          <cell r="D16">
            <v>3709</v>
          </cell>
        </row>
        <row r="17">
          <cell r="B17">
            <v>222366</v>
          </cell>
          <cell r="C17">
            <v>32918</v>
          </cell>
          <cell r="D17">
            <v>3546</v>
          </cell>
        </row>
        <row r="18">
          <cell r="B18">
            <v>261501</v>
          </cell>
          <cell r="C18">
            <v>38306</v>
          </cell>
          <cell r="D18">
            <v>6004</v>
          </cell>
        </row>
        <row r="19">
          <cell r="B19">
            <v>120329</v>
          </cell>
          <cell r="C19">
            <v>15640</v>
          </cell>
          <cell r="D19">
            <v>2702</v>
          </cell>
        </row>
        <row r="20">
          <cell r="B20">
            <v>122529</v>
          </cell>
          <cell r="C20">
            <v>15868</v>
          </cell>
          <cell r="D20">
            <v>2512</v>
          </cell>
        </row>
        <row r="21">
          <cell r="B21">
            <v>150275</v>
          </cell>
          <cell r="C21">
            <v>19448</v>
          </cell>
          <cell r="D21">
            <v>4084</v>
          </cell>
        </row>
        <row r="22">
          <cell r="B22">
            <v>179147</v>
          </cell>
          <cell r="C22">
            <v>23350</v>
          </cell>
          <cell r="D22">
            <v>3079</v>
          </cell>
        </row>
        <row r="23">
          <cell r="B23">
            <v>249504</v>
          </cell>
          <cell r="C23">
            <v>36857</v>
          </cell>
          <cell r="D23">
            <v>4603</v>
          </cell>
        </row>
        <row r="24">
          <cell r="B24">
            <v>180700</v>
          </cell>
          <cell r="C24">
            <v>23493</v>
          </cell>
          <cell r="D24">
            <v>3480</v>
          </cell>
        </row>
        <row r="25">
          <cell r="B25">
            <v>148966</v>
          </cell>
          <cell r="C25">
            <v>19308</v>
          </cell>
          <cell r="D25">
            <v>3286</v>
          </cell>
        </row>
        <row r="26">
          <cell r="B26">
            <v>100739</v>
          </cell>
          <cell r="C26">
            <v>13007</v>
          </cell>
          <cell r="D26">
            <v>3168</v>
          </cell>
        </row>
        <row r="28">
          <cell r="B28">
            <v>343970</v>
          </cell>
          <cell r="C28">
            <v>52613</v>
          </cell>
          <cell r="D28">
            <v>2300631</v>
          </cell>
        </row>
        <row r="32">
          <cell r="B32">
            <v>171982</v>
          </cell>
          <cell r="C32">
            <v>21273</v>
          </cell>
          <cell r="D32">
            <v>49319</v>
          </cell>
        </row>
        <row r="33">
          <cell r="B33">
            <v>616371</v>
          </cell>
          <cell r="C33">
            <v>79460</v>
          </cell>
          <cell r="D33">
            <v>61469</v>
          </cell>
        </row>
        <row r="34">
          <cell r="B34">
            <v>314198</v>
          </cell>
          <cell r="C34">
            <v>44735</v>
          </cell>
          <cell r="D34">
            <v>60424</v>
          </cell>
        </row>
        <row r="35">
          <cell r="B35">
            <v>678235</v>
          </cell>
          <cell r="C35">
            <v>93596</v>
          </cell>
          <cell r="D35">
            <v>167776</v>
          </cell>
        </row>
        <row r="38">
          <cell r="B38">
            <v>967894</v>
          </cell>
          <cell r="C38">
            <v>155771</v>
          </cell>
          <cell r="D38">
            <v>665308</v>
          </cell>
          <cell r="J38">
            <v>14967</v>
          </cell>
        </row>
        <row r="40">
          <cell r="B40">
            <v>599627</v>
          </cell>
          <cell r="C40">
            <v>88618</v>
          </cell>
          <cell r="D40">
            <v>270934</v>
          </cell>
        </row>
        <row r="42">
          <cell r="B42">
            <v>1659897</v>
          </cell>
          <cell r="C42">
            <v>251876</v>
          </cell>
          <cell r="D42">
            <v>228567</v>
          </cell>
          <cell r="I42">
            <v>24990</v>
          </cell>
          <cell r="J42">
            <v>26670</v>
          </cell>
        </row>
        <row r="44">
          <cell r="B44">
            <v>91106</v>
          </cell>
          <cell r="C44">
            <v>11825</v>
          </cell>
          <cell r="D44">
            <v>115643</v>
          </cell>
        </row>
        <row r="45">
          <cell r="B45">
            <v>282909</v>
          </cell>
          <cell r="C45">
            <v>40347</v>
          </cell>
          <cell r="D45">
            <v>190247</v>
          </cell>
        </row>
        <row r="46">
          <cell r="B46">
            <v>2349481</v>
          </cell>
          <cell r="C46">
            <v>349379</v>
          </cell>
          <cell r="D46">
            <v>484411</v>
          </cell>
          <cell r="F46">
            <v>4500</v>
          </cell>
          <cell r="I46">
            <v>87155</v>
          </cell>
          <cell r="J46">
            <v>8000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t.bevételek RM I maradvány"/>
      <sheetName val="int.kiadások RM I maradvány"/>
      <sheetName val="int.bevételek RM I"/>
      <sheetName val="int.kiadások RM I"/>
      <sheetName val="int.bevételek RM II"/>
      <sheetName val="int.kiadások RM II"/>
      <sheetName val="int.bevételek RM III"/>
      <sheetName val="int.kiadások RM III"/>
      <sheetName val="int.bevételek RM IV"/>
      <sheetName val="int.kiadások RM IV"/>
    </sheetNames>
    <sheetDataSet>
      <sheetData sheetId="0">
        <row r="10">
          <cell r="AO10">
            <v>3426</v>
          </cell>
          <cell r="AS10">
            <v>2932</v>
          </cell>
        </row>
        <row r="11">
          <cell r="AO11">
            <v>886</v>
          </cell>
          <cell r="AS11">
            <v>1862</v>
          </cell>
        </row>
        <row r="12">
          <cell r="AO12">
            <v>2589</v>
          </cell>
          <cell r="AS12">
            <v>2281</v>
          </cell>
        </row>
        <row r="13">
          <cell r="AO13">
            <v>1730</v>
          </cell>
          <cell r="AS13">
            <v>3890</v>
          </cell>
        </row>
        <row r="14">
          <cell r="AO14">
            <v>1850</v>
          </cell>
          <cell r="AS14">
            <v>2273</v>
          </cell>
        </row>
        <row r="15">
          <cell r="AO15">
            <v>2051</v>
          </cell>
          <cell r="AS15">
            <v>5213</v>
          </cell>
        </row>
        <row r="16">
          <cell r="AO16">
            <v>1230</v>
          </cell>
          <cell r="AS16">
            <v>1549</v>
          </cell>
        </row>
        <row r="17">
          <cell r="AO17">
            <v>957</v>
          </cell>
          <cell r="AS17">
            <v>1595</v>
          </cell>
        </row>
        <row r="18">
          <cell r="AO18">
            <v>1896</v>
          </cell>
          <cell r="AS18">
            <v>10249</v>
          </cell>
        </row>
        <row r="19">
          <cell r="AO19">
            <v>5227</v>
          </cell>
          <cell r="AS19">
            <v>802</v>
          </cell>
        </row>
        <row r="20">
          <cell r="AO20">
            <v>864</v>
          </cell>
          <cell r="AS20">
            <v>1457</v>
          </cell>
        </row>
        <row r="21">
          <cell r="AO21">
            <v>1185</v>
          </cell>
          <cell r="AS21">
            <v>2751</v>
          </cell>
        </row>
        <row r="22">
          <cell r="AO22">
            <v>1195</v>
          </cell>
          <cell r="AS22">
            <v>3158</v>
          </cell>
        </row>
        <row r="23">
          <cell r="AO23">
            <v>2476</v>
          </cell>
          <cell r="AS23">
            <v>6820</v>
          </cell>
        </row>
        <row r="24">
          <cell r="AO24">
            <v>1221</v>
          </cell>
          <cell r="AS24">
            <v>8305</v>
          </cell>
        </row>
        <row r="25">
          <cell r="AO25">
            <v>2113</v>
          </cell>
          <cell r="AS25">
            <v>14169</v>
          </cell>
        </row>
        <row r="26">
          <cell r="AO26">
            <v>799</v>
          </cell>
          <cell r="AS26">
            <v>2408</v>
          </cell>
        </row>
        <row r="27">
          <cell r="AO27">
            <v>1228</v>
          </cell>
          <cell r="AS27">
            <v>907</v>
          </cell>
        </row>
        <row r="29">
          <cell r="AO29">
            <v>5542</v>
          </cell>
          <cell r="AS29">
            <v>41797</v>
          </cell>
        </row>
        <row r="33">
          <cell r="AO33">
            <v>53284</v>
          </cell>
        </row>
        <row r="34">
          <cell r="AO34">
            <v>304325</v>
          </cell>
          <cell r="AS34">
            <v>-2873</v>
          </cell>
        </row>
        <row r="35">
          <cell r="AO35">
            <v>32419</v>
          </cell>
          <cell r="AS35">
            <v>-1172</v>
          </cell>
        </row>
        <row r="36">
          <cell r="AO36">
            <v>71319</v>
          </cell>
          <cell r="AS36">
            <v>34</v>
          </cell>
        </row>
        <row r="39">
          <cell r="AO39">
            <v>2784</v>
          </cell>
          <cell r="AS39">
            <v>38713</v>
          </cell>
        </row>
        <row r="41">
          <cell r="AO41">
            <v>154463</v>
          </cell>
          <cell r="AS41">
            <v>13</v>
          </cell>
        </row>
        <row r="43">
          <cell r="AO43">
            <v>3629</v>
          </cell>
          <cell r="AS43">
            <v>2066</v>
          </cell>
        </row>
        <row r="45">
          <cell r="AO45">
            <v>15005</v>
          </cell>
          <cell r="AS45">
            <v>13120</v>
          </cell>
        </row>
        <row r="46">
          <cell r="AO46">
            <v>0</v>
          </cell>
        </row>
        <row r="47">
          <cell r="AO47">
            <v>9929</v>
          </cell>
          <cell r="AS47">
            <v>216005</v>
          </cell>
        </row>
      </sheetData>
      <sheetData sheetId="1">
        <row r="10">
          <cell r="C10">
            <v>3618</v>
          </cell>
          <cell r="F10">
            <v>489</v>
          </cell>
          <cell r="I10">
            <v>2251</v>
          </cell>
        </row>
        <row r="11">
          <cell r="C11">
            <v>1128</v>
          </cell>
          <cell r="F11">
            <v>137</v>
          </cell>
          <cell r="I11">
            <v>1483</v>
          </cell>
        </row>
        <row r="12">
          <cell r="C12">
            <v>4062</v>
          </cell>
          <cell r="F12">
            <v>508</v>
          </cell>
          <cell r="I12">
            <v>300</v>
          </cell>
        </row>
        <row r="13">
          <cell r="C13">
            <v>3967</v>
          </cell>
          <cell r="F13">
            <v>394</v>
          </cell>
          <cell r="I13">
            <v>1259</v>
          </cell>
        </row>
        <row r="14">
          <cell r="C14">
            <v>3349</v>
          </cell>
          <cell r="F14">
            <v>290</v>
          </cell>
          <cell r="I14">
            <v>484</v>
          </cell>
        </row>
        <row r="15">
          <cell r="C15">
            <v>3961</v>
          </cell>
          <cell r="F15">
            <v>1910</v>
          </cell>
          <cell r="I15">
            <v>1393</v>
          </cell>
        </row>
        <row r="16">
          <cell r="C16">
            <v>1684</v>
          </cell>
          <cell r="F16">
            <v>223</v>
          </cell>
          <cell r="I16">
            <v>872</v>
          </cell>
        </row>
        <row r="17">
          <cell r="C17">
            <v>1879</v>
          </cell>
          <cell r="F17">
            <v>272</v>
          </cell>
          <cell r="I17">
            <v>401</v>
          </cell>
        </row>
        <row r="18">
          <cell r="C18">
            <v>4802</v>
          </cell>
          <cell r="F18">
            <v>584</v>
          </cell>
          <cell r="I18">
            <v>1327</v>
          </cell>
          <cell r="W18">
            <v>5432</v>
          </cell>
        </row>
        <row r="19">
          <cell r="C19">
            <v>5575</v>
          </cell>
          <cell r="F19">
            <v>344</v>
          </cell>
          <cell r="I19">
            <v>110</v>
          </cell>
        </row>
        <row r="20">
          <cell r="C20">
            <v>1236</v>
          </cell>
          <cell r="F20">
            <v>171</v>
          </cell>
          <cell r="I20">
            <v>914</v>
          </cell>
        </row>
        <row r="21">
          <cell r="C21">
            <v>3230</v>
          </cell>
          <cell r="F21">
            <v>408</v>
          </cell>
          <cell r="I21">
            <v>298</v>
          </cell>
        </row>
        <row r="22">
          <cell r="C22">
            <v>2275</v>
          </cell>
          <cell r="F22">
            <v>316</v>
          </cell>
          <cell r="I22">
            <v>1762</v>
          </cell>
        </row>
        <row r="23">
          <cell r="C23">
            <v>2084</v>
          </cell>
          <cell r="F23">
            <v>193</v>
          </cell>
          <cell r="I23">
            <v>688</v>
          </cell>
          <cell r="W23">
            <v>6331</v>
          </cell>
        </row>
        <row r="24">
          <cell r="C24">
            <v>2582</v>
          </cell>
          <cell r="F24">
            <v>154</v>
          </cell>
          <cell r="I24">
            <v>6790</v>
          </cell>
        </row>
        <row r="25">
          <cell r="C25">
            <v>7674</v>
          </cell>
          <cell r="F25">
            <v>923</v>
          </cell>
          <cell r="I25">
            <v>7685</v>
          </cell>
        </row>
        <row r="26">
          <cell r="C26">
            <v>1569</v>
          </cell>
          <cell r="F26">
            <v>206</v>
          </cell>
          <cell r="I26">
            <v>1432</v>
          </cell>
        </row>
        <row r="27">
          <cell r="C27">
            <v>1775</v>
          </cell>
          <cell r="F27">
            <v>228</v>
          </cell>
          <cell r="I27">
            <v>132</v>
          </cell>
        </row>
        <row r="29">
          <cell r="C29">
            <v>15261</v>
          </cell>
          <cell r="F29">
            <v>2027</v>
          </cell>
          <cell r="I29">
            <v>21505</v>
          </cell>
          <cell r="W29">
            <v>548</v>
          </cell>
          <cell r="Z29">
            <v>7998</v>
          </cell>
        </row>
        <row r="33">
          <cell r="C33">
            <v>18345</v>
          </cell>
          <cell r="F33">
            <v>1359</v>
          </cell>
          <cell r="I33">
            <v>33580</v>
          </cell>
        </row>
        <row r="34">
          <cell r="C34">
            <v>83275</v>
          </cell>
          <cell r="F34">
            <v>23199</v>
          </cell>
          <cell r="I34">
            <v>149289</v>
          </cell>
          <cell r="W34">
            <v>45689</v>
          </cell>
        </row>
        <row r="35">
          <cell r="C35">
            <v>8893</v>
          </cell>
          <cell r="F35">
            <v>1156</v>
          </cell>
          <cell r="I35">
            <v>21198</v>
          </cell>
        </row>
        <row r="36">
          <cell r="I36">
            <v>63260</v>
          </cell>
          <cell r="W36">
            <v>8093</v>
          </cell>
        </row>
        <row r="39">
          <cell r="C39">
            <v>9849</v>
          </cell>
          <cell r="F39">
            <v>10230</v>
          </cell>
          <cell r="I39">
            <v>9666</v>
          </cell>
          <cell r="Z39">
            <v>11752</v>
          </cell>
        </row>
        <row r="41">
          <cell r="C41">
            <v>21972</v>
          </cell>
          <cell r="F41">
            <v>3281</v>
          </cell>
          <cell r="I41">
            <v>126379</v>
          </cell>
          <cell r="W41">
            <v>2844</v>
          </cell>
        </row>
        <row r="43">
          <cell r="I43">
            <v>2996</v>
          </cell>
          <cell r="W43">
            <v>28</v>
          </cell>
          <cell r="Z43">
            <v>2671</v>
          </cell>
        </row>
        <row r="45">
          <cell r="C45">
            <v>122</v>
          </cell>
          <cell r="F45">
            <v>25</v>
          </cell>
          <cell r="I45">
            <v>27385</v>
          </cell>
          <cell r="W45">
            <v>593</v>
          </cell>
        </row>
        <row r="47">
          <cell r="C47">
            <v>183586</v>
          </cell>
          <cell r="F47">
            <v>29341</v>
          </cell>
          <cell r="I47">
            <v>5387</v>
          </cell>
          <cell r="W47">
            <v>7620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étszám ei mód 2025-2026eltérés"/>
      <sheetName val="2026 évi nyitó létszám"/>
      <sheetName val="2026 évi nyitó létszám KGY"/>
    </sheetNames>
    <sheetDataSet>
      <sheetData sheetId="0"/>
      <sheetData sheetId="1"/>
      <sheetData sheetId="2">
        <row r="8">
          <cell r="B8">
            <v>34</v>
          </cell>
          <cell r="C8">
            <v>33</v>
          </cell>
          <cell r="G8">
            <v>33</v>
          </cell>
        </row>
        <row r="9">
          <cell r="B9">
            <v>24</v>
          </cell>
          <cell r="C9">
            <v>23</v>
          </cell>
          <cell r="G9">
            <v>23</v>
          </cell>
        </row>
        <row r="10">
          <cell r="B10">
            <v>24</v>
          </cell>
          <cell r="C10">
            <v>23</v>
          </cell>
          <cell r="G10">
            <v>23</v>
          </cell>
        </row>
        <row r="11">
          <cell r="B11">
            <v>29</v>
          </cell>
          <cell r="C11">
            <v>28</v>
          </cell>
          <cell r="G11">
            <v>28</v>
          </cell>
        </row>
        <row r="12">
          <cell r="B12">
            <v>28</v>
          </cell>
          <cell r="C12">
            <v>26</v>
          </cell>
          <cell r="G12">
            <v>26</v>
          </cell>
        </row>
        <row r="13">
          <cell r="B13">
            <v>24</v>
          </cell>
          <cell r="C13">
            <v>23</v>
          </cell>
          <cell r="G13">
            <v>23</v>
          </cell>
        </row>
        <row r="14">
          <cell r="B14">
            <v>19</v>
          </cell>
          <cell r="C14">
            <v>18</v>
          </cell>
          <cell r="G14">
            <v>18</v>
          </cell>
        </row>
        <row r="15">
          <cell r="B15">
            <v>19</v>
          </cell>
          <cell r="C15">
            <v>18.5</v>
          </cell>
          <cell r="G15">
            <v>18</v>
          </cell>
          <cell r="H15">
            <v>0.5</v>
          </cell>
        </row>
        <row r="16">
          <cell r="B16">
            <v>28</v>
          </cell>
          <cell r="C16">
            <v>28.5</v>
          </cell>
          <cell r="G16">
            <v>28</v>
          </cell>
          <cell r="H16">
            <v>0.5</v>
          </cell>
        </row>
        <row r="17">
          <cell r="B17">
            <v>31</v>
          </cell>
          <cell r="C17">
            <v>30.5</v>
          </cell>
          <cell r="G17">
            <v>30</v>
          </cell>
          <cell r="H17">
            <v>0.5</v>
          </cell>
        </row>
        <row r="18">
          <cell r="B18">
            <v>16</v>
          </cell>
          <cell r="C18">
            <v>15</v>
          </cell>
          <cell r="G18">
            <v>15</v>
          </cell>
        </row>
        <row r="19">
          <cell r="B19">
            <v>15</v>
          </cell>
          <cell r="C19">
            <v>14</v>
          </cell>
          <cell r="G19">
            <v>14</v>
          </cell>
        </row>
        <row r="20">
          <cell r="B20">
            <v>20</v>
          </cell>
          <cell r="C20">
            <v>19</v>
          </cell>
          <cell r="G20">
            <v>19</v>
          </cell>
        </row>
        <row r="21">
          <cell r="B21">
            <v>21</v>
          </cell>
          <cell r="C21">
            <v>20.5</v>
          </cell>
          <cell r="G21">
            <v>20</v>
          </cell>
          <cell r="H21">
            <v>0.5</v>
          </cell>
        </row>
        <row r="22">
          <cell r="B22">
            <v>32</v>
          </cell>
          <cell r="C22">
            <v>31.5</v>
          </cell>
          <cell r="G22">
            <v>31</v>
          </cell>
          <cell r="H22">
            <v>0.5</v>
          </cell>
        </row>
        <row r="23">
          <cell r="B23">
            <v>24</v>
          </cell>
          <cell r="C23">
            <v>23</v>
          </cell>
          <cell r="G23">
            <v>23</v>
          </cell>
        </row>
        <row r="24">
          <cell r="B24">
            <v>18</v>
          </cell>
          <cell r="C24">
            <v>17</v>
          </cell>
          <cell r="G24">
            <v>17</v>
          </cell>
        </row>
        <row r="25">
          <cell r="B25">
            <v>13</v>
          </cell>
          <cell r="C25">
            <v>11.5</v>
          </cell>
          <cell r="G25">
            <v>11.5</v>
          </cell>
        </row>
        <row r="27">
          <cell r="B27">
            <v>44</v>
          </cell>
          <cell r="C27">
            <v>49</v>
          </cell>
          <cell r="F27">
            <v>49</v>
          </cell>
        </row>
        <row r="31">
          <cell r="B31">
            <v>19.75</v>
          </cell>
          <cell r="C31">
            <v>19.75</v>
          </cell>
          <cell r="H31">
            <v>19.75</v>
          </cell>
        </row>
        <row r="32">
          <cell r="B32">
            <v>84.5</v>
          </cell>
          <cell r="C32">
            <v>84.5</v>
          </cell>
          <cell r="H32">
            <v>84.5</v>
          </cell>
        </row>
        <row r="33">
          <cell r="B33">
            <v>46</v>
          </cell>
          <cell r="C33">
            <v>46</v>
          </cell>
          <cell r="H33">
            <v>46</v>
          </cell>
        </row>
        <row r="34">
          <cell r="B34">
            <v>100.75</v>
          </cell>
          <cell r="C34">
            <v>100.75</v>
          </cell>
          <cell r="H34">
            <v>100.75</v>
          </cell>
        </row>
        <row r="37">
          <cell r="B37">
            <v>182.75</v>
          </cell>
          <cell r="C37">
            <v>181.75</v>
          </cell>
          <cell r="F37">
            <v>181.75</v>
          </cell>
        </row>
        <row r="39">
          <cell r="B39">
            <v>72</v>
          </cell>
          <cell r="C39">
            <v>77</v>
          </cell>
          <cell r="E39">
            <v>58</v>
          </cell>
          <cell r="F39">
            <v>19</v>
          </cell>
        </row>
        <row r="41">
          <cell r="B41">
            <v>201.755</v>
          </cell>
          <cell r="C41">
            <v>201.755</v>
          </cell>
          <cell r="F41">
            <v>134.76</v>
          </cell>
          <cell r="G41">
            <v>67</v>
          </cell>
        </row>
        <row r="43">
          <cell r="B43">
            <v>14.5</v>
          </cell>
          <cell r="C43">
            <v>14.5</v>
          </cell>
          <cell r="F43">
            <v>14.5</v>
          </cell>
        </row>
        <row r="44">
          <cell r="B44">
            <v>0</v>
          </cell>
          <cell r="C44">
            <v>43</v>
          </cell>
          <cell r="F44">
            <v>43</v>
          </cell>
        </row>
        <row r="45">
          <cell r="B45">
            <v>301.5</v>
          </cell>
          <cell r="C45">
            <v>289.75</v>
          </cell>
          <cell r="D45">
            <v>247</v>
          </cell>
          <cell r="H45">
            <v>42.75</v>
          </cell>
        </row>
        <row r="49">
          <cell r="B49">
            <v>18</v>
          </cell>
          <cell r="C49">
            <v>18</v>
          </cell>
          <cell r="J49">
            <v>18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.májusi egyszeri"/>
      <sheetName val="2026.I. rendmód"/>
      <sheetName val="2026.kv.rend. végleges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3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"/>
  <sheetViews>
    <sheetView tabSelected="1" zoomScale="118" zoomScaleNormal="118" workbookViewId="0">
      <selection activeCell="O1" sqref="O1:V1048576"/>
    </sheetView>
  </sheetViews>
  <sheetFormatPr defaultColWidth="9.33203125" defaultRowHeight="18.75" x14ac:dyDescent="0.3"/>
  <cols>
    <col min="1" max="1" width="10.83203125" style="191" customWidth="1"/>
    <col min="2" max="2" width="102.83203125" style="191" customWidth="1"/>
    <col min="3" max="3" width="31.33203125" style="191" customWidth="1"/>
    <col min="4" max="6" width="27" style="191" customWidth="1"/>
    <col min="7" max="7" width="27.5" style="193" customWidth="1"/>
    <col min="8" max="8" width="14" style="193" customWidth="1"/>
    <col min="9" max="9" width="86.1640625" style="191" customWidth="1"/>
    <col min="10" max="13" width="27" style="191" customWidth="1"/>
    <col min="14" max="14" width="27" style="193" customWidth="1"/>
    <col min="15" max="16384" width="9.33203125" style="191"/>
  </cols>
  <sheetData>
    <row r="1" spans="1:14" x14ac:dyDescent="0.3">
      <c r="B1" s="878" t="s">
        <v>209</v>
      </c>
      <c r="C1" s="878"/>
      <c r="D1" s="878"/>
      <c r="E1" s="878"/>
      <c r="F1" s="878"/>
      <c r="G1" s="878"/>
      <c r="H1" s="1"/>
      <c r="I1" s="878" t="s">
        <v>209</v>
      </c>
      <c r="J1" s="878"/>
      <c r="K1" s="878"/>
      <c r="L1" s="878"/>
      <c r="M1" s="878"/>
      <c r="N1" s="878"/>
    </row>
    <row r="2" spans="1:14" x14ac:dyDescent="0.3">
      <c r="B2" s="878" t="s">
        <v>666</v>
      </c>
      <c r="C2" s="878"/>
      <c r="D2" s="878"/>
      <c r="E2" s="878"/>
      <c r="F2" s="878"/>
      <c r="G2" s="878"/>
      <c r="H2" s="1"/>
      <c r="I2" s="878" t="s">
        <v>667</v>
      </c>
      <c r="J2" s="878"/>
      <c r="K2" s="878"/>
      <c r="L2" s="878"/>
      <c r="M2" s="878"/>
      <c r="N2" s="878"/>
    </row>
    <row r="3" spans="1:14" ht="19.5" thickBot="1" x14ac:dyDescent="0.35">
      <c r="A3" s="192"/>
      <c r="N3" s="194" t="s">
        <v>201</v>
      </c>
    </row>
    <row r="4" spans="1:14" x14ac:dyDescent="0.3">
      <c r="A4" s="195"/>
      <c r="B4" s="196" t="s">
        <v>200</v>
      </c>
      <c r="C4" s="195" t="s">
        <v>298</v>
      </c>
      <c r="D4" s="197" t="s">
        <v>299</v>
      </c>
      <c r="E4" s="195" t="s">
        <v>299</v>
      </c>
      <c r="F4" s="197" t="s">
        <v>299</v>
      </c>
      <c r="G4" s="197" t="s">
        <v>216</v>
      </c>
      <c r="H4" s="195"/>
      <c r="I4" s="196" t="s">
        <v>224</v>
      </c>
      <c r="J4" s="195" t="s">
        <v>298</v>
      </c>
      <c r="K4" s="197" t="s">
        <v>299</v>
      </c>
      <c r="L4" s="195" t="s">
        <v>299</v>
      </c>
      <c r="M4" s="197" t="s">
        <v>299</v>
      </c>
      <c r="N4" s="197" t="s">
        <v>216</v>
      </c>
    </row>
    <row r="5" spans="1:14" x14ac:dyDescent="0.3">
      <c r="A5" s="198"/>
      <c r="B5" s="199"/>
      <c r="C5" s="198" t="s">
        <v>300</v>
      </c>
      <c r="D5" s="200"/>
      <c r="E5" s="198"/>
      <c r="F5" s="200" t="s">
        <v>216</v>
      </c>
      <c r="G5" s="200" t="s">
        <v>217</v>
      </c>
      <c r="H5" s="198"/>
      <c r="I5" s="199"/>
      <c r="J5" s="198" t="s">
        <v>301</v>
      </c>
      <c r="K5" s="200"/>
      <c r="L5" s="198"/>
      <c r="M5" s="200" t="s">
        <v>216</v>
      </c>
      <c r="N5" s="200" t="s">
        <v>225</v>
      </c>
    </row>
    <row r="6" spans="1:14" ht="94.5" thickBot="1" x14ac:dyDescent="0.35">
      <c r="A6" s="201"/>
      <c r="B6" s="165"/>
      <c r="C6" s="202"/>
      <c r="D6" s="203"/>
      <c r="E6" s="204" t="s">
        <v>302</v>
      </c>
      <c r="F6" s="203"/>
      <c r="G6" s="205"/>
      <c r="H6" s="201"/>
      <c r="I6" s="165"/>
      <c r="J6" s="202" t="s">
        <v>186</v>
      </c>
      <c r="K6" s="203" t="s">
        <v>303</v>
      </c>
      <c r="L6" s="204" t="s">
        <v>302</v>
      </c>
      <c r="M6" s="203"/>
      <c r="N6" s="205"/>
    </row>
    <row r="7" spans="1:14" x14ac:dyDescent="0.3">
      <c r="A7" s="198"/>
      <c r="B7" s="206" t="s">
        <v>304</v>
      </c>
      <c r="C7" s="207"/>
      <c r="D7" s="208"/>
      <c r="E7" s="208"/>
      <c r="F7" s="208"/>
      <c r="G7" s="197"/>
      <c r="H7" s="198"/>
      <c r="I7" s="196" t="s">
        <v>305</v>
      </c>
      <c r="J7" s="207"/>
      <c r="K7" s="208"/>
      <c r="L7" s="208"/>
      <c r="M7" s="208"/>
      <c r="N7" s="197"/>
    </row>
    <row r="8" spans="1:14" x14ac:dyDescent="0.3">
      <c r="A8" s="209" t="s">
        <v>306</v>
      </c>
      <c r="B8" s="108" t="s">
        <v>241</v>
      </c>
      <c r="C8" s="104">
        <v>966943</v>
      </c>
      <c r="D8" s="104">
        <v>12030675</v>
      </c>
      <c r="E8" s="104"/>
      <c r="F8" s="104">
        <f>SUM(D8:E8)</f>
        <v>12030675</v>
      </c>
      <c r="G8" s="210">
        <f>SUM(C8+F8)</f>
        <v>12997618</v>
      </c>
      <c r="H8" s="211" t="s">
        <v>307</v>
      </c>
      <c r="I8" s="108" t="s">
        <v>242</v>
      </c>
      <c r="J8" s="105">
        <v>12567010</v>
      </c>
      <c r="K8" s="105">
        <v>547447</v>
      </c>
      <c r="L8" s="104">
        <v>154</v>
      </c>
      <c r="M8" s="104">
        <f>SUM(K8:L8)</f>
        <v>547601</v>
      </c>
      <c r="N8" s="210">
        <f>SUM(J8+M8)</f>
        <v>13114611</v>
      </c>
    </row>
    <row r="9" spans="1:14" x14ac:dyDescent="0.3">
      <c r="A9" s="212" t="s">
        <v>308</v>
      </c>
      <c r="B9" s="109" t="s">
        <v>180</v>
      </c>
      <c r="C9" s="104">
        <v>1350</v>
      </c>
      <c r="D9" s="104">
        <v>14993026</v>
      </c>
      <c r="E9" s="104"/>
      <c r="F9" s="104">
        <f t="shared" ref="F9:F16" si="0">SUM(D9:E9)</f>
        <v>14993026</v>
      </c>
      <c r="G9" s="210">
        <f>SUM(C9+F9)</f>
        <v>14994376</v>
      </c>
      <c r="H9" s="212" t="s">
        <v>309</v>
      </c>
      <c r="I9" s="110" t="s">
        <v>243</v>
      </c>
      <c r="J9" s="213">
        <v>1874593</v>
      </c>
      <c r="K9" s="213">
        <v>75035</v>
      </c>
      <c r="L9" s="104">
        <v>60</v>
      </c>
      <c r="M9" s="104">
        <f>SUM(K9:L9)</f>
        <v>75095</v>
      </c>
      <c r="N9" s="210">
        <f>SUM(J9+M9)</f>
        <v>1949688</v>
      </c>
    </row>
    <row r="10" spans="1:14" x14ac:dyDescent="0.3">
      <c r="A10" s="209" t="s">
        <v>310</v>
      </c>
      <c r="B10" s="108" t="s">
        <v>311</v>
      </c>
      <c r="C10" s="104">
        <v>1736982</v>
      </c>
      <c r="D10" s="104">
        <v>3686459</v>
      </c>
      <c r="E10" s="104"/>
      <c r="F10" s="104">
        <f t="shared" si="0"/>
        <v>3686459</v>
      </c>
      <c r="G10" s="210">
        <f>SUM(C10+F10)</f>
        <v>5423441</v>
      </c>
      <c r="H10" s="212" t="s">
        <v>312</v>
      </c>
      <c r="I10" s="109" t="s">
        <v>244</v>
      </c>
      <c r="J10" s="213">
        <v>5475202</v>
      </c>
      <c r="K10" s="213">
        <v>6234813</v>
      </c>
      <c r="L10" s="104">
        <v>39986</v>
      </c>
      <c r="M10" s="104">
        <f>SUM(K10:L10)</f>
        <v>6274799</v>
      </c>
      <c r="N10" s="210">
        <f>SUM(J10+M10)</f>
        <v>11750001</v>
      </c>
    </row>
    <row r="11" spans="1:14" x14ac:dyDescent="0.3">
      <c r="A11" s="212" t="s">
        <v>313</v>
      </c>
      <c r="B11" s="109" t="s">
        <v>106</v>
      </c>
      <c r="C11" s="104">
        <v>1000</v>
      </c>
      <c r="D11" s="104">
        <v>1944780</v>
      </c>
      <c r="E11" s="104"/>
      <c r="F11" s="104">
        <f t="shared" si="0"/>
        <v>1944780</v>
      </c>
      <c r="G11" s="210">
        <f>SUM(C11+F11)</f>
        <v>1945780</v>
      </c>
      <c r="H11" s="214" t="s">
        <v>314</v>
      </c>
      <c r="I11" s="111" t="s">
        <v>245</v>
      </c>
      <c r="J11" s="213"/>
      <c r="K11" s="213">
        <v>229201</v>
      </c>
      <c r="L11" s="104"/>
      <c r="M11" s="104">
        <f>SUM(K11:L11)</f>
        <v>229201</v>
      </c>
      <c r="N11" s="210">
        <f>SUM(J11+M11)</f>
        <v>229201</v>
      </c>
    </row>
    <row r="12" spans="1:14" ht="19.5" thickBot="1" x14ac:dyDescent="0.35">
      <c r="A12" s="209"/>
      <c r="B12" s="108"/>
      <c r="C12" s="215"/>
      <c r="D12" s="104"/>
      <c r="E12" s="105"/>
      <c r="F12" s="104">
        <f t="shared" si="0"/>
        <v>0</v>
      </c>
      <c r="G12" s="210">
        <f>SUM(C12+F12)</f>
        <v>0</v>
      </c>
      <c r="H12" s="212" t="s">
        <v>315</v>
      </c>
      <c r="I12" s="109" t="s">
        <v>316</v>
      </c>
      <c r="J12" s="104">
        <v>4590</v>
      </c>
      <c r="K12" s="104">
        <v>9107882</v>
      </c>
      <c r="L12" s="104"/>
      <c r="M12" s="104">
        <f>SUM(K12:L12)</f>
        <v>9107882</v>
      </c>
      <c r="N12" s="210">
        <f>SUM(J12+M12)</f>
        <v>9112472</v>
      </c>
    </row>
    <row r="13" spans="1:14" ht="19.5" thickBot="1" x14ac:dyDescent="0.35">
      <c r="A13" s="216"/>
      <c r="B13" s="106" t="s">
        <v>219</v>
      </c>
      <c r="C13" s="103">
        <f t="shared" ref="C13:G13" si="1">SUM(C8:C12)</f>
        <v>2706275</v>
      </c>
      <c r="D13" s="103">
        <f t="shared" si="1"/>
        <v>32654940</v>
      </c>
      <c r="E13" s="103">
        <f t="shared" si="1"/>
        <v>0</v>
      </c>
      <c r="F13" s="103">
        <f t="shared" si="1"/>
        <v>32654940</v>
      </c>
      <c r="G13" s="103">
        <f t="shared" si="1"/>
        <v>35361215</v>
      </c>
      <c r="H13" s="216"/>
      <c r="I13" s="106" t="s">
        <v>226</v>
      </c>
      <c r="J13" s="103">
        <f>SUM(J8:J12)</f>
        <v>19921395</v>
      </c>
      <c r="K13" s="103">
        <f>SUM(K8:K12)</f>
        <v>16194378</v>
      </c>
      <c r="L13" s="103">
        <f>SUM(L8:L12)</f>
        <v>40200</v>
      </c>
      <c r="M13" s="103">
        <f>SUM(M8:M12)</f>
        <v>16234578</v>
      </c>
      <c r="N13" s="103">
        <f>SUM(N8:N12)</f>
        <v>36155973</v>
      </c>
    </row>
    <row r="14" spans="1:14" s="193" customFormat="1" x14ac:dyDescent="0.3">
      <c r="A14" s="209" t="s">
        <v>317</v>
      </c>
      <c r="B14" s="109" t="s">
        <v>67</v>
      </c>
      <c r="C14" s="104">
        <v>12600</v>
      </c>
      <c r="D14" s="104">
        <v>7957999</v>
      </c>
      <c r="E14" s="104"/>
      <c r="F14" s="104">
        <f t="shared" si="0"/>
        <v>7957999</v>
      </c>
      <c r="G14" s="210">
        <f>SUM(C14+F14)</f>
        <v>7970599</v>
      </c>
      <c r="H14" s="217" t="s">
        <v>318</v>
      </c>
      <c r="I14" s="112" t="s">
        <v>138</v>
      </c>
      <c r="J14" s="218">
        <v>243249</v>
      </c>
      <c r="K14" s="218">
        <v>1520121</v>
      </c>
      <c r="L14" s="218">
        <v>-40027</v>
      </c>
      <c r="M14" s="104">
        <f>SUM(K14:L14)</f>
        <v>1480094</v>
      </c>
      <c r="N14" s="210">
        <f>SUM(J14+M14)</f>
        <v>1723343</v>
      </c>
    </row>
    <row r="15" spans="1:14" x14ac:dyDescent="0.3">
      <c r="A15" s="209" t="s">
        <v>319</v>
      </c>
      <c r="B15" s="109" t="s">
        <v>66</v>
      </c>
      <c r="C15" s="104">
        <v>14416</v>
      </c>
      <c r="D15" s="104">
        <v>502100</v>
      </c>
      <c r="E15" s="104"/>
      <c r="F15" s="104">
        <f t="shared" si="0"/>
        <v>502100</v>
      </c>
      <c r="G15" s="210">
        <f>SUM(C15+F15)</f>
        <v>516516</v>
      </c>
      <c r="H15" s="209" t="s">
        <v>320</v>
      </c>
      <c r="I15" s="109" t="s">
        <v>246</v>
      </c>
      <c r="J15" s="213">
        <v>74856</v>
      </c>
      <c r="K15" s="213">
        <v>8790797</v>
      </c>
      <c r="L15" s="213"/>
      <c r="M15" s="104">
        <f>SUM(K15:L15)</f>
        <v>8790797</v>
      </c>
      <c r="N15" s="210">
        <f>SUM(J15+M15)</f>
        <v>8865653</v>
      </c>
    </row>
    <row r="16" spans="1:14" ht="19.5" thickBot="1" x14ac:dyDescent="0.35">
      <c r="A16" s="209" t="s">
        <v>321</v>
      </c>
      <c r="B16" s="109" t="s">
        <v>247</v>
      </c>
      <c r="C16" s="104"/>
      <c r="D16" s="104">
        <v>119131</v>
      </c>
      <c r="E16" s="105"/>
      <c r="F16" s="104">
        <f t="shared" si="0"/>
        <v>119131</v>
      </c>
      <c r="G16" s="210">
        <f>SUM(C16+F16)</f>
        <v>119131</v>
      </c>
      <c r="H16" s="214" t="s">
        <v>322</v>
      </c>
      <c r="I16" s="113" t="s">
        <v>248</v>
      </c>
      <c r="J16" s="105"/>
      <c r="K16" s="105">
        <v>129620</v>
      </c>
      <c r="L16" s="104">
        <v>-173</v>
      </c>
      <c r="M16" s="104">
        <f>SUM(K16:L16)</f>
        <v>129447</v>
      </c>
      <c r="N16" s="210">
        <f>SUM(J16+M16)</f>
        <v>129447</v>
      </c>
    </row>
    <row r="17" spans="1:14" ht="19.5" thickBot="1" x14ac:dyDescent="0.35">
      <c r="A17" s="216"/>
      <c r="B17" s="106" t="s">
        <v>220</v>
      </c>
      <c r="C17" s="103">
        <f>SUM(C14:C16)</f>
        <v>27016</v>
      </c>
      <c r="D17" s="103">
        <f t="shared" ref="D17:G17" si="2">SUM(D14:D16)</f>
        <v>8579230</v>
      </c>
      <c r="E17" s="103">
        <f t="shared" si="2"/>
        <v>0</v>
      </c>
      <c r="F17" s="103">
        <f t="shared" si="2"/>
        <v>8579230</v>
      </c>
      <c r="G17" s="103">
        <f t="shared" si="2"/>
        <v>8606246</v>
      </c>
      <c r="H17" s="216"/>
      <c r="I17" s="102" t="s">
        <v>227</v>
      </c>
      <c r="J17" s="103">
        <f>SUM(J14:J16)</f>
        <v>318105</v>
      </c>
      <c r="K17" s="103">
        <f>SUM(K14:K16)</f>
        <v>10440538</v>
      </c>
      <c r="L17" s="103">
        <f>SUM(L14:L16)</f>
        <v>-40200</v>
      </c>
      <c r="M17" s="103">
        <f>SUM(M14:M16)</f>
        <v>10400338</v>
      </c>
      <c r="N17" s="103">
        <f>SUM(N14:N16)</f>
        <v>10718443</v>
      </c>
    </row>
    <row r="18" spans="1:14" ht="19.5" thickBot="1" x14ac:dyDescent="0.35">
      <c r="A18" s="216"/>
      <c r="B18" s="102" t="s">
        <v>221</v>
      </c>
      <c r="C18" s="103">
        <f>+C13+C17</f>
        <v>2733291</v>
      </c>
      <c r="D18" s="103">
        <f t="shared" ref="D18:G18" si="3">+D13+D17</f>
        <v>41234170</v>
      </c>
      <c r="E18" s="103">
        <f t="shared" si="3"/>
        <v>0</v>
      </c>
      <c r="F18" s="103">
        <f t="shared" si="3"/>
        <v>41234170</v>
      </c>
      <c r="G18" s="103">
        <f t="shared" si="3"/>
        <v>43967461</v>
      </c>
      <c r="H18" s="216"/>
      <c r="I18" s="106" t="s">
        <v>228</v>
      </c>
      <c r="J18" s="103">
        <f>SUM(J17,J13)</f>
        <v>20239500</v>
      </c>
      <c r="K18" s="103">
        <f>SUM(K17,K13)</f>
        <v>26634916</v>
      </c>
      <c r="L18" s="103">
        <f>+L13+L17</f>
        <v>0</v>
      </c>
      <c r="M18" s="103">
        <f>SUM(M13+M17)</f>
        <v>26634916</v>
      </c>
      <c r="N18" s="103">
        <f>SUM(N17,N13)</f>
        <v>46874416</v>
      </c>
    </row>
    <row r="19" spans="1:14" ht="19.5" thickBot="1" x14ac:dyDescent="0.35">
      <c r="A19" s="211" t="s">
        <v>323</v>
      </c>
      <c r="B19" s="114" t="s">
        <v>222</v>
      </c>
      <c r="C19" s="219"/>
      <c r="D19" s="220">
        <v>7363715</v>
      </c>
      <c r="E19" s="220"/>
      <c r="F19" s="104">
        <f t="shared" ref="F19" si="4">SUM(D19:E19)</f>
        <v>7363715</v>
      </c>
      <c r="G19" s="210">
        <f>SUM(C19+F19)</f>
        <v>7363715</v>
      </c>
      <c r="H19" s="221" t="s">
        <v>324</v>
      </c>
      <c r="I19" s="107" t="s">
        <v>229</v>
      </c>
      <c r="J19" s="213"/>
      <c r="K19" s="213">
        <v>4456760</v>
      </c>
      <c r="L19" s="222"/>
      <c r="M19" s="104">
        <f>SUM(K19:L19)</f>
        <v>4456760</v>
      </c>
      <c r="N19" s="210">
        <f>SUM(J19+M19)</f>
        <v>4456760</v>
      </c>
    </row>
    <row r="20" spans="1:14" ht="19.5" thickBot="1" x14ac:dyDescent="0.35">
      <c r="A20" s="216"/>
      <c r="B20" s="106" t="s">
        <v>223</v>
      </c>
      <c r="C20" s="103">
        <f>SUM(C18:C19)</f>
        <v>2733291</v>
      </c>
      <c r="D20" s="103">
        <f t="shared" ref="D20:G20" si="5">SUM(D18:D19)</f>
        <v>48597885</v>
      </c>
      <c r="E20" s="103">
        <f t="shared" si="5"/>
        <v>0</v>
      </c>
      <c r="F20" s="103">
        <f t="shared" si="5"/>
        <v>48597885</v>
      </c>
      <c r="G20" s="103">
        <f t="shared" si="5"/>
        <v>51331176</v>
      </c>
      <c r="H20" s="216"/>
      <c r="I20" s="106" t="s">
        <v>230</v>
      </c>
      <c r="J20" s="103">
        <f>SUM(J18:J19)</f>
        <v>20239500</v>
      </c>
      <c r="K20" s="103">
        <f>SUM(K18:K19)</f>
        <v>31091676</v>
      </c>
      <c r="L20" s="103">
        <f>SUM(L18:L19)</f>
        <v>0</v>
      </c>
      <c r="M20" s="103">
        <f>SUM(M18:M19)</f>
        <v>31091676</v>
      </c>
      <c r="N20" s="103">
        <f>SUM(N18:N19)</f>
        <v>51331176</v>
      </c>
    </row>
  </sheetData>
  <mergeCells count="4">
    <mergeCell ref="B1:G1"/>
    <mergeCell ref="I1:N1"/>
    <mergeCell ref="B2:G2"/>
    <mergeCell ref="I2:N2"/>
  </mergeCells>
  <printOptions horizontalCentered="1" verticalCentered="1"/>
  <pageMargins left="0.19685039370078741" right="0.19685039370078741" top="0.15748031496062992" bottom="0" header="0.55118110236220474" footer="0.15748031496062992"/>
  <pageSetup paperSize="9" scale="78" orientation="landscape" r:id="rId1"/>
  <headerFooter alignWithMargins="0">
    <oddHeader xml:space="preserve">&amp;R&amp;"Times New Roman CE,Félkövér"&amp;16 &amp;12 1. melléklet a ..../2026. (......) önkormányzati &amp;"-,Félkövér"rendelethez
"1. melléklet a 3/2026.(II.27.) önkormányzati rendelethez"
 &amp;16
&amp;"Times New Roman CE,Félkövér" </oddHeader>
  </headerFooter>
  <colBreaks count="1" manualBreakCount="1"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1"/>
  <dimension ref="A1:E46"/>
  <sheetViews>
    <sheetView zoomScaleNormal="100" workbookViewId="0">
      <selection activeCell="A49" sqref="A49:XFD58"/>
    </sheetView>
  </sheetViews>
  <sheetFormatPr defaultColWidth="9.33203125" defaultRowHeight="21" x14ac:dyDescent="0.35"/>
  <cols>
    <col min="1" max="1" width="90.1640625" style="55" customWidth="1"/>
    <col min="2" max="2" width="37" style="173" customWidth="1"/>
    <col min="3" max="3" width="31" style="55" customWidth="1"/>
    <col min="4" max="4" width="39.33203125" style="55" customWidth="1"/>
    <col min="5" max="5" width="43.33203125" style="55" customWidth="1"/>
    <col min="6" max="16384" width="9.33203125" style="55"/>
  </cols>
  <sheetData>
    <row r="1" spans="1:5" x14ac:dyDescent="0.35">
      <c r="A1" s="183"/>
      <c r="B1" s="601"/>
      <c r="C1" s="183"/>
      <c r="D1" s="183"/>
      <c r="E1" s="183"/>
    </row>
    <row r="2" spans="1:5" x14ac:dyDescent="0.35">
      <c r="A2" s="904" t="s">
        <v>52</v>
      </c>
      <c r="B2" s="904"/>
      <c r="C2" s="904"/>
      <c r="D2" s="904"/>
      <c r="E2" s="904"/>
    </row>
    <row r="3" spans="1:5" x14ac:dyDescent="0.35">
      <c r="A3" s="183"/>
      <c r="B3" s="601"/>
      <c r="C3" s="183"/>
      <c r="D3" s="183"/>
      <c r="E3" s="183"/>
    </row>
    <row r="4" spans="1:5" ht="21.75" thickBot="1" x14ac:dyDescent="0.4">
      <c r="A4" s="321" t="s">
        <v>35</v>
      </c>
      <c r="B4" s="602"/>
      <c r="C4" s="321"/>
      <c r="D4" s="321"/>
      <c r="E4" s="168" t="s">
        <v>201</v>
      </c>
    </row>
    <row r="5" spans="1:5" x14ac:dyDescent="0.35">
      <c r="A5" s="412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0.25" customHeight="1" thickBot="1" x14ac:dyDescent="0.4">
      <c r="A6" s="413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s="2" customFormat="1" ht="42.75" thickBot="1" x14ac:dyDescent="0.4">
      <c r="A7" s="415" t="s">
        <v>470</v>
      </c>
      <c r="B7" s="605">
        <v>1939023</v>
      </c>
      <c r="C7" s="160">
        <f>1717664+71309</f>
        <v>1788973</v>
      </c>
      <c r="D7" s="160">
        <f>29745+90437+30742+569+43774+513</f>
        <v>195780</v>
      </c>
      <c r="E7" s="160">
        <f>SUM(C7:D7)</f>
        <v>1984753</v>
      </c>
    </row>
    <row r="8" spans="1:5" x14ac:dyDescent="0.35">
      <c r="A8" s="56" t="s">
        <v>520</v>
      </c>
      <c r="B8" s="606"/>
      <c r="C8" s="57"/>
      <c r="D8" s="56"/>
      <c r="E8" s="57"/>
    </row>
    <row r="9" spans="1:5" x14ac:dyDescent="0.35">
      <c r="A9" s="416" t="s">
        <v>468</v>
      </c>
      <c r="B9" s="607">
        <v>192786</v>
      </c>
      <c r="C9" s="58">
        <v>204000</v>
      </c>
      <c r="D9" s="58">
        <f>13610+5480+2026</f>
        <v>21116</v>
      </c>
      <c r="E9" s="58">
        <f t="shared" ref="E9:E34" si="0">SUM(C9:D9)</f>
        <v>225116</v>
      </c>
    </row>
    <row r="10" spans="1:5" ht="42.75" customHeight="1" x14ac:dyDescent="0.35">
      <c r="A10" s="417" t="s">
        <v>566</v>
      </c>
      <c r="B10" s="607">
        <v>167272</v>
      </c>
      <c r="C10" s="58">
        <v>167272</v>
      </c>
      <c r="D10" s="58"/>
      <c r="E10" s="58">
        <f t="shared" si="0"/>
        <v>167272</v>
      </c>
    </row>
    <row r="11" spans="1:5" ht="42" x14ac:dyDescent="0.35">
      <c r="A11" s="570" t="s">
        <v>567</v>
      </c>
      <c r="B11" s="63">
        <v>8000</v>
      </c>
      <c r="C11" s="48">
        <v>8000</v>
      </c>
      <c r="D11" s="48"/>
      <c r="E11" s="48">
        <f t="shared" si="0"/>
        <v>8000</v>
      </c>
    </row>
    <row r="12" spans="1:5" x14ac:dyDescent="0.35">
      <c r="A12" s="418" t="s">
        <v>349</v>
      </c>
      <c r="B12" s="586">
        <v>250</v>
      </c>
      <c r="C12" s="48">
        <v>2000</v>
      </c>
      <c r="D12" s="48"/>
      <c r="E12" s="48">
        <f t="shared" si="0"/>
        <v>2000</v>
      </c>
    </row>
    <row r="13" spans="1:5" x14ac:dyDescent="0.35">
      <c r="A13" s="374" t="s">
        <v>255</v>
      </c>
      <c r="B13" s="586">
        <v>2119</v>
      </c>
      <c r="C13" s="48">
        <v>2055</v>
      </c>
      <c r="D13" s="48">
        <v>135</v>
      </c>
      <c r="E13" s="48">
        <f t="shared" si="0"/>
        <v>2190</v>
      </c>
    </row>
    <row r="14" spans="1:5" x14ac:dyDescent="0.35">
      <c r="A14" s="374" t="s">
        <v>20</v>
      </c>
      <c r="B14" s="586">
        <v>4</v>
      </c>
      <c r="C14" s="48">
        <v>2500</v>
      </c>
      <c r="D14" s="48"/>
      <c r="E14" s="48">
        <f t="shared" si="0"/>
        <v>2500</v>
      </c>
    </row>
    <row r="15" spans="1:5" x14ac:dyDescent="0.35">
      <c r="A15" s="374" t="s">
        <v>18</v>
      </c>
      <c r="B15" s="586">
        <v>1000</v>
      </c>
      <c r="C15" s="48">
        <v>1000</v>
      </c>
      <c r="D15" s="48"/>
      <c r="E15" s="48">
        <f t="shared" si="0"/>
        <v>1000</v>
      </c>
    </row>
    <row r="16" spans="1:5" x14ac:dyDescent="0.35">
      <c r="A16" s="374" t="s">
        <v>92</v>
      </c>
      <c r="B16" s="586">
        <v>11000</v>
      </c>
      <c r="C16" s="48">
        <v>11000</v>
      </c>
      <c r="D16" s="48"/>
      <c r="E16" s="48">
        <f t="shared" si="0"/>
        <v>11000</v>
      </c>
    </row>
    <row r="17" spans="1:5" ht="39" customHeight="1" x14ac:dyDescent="0.35">
      <c r="A17" s="374" t="s">
        <v>353</v>
      </c>
      <c r="B17" s="586">
        <v>8000</v>
      </c>
      <c r="C17" s="48">
        <v>8000</v>
      </c>
      <c r="D17" s="48"/>
      <c r="E17" s="48">
        <f t="shared" si="0"/>
        <v>8000</v>
      </c>
    </row>
    <row r="18" spans="1:5" ht="63" x14ac:dyDescent="0.35">
      <c r="A18" s="419" t="s">
        <v>352</v>
      </c>
      <c r="B18" s="48">
        <v>2200</v>
      </c>
      <c r="C18" s="48">
        <v>3300</v>
      </c>
      <c r="D18" s="48"/>
      <c r="E18" s="48">
        <f t="shared" si="0"/>
        <v>3300</v>
      </c>
    </row>
    <row r="19" spans="1:5" x14ac:dyDescent="0.35">
      <c r="A19" s="420" t="s">
        <v>0</v>
      </c>
      <c r="B19" s="586">
        <v>76343</v>
      </c>
      <c r="C19" s="48">
        <v>50000</v>
      </c>
      <c r="D19" s="48">
        <v>31297</v>
      </c>
      <c r="E19" s="48">
        <f t="shared" si="0"/>
        <v>81297</v>
      </c>
    </row>
    <row r="20" spans="1:5" x14ac:dyDescent="0.35">
      <c r="A20" s="420" t="s">
        <v>351</v>
      </c>
      <c r="B20" s="586">
        <v>54998</v>
      </c>
      <c r="C20" s="48">
        <f>3000+1000</f>
        <v>4000</v>
      </c>
      <c r="D20" s="48">
        <f>97+20134</f>
        <v>20231</v>
      </c>
      <c r="E20" s="48">
        <f t="shared" si="0"/>
        <v>24231</v>
      </c>
    </row>
    <row r="21" spans="1:5" x14ac:dyDescent="0.35">
      <c r="A21" s="420" t="s">
        <v>591</v>
      </c>
      <c r="B21" s="586"/>
      <c r="C21" s="48"/>
      <c r="D21" s="48">
        <v>1000</v>
      </c>
      <c r="E21" s="48">
        <f t="shared" si="0"/>
        <v>1000</v>
      </c>
    </row>
    <row r="22" spans="1:5" x14ac:dyDescent="0.35">
      <c r="A22" s="420" t="s">
        <v>411</v>
      </c>
      <c r="B22" s="586">
        <v>86</v>
      </c>
      <c r="C22" s="48"/>
      <c r="D22" s="48">
        <v>114</v>
      </c>
      <c r="E22" s="48">
        <f t="shared" si="0"/>
        <v>114</v>
      </c>
    </row>
    <row r="23" spans="1:5" x14ac:dyDescent="0.35">
      <c r="A23" s="417" t="s">
        <v>251</v>
      </c>
      <c r="B23" s="607"/>
      <c r="C23" s="58">
        <f>5000+3500</f>
        <v>8500</v>
      </c>
      <c r="D23" s="58">
        <v>-513</v>
      </c>
      <c r="E23" s="58">
        <f t="shared" si="0"/>
        <v>7987</v>
      </c>
    </row>
    <row r="24" spans="1:5" ht="42" x14ac:dyDescent="0.35">
      <c r="A24" s="420" t="s">
        <v>256</v>
      </c>
      <c r="B24" s="586"/>
      <c r="C24" s="48">
        <v>0</v>
      </c>
      <c r="D24" s="48">
        <v>660</v>
      </c>
      <c r="E24" s="48">
        <f t="shared" si="0"/>
        <v>660</v>
      </c>
    </row>
    <row r="25" spans="1:5" ht="84" x14ac:dyDescent="0.35">
      <c r="A25" s="420" t="s">
        <v>459</v>
      </c>
      <c r="B25" s="586">
        <v>7000</v>
      </c>
      <c r="C25" s="48">
        <v>7000</v>
      </c>
      <c r="D25" s="48"/>
      <c r="E25" s="48">
        <f t="shared" si="0"/>
        <v>7000</v>
      </c>
    </row>
    <row r="26" spans="1:5" x14ac:dyDescent="0.35">
      <c r="A26" s="420" t="s">
        <v>295</v>
      </c>
      <c r="B26" s="586">
        <v>11610</v>
      </c>
      <c r="C26" s="48">
        <f>8263+5329</f>
        <v>13592</v>
      </c>
      <c r="D26" s="48">
        <v>500</v>
      </c>
      <c r="E26" s="48">
        <f t="shared" si="0"/>
        <v>14092</v>
      </c>
    </row>
    <row r="27" spans="1:5" x14ac:dyDescent="0.35">
      <c r="A27" s="420" t="s">
        <v>450</v>
      </c>
      <c r="B27" s="586">
        <v>9842</v>
      </c>
      <c r="C27" s="48">
        <v>0</v>
      </c>
      <c r="D27" s="48"/>
      <c r="E27" s="48">
        <f t="shared" si="0"/>
        <v>0</v>
      </c>
    </row>
    <row r="28" spans="1:5" ht="42" x14ac:dyDescent="0.35">
      <c r="A28" s="420" t="s">
        <v>343</v>
      </c>
      <c r="B28" s="586">
        <v>3000</v>
      </c>
      <c r="C28" s="48">
        <v>3000</v>
      </c>
      <c r="D28" s="48"/>
      <c r="E28" s="48">
        <f t="shared" si="0"/>
        <v>3000</v>
      </c>
    </row>
    <row r="29" spans="1:5" ht="42" x14ac:dyDescent="0.35">
      <c r="A29" s="420" t="s">
        <v>444</v>
      </c>
      <c r="B29" s="586">
        <v>450</v>
      </c>
      <c r="C29" s="48"/>
      <c r="D29" s="48"/>
      <c r="E29" s="48">
        <f t="shared" si="0"/>
        <v>0</v>
      </c>
    </row>
    <row r="30" spans="1:5" ht="63" x14ac:dyDescent="0.35">
      <c r="A30" s="420" t="s">
        <v>407</v>
      </c>
      <c r="B30" s="586">
        <v>1200</v>
      </c>
      <c r="C30" s="48"/>
      <c r="D30" s="48">
        <v>300</v>
      </c>
      <c r="E30" s="48">
        <f t="shared" si="0"/>
        <v>300</v>
      </c>
    </row>
    <row r="31" spans="1:5" ht="42" x14ac:dyDescent="0.35">
      <c r="A31" s="396" t="s">
        <v>550</v>
      </c>
      <c r="B31" s="588">
        <v>2000</v>
      </c>
      <c r="C31" s="48"/>
      <c r="D31" s="48"/>
      <c r="E31" s="48">
        <f t="shared" si="0"/>
        <v>0</v>
      </c>
    </row>
    <row r="32" spans="1:5" ht="42" x14ac:dyDescent="0.35">
      <c r="A32" s="396" t="s">
        <v>510</v>
      </c>
      <c r="B32" s="588">
        <v>400</v>
      </c>
      <c r="C32" s="48"/>
      <c r="D32" s="48"/>
      <c r="E32" s="48">
        <f t="shared" si="0"/>
        <v>0</v>
      </c>
    </row>
    <row r="33" spans="1:5" ht="42" x14ac:dyDescent="0.35">
      <c r="A33" s="420" t="s">
        <v>551</v>
      </c>
      <c r="B33" s="586">
        <v>700</v>
      </c>
      <c r="C33" s="48"/>
      <c r="D33" s="48"/>
      <c r="E33" s="48">
        <f t="shared" si="0"/>
        <v>0</v>
      </c>
    </row>
    <row r="34" spans="1:5" ht="63" x14ac:dyDescent="0.35">
      <c r="A34" s="420" t="s">
        <v>426</v>
      </c>
      <c r="B34" s="608">
        <v>5858</v>
      </c>
      <c r="C34" s="59"/>
      <c r="D34" s="59">
        <v>1851</v>
      </c>
      <c r="E34" s="59">
        <f t="shared" si="0"/>
        <v>1851</v>
      </c>
    </row>
    <row r="35" spans="1:5" ht="21.75" thickBot="1" x14ac:dyDescent="0.4">
      <c r="A35" s="421" t="s">
        <v>519</v>
      </c>
      <c r="B35" s="42">
        <f>SUM(B9:B34)</f>
        <v>566118</v>
      </c>
      <c r="C35" s="60">
        <f>SUM(C9:C34)</f>
        <v>495219</v>
      </c>
      <c r="D35" s="60">
        <f>SUM(D9:D34)</f>
        <v>76691</v>
      </c>
      <c r="E35" s="60">
        <f>SUM(E9:E34)</f>
        <v>571910</v>
      </c>
    </row>
    <row r="36" spans="1:5" s="62" customFormat="1" ht="21.75" thickBot="1" x14ac:dyDescent="0.4">
      <c r="A36" s="422" t="s">
        <v>275</v>
      </c>
      <c r="B36" s="70">
        <f>B7+B35</f>
        <v>2505141</v>
      </c>
      <c r="C36" s="61">
        <f>C7+C35</f>
        <v>2284192</v>
      </c>
      <c r="D36" s="61">
        <f>D7+D35</f>
        <v>272471</v>
      </c>
      <c r="E36" s="61">
        <f>E7+E35</f>
        <v>2556663</v>
      </c>
    </row>
    <row r="37" spans="1:5" x14ac:dyDescent="0.35">
      <c r="B37" s="168"/>
    </row>
    <row r="38" spans="1:5" ht="21.75" thickBot="1" x14ac:dyDescent="0.4">
      <c r="A38" s="321" t="s">
        <v>80</v>
      </c>
      <c r="B38" s="602"/>
      <c r="C38" s="321"/>
      <c r="D38" s="321"/>
      <c r="E38" s="321"/>
    </row>
    <row r="39" spans="1:5" x14ac:dyDescent="0.35">
      <c r="A39" s="423" t="s">
        <v>155</v>
      </c>
      <c r="B39" s="185" t="s">
        <v>418</v>
      </c>
      <c r="C39" s="185" t="s">
        <v>439</v>
      </c>
      <c r="D39" s="185" t="s">
        <v>672</v>
      </c>
      <c r="E39" s="185" t="s">
        <v>671</v>
      </c>
    </row>
    <row r="40" spans="1:5" ht="21.75" thickBot="1" x14ac:dyDescent="0.4">
      <c r="A40" s="424"/>
      <c r="B40" s="188" t="s">
        <v>674</v>
      </c>
      <c r="C40" s="370" t="s">
        <v>331</v>
      </c>
      <c r="D40" s="370" t="s">
        <v>673</v>
      </c>
      <c r="E40" s="370" t="s">
        <v>344</v>
      </c>
    </row>
    <row r="41" spans="1:5" ht="42.75" thickBot="1" x14ac:dyDescent="0.4">
      <c r="A41" s="425" t="s">
        <v>470</v>
      </c>
      <c r="B41" s="61">
        <v>27472</v>
      </c>
      <c r="C41" s="61">
        <v>14967</v>
      </c>
      <c r="D41" s="61">
        <v>11752</v>
      </c>
      <c r="E41" s="61">
        <f>SUM(C41:D41)</f>
        <v>26719</v>
      </c>
    </row>
    <row r="42" spans="1:5" ht="21.75" thickBot="1" x14ac:dyDescent="0.4">
      <c r="A42" s="426"/>
      <c r="B42" s="603"/>
      <c r="C42" s="64"/>
      <c r="D42" s="64"/>
      <c r="E42" s="64"/>
    </row>
    <row r="43" spans="1:5" ht="21.75" thickBot="1" x14ac:dyDescent="0.4">
      <c r="A43" s="426" t="s">
        <v>276</v>
      </c>
      <c r="B43" s="65">
        <f>+B41+B36</f>
        <v>2532613</v>
      </c>
      <c r="C43" s="65">
        <f>+C41+C36</f>
        <v>2299159</v>
      </c>
      <c r="D43" s="65">
        <f>+D41+D36</f>
        <v>284223</v>
      </c>
      <c r="E43" s="65">
        <f>+E41+E36</f>
        <v>2583382</v>
      </c>
    </row>
    <row r="45" spans="1:5" x14ac:dyDescent="0.35">
      <c r="A45" s="62" t="s">
        <v>72</v>
      </c>
      <c r="B45" s="604"/>
      <c r="C45" s="62"/>
      <c r="D45" s="62"/>
      <c r="E45" s="427"/>
    </row>
    <row r="46" spans="1:5" x14ac:dyDescent="0.35">
      <c r="A46" s="62" t="s">
        <v>73</v>
      </c>
      <c r="B46" s="604"/>
      <c r="C46" s="62"/>
      <c r="D46" s="62"/>
      <c r="E46" s="62"/>
    </row>
  </sheetData>
  <customSheetViews>
    <customSheetView guid="{6D4B996F-8915-4E78-98C2-E7EAE9C4580C}" scale="75" printArea="1" showRuler="0" topLeftCell="A10">
      <selection activeCell="B28" sqref="B28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1"/>
      <headerFooter alignWithMargins="0">
        <oddHeader>&amp;L&amp;F   &amp;A&amp;RM.III/4. sz. melléklet</oddHeader>
      </headerFooter>
    </customSheetView>
    <customSheetView guid="{186732C5-520C-4E06-B066-B4F3F0A3E322}" scale="75" showRuler="0" topLeftCell="A13">
      <selection activeCell="B33" sqref="B33"/>
      <pageMargins left="0.39370078740157483" right="0.39370078740157483" top="0.59055118110236227" bottom="0.59055118110236227" header="0.11811023622047245" footer="0.19685039370078741"/>
      <printOptions horizontalCentered="1" verticalCentered="1"/>
      <pageSetup paperSize="9" scale="67" orientation="portrait" horizontalDpi="300" verticalDpi="300" r:id="rId2"/>
      <headerFooter alignWithMargins="0">
        <oddHeader>&amp;L&amp;F   &amp;A&amp;RM.III/4.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5" orientation="portrait" r:id="rId3"/>
  <headerFooter alignWithMargins="0">
    <oddHeader xml:space="preserve">&amp;R&amp;"-,Félkövér"&amp;12 
10. melléklet a ..../2026. (.........) önkormányzati rendelethe&amp;"Times New Roman CE,Félkövér"z
"10. melléklet a 3/2026.(II.27.) önkormányzati rendelethez"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/>
  <dimension ref="A1:E30"/>
  <sheetViews>
    <sheetView zoomScale="89" zoomScaleNormal="89" workbookViewId="0">
      <selection activeCell="A33" sqref="A33:XFD42"/>
    </sheetView>
  </sheetViews>
  <sheetFormatPr defaultColWidth="9.33203125" defaultRowHeight="21" x14ac:dyDescent="0.35"/>
  <cols>
    <col min="1" max="1" width="91.1640625" style="2" customWidth="1"/>
    <col min="2" max="3" width="32.33203125" style="2" customWidth="1"/>
    <col min="4" max="4" width="40.5" style="2" customWidth="1"/>
    <col min="5" max="5" width="44.83203125" style="2" customWidth="1"/>
    <col min="6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882" t="s">
        <v>53</v>
      </c>
      <c r="B2" s="882"/>
      <c r="C2" s="882"/>
      <c r="D2" s="882"/>
      <c r="E2" s="882"/>
    </row>
    <row r="3" spans="1:5" x14ac:dyDescent="0.35">
      <c r="A3" s="182"/>
      <c r="B3" s="182"/>
      <c r="C3" s="182"/>
      <c r="D3" s="182"/>
      <c r="E3" s="182"/>
    </row>
    <row r="4" spans="1:5" ht="21.75" thickBot="1" x14ac:dyDescent="0.4">
      <c r="A4" s="316" t="s">
        <v>35</v>
      </c>
      <c r="B4" s="316"/>
      <c r="C4" s="316"/>
      <c r="D4" s="316"/>
      <c r="E4" s="308" t="s">
        <v>201</v>
      </c>
    </row>
    <row r="5" spans="1:5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69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s="45" customFormat="1" ht="21.75" thickBot="1" x14ac:dyDescent="0.4">
      <c r="A7" s="428" t="s">
        <v>665</v>
      </c>
      <c r="B7" s="51">
        <v>892043</v>
      </c>
      <c r="C7" s="160">
        <f>844822+114357</f>
        <v>959179</v>
      </c>
      <c r="D7" s="160">
        <f>151632+33097-3572+10000+500</f>
        <v>191657</v>
      </c>
      <c r="E7" s="160">
        <f>SUM(C7:D7)</f>
        <v>1150836</v>
      </c>
    </row>
    <row r="8" spans="1:5" x14ac:dyDescent="0.35">
      <c r="A8" s="429" t="s">
        <v>521</v>
      </c>
      <c r="B8" s="609"/>
      <c r="C8" s="171"/>
      <c r="D8" s="171"/>
      <c r="E8" s="171">
        <f t="shared" ref="E8:E17" si="0">SUM(C8:D8)</f>
        <v>0</v>
      </c>
    </row>
    <row r="9" spans="1:5" x14ac:dyDescent="0.35">
      <c r="A9" s="372" t="s">
        <v>181</v>
      </c>
      <c r="B9" s="587"/>
      <c r="C9" s="39">
        <v>12000</v>
      </c>
      <c r="D9" s="39">
        <v>-12000</v>
      </c>
      <c r="E9" s="39">
        <f t="shared" si="0"/>
        <v>0</v>
      </c>
    </row>
    <row r="10" spans="1:5" x14ac:dyDescent="0.35">
      <c r="A10" s="66" t="s">
        <v>136</v>
      </c>
      <c r="B10" s="588"/>
      <c r="C10" s="4">
        <v>500</v>
      </c>
      <c r="D10" s="6">
        <v>-500</v>
      </c>
      <c r="E10" s="6">
        <f t="shared" si="0"/>
        <v>0</v>
      </c>
    </row>
    <row r="11" spans="1:5" x14ac:dyDescent="0.35">
      <c r="A11" s="374" t="s">
        <v>451</v>
      </c>
      <c r="B11" s="586"/>
      <c r="C11" s="4">
        <v>0</v>
      </c>
      <c r="D11" s="6">
        <v>589</v>
      </c>
      <c r="E11" s="6">
        <f t="shared" si="0"/>
        <v>589</v>
      </c>
    </row>
    <row r="12" spans="1:5" x14ac:dyDescent="0.35">
      <c r="A12" s="66" t="s">
        <v>252</v>
      </c>
      <c r="B12" s="588">
        <v>2440</v>
      </c>
      <c r="C12" s="4">
        <v>2485</v>
      </c>
      <c r="D12" s="6">
        <v>34</v>
      </c>
      <c r="E12" s="6">
        <f t="shared" si="0"/>
        <v>2519</v>
      </c>
    </row>
    <row r="13" spans="1:5" x14ac:dyDescent="0.35">
      <c r="A13" s="66" t="s">
        <v>139</v>
      </c>
      <c r="B13" s="588">
        <v>2500</v>
      </c>
      <c r="C13" s="4">
        <v>2500</v>
      </c>
      <c r="D13" s="6"/>
      <c r="E13" s="6">
        <f t="shared" si="0"/>
        <v>2500</v>
      </c>
    </row>
    <row r="14" spans="1:5" ht="42" x14ac:dyDescent="0.35">
      <c r="A14" s="396" t="s">
        <v>417</v>
      </c>
      <c r="B14" s="588">
        <v>2500</v>
      </c>
      <c r="C14" s="4">
        <v>2500</v>
      </c>
      <c r="D14" s="6"/>
      <c r="E14" s="6">
        <f t="shared" si="0"/>
        <v>2500</v>
      </c>
    </row>
    <row r="15" spans="1:5" x14ac:dyDescent="0.35">
      <c r="A15" s="66" t="s">
        <v>76</v>
      </c>
      <c r="B15" s="588">
        <v>1244</v>
      </c>
      <c r="C15" s="4">
        <f>1500-500</f>
        <v>1000</v>
      </c>
      <c r="D15" s="6">
        <v>342</v>
      </c>
      <c r="E15" s="6">
        <f t="shared" si="0"/>
        <v>1342</v>
      </c>
    </row>
    <row r="16" spans="1:5" x14ac:dyDescent="0.35">
      <c r="A16" s="396" t="s">
        <v>358</v>
      </c>
      <c r="B16" s="588">
        <v>32770</v>
      </c>
      <c r="C16" s="4">
        <f>44070+13560</f>
        <v>57630</v>
      </c>
      <c r="D16" s="6">
        <v>11300</v>
      </c>
      <c r="E16" s="6">
        <f t="shared" si="0"/>
        <v>68930</v>
      </c>
    </row>
    <row r="17" spans="1:5" x14ac:dyDescent="0.35">
      <c r="A17" s="430" t="s">
        <v>361</v>
      </c>
      <c r="B17" s="63">
        <v>1270</v>
      </c>
      <c r="C17" s="4">
        <f>1500-700+200</f>
        <v>1000</v>
      </c>
      <c r="D17" s="6">
        <v>834</v>
      </c>
      <c r="E17" s="6">
        <f t="shared" si="0"/>
        <v>1834</v>
      </c>
    </row>
    <row r="18" spans="1:5" ht="21.75" thickBot="1" x14ac:dyDescent="0.4">
      <c r="A18" s="431" t="s">
        <v>522</v>
      </c>
      <c r="B18" s="598">
        <f>SUM(B9:B17)</f>
        <v>42724</v>
      </c>
      <c r="C18" s="14">
        <f>SUM(C9:C17)</f>
        <v>79615</v>
      </c>
      <c r="D18" s="14">
        <f>SUM(D9:D17)</f>
        <v>599</v>
      </c>
      <c r="E18" s="14">
        <f>SUM(E9:E17)</f>
        <v>80214</v>
      </c>
    </row>
    <row r="19" spans="1:5" s="45" customFormat="1" ht="21.75" thickBot="1" x14ac:dyDescent="0.4">
      <c r="A19" s="432" t="s">
        <v>278</v>
      </c>
      <c r="B19" s="594">
        <f>B7+B18</f>
        <v>934767</v>
      </c>
      <c r="C19" s="31">
        <f>C7+C18</f>
        <v>1038794</v>
      </c>
      <c r="D19" s="31">
        <f>D7+D18</f>
        <v>192256</v>
      </c>
      <c r="E19" s="31">
        <f>E7+E18</f>
        <v>1231050</v>
      </c>
    </row>
    <row r="22" spans="1:5" ht="21.75" thickBot="1" x14ac:dyDescent="0.4">
      <c r="A22" s="316" t="s">
        <v>80</v>
      </c>
      <c r="B22" s="316"/>
      <c r="C22" s="316"/>
      <c r="D22" s="316"/>
      <c r="E22" s="316"/>
    </row>
    <row r="23" spans="1:5" x14ac:dyDescent="0.35">
      <c r="A23" s="368" t="s">
        <v>155</v>
      </c>
      <c r="B23" s="185" t="s">
        <v>418</v>
      </c>
      <c r="C23" s="185" t="s">
        <v>439</v>
      </c>
      <c r="D23" s="185" t="s">
        <v>672</v>
      </c>
      <c r="E23" s="185" t="s">
        <v>671</v>
      </c>
    </row>
    <row r="24" spans="1:5" ht="21.75" thickBot="1" x14ac:dyDescent="0.4">
      <c r="A24" s="369"/>
      <c r="B24" s="370" t="s">
        <v>674</v>
      </c>
      <c r="C24" s="370" t="s">
        <v>331</v>
      </c>
      <c r="D24" s="370" t="s">
        <v>673</v>
      </c>
      <c r="E24" s="370" t="s">
        <v>344</v>
      </c>
    </row>
    <row r="25" spans="1:5" ht="21.75" thickBot="1" x14ac:dyDescent="0.4">
      <c r="A25" s="654" t="s">
        <v>665</v>
      </c>
      <c r="B25" s="655">
        <v>16562</v>
      </c>
      <c r="C25" s="655"/>
      <c r="D25" s="655">
        <f>2844+3572+2000</f>
        <v>8416</v>
      </c>
      <c r="E25" s="655">
        <f>SUM(C25:D25)</f>
        <v>8416</v>
      </c>
    </row>
    <row r="26" spans="1:5" ht="21.75" thickBot="1" x14ac:dyDescent="0.4">
      <c r="A26" s="313"/>
      <c r="B26" s="45"/>
      <c r="C26" s="45"/>
      <c r="D26" s="45"/>
      <c r="E26" s="45"/>
    </row>
    <row r="27" spans="1:5" ht="21.75" thickBot="1" x14ac:dyDescent="0.4">
      <c r="A27" s="381" t="s">
        <v>279</v>
      </c>
      <c r="B27" s="15">
        <f>+B19+B25</f>
        <v>951329</v>
      </c>
      <c r="C27" s="15">
        <f>+C19+C25</f>
        <v>1038794</v>
      </c>
      <c r="D27" s="15">
        <f t="shared" ref="D27:E27" si="1">+D19+D25</f>
        <v>200672</v>
      </c>
      <c r="E27" s="15">
        <f t="shared" si="1"/>
        <v>1239466</v>
      </c>
    </row>
    <row r="29" spans="1:5" x14ac:dyDescent="0.35">
      <c r="A29" s="45" t="s">
        <v>72</v>
      </c>
      <c r="B29" s="45"/>
      <c r="C29" s="45"/>
      <c r="D29" s="45"/>
      <c r="E29" s="382"/>
    </row>
    <row r="30" spans="1:5" x14ac:dyDescent="0.35">
      <c r="A30" s="45" t="s">
        <v>73</v>
      </c>
      <c r="B30" s="45"/>
      <c r="C30" s="45"/>
      <c r="D30" s="45"/>
      <c r="E30" s="45"/>
    </row>
  </sheetData>
  <customSheetViews>
    <customSheetView guid="{6D4B996F-8915-4E78-98C2-E7EAE9C4580C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1"/>
      <headerFooter alignWithMargins="0">
        <oddHeader>&amp;L&amp;F  &amp;A&amp;RM.III/5.sz. melléklet</oddHeader>
      </headerFooter>
    </customSheetView>
    <customSheetView guid="{186732C5-520C-4E06-B066-B4F3F0A3E322}" scale="75" showRuler="0">
      <selection activeCell="G8" sqref="G8"/>
      <pageMargins left="0.59055118110236227" right="0.59055118110236227" top="0.59055118110236227" bottom="0.39370078740157483" header="0.31496062992125984" footer="0.31496062992125984"/>
      <printOptions horizontalCentered="1" verticalCentered="1"/>
      <pageSetup paperSize="9" scale="67" orientation="portrait" horizontalDpi="300" verticalDpi="300" r:id="rId2"/>
      <headerFooter alignWithMargins="0">
        <oddHeader>&amp;L&amp;F  &amp;A&amp;RM.III/5.sz.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8" orientation="portrait" r:id="rId3"/>
  <headerFooter alignWithMargins="0">
    <oddHeader xml:space="preserve">&amp;R&amp;"Times New Roman CE,Félkövér"&amp;12 
&amp;"-,Félkövér"11. melléklet a ...../2026. (........) önkormányzati rendelethez
"11. melléklet a 3/2026.(II.27.) önkormányzati rendelethez"
 &amp;"Times New Roman CE,Félkövér"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/>
  <dimension ref="A1:E22"/>
  <sheetViews>
    <sheetView zoomScale="95" zoomScaleNormal="95" workbookViewId="0">
      <selection activeCell="A23" sqref="A23:XFD29"/>
    </sheetView>
  </sheetViews>
  <sheetFormatPr defaultColWidth="9.33203125" defaultRowHeight="21" x14ac:dyDescent="0.35"/>
  <cols>
    <col min="1" max="1" width="101.33203125" style="2" customWidth="1"/>
    <col min="2" max="2" width="42" style="2" customWidth="1"/>
    <col min="3" max="3" width="36.6640625" style="2" customWidth="1"/>
    <col min="4" max="4" width="36.83203125" style="2" customWidth="1"/>
    <col min="5" max="5" width="43.6640625" style="2" customWidth="1"/>
    <col min="6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882" t="s">
        <v>282</v>
      </c>
      <c r="B2" s="882"/>
      <c r="C2" s="882"/>
      <c r="D2" s="882"/>
      <c r="E2" s="882"/>
    </row>
    <row r="4" spans="1:5" ht="21.75" thickBot="1" x14ac:dyDescent="0.4">
      <c r="A4" s="316" t="s">
        <v>35</v>
      </c>
      <c r="B4" s="316"/>
      <c r="C4" s="316"/>
      <c r="D4" s="316"/>
      <c r="E4" s="308" t="s">
        <v>201</v>
      </c>
    </row>
    <row r="5" spans="1:5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83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ht="21.75" thickBot="1" x14ac:dyDescent="0.4">
      <c r="A7" s="433" t="s">
        <v>518</v>
      </c>
      <c r="B7" s="611">
        <v>1998232</v>
      </c>
      <c r="C7" s="160">
        <f>1979865+160475</f>
        <v>2140340</v>
      </c>
      <c r="D7" s="160">
        <f>2996+14510+6971+76422+10849+8434+2583</f>
        <v>122765</v>
      </c>
      <c r="E7" s="160">
        <f>SUM(C7:D7)</f>
        <v>2263105</v>
      </c>
    </row>
    <row r="8" spans="1:5" x14ac:dyDescent="0.35">
      <c r="A8" s="434" t="s">
        <v>523</v>
      </c>
      <c r="B8" s="612"/>
      <c r="C8" s="35"/>
      <c r="D8" s="54"/>
      <c r="E8" s="35"/>
    </row>
    <row r="9" spans="1:5" x14ac:dyDescent="0.35">
      <c r="A9" s="150" t="s">
        <v>254</v>
      </c>
      <c r="B9" s="588">
        <v>226</v>
      </c>
      <c r="C9" s="4">
        <v>241</v>
      </c>
      <c r="D9" s="150"/>
      <c r="E9" s="4">
        <f t="shared" ref="E9:E10" si="0">SUM(C9:D9)</f>
        <v>241</v>
      </c>
    </row>
    <row r="10" spans="1:5" ht="47.25" customHeight="1" thickBot="1" x14ac:dyDescent="0.4">
      <c r="A10" s="374" t="s">
        <v>560</v>
      </c>
      <c r="B10" s="613"/>
      <c r="C10" s="6">
        <f>10000-3000</f>
        <v>7000</v>
      </c>
      <c r="D10" s="167"/>
      <c r="E10" s="6">
        <f t="shared" si="0"/>
        <v>7000</v>
      </c>
    </row>
    <row r="11" spans="1:5" ht="21.75" thickBot="1" x14ac:dyDescent="0.4">
      <c r="A11" s="381" t="s">
        <v>524</v>
      </c>
      <c r="B11" s="11">
        <f>SUM(B9:B10)</f>
        <v>226</v>
      </c>
      <c r="C11" s="15">
        <f>SUM(C9:C10)</f>
        <v>7241</v>
      </c>
      <c r="D11" s="15">
        <f>SUM(D9:D10)</f>
        <v>0</v>
      </c>
      <c r="E11" s="15">
        <f>SUM(E9:E10)</f>
        <v>7241</v>
      </c>
    </row>
    <row r="12" spans="1:5" ht="21.75" thickBot="1" x14ac:dyDescent="0.4">
      <c r="A12" s="435" t="s">
        <v>280</v>
      </c>
      <c r="B12" s="594">
        <f>B7+B11</f>
        <v>1998458</v>
      </c>
      <c r="C12" s="31">
        <f>C7+C11</f>
        <v>2147581</v>
      </c>
      <c r="D12" s="31">
        <f>D7+D11</f>
        <v>122765</v>
      </c>
      <c r="E12" s="31">
        <f>E7+E11</f>
        <v>2270346</v>
      </c>
    </row>
    <row r="13" spans="1:5" x14ac:dyDescent="0.35">
      <c r="A13" s="156"/>
      <c r="B13" s="610"/>
      <c r="C13" s="156"/>
      <c r="D13" s="156"/>
      <c r="E13" s="156"/>
    </row>
    <row r="14" spans="1:5" ht="21.75" thickBot="1" x14ac:dyDescent="0.4">
      <c r="A14" s="316" t="s">
        <v>80</v>
      </c>
      <c r="B14" s="19"/>
      <c r="C14" s="316"/>
      <c r="D14" s="316"/>
      <c r="E14" s="316"/>
    </row>
    <row r="15" spans="1:5" x14ac:dyDescent="0.35">
      <c r="A15" s="378" t="s">
        <v>155</v>
      </c>
      <c r="B15" s="185" t="s">
        <v>418</v>
      </c>
      <c r="C15" s="185" t="s">
        <v>439</v>
      </c>
      <c r="D15" s="185" t="s">
        <v>672</v>
      </c>
      <c r="E15" s="185" t="s">
        <v>671</v>
      </c>
    </row>
    <row r="16" spans="1:5" ht="21.75" thickBot="1" x14ac:dyDescent="0.4">
      <c r="A16" s="379"/>
      <c r="B16" s="188" t="s">
        <v>674</v>
      </c>
      <c r="C16" s="370" t="s">
        <v>331</v>
      </c>
      <c r="D16" s="370" t="s">
        <v>673</v>
      </c>
      <c r="E16" s="370" t="s">
        <v>344</v>
      </c>
    </row>
    <row r="17" spans="1:5" ht="21.75" thickBot="1" x14ac:dyDescent="0.4">
      <c r="A17" s="425" t="s">
        <v>471</v>
      </c>
      <c r="B17" s="614">
        <v>27208</v>
      </c>
      <c r="C17" s="15">
        <f>26670+24990</f>
        <v>51660</v>
      </c>
      <c r="D17" s="15">
        <f>2699+4997</f>
        <v>7696</v>
      </c>
      <c r="E17" s="15">
        <f>SUM(C17:D17)</f>
        <v>59356</v>
      </c>
    </row>
    <row r="18" spans="1:5" ht="21.75" thickBot="1" x14ac:dyDescent="0.4">
      <c r="A18" s="313"/>
      <c r="B18" s="593"/>
      <c r="C18" s="45"/>
      <c r="D18" s="17"/>
      <c r="E18" s="17"/>
    </row>
    <row r="19" spans="1:5" ht="21.75" thickBot="1" x14ac:dyDescent="0.4">
      <c r="A19" s="381" t="s">
        <v>281</v>
      </c>
      <c r="B19" s="615">
        <f>B12+B17</f>
        <v>2025666</v>
      </c>
      <c r="C19" s="68">
        <f>C12+C17</f>
        <v>2199241</v>
      </c>
      <c r="D19" s="68">
        <f>D12+D17</f>
        <v>130461</v>
      </c>
      <c r="E19" s="68">
        <f>E12+E17</f>
        <v>2329702</v>
      </c>
    </row>
    <row r="21" spans="1:5" x14ac:dyDescent="0.35">
      <c r="A21" s="45" t="s">
        <v>72</v>
      </c>
      <c r="B21" s="45"/>
      <c r="C21" s="45"/>
      <c r="D21" s="45"/>
      <c r="E21" s="436"/>
    </row>
    <row r="22" spans="1:5" x14ac:dyDescent="0.35">
      <c r="A22" s="45" t="s">
        <v>73</v>
      </c>
      <c r="B22" s="45"/>
      <c r="C22" s="45"/>
      <c r="D22" s="45"/>
      <c r="E22" s="45"/>
    </row>
  </sheetData>
  <customSheetViews>
    <customSheetView guid="{6D4B996F-8915-4E78-98C2-E7EAE9C4580C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1"/>
      <headerFooter alignWithMargins="0">
        <oddHeader>&amp;L&amp;F  &amp;A&amp;RM.III/6. sz. melléklet</oddHeader>
      </headerFooter>
    </customSheetView>
    <customSheetView guid="{186732C5-520C-4E06-B066-B4F3F0A3E322}" scale="75" showRuler="0" topLeftCell="A13">
      <selection activeCell="B31" sqref="B31"/>
      <pageMargins left="0.59055118110236227" right="0.59055118110236227" top="0.98425196850393704" bottom="0.59055118110236227" header="0.51181102362204722" footer="0.31496062992125984"/>
      <printOptions horizontalCentered="1" verticalCentered="1"/>
      <pageSetup paperSize="9" scale="65" orientation="portrait" horizontalDpi="300" verticalDpi="300" r:id="rId2"/>
      <headerFooter alignWithMargins="0">
        <oddHeader>&amp;L&amp;F  &amp;A&amp;RM.III/6.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7" orientation="portrait" r:id="rId3"/>
  <headerFooter alignWithMargins="0">
    <oddHeader xml:space="preserve">&amp;R&amp;"-,Félkövér"&amp;12 
12. melléklet a ...../2026. (........) önkormányzati rendelethe&amp;"Times New Roman CE,Félkövér"z
"12. melléklet a 3/2026.(II.27.) önkormányzati rendelethez"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4"/>
  <dimension ref="A2:F123"/>
  <sheetViews>
    <sheetView zoomScale="95" zoomScaleNormal="95" workbookViewId="0">
      <selection activeCell="A124" sqref="A124:XFD133"/>
    </sheetView>
  </sheetViews>
  <sheetFormatPr defaultColWidth="9.33203125" defaultRowHeight="21" x14ac:dyDescent="0.35"/>
  <cols>
    <col min="1" max="1" width="111.6640625" style="459" customWidth="1"/>
    <col min="2" max="2" width="40.6640625" style="616" customWidth="1"/>
    <col min="3" max="3" width="34.1640625" style="77" customWidth="1"/>
    <col min="4" max="4" width="41.1640625" style="77" customWidth="1"/>
    <col min="5" max="5" width="44.83203125" style="168" customWidth="1"/>
    <col min="6" max="6" width="9" style="2" customWidth="1"/>
    <col min="7" max="16384" width="9.33203125" style="414"/>
  </cols>
  <sheetData>
    <row r="2" spans="1:5" x14ac:dyDescent="0.35">
      <c r="A2" s="904" t="s">
        <v>120</v>
      </c>
      <c r="B2" s="904"/>
      <c r="C2" s="904"/>
      <c r="D2" s="904"/>
      <c r="E2" s="904"/>
    </row>
    <row r="3" spans="1:5" ht="21.75" thickBot="1" x14ac:dyDescent="0.4">
      <c r="A3" s="411" t="s">
        <v>35</v>
      </c>
      <c r="B3" s="591"/>
      <c r="C3" s="437"/>
      <c r="D3" s="437"/>
      <c r="E3" s="168" t="s">
        <v>201</v>
      </c>
    </row>
    <row r="4" spans="1:5" x14ac:dyDescent="0.35">
      <c r="A4" s="412" t="s">
        <v>155</v>
      </c>
      <c r="B4" s="185" t="s">
        <v>418</v>
      </c>
      <c r="C4" s="185" t="s">
        <v>439</v>
      </c>
      <c r="D4" s="185" t="s">
        <v>672</v>
      </c>
      <c r="E4" s="185" t="s">
        <v>671</v>
      </c>
    </row>
    <row r="5" spans="1:5" ht="21.75" thickBot="1" x14ac:dyDescent="0.4">
      <c r="A5" s="438"/>
      <c r="B5" s="188" t="s">
        <v>674</v>
      </c>
      <c r="C5" s="370" t="s">
        <v>331</v>
      </c>
      <c r="D5" s="370" t="s">
        <v>673</v>
      </c>
      <c r="E5" s="370" t="s">
        <v>344</v>
      </c>
    </row>
    <row r="6" spans="1:5" s="45" customFormat="1" ht="21.75" thickBot="1" x14ac:dyDescent="0.4">
      <c r="A6" s="439" t="s">
        <v>472</v>
      </c>
      <c r="B6" s="70">
        <v>204261</v>
      </c>
      <c r="C6" s="61">
        <f>209018+9556</f>
        <v>218574</v>
      </c>
      <c r="D6" s="61">
        <f>27532+1280-13978+5026</f>
        <v>19860</v>
      </c>
      <c r="E6" s="61">
        <f>SUM(C6:D6)</f>
        <v>238434</v>
      </c>
    </row>
    <row r="7" spans="1:5" x14ac:dyDescent="0.35">
      <c r="A7" s="440" t="s">
        <v>4</v>
      </c>
      <c r="B7" s="169">
        <v>3128108</v>
      </c>
      <c r="C7" s="169">
        <f>3134054+26149+24808+500+2260</f>
        <v>3187771</v>
      </c>
      <c r="D7" s="169">
        <f>218314+107315+65645+20000-3228</f>
        <v>408046</v>
      </c>
      <c r="E7" s="169">
        <f>SUM(C7:D7)</f>
        <v>3595817</v>
      </c>
    </row>
    <row r="8" spans="1:5" ht="21.75" thickBot="1" x14ac:dyDescent="0.4">
      <c r="A8" s="441" t="s">
        <v>115</v>
      </c>
      <c r="B8" s="42">
        <f>SUM(B6:B7)</f>
        <v>3332369</v>
      </c>
      <c r="C8" s="42">
        <f>SUM(C6:C7)</f>
        <v>3406345</v>
      </c>
      <c r="D8" s="42">
        <f>SUM(D6:D7)</f>
        <v>427906</v>
      </c>
      <c r="E8" s="42">
        <f>SUM(E6:E7)</f>
        <v>3834251</v>
      </c>
    </row>
    <row r="9" spans="1:5" x14ac:dyDescent="0.35">
      <c r="A9" s="442" t="s">
        <v>175</v>
      </c>
      <c r="B9" s="617"/>
      <c r="C9" s="71"/>
      <c r="D9" s="71"/>
      <c r="E9" s="71"/>
    </row>
    <row r="10" spans="1:5" x14ac:dyDescent="0.35">
      <c r="A10" s="443" t="s">
        <v>191</v>
      </c>
      <c r="B10" s="72">
        <v>278996</v>
      </c>
      <c r="C10" s="72">
        <v>400000</v>
      </c>
      <c r="D10" s="72">
        <v>136972</v>
      </c>
      <c r="E10" s="72">
        <f t="shared" ref="E10:E13" si="0">SUM(C10:D10)</f>
        <v>536972</v>
      </c>
    </row>
    <row r="11" spans="1:5" x14ac:dyDescent="0.35">
      <c r="A11" s="444" t="s">
        <v>196</v>
      </c>
      <c r="B11" s="72">
        <v>1007376</v>
      </c>
      <c r="C11" s="72">
        <v>700000</v>
      </c>
      <c r="D11" s="72">
        <v>322</v>
      </c>
      <c r="E11" s="72">
        <f t="shared" si="0"/>
        <v>700322</v>
      </c>
    </row>
    <row r="12" spans="1:5" x14ac:dyDescent="0.35">
      <c r="A12" s="444" t="s">
        <v>250</v>
      </c>
      <c r="B12" s="72"/>
      <c r="C12" s="72">
        <v>160000</v>
      </c>
      <c r="D12" s="72"/>
      <c r="E12" s="72">
        <f t="shared" si="0"/>
        <v>160000</v>
      </c>
    </row>
    <row r="13" spans="1:5" x14ac:dyDescent="0.35">
      <c r="A13" s="444" t="s">
        <v>126</v>
      </c>
      <c r="B13" s="72">
        <v>554736</v>
      </c>
      <c r="C13" s="72">
        <v>554736</v>
      </c>
      <c r="D13" s="72"/>
      <c r="E13" s="72">
        <f t="shared" si="0"/>
        <v>554736</v>
      </c>
    </row>
    <row r="14" spans="1:5" x14ac:dyDescent="0.35">
      <c r="A14" s="445" t="s">
        <v>186</v>
      </c>
      <c r="B14" s="73">
        <f>SUM(B9:B13)</f>
        <v>1841108</v>
      </c>
      <c r="C14" s="73">
        <f>SUM(C9:C13)</f>
        <v>1814736</v>
      </c>
      <c r="D14" s="73">
        <f>SUM(D9:D13)</f>
        <v>137294</v>
      </c>
      <c r="E14" s="73">
        <f>SUM(E9:E13)</f>
        <v>1952030</v>
      </c>
    </row>
    <row r="15" spans="1:5" x14ac:dyDescent="0.35">
      <c r="A15" s="446" t="s">
        <v>5</v>
      </c>
      <c r="B15" s="617"/>
      <c r="C15" s="71"/>
      <c r="D15" s="71"/>
      <c r="E15" s="71"/>
    </row>
    <row r="16" spans="1:5" x14ac:dyDescent="0.35">
      <c r="A16" s="443" t="s">
        <v>359</v>
      </c>
      <c r="B16" s="72">
        <v>88044</v>
      </c>
      <c r="C16" s="72">
        <v>80000</v>
      </c>
      <c r="D16" s="72"/>
      <c r="E16" s="72">
        <f t="shared" ref="E16:E76" si="1">SUM(C16:D16)</f>
        <v>80000</v>
      </c>
    </row>
    <row r="17" spans="1:5" x14ac:dyDescent="0.35">
      <c r="A17" s="443" t="s">
        <v>346</v>
      </c>
      <c r="B17" s="72">
        <v>60330</v>
      </c>
      <c r="C17" s="72">
        <f>63000-10000</f>
        <v>53000</v>
      </c>
      <c r="D17" s="72"/>
      <c r="E17" s="72">
        <f t="shared" si="1"/>
        <v>53000</v>
      </c>
    </row>
    <row r="18" spans="1:5" x14ac:dyDescent="0.35">
      <c r="A18" s="447" t="s">
        <v>207</v>
      </c>
      <c r="B18" s="63">
        <v>17001</v>
      </c>
      <c r="C18" s="63">
        <v>17500</v>
      </c>
      <c r="D18" s="63">
        <v>10578</v>
      </c>
      <c r="E18" s="63">
        <f t="shared" si="1"/>
        <v>28078</v>
      </c>
    </row>
    <row r="19" spans="1:5" x14ac:dyDescent="0.35">
      <c r="A19" s="444" t="s">
        <v>192</v>
      </c>
      <c r="B19" s="72">
        <v>14877</v>
      </c>
      <c r="C19" s="72">
        <v>15000</v>
      </c>
      <c r="D19" s="72">
        <v>1955</v>
      </c>
      <c r="E19" s="72">
        <f t="shared" si="1"/>
        <v>16955</v>
      </c>
    </row>
    <row r="20" spans="1:5" ht="42" x14ac:dyDescent="0.35">
      <c r="A20" s="444" t="s">
        <v>557</v>
      </c>
      <c r="B20" s="72">
        <v>466527</v>
      </c>
      <c r="C20" s="72">
        <f>472625+5921+7890-7890</f>
        <v>478546</v>
      </c>
      <c r="D20" s="72">
        <f>18401+6400</f>
        <v>24801</v>
      </c>
      <c r="E20" s="72">
        <f t="shared" si="1"/>
        <v>503347</v>
      </c>
    </row>
    <row r="21" spans="1:5" x14ac:dyDescent="0.35">
      <c r="A21" s="448" t="s">
        <v>643</v>
      </c>
      <c r="B21" s="63"/>
      <c r="C21" s="63">
        <v>20000</v>
      </c>
      <c r="D21" s="63">
        <v>-20000</v>
      </c>
      <c r="E21" s="63">
        <f t="shared" si="1"/>
        <v>0</v>
      </c>
    </row>
    <row r="22" spans="1:5" x14ac:dyDescent="0.35">
      <c r="A22" s="448" t="s">
        <v>134</v>
      </c>
      <c r="B22" s="63">
        <v>13753</v>
      </c>
      <c r="C22" s="63">
        <v>10000</v>
      </c>
      <c r="D22" s="63">
        <v>6158</v>
      </c>
      <c r="E22" s="63">
        <f t="shared" si="1"/>
        <v>16158</v>
      </c>
    </row>
    <row r="23" spans="1:5" x14ac:dyDescent="0.35">
      <c r="A23" s="448" t="s">
        <v>189</v>
      </c>
      <c r="B23" s="63"/>
      <c r="C23" s="63">
        <v>0</v>
      </c>
      <c r="D23" s="63">
        <v>453</v>
      </c>
      <c r="E23" s="63">
        <f t="shared" si="1"/>
        <v>453</v>
      </c>
    </row>
    <row r="24" spans="1:5" x14ac:dyDescent="0.35">
      <c r="A24" s="447" t="s">
        <v>416</v>
      </c>
      <c r="B24" s="63">
        <v>660</v>
      </c>
      <c r="C24" s="63">
        <v>1000</v>
      </c>
      <c r="D24" s="63">
        <v>2036</v>
      </c>
      <c r="E24" s="63">
        <f t="shared" si="1"/>
        <v>3036</v>
      </c>
    </row>
    <row r="25" spans="1:5" x14ac:dyDescent="0.35">
      <c r="A25" s="443" t="s">
        <v>121</v>
      </c>
      <c r="B25" s="72">
        <v>13040</v>
      </c>
      <c r="C25" s="72">
        <v>13040</v>
      </c>
      <c r="D25" s="72"/>
      <c r="E25" s="72">
        <f t="shared" si="1"/>
        <v>13040</v>
      </c>
    </row>
    <row r="26" spans="1:5" x14ac:dyDescent="0.35">
      <c r="A26" s="448" t="s">
        <v>147</v>
      </c>
      <c r="B26" s="63">
        <v>1200</v>
      </c>
      <c r="C26" s="63">
        <v>1200</v>
      </c>
      <c r="D26" s="63"/>
      <c r="E26" s="63">
        <f t="shared" si="1"/>
        <v>1200</v>
      </c>
    </row>
    <row r="27" spans="1:5" x14ac:dyDescent="0.35">
      <c r="A27" s="447" t="s">
        <v>419</v>
      </c>
      <c r="B27" s="63">
        <v>1500</v>
      </c>
      <c r="C27" s="63">
        <v>0</v>
      </c>
      <c r="D27" s="63">
        <v>1500</v>
      </c>
      <c r="E27" s="63">
        <f t="shared" si="1"/>
        <v>1500</v>
      </c>
    </row>
    <row r="28" spans="1:5" x14ac:dyDescent="0.35">
      <c r="A28" s="389" t="s">
        <v>511</v>
      </c>
      <c r="B28" s="5">
        <v>3000</v>
      </c>
      <c r="C28" s="63">
        <v>0</v>
      </c>
      <c r="D28" s="63"/>
      <c r="E28" s="63">
        <f t="shared" si="1"/>
        <v>0</v>
      </c>
    </row>
    <row r="29" spans="1:5" x14ac:dyDescent="0.35">
      <c r="A29" s="447" t="s">
        <v>198</v>
      </c>
      <c r="B29" s="63">
        <v>3401</v>
      </c>
      <c r="C29" s="63">
        <v>3154</v>
      </c>
      <c r="D29" s="63"/>
      <c r="E29" s="63">
        <f t="shared" si="1"/>
        <v>3154</v>
      </c>
    </row>
    <row r="30" spans="1:5" x14ac:dyDescent="0.35">
      <c r="A30" s="448" t="s">
        <v>197</v>
      </c>
      <c r="B30" s="63">
        <v>3764</v>
      </c>
      <c r="C30" s="63">
        <v>4200</v>
      </c>
      <c r="D30" s="63">
        <v>436</v>
      </c>
      <c r="E30" s="63">
        <f t="shared" si="1"/>
        <v>4636</v>
      </c>
    </row>
    <row r="31" spans="1:5" x14ac:dyDescent="0.35">
      <c r="A31" s="448" t="s">
        <v>403</v>
      </c>
      <c r="B31" s="63">
        <v>1520804</v>
      </c>
      <c r="C31" s="63"/>
      <c r="D31" s="63"/>
      <c r="E31" s="63">
        <f t="shared" si="1"/>
        <v>0</v>
      </c>
    </row>
    <row r="32" spans="1:5" ht="44.25" customHeight="1" x14ac:dyDescent="0.35">
      <c r="A32" s="448" t="s">
        <v>592</v>
      </c>
      <c r="B32" s="63">
        <v>2100</v>
      </c>
      <c r="C32" s="63">
        <v>0</v>
      </c>
      <c r="D32" s="63">
        <v>400</v>
      </c>
      <c r="E32" s="63">
        <f t="shared" si="1"/>
        <v>400</v>
      </c>
    </row>
    <row r="33" spans="1:5" x14ac:dyDescent="0.35">
      <c r="A33" s="448" t="s">
        <v>564</v>
      </c>
      <c r="B33" s="63">
        <v>50000</v>
      </c>
      <c r="C33" s="63">
        <v>100000</v>
      </c>
      <c r="D33" s="63"/>
      <c r="E33" s="63">
        <f t="shared" si="1"/>
        <v>100000</v>
      </c>
    </row>
    <row r="34" spans="1:5" ht="42" x14ac:dyDescent="0.35">
      <c r="A34" s="448" t="s">
        <v>593</v>
      </c>
      <c r="B34" s="63">
        <v>10516</v>
      </c>
      <c r="C34" s="63">
        <v>0</v>
      </c>
      <c r="D34" s="63"/>
      <c r="E34" s="63">
        <f t="shared" si="1"/>
        <v>0</v>
      </c>
    </row>
    <row r="35" spans="1:5" ht="42" x14ac:dyDescent="0.35">
      <c r="A35" s="448" t="s">
        <v>460</v>
      </c>
      <c r="B35" s="63">
        <v>3810</v>
      </c>
      <c r="C35" s="63">
        <v>3810</v>
      </c>
      <c r="D35" s="63"/>
      <c r="E35" s="63">
        <f t="shared" si="1"/>
        <v>3810</v>
      </c>
    </row>
    <row r="36" spans="1:5" ht="42" x14ac:dyDescent="0.35">
      <c r="A36" s="448" t="s">
        <v>394</v>
      </c>
      <c r="B36" s="63"/>
      <c r="C36" s="63">
        <v>2500</v>
      </c>
      <c r="D36" s="63"/>
      <c r="E36" s="63">
        <f t="shared" si="1"/>
        <v>2500</v>
      </c>
    </row>
    <row r="37" spans="1:5" x14ac:dyDescent="0.35">
      <c r="A37" s="444" t="s">
        <v>503</v>
      </c>
      <c r="B37" s="72">
        <v>3833106</v>
      </c>
      <c r="C37" s="72">
        <f>3833106+355177</f>
        <v>4188283</v>
      </c>
      <c r="D37" s="72"/>
      <c r="E37" s="72">
        <f t="shared" si="1"/>
        <v>4188283</v>
      </c>
    </row>
    <row r="38" spans="1:5" ht="42" x14ac:dyDescent="0.35">
      <c r="A38" s="444" t="s">
        <v>594</v>
      </c>
      <c r="B38" s="72">
        <v>1556901</v>
      </c>
      <c r="C38" s="72"/>
      <c r="D38" s="72"/>
      <c r="E38" s="72">
        <f t="shared" si="1"/>
        <v>0</v>
      </c>
    </row>
    <row r="39" spans="1:5" x14ac:dyDescent="0.35">
      <c r="A39" s="448" t="s">
        <v>495</v>
      </c>
      <c r="B39" s="63"/>
      <c r="C39" s="63">
        <v>0</v>
      </c>
      <c r="D39" s="63">
        <v>5000</v>
      </c>
      <c r="E39" s="63">
        <f t="shared" si="1"/>
        <v>5000</v>
      </c>
    </row>
    <row r="40" spans="1:5" x14ac:dyDescent="0.35">
      <c r="A40" s="448" t="s">
        <v>496</v>
      </c>
      <c r="B40" s="63">
        <v>2500</v>
      </c>
      <c r="C40" s="63">
        <v>0</v>
      </c>
      <c r="D40" s="63">
        <v>2100</v>
      </c>
      <c r="E40" s="63">
        <f t="shared" si="1"/>
        <v>2100</v>
      </c>
    </row>
    <row r="41" spans="1:5" ht="42" x14ac:dyDescent="0.35">
      <c r="A41" s="448" t="s">
        <v>595</v>
      </c>
      <c r="B41" s="63">
        <v>11916</v>
      </c>
      <c r="C41" s="63">
        <v>0</v>
      </c>
      <c r="D41" s="63">
        <v>17332</v>
      </c>
      <c r="E41" s="63">
        <f t="shared" si="1"/>
        <v>17332</v>
      </c>
    </row>
    <row r="42" spans="1:5" x14ac:dyDescent="0.35">
      <c r="A42" s="449" t="s">
        <v>374</v>
      </c>
      <c r="B42" s="618"/>
      <c r="C42" s="71"/>
      <c r="D42" s="71"/>
      <c r="E42" s="71"/>
    </row>
    <row r="43" spans="1:5" x14ac:dyDescent="0.35">
      <c r="A43" s="447" t="s">
        <v>375</v>
      </c>
      <c r="B43" s="63">
        <v>184000</v>
      </c>
      <c r="C43" s="63">
        <v>127000</v>
      </c>
      <c r="D43" s="63"/>
      <c r="E43" s="63">
        <f t="shared" si="1"/>
        <v>127000</v>
      </c>
    </row>
    <row r="44" spans="1:5" ht="42" x14ac:dyDescent="0.35">
      <c r="A44" s="447" t="s">
        <v>427</v>
      </c>
      <c r="B44" s="63">
        <v>84998</v>
      </c>
      <c r="C44" s="63">
        <f>67000+63000</f>
        <v>130000</v>
      </c>
      <c r="D44" s="63">
        <f>1002+2257</f>
        <v>3259</v>
      </c>
      <c r="E44" s="63">
        <f t="shared" si="1"/>
        <v>133259</v>
      </c>
    </row>
    <row r="45" spans="1:5" x14ac:dyDescent="0.35">
      <c r="A45" s="442" t="s">
        <v>360</v>
      </c>
      <c r="B45" s="617"/>
      <c r="C45" s="74"/>
      <c r="D45" s="74"/>
      <c r="E45" s="74"/>
    </row>
    <row r="46" spans="1:5" ht="42" x14ac:dyDescent="0.35">
      <c r="A46" s="447" t="s">
        <v>428</v>
      </c>
      <c r="B46" s="63">
        <v>1000</v>
      </c>
      <c r="C46" s="63">
        <v>1000</v>
      </c>
      <c r="D46" s="63"/>
      <c r="E46" s="63">
        <f t="shared" si="1"/>
        <v>1000</v>
      </c>
    </row>
    <row r="47" spans="1:5" x14ac:dyDescent="0.35">
      <c r="A47" s="447" t="s">
        <v>119</v>
      </c>
      <c r="B47" s="63">
        <v>8000</v>
      </c>
      <c r="C47" s="63">
        <v>8000</v>
      </c>
      <c r="D47" s="63"/>
      <c r="E47" s="63">
        <f t="shared" si="1"/>
        <v>8000</v>
      </c>
    </row>
    <row r="48" spans="1:5" x14ac:dyDescent="0.35">
      <c r="A48" s="448" t="s">
        <v>79</v>
      </c>
      <c r="B48" s="63">
        <v>2000</v>
      </c>
      <c r="C48" s="63">
        <v>2000</v>
      </c>
      <c r="D48" s="63"/>
      <c r="E48" s="63">
        <f t="shared" si="1"/>
        <v>2000</v>
      </c>
    </row>
    <row r="49" spans="1:5" x14ac:dyDescent="0.35">
      <c r="A49" s="448" t="s">
        <v>469</v>
      </c>
      <c r="B49" s="63">
        <v>2000</v>
      </c>
      <c r="C49" s="63">
        <v>2000</v>
      </c>
      <c r="D49" s="63"/>
      <c r="E49" s="63">
        <f t="shared" si="1"/>
        <v>2000</v>
      </c>
    </row>
    <row r="50" spans="1:5" x14ac:dyDescent="0.35">
      <c r="A50" s="442" t="s">
        <v>362</v>
      </c>
      <c r="B50" s="617"/>
      <c r="C50" s="74"/>
      <c r="D50" s="74"/>
      <c r="E50" s="74"/>
    </row>
    <row r="51" spans="1:5" x14ac:dyDescent="0.35">
      <c r="A51" s="447" t="s">
        <v>365</v>
      </c>
      <c r="B51" s="63"/>
      <c r="C51" s="63">
        <v>70000</v>
      </c>
      <c r="D51" s="63"/>
      <c r="E51" s="63">
        <f t="shared" si="1"/>
        <v>70000</v>
      </c>
    </row>
    <row r="52" spans="1:5" ht="42" x14ac:dyDescent="0.35">
      <c r="A52" s="442" t="s">
        <v>369</v>
      </c>
      <c r="B52" s="617"/>
      <c r="C52" s="69"/>
      <c r="D52" s="69"/>
      <c r="E52" s="69"/>
    </row>
    <row r="53" spans="1:5" x14ac:dyDescent="0.35">
      <c r="A53" s="443" t="s">
        <v>436</v>
      </c>
      <c r="B53" s="72">
        <v>5685</v>
      </c>
      <c r="C53" s="72">
        <f>6000+3000</f>
        <v>9000</v>
      </c>
      <c r="D53" s="72">
        <v>4574</v>
      </c>
      <c r="E53" s="72">
        <f t="shared" si="1"/>
        <v>13574</v>
      </c>
    </row>
    <row r="54" spans="1:5" ht="42" x14ac:dyDescent="0.35">
      <c r="A54" s="448" t="s">
        <v>370</v>
      </c>
      <c r="B54" s="63">
        <v>2241</v>
      </c>
      <c r="C54" s="63">
        <f>2241-1120</f>
        <v>1121</v>
      </c>
      <c r="D54" s="63"/>
      <c r="E54" s="63">
        <f t="shared" si="1"/>
        <v>1121</v>
      </c>
    </row>
    <row r="55" spans="1:5" x14ac:dyDescent="0.35">
      <c r="A55" s="448" t="s">
        <v>356</v>
      </c>
      <c r="B55" s="63">
        <v>2631</v>
      </c>
      <c r="C55" s="63">
        <v>5500</v>
      </c>
      <c r="D55" s="63">
        <f>4704-1000</f>
        <v>3704</v>
      </c>
      <c r="E55" s="63">
        <f t="shared" si="1"/>
        <v>9204</v>
      </c>
    </row>
    <row r="56" spans="1:5" x14ac:dyDescent="0.35">
      <c r="A56" s="448" t="s">
        <v>517</v>
      </c>
      <c r="B56" s="63"/>
      <c r="C56" s="63">
        <v>0</v>
      </c>
      <c r="D56" s="63">
        <v>3300</v>
      </c>
      <c r="E56" s="63">
        <f t="shared" si="1"/>
        <v>3300</v>
      </c>
    </row>
    <row r="57" spans="1:5" ht="42" x14ac:dyDescent="0.35">
      <c r="A57" s="448" t="s">
        <v>541</v>
      </c>
      <c r="B57" s="63">
        <v>200000</v>
      </c>
      <c r="C57" s="63">
        <f>100000+100000-200000</f>
        <v>0</v>
      </c>
      <c r="D57" s="63"/>
      <c r="E57" s="63">
        <f t="shared" si="1"/>
        <v>0</v>
      </c>
    </row>
    <row r="58" spans="1:5" ht="42" x14ac:dyDescent="0.35">
      <c r="A58" s="448" t="s">
        <v>437</v>
      </c>
      <c r="B58" s="63">
        <v>18288</v>
      </c>
      <c r="C58" s="63">
        <v>18500</v>
      </c>
      <c r="D58" s="63">
        <v>2836</v>
      </c>
      <c r="E58" s="63">
        <f t="shared" si="1"/>
        <v>21336</v>
      </c>
    </row>
    <row r="59" spans="1:5" x14ac:dyDescent="0.35">
      <c r="A59" s="448" t="s">
        <v>338</v>
      </c>
      <c r="B59" s="63">
        <v>50000</v>
      </c>
      <c r="C59" s="63">
        <v>50000</v>
      </c>
      <c r="D59" s="63"/>
      <c r="E59" s="63">
        <f t="shared" si="1"/>
        <v>50000</v>
      </c>
    </row>
    <row r="60" spans="1:5" x14ac:dyDescent="0.35">
      <c r="A60" s="448" t="s">
        <v>512</v>
      </c>
      <c r="B60" s="63">
        <v>60021</v>
      </c>
      <c r="C60" s="63"/>
      <c r="D60" s="63"/>
      <c r="E60" s="63">
        <f t="shared" si="1"/>
        <v>0</v>
      </c>
    </row>
    <row r="61" spans="1:5" x14ac:dyDescent="0.35">
      <c r="A61" s="448" t="s">
        <v>596</v>
      </c>
      <c r="B61" s="63"/>
      <c r="C61" s="63"/>
      <c r="D61" s="63">
        <v>10000</v>
      </c>
      <c r="E61" s="63">
        <f t="shared" si="1"/>
        <v>10000</v>
      </c>
    </row>
    <row r="62" spans="1:5" ht="42.75" thickBot="1" x14ac:dyDescent="0.4">
      <c r="A62" s="450" t="s">
        <v>597</v>
      </c>
      <c r="B62" s="178">
        <v>40000</v>
      </c>
      <c r="C62" s="178"/>
      <c r="D62" s="178"/>
      <c r="E62" s="178">
        <f t="shared" si="1"/>
        <v>0</v>
      </c>
    </row>
    <row r="63" spans="1:5" x14ac:dyDescent="0.35">
      <c r="A63" s="442" t="s">
        <v>8</v>
      </c>
      <c r="B63" s="617"/>
      <c r="C63" s="74"/>
      <c r="D63" s="74"/>
      <c r="E63" s="74"/>
    </row>
    <row r="64" spans="1:5" ht="42" x14ac:dyDescent="0.35">
      <c r="A64" s="443" t="s">
        <v>34</v>
      </c>
      <c r="B64" s="72">
        <v>7849</v>
      </c>
      <c r="C64" s="72">
        <v>8000</v>
      </c>
      <c r="D64" s="72"/>
      <c r="E64" s="72">
        <f t="shared" si="1"/>
        <v>8000</v>
      </c>
    </row>
    <row r="65" spans="1:5" x14ac:dyDescent="0.35">
      <c r="A65" s="451" t="s">
        <v>46</v>
      </c>
      <c r="B65" s="63">
        <v>25421</v>
      </c>
      <c r="C65" s="63">
        <f>25500+4500</f>
        <v>30000</v>
      </c>
      <c r="D65" s="63"/>
      <c r="E65" s="63">
        <f t="shared" si="1"/>
        <v>30000</v>
      </c>
    </row>
    <row r="66" spans="1:5" x14ac:dyDescent="0.35">
      <c r="A66" s="451" t="s">
        <v>28</v>
      </c>
      <c r="B66" s="63">
        <v>6560</v>
      </c>
      <c r="C66" s="63">
        <v>7000</v>
      </c>
      <c r="D66" s="63">
        <v>338</v>
      </c>
      <c r="E66" s="63">
        <f t="shared" si="1"/>
        <v>7338</v>
      </c>
    </row>
    <row r="67" spans="1:5" ht="42" x14ac:dyDescent="0.35">
      <c r="A67" s="451" t="s">
        <v>334</v>
      </c>
      <c r="B67" s="63">
        <v>30504</v>
      </c>
      <c r="C67" s="63">
        <f>30000+5000</f>
        <v>35000</v>
      </c>
      <c r="D67" s="63">
        <v>1268</v>
      </c>
      <c r="E67" s="63">
        <f t="shared" si="1"/>
        <v>36268</v>
      </c>
    </row>
    <row r="68" spans="1:5" x14ac:dyDescent="0.35">
      <c r="A68" s="451" t="s">
        <v>214</v>
      </c>
      <c r="B68" s="63">
        <v>300</v>
      </c>
      <c r="C68" s="63">
        <v>300</v>
      </c>
      <c r="D68" s="63"/>
      <c r="E68" s="63">
        <f t="shared" si="1"/>
        <v>300</v>
      </c>
    </row>
    <row r="69" spans="1:5" x14ac:dyDescent="0.35">
      <c r="A69" s="451" t="s">
        <v>122</v>
      </c>
      <c r="B69" s="63">
        <v>7407</v>
      </c>
      <c r="C69" s="63">
        <v>8300</v>
      </c>
      <c r="D69" s="63">
        <v>2375</v>
      </c>
      <c r="E69" s="63">
        <f t="shared" si="1"/>
        <v>10675</v>
      </c>
    </row>
    <row r="70" spans="1:5" ht="42" x14ac:dyDescent="0.35">
      <c r="A70" s="448" t="s">
        <v>340</v>
      </c>
      <c r="B70" s="63">
        <v>3426</v>
      </c>
      <c r="C70" s="63">
        <v>3500</v>
      </c>
      <c r="D70" s="63"/>
      <c r="E70" s="63">
        <f t="shared" si="1"/>
        <v>3500</v>
      </c>
    </row>
    <row r="71" spans="1:5" x14ac:dyDescent="0.35">
      <c r="A71" s="448" t="s">
        <v>376</v>
      </c>
      <c r="B71" s="63">
        <v>3810</v>
      </c>
      <c r="C71" s="63">
        <v>3810</v>
      </c>
      <c r="D71" s="63">
        <v>350</v>
      </c>
      <c r="E71" s="63">
        <f t="shared" si="1"/>
        <v>4160</v>
      </c>
    </row>
    <row r="72" spans="1:5" x14ac:dyDescent="0.35">
      <c r="A72" s="448" t="s">
        <v>357</v>
      </c>
      <c r="B72" s="63">
        <v>175</v>
      </c>
      <c r="C72" s="63">
        <v>500</v>
      </c>
      <c r="D72" s="63">
        <v>325</v>
      </c>
      <c r="E72" s="63">
        <f t="shared" si="1"/>
        <v>825</v>
      </c>
    </row>
    <row r="73" spans="1:5" x14ac:dyDescent="0.35">
      <c r="A73" s="448" t="s">
        <v>447</v>
      </c>
      <c r="B73" s="63">
        <v>7315</v>
      </c>
      <c r="C73" s="63">
        <v>7500</v>
      </c>
      <c r="D73" s="63">
        <v>1219</v>
      </c>
      <c r="E73" s="63">
        <f t="shared" si="1"/>
        <v>8719</v>
      </c>
    </row>
    <row r="74" spans="1:5" x14ac:dyDescent="0.35">
      <c r="A74" s="448" t="s">
        <v>448</v>
      </c>
      <c r="B74" s="63">
        <v>2779</v>
      </c>
      <c r="C74" s="63">
        <v>2500</v>
      </c>
      <c r="D74" s="63">
        <v>320</v>
      </c>
      <c r="E74" s="63">
        <f t="shared" si="1"/>
        <v>2820</v>
      </c>
    </row>
    <row r="75" spans="1:5" x14ac:dyDescent="0.35">
      <c r="A75" s="448" t="s">
        <v>449</v>
      </c>
      <c r="B75" s="63">
        <v>2779</v>
      </c>
      <c r="C75" s="63">
        <v>2500</v>
      </c>
      <c r="D75" s="63">
        <v>320</v>
      </c>
      <c r="E75" s="63">
        <f t="shared" si="1"/>
        <v>2820</v>
      </c>
    </row>
    <row r="76" spans="1:5" x14ac:dyDescent="0.35">
      <c r="A76" s="448" t="s">
        <v>644</v>
      </c>
      <c r="B76" s="63"/>
      <c r="C76" s="63">
        <v>1000</v>
      </c>
      <c r="D76" s="63">
        <v>2600</v>
      </c>
      <c r="E76" s="63">
        <f t="shared" si="1"/>
        <v>3600</v>
      </c>
    </row>
    <row r="77" spans="1:5" x14ac:dyDescent="0.35">
      <c r="A77" s="442" t="s">
        <v>7</v>
      </c>
      <c r="B77" s="74"/>
      <c r="C77" s="74"/>
      <c r="D77" s="74"/>
      <c r="E77" s="74"/>
    </row>
    <row r="78" spans="1:5" x14ac:dyDescent="0.35">
      <c r="A78" s="447" t="s">
        <v>40</v>
      </c>
      <c r="B78" s="63">
        <v>46555</v>
      </c>
      <c r="C78" s="63">
        <f>15000+10000</f>
        <v>25000</v>
      </c>
      <c r="D78" s="63">
        <f>44708+2256+2208</f>
        <v>49172</v>
      </c>
      <c r="E78" s="63">
        <f t="shared" ref="E78:E84" si="2">SUM(C78:D78)</f>
        <v>74172</v>
      </c>
    </row>
    <row r="79" spans="1:5" x14ac:dyDescent="0.35">
      <c r="A79" s="451" t="s">
        <v>335</v>
      </c>
      <c r="B79" s="63"/>
      <c r="C79" s="63">
        <v>1500</v>
      </c>
      <c r="D79" s="63"/>
      <c r="E79" s="63">
        <f t="shared" si="2"/>
        <v>1500</v>
      </c>
    </row>
    <row r="80" spans="1:5" x14ac:dyDescent="0.35">
      <c r="A80" s="451" t="s">
        <v>473</v>
      </c>
      <c r="B80" s="63">
        <v>350</v>
      </c>
      <c r="C80" s="63">
        <v>1000</v>
      </c>
      <c r="D80" s="63"/>
      <c r="E80" s="63">
        <f t="shared" si="2"/>
        <v>1000</v>
      </c>
    </row>
    <row r="81" spans="1:5" x14ac:dyDescent="0.35">
      <c r="A81" s="451" t="s">
        <v>414</v>
      </c>
      <c r="B81" s="63">
        <v>350</v>
      </c>
      <c r="C81" s="63">
        <v>1000</v>
      </c>
      <c r="D81" s="63"/>
      <c r="E81" s="63">
        <f t="shared" si="2"/>
        <v>1000</v>
      </c>
    </row>
    <row r="82" spans="1:5" ht="63" x14ac:dyDescent="0.35">
      <c r="A82" s="451" t="s">
        <v>348</v>
      </c>
      <c r="B82" s="63">
        <v>4500</v>
      </c>
      <c r="C82" s="63">
        <v>4500</v>
      </c>
      <c r="D82" s="63"/>
      <c r="E82" s="63">
        <f t="shared" si="2"/>
        <v>4500</v>
      </c>
    </row>
    <row r="83" spans="1:5" x14ac:dyDescent="0.35">
      <c r="A83" s="452" t="s">
        <v>6</v>
      </c>
      <c r="B83" s="69"/>
      <c r="C83" s="69"/>
      <c r="D83" s="69"/>
      <c r="E83" s="69"/>
    </row>
    <row r="84" spans="1:5" x14ac:dyDescent="0.35">
      <c r="A84" s="447" t="s">
        <v>268</v>
      </c>
      <c r="B84" s="63">
        <v>12091</v>
      </c>
      <c r="C84" s="63">
        <v>0</v>
      </c>
      <c r="D84" s="63">
        <v>3022</v>
      </c>
      <c r="E84" s="63">
        <f t="shared" si="2"/>
        <v>3022</v>
      </c>
    </row>
    <row r="85" spans="1:5" s="183" customFormat="1" ht="21.75" thickBot="1" x14ac:dyDescent="0.4">
      <c r="A85" s="441" t="s">
        <v>199</v>
      </c>
      <c r="B85" s="42">
        <f>SUM(B16:B84)</f>
        <v>8501785</v>
      </c>
      <c r="C85" s="42">
        <f>SUM(C16:C84)</f>
        <v>5558264</v>
      </c>
      <c r="D85" s="42">
        <f>SUM(D16:D84)</f>
        <v>141731</v>
      </c>
      <c r="E85" s="42">
        <f>SUM(E16:E84)</f>
        <v>5699995</v>
      </c>
    </row>
    <row r="86" spans="1:5" x14ac:dyDescent="0.35">
      <c r="A86" s="453" t="s">
        <v>93</v>
      </c>
      <c r="B86" s="617"/>
      <c r="C86" s="71"/>
      <c r="D86" s="71"/>
      <c r="E86" s="71"/>
    </row>
    <row r="87" spans="1:5" x14ac:dyDescent="0.35">
      <c r="A87" s="454" t="s">
        <v>381</v>
      </c>
      <c r="B87" s="619"/>
      <c r="C87" s="63">
        <f>76672-76672+1940747</f>
        <v>1940747</v>
      </c>
      <c r="D87" s="63">
        <v>-1940747</v>
      </c>
      <c r="E87" s="63">
        <f>SUM(C87:D87)</f>
        <v>0</v>
      </c>
    </row>
    <row r="88" spans="1:5" x14ac:dyDescent="0.35">
      <c r="A88" s="454" t="s">
        <v>494</v>
      </c>
      <c r="B88" s="619">
        <v>13613</v>
      </c>
      <c r="C88" s="63"/>
      <c r="D88" s="63">
        <v>8088</v>
      </c>
      <c r="E88" s="63">
        <f t="shared" ref="E88:E108" si="3">SUM(C88:D88)</f>
        <v>8088</v>
      </c>
    </row>
    <row r="89" spans="1:5" x14ac:dyDescent="0.35">
      <c r="A89" s="454" t="s">
        <v>686</v>
      </c>
      <c r="B89" s="619"/>
      <c r="C89" s="63"/>
      <c r="D89" s="63">
        <v>2313</v>
      </c>
      <c r="E89" s="63">
        <f t="shared" si="3"/>
        <v>2313</v>
      </c>
    </row>
    <row r="90" spans="1:5" x14ac:dyDescent="0.35">
      <c r="A90" s="454" t="s">
        <v>493</v>
      </c>
      <c r="B90" s="619">
        <v>9278</v>
      </c>
      <c r="C90" s="63"/>
      <c r="D90" s="63"/>
      <c r="E90" s="63">
        <f t="shared" si="3"/>
        <v>0</v>
      </c>
    </row>
    <row r="91" spans="1:5" x14ac:dyDescent="0.35">
      <c r="A91" s="455" t="s">
        <v>445</v>
      </c>
      <c r="B91" s="619">
        <v>1687</v>
      </c>
      <c r="C91" s="63"/>
      <c r="D91" s="63">
        <v>13530</v>
      </c>
      <c r="E91" s="63">
        <f t="shared" si="3"/>
        <v>13530</v>
      </c>
    </row>
    <row r="92" spans="1:5" ht="42" x14ac:dyDescent="0.35">
      <c r="A92" s="454" t="s">
        <v>505</v>
      </c>
      <c r="B92" s="619">
        <v>1999</v>
      </c>
      <c r="C92" s="63"/>
      <c r="D92" s="63"/>
      <c r="E92" s="63">
        <f t="shared" si="3"/>
        <v>0</v>
      </c>
    </row>
    <row r="93" spans="1:5" x14ac:dyDescent="0.35">
      <c r="A93" s="454" t="s">
        <v>508</v>
      </c>
      <c r="B93" s="619">
        <v>2143</v>
      </c>
      <c r="C93" s="63"/>
      <c r="D93" s="63"/>
      <c r="E93" s="63">
        <f t="shared" si="3"/>
        <v>0</v>
      </c>
    </row>
    <row r="94" spans="1:5" x14ac:dyDescent="0.35">
      <c r="A94" s="454" t="s">
        <v>509</v>
      </c>
      <c r="B94" s="619">
        <v>562</v>
      </c>
      <c r="C94" s="63"/>
      <c r="D94" s="63">
        <v>4440</v>
      </c>
      <c r="E94" s="63">
        <f t="shared" si="3"/>
        <v>4440</v>
      </c>
    </row>
    <row r="95" spans="1:5" x14ac:dyDescent="0.35">
      <c r="A95" s="455" t="s">
        <v>440</v>
      </c>
      <c r="B95" s="619">
        <v>13856</v>
      </c>
      <c r="C95" s="63"/>
      <c r="D95" s="63">
        <v>6972</v>
      </c>
      <c r="E95" s="63">
        <f t="shared" si="3"/>
        <v>6972</v>
      </c>
    </row>
    <row r="96" spans="1:5" x14ac:dyDescent="0.35">
      <c r="A96" s="455" t="s">
        <v>598</v>
      </c>
      <c r="B96" s="619"/>
      <c r="C96" s="63"/>
      <c r="D96" s="63">
        <v>6681</v>
      </c>
      <c r="E96" s="63">
        <f t="shared" si="3"/>
        <v>6681</v>
      </c>
    </row>
    <row r="97" spans="1:5" ht="63" x14ac:dyDescent="0.35">
      <c r="A97" s="455" t="s">
        <v>599</v>
      </c>
      <c r="B97" s="619"/>
      <c r="C97" s="63"/>
      <c r="D97" s="63">
        <v>37585</v>
      </c>
      <c r="E97" s="63">
        <f t="shared" si="3"/>
        <v>37585</v>
      </c>
    </row>
    <row r="98" spans="1:5" x14ac:dyDescent="0.35">
      <c r="A98" s="455" t="s">
        <v>583</v>
      </c>
      <c r="B98" s="619">
        <v>605</v>
      </c>
      <c r="C98" s="63"/>
      <c r="D98" s="63">
        <v>1021</v>
      </c>
      <c r="E98" s="63">
        <f t="shared" si="3"/>
        <v>1021</v>
      </c>
    </row>
    <row r="99" spans="1:5" x14ac:dyDescent="0.35">
      <c r="A99" s="455" t="s">
        <v>600</v>
      </c>
      <c r="B99" s="619"/>
      <c r="C99" s="63"/>
      <c r="D99" s="63">
        <v>59209</v>
      </c>
      <c r="E99" s="63">
        <f t="shared" si="3"/>
        <v>59209</v>
      </c>
    </row>
    <row r="100" spans="1:5" x14ac:dyDescent="0.35">
      <c r="A100" s="455" t="s">
        <v>601</v>
      </c>
      <c r="B100" s="619"/>
      <c r="C100" s="63"/>
      <c r="D100" s="63">
        <v>3116</v>
      </c>
      <c r="E100" s="63">
        <f t="shared" si="3"/>
        <v>3116</v>
      </c>
    </row>
    <row r="101" spans="1:5" x14ac:dyDescent="0.35">
      <c r="A101" s="455" t="s">
        <v>585</v>
      </c>
      <c r="B101" s="619"/>
      <c r="C101" s="63"/>
      <c r="D101" s="63">
        <v>660352</v>
      </c>
      <c r="E101" s="63">
        <f t="shared" si="3"/>
        <v>660352</v>
      </c>
    </row>
    <row r="102" spans="1:5" ht="42" x14ac:dyDescent="0.35">
      <c r="A102" s="455" t="s">
        <v>586</v>
      </c>
      <c r="B102" s="619"/>
      <c r="C102" s="63"/>
      <c r="D102" s="63">
        <v>638723</v>
      </c>
      <c r="E102" s="63">
        <f t="shared" si="3"/>
        <v>638723</v>
      </c>
    </row>
    <row r="103" spans="1:5" ht="42" x14ac:dyDescent="0.35">
      <c r="A103" s="455" t="s">
        <v>587</v>
      </c>
      <c r="B103" s="619"/>
      <c r="C103" s="63"/>
      <c r="D103" s="63">
        <v>500925</v>
      </c>
      <c r="E103" s="63">
        <f t="shared" si="3"/>
        <v>500925</v>
      </c>
    </row>
    <row r="104" spans="1:5" x14ac:dyDescent="0.35">
      <c r="A104" s="455" t="s">
        <v>639</v>
      </c>
      <c r="B104" s="619"/>
      <c r="C104" s="63">
        <v>1732</v>
      </c>
      <c r="D104" s="63"/>
      <c r="E104" s="63">
        <f t="shared" si="3"/>
        <v>1732</v>
      </c>
    </row>
    <row r="105" spans="1:5" ht="42" x14ac:dyDescent="0.35">
      <c r="A105" s="455" t="s">
        <v>640</v>
      </c>
      <c r="B105" s="619"/>
      <c r="C105" s="63">
        <v>1000</v>
      </c>
      <c r="D105" s="63"/>
      <c r="E105" s="63">
        <f t="shared" si="3"/>
        <v>1000</v>
      </c>
    </row>
    <row r="106" spans="1:5" ht="42" x14ac:dyDescent="0.35">
      <c r="A106" s="455" t="s">
        <v>641</v>
      </c>
      <c r="B106" s="619"/>
      <c r="C106" s="63">
        <v>2050</v>
      </c>
      <c r="D106" s="63"/>
      <c r="E106" s="63">
        <f t="shared" si="3"/>
        <v>2050</v>
      </c>
    </row>
    <row r="107" spans="1:5" x14ac:dyDescent="0.35">
      <c r="A107" s="455" t="s">
        <v>642</v>
      </c>
      <c r="B107" s="619"/>
      <c r="C107" s="63">
        <v>1246</v>
      </c>
      <c r="D107" s="63"/>
      <c r="E107" s="63">
        <f t="shared" si="3"/>
        <v>1246</v>
      </c>
    </row>
    <row r="108" spans="1:5" x14ac:dyDescent="0.35">
      <c r="A108" s="455" t="s">
        <v>602</v>
      </c>
      <c r="B108" s="619">
        <v>347</v>
      </c>
      <c r="C108" s="63"/>
      <c r="D108" s="63">
        <v>182</v>
      </c>
      <c r="E108" s="63">
        <f t="shared" si="3"/>
        <v>182</v>
      </c>
    </row>
    <row r="109" spans="1:5" s="183" customFormat="1" ht="21.75" thickBot="1" x14ac:dyDescent="0.4">
      <c r="A109" s="441" t="s">
        <v>199</v>
      </c>
      <c r="B109" s="42">
        <f>SUM(B87:B108)</f>
        <v>44090</v>
      </c>
      <c r="C109" s="42">
        <f>SUM(C87:C108)</f>
        <v>1946775</v>
      </c>
      <c r="D109" s="42">
        <f>SUM(D87:D108)</f>
        <v>2390</v>
      </c>
      <c r="E109" s="42">
        <f>SUM(E87:E108)</f>
        <v>1949165</v>
      </c>
    </row>
    <row r="110" spans="1:5" s="183" customFormat="1" ht="21.75" thickBot="1" x14ac:dyDescent="0.4">
      <c r="A110" s="456" t="s">
        <v>116</v>
      </c>
      <c r="B110" s="75">
        <f>B14+B85+B109</f>
        <v>10386983</v>
      </c>
      <c r="C110" s="75">
        <f>C14+C85+C109</f>
        <v>9319775</v>
      </c>
      <c r="D110" s="75">
        <f>D14+D85+D109</f>
        <v>281415</v>
      </c>
      <c r="E110" s="75">
        <f>E14+E85+E109</f>
        <v>9601190</v>
      </c>
    </row>
    <row r="111" spans="1:5" s="458" customFormat="1" ht="44.25" customHeight="1" thickBot="1" x14ac:dyDescent="0.4">
      <c r="A111" s="457" t="s">
        <v>286</v>
      </c>
      <c r="B111" s="76">
        <f>B110+B8</f>
        <v>13719352</v>
      </c>
      <c r="C111" s="76">
        <f>C110+C8</f>
        <v>12726120</v>
      </c>
      <c r="D111" s="76">
        <f>D110+D8</f>
        <v>709321</v>
      </c>
      <c r="E111" s="76">
        <f>E110+E8</f>
        <v>13435441</v>
      </c>
    </row>
    <row r="112" spans="1:5" x14ac:dyDescent="0.35">
      <c r="E112" s="77"/>
    </row>
    <row r="113" spans="1:5" ht="21.75" thickBot="1" x14ac:dyDescent="0.4">
      <c r="A113" s="411" t="s">
        <v>80</v>
      </c>
      <c r="B113" s="591"/>
      <c r="C113" s="437"/>
      <c r="D113" s="437"/>
      <c r="E113" s="437"/>
    </row>
    <row r="114" spans="1:5" x14ac:dyDescent="0.35">
      <c r="A114" s="423" t="s">
        <v>155</v>
      </c>
      <c r="B114" s="185" t="s">
        <v>418</v>
      </c>
      <c r="C114" s="185" t="s">
        <v>439</v>
      </c>
      <c r="D114" s="185" t="s">
        <v>672</v>
      </c>
      <c r="E114" s="185" t="s">
        <v>671</v>
      </c>
    </row>
    <row r="115" spans="1:5" ht="21.75" thickBot="1" x14ac:dyDescent="0.4">
      <c r="A115" s="460"/>
      <c r="B115" s="188" t="s">
        <v>674</v>
      </c>
      <c r="C115" s="370" t="s">
        <v>331</v>
      </c>
      <c r="D115" s="370" t="s">
        <v>673</v>
      </c>
      <c r="E115" s="370" t="s">
        <v>344</v>
      </c>
    </row>
    <row r="116" spans="1:5" x14ac:dyDescent="0.35">
      <c r="A116" s="461" t="s">
        <v>472</v>
      </c>
      <c r="B116" s="620">
        <v>7139</v>
      </c>
      <c r="C116" s="164">
        <v>0</v>
      </c>
      <c r="D116" s="164">
        <f>593+13978</f>
        <v>14571</v>
      </c>
      <c r="E116" s="164">
        <f>SUM(C116:D116)</f>
        <v>14571</v>
      </c>
    </row>
    <row r="117" spans="1:5" ht="21.75" thickBot="1" x14ac:dyDescent="0.4">
      <c r="A117" s="447" t="s">
        <v>4</v>
      </c>
      <c r="B117" s="63">
        <v>84434</v>
      </c>
      <c r="C117" s="63">
        <f>75200+19955</f>
        <v>95155</v>
      </c>
      <c r="D117" s="63">
        <v>7620</v>
      </c>
      <c r="E117" s="63">
        <f>SUM(C117:D117)</f>
        <v>102775</v>
      </c>
    </row>
    <row r="118" spans="1:5" s="183" customFormat="1" ht="42.75" customHeight="1" thickBot="1" x14ac:dyDescent="0.4">
      <c r="A118" s="462" t="s">
        <v>285</v>
      </c>
      <c r="B118" s="70">
        <f>B116+B117</f>
        <v>91573</v>
      </c>
      <c r="C118" s="70">
        <f>C116+C117</f>
        <v>95155</v>
      </c>
      <c r="D118" s="70">
        <f>D116+D117</f>
        <v>22191</v>
      </c>
      <c r="E118" s="70">
        <f>E116+E117</f>
        <v>117346</v>
      </c>
    </row>
    <row r="119" spans="1:5" ht="21.75" thickBot="1" x14ac:dyDescent="0.4">
      <c r="A119" s="463"/>
      <c r="B119" s="168"/>
      <c r="E119" s="77"/>
    </row>
    <row r="120" spans="1:5" s="183" customFormat="1" ht="41.25" customHeight="1" thickBot="1" x14ac:dyDescent="0.4">
      <c r="A120" s="462" t="s">
        <v>287</v>
      </c>
      <c r="B120" s="70">
        <f>B111+B118</f>
        <v>13810925</v>
      </c>
      <c r="C120" s="70">
        <f>C111+C118</f>
        <v>12821275</v>
      </c>
      <c r="D120" s="70">
        <f>D111+D118</f>
        <v>731512</v>
      </c>
      <c r="E120" s="70">
        <f>E111+E118</f>
        <v>13552787</v>
      </c>
    </row>
    <row r="122" spans="1:5" x14ac:dyDescent="0.35">
      <c r="A122" s="459" t="s">
        <v>72</v>
      </c>
      <c r="E122" s="427"/>
    </row>
    <row r="123" spans="1:5" x14ac:dyDescent="0.35">
      <c r="A123" s="459" t="s">
        <v>73</v>
      </c>
    </row>
  </sheetData>
  <customSheetViews>
    <customSheetView guid="{6D4B996F-8915-4E78-98C2-E7EAE9C4580C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1"/>
      <headerFooter alignWithMargins="0">
        <oddHeader>&amp;L&amp;F   &amp;A&amp;RM.III.7. sz. melléklet</oddHeader>
      </headerFooter>
    </customSheetView>
    <customSheetView guid="{186732C5-520C-4E06-B066-B4F3F0A3E322}" scale="75" showRuler="0" topLeftCell="A49">
      <selection activeCell="B69" sqref="B69"/>
      <pageMargins left="0.39370078740157483" right="0.39370078740157483" top="0.39370078740157483" bottom="0.39370078740157483" header="0.11811023622047245" footer="0.11811023622047245"/>
      <printOptions horizontalCentered="1" verticalCentered="1"/>
      <pageSetup paperSize="9" scale="59" orientation="portrait" horizontalDpi="300" verticalDpi="300" r:id="rId2"/>
      <headerFooter alignWithMargins="0">
        <oddHeader>&amp;L&amp;F   &amp;A&amp;RM.III.7.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39370078740157483" right="0.39370078740157483" top="0" bottom="0" header="0" footer="0.51181102362204722"/>
  <pageSetup paperSize="9" scale="34" orientation="portrait" r:id="rId3"/>
  <headerFooter alignWithMargins="0">
    <oddHeader xml:space="preserve">&amp;R&amp;"-,Félkövér"&amp;12 
13. melléklet a ....../2026. (........) önkormányzati rendelethe&amp;"Times New Roman CE,Félkövér"z
"13. melléklet a 3/2026.(II.27.) önkormányzati rendelethez"
</oddHeader>
  </headerFooter>
  <rowBreaks count="1" manualBreakCount="1">
    <brk id="62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6"/>
  <sheetViews>
    <sheetView zoomScale="89" zoomScaleNormal="89" workbookViewId="0">
      <selection activeCell="D19" sqref="D19"/>
    </sheetView>
  </sheetViews>
  <sheetFormatPr defaultColWidth="9.33203125" defaultRowHeight="21" x14ac:dyDescent="0.35"/>
  <cols>
    <col min="1" max="1" width="88.6640625" style="2" customWidth="1"/>
    <col min="2" max="2" width="40.33203125" style="2" customWidth="1"/>
    <col min="3" max="3" width="39.6640625" style="2" customWidth="1"/>
    <col min="4" max="4" width="39.1640625" style="2" customWidth="1"/>
    <col min="5" max="5" width="44.5" style="2" customWidth="1"/>
    <col min="6" max="6" width="11.33203125" style="2" bestFit="1" customWidth="1"/>
    <col min="7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882" t="s">
        <v>536</v>
      </c>
      <c r="B2" s="882"/>
      <c r="C2" s="882"/>
      <c r="D2" s="882"/>
      <c r="E2" s="882"/>
    </row>
    <row r="3" spans="1:5" x14ac:dyDescent="0.35">
      <c r="A3" s="45" t="s">
        <v>12</v>
      </c>
      <c r="B3" s="45"/>
      <c r="C3" s="45"/>
      <c r="D3" s="45"/>
      <c r="E3" s="45"/>
    </row>
    <row r="4" spans="1:5" ht="21.75" thickBot="1" x14ac:dyDescent="0.4">
      <c r="E4" s="308" t="s">
        <v>201</v>
      </c>
    </row>
    <row r="5" spans="1:5" x14ac:dyDescent="0.35">
      <c r="A5" s="37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79"/>
      <c r="B6" s="188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464" t="s">
        <v>535</v>
      </c>
      <c r="B7" s="621">
        <v>18263</v>
      </c>
      <c r="C7" s="40">
        <f>18500+2000</f>
        <v>20500</v>
      </c>
      <c r="D7" s="40">
        <v>7618</v>
      </c>
      <c r="E7" s="40">
        <f>SUM(C7:D7)</f>
        <v>28118</v>
      </c>
    </row>
    <row r="8" spans="1:5" x14ac:dyDescent="0.35">
      <c r="A8" s="430" t="s">
        <v>412</v>
      </c>
      <c r="B8" s="622">
        <v>4000</v>
      </c>
      <c r="C8" s="6">
        <f>4000+2000</f>
        <v>6000</v>
      </c>
      <c r="D8" s="6"/>
      <c r="E8" s="6">
        <f t="shared" ref="E8:E25" si="0">SUM(C8:D8)</f>
        <v>6000</v>
      </c>
    </row>
    <row r="9" spans="1:5" x14ac:dyDescent="0.35">
      <c r="A9" s="430" t="s">
        <v>651</v>
      </c>
      <c r="B9" s="63">
        <v>15700</v>
      </c>
      <c r="C9" s="4">
        <v>9200</v>
      </c>
      <c r="D9" s="4"/>
      <c r="E9" s="4">
        <f t="shared" si="0"/>
        <v>9200</v>
      </c>
    </row>
    <row r="10" spans="1:5" x14ac:dyDescent="0.35">
      <c r="A10" s="389" t="s">
        <v>534</v>
      </c>
      <c r="B10" s="5">
        <v>560000</v>
      </c>
      <c r="C10" s="4">
        <v>420000</v>
      </c>
      <c r="D10" s="4"/>
      <c r="E10" s="4">
        <f t="shared" si="0"/>
        <v>420000</v>
      </c>
    </row>
    <row r="11" spans="1:5" ht="42.6" customHeight="1" x14ac:dyDescent="0.35">
      <c r="A11" s="430" t="s">
        <v>533</v>
      </c>
      <c r="B11" s="622">
        <v>297000</v>
      </c>
      <c r="C11" s="6">
        <f>297000-15000</f>
        <v>282000</v>
      </c>
      <c r="D11" s="6"/>
      <c r="E11" s="6">
        <f t="shared" si="0"/>
        <v>282000</v>
      </c>
    </row>
    <row r="12" spans="1:5" x14ac:dyDescent="0.35">
      <c r="A12" s="465" t="s">
        <v>265</v>
      </c>
      <c r="B12" s="5">
        <v>40000</v>
      </c>
      <c r="C12" s="4">
        <f>40000-20000</f>
        <v>20000</v>
      </c>
      <c r="D12" s="4"/>
      <c r="E12" s="4">
        <f t="shared" si="0"/>
        <v>20000</v>
      </c>
    </row>
    <row r="13" spans="1:5" x14ac:dyDescent="0.35">
      <c r="A13" s="375" t="s">
        <v>379</v>
      </c>
      <c r="B13" s="7">
        <v>55500</v>
      </c>
      <c r="C13" s="6">
        <v>55500</v>
      </c>
      <c r="D13" s="6">
        <v>2000</v>
      </c>
      <c r="E13" s="6">
        <f t="shared" si="0"/>
        <v>57500</v>
      </c>
    </row>
    <row r="14" spans="1:5" x14ac:dyDescent="0.35">
      <c r="A14" s="375" t="s">
        <v>538</v>
      </c>
      <c r="B14" s="7">
        <v>98000</v>
      </c>
      <c r="C14" s="6">
        <f>50000+50000</f>
        <v>100000</v>
      </c>
      <c r="D14" s="6"/>
      <c r="E14" s="6">
        <f t="shared" si="0"/>
        <v>100000</v>
      </c>
    </row>
    <row r="15" spans="1:5" ht="42" x14ac:dyDescent="0.35">
      <c r="A15" s="375" t="s">
        <v>532</v>
      </c>
      <c r="B15" s="7">
        <v>8268</v>
      </c>
      <c r="C15" s="6">
        <v>8268</v>
      </c>
      <c r="D15" s="6"/>
      <c r="E15" s="6">
        <f t="shared" si="0"/>
        <v>8268</v>
      </c>
    </row>
    <row r="16" spans="1:5" ht="42" x14ac:dyDescent="0.35">
      <c r="A16" s="375" t="s">
        <v>531</v>
      </c>
      <c r="B16" s="7">
        <v>8220</v>
      </c>
      <c r="C16" s="6">
        <v>8220</v>
      </c>
      <c r="D16" s="6"/>
      <c r="E16" s="6">
        <f t="shared" si="0"/>
        <v>8220</v>
      </c>
    </row>
    <row r="17" spans="1:5" ht="42" x14ac:dyDescent="0.35">
      <c r="A17" s="375" t="s">
        <v>408</v>
      </c>
      <c r="B17" s="52">
        <v>1307</v>
      </c>
      <c r="C17" s="9">
        <v>200</v>
      </c>
      <c r="D17" s="9">
        <v>412</v>
      </c>
      <c r="E17" s="9">
        <f t="shared" si="0"/>
        <v>612</v>
      </c>
    </row>
    <row r="18" spans="1:5" x14ac:dyDescent="0.35">
      <c r="A18" s="375" t="s">
        <v>530</v>
      </c>
      <c r="B18" s="52">
        <v>5000</v>
      </c>
      <c r="C18" s="9">
        <f>5000+5000</f>
        <v>10000</v>
      </c>
      <c r="D18" s="9"/>
      <c r="E18" s="9">
        <f t="shared" si="0"/>
        <v>10000</v>
      </c>
    </row>
    <row r="19" spans="1:5" x14ac:dyDescent="0.35">
      <c r="A19" s="394" t="s">
        <v>529</v>
      </c>
      <c r="B19" s="7">
        <v>1138</v>
      </c>
      <c r="C19" s="6">
        <v>1089</v>
      </c>
      <c r="D19" s="6">
        <v>52</v>
      </c>
      <c r="E19" s="6">
        <f t="shared" si="0"/>
        <v>1141</v>
      </c>
    </row>
    <row r="20" spans="1:5" x14ac:dyDescent="0.35">
      <c r="A20" s="394" t="s">
        <v>513</v>
      </c>
      <c r="B20" s="7">
        <v>7000</v>
      </c>
      <c r="C20" s="6">
        <v>0</v>
      </c>
      <c r="D20" s="6"/>
      <c r="E20" s="6">
        <f t="shared" si="0"/>
        <v>0</v>
      </c>
    </row>
    <row r="21" spans="1:5" x14ac:dyDescent="0.35">
      <c r="A21" s="394" t="s">
        <v>539</v>
      </c>
      <c r="B21" s="7">
        <v>83000</v>
      </c>
      <c r="C21" s="6">
        <v>20000</v>
      </c>
      <c r="D21" s="6"/>
      <c r="E21" s="6">
        <f t="shared" si="0"/>
        <v>20000</v>
      </c>
    </row>
    <row r="22" spans="1:5" x14ac:dyDescent="0.35">
      <c r="A22" s="394" t="s">
        <v>433</v>
      </c>
      <c r="B22" s="7">
        <v>1000</v>
      </c>
      <c r="C22" s="6">
        <f>1000-1000+1000</f>
        <v>1000</v>
      </c>
      <c r="D22" s="6"/>
      <c r="E22" s="6">
        <f t="shared" si="0"/>
        <v>1000</v>
      </c>
    </row>
    <row r="23" spans="1:5" x14ac:dyDescent="0.35">
      <c r="A23" s="394" t="s">
        <v>661</v>
      </c>
      <c r="B23" s="7"/>
      <c r="C23" s="6">
        <v>4000</v>
      </c>
      <c r="D23" s="6"/>
      <c r="E23" s="6">
        <f t="shared" si="0"/>
        <v>4000</v>
      </c>
    </row>
    <row r="24" spans="1:5" x14ac:dyDescent="0.35">
      <c r="A24" s="394" t="s">
        <v>699</v>
      </c>
      <c r="B24" s="7"/>
      <c r="C24" s="6"/>
      <c r="D24" s="6">
        <v>500</v>
      </c>
      <c r="E24" s="6">
        <f t="shared" si="0"/>
        <v>500</v>
      </c>
    </row>
    <row r="25" spans="1:5" ht="21.75" thickBot="1" x14ac:dyDescent="0.4">
      <c r="A25" s="394" t="s">
        <v>553</v>
      </c>
      <c r="B25" s="7">
        <v>19000</v>
      </c>
      <c r="C25" s="6">
        <v>19000</v>
      </c>
      <c r="D25" s="6"/>
      <c r="E25" s="6">
        <f t="shared" si="0"/>
        <v>19000</v>
      </c>
    </row>
    <row r="26" spans="1:5" ht="21.75" thickBot="1" x14ac:dyDescent="0.4">
      <c r="A26" s="381" t="s">
        <v>528</v>
      </c>
      <c r="B26" s="11">
        <f>SUM(B7:B25)</f>
        <v>1222396</v>
      </c>
      <c r="C26" s="15">
        <f>SUM(C7:C25)</f>
        <v>984977</v>
      </c>
      <c r="D26" s="15">
        <f>SUM(D7:D25)</f>
        <v>10582</v>
      </c>
      <c r="E26" s="15">
        <f>SUM(E7:E25)</f>
        <v>995559</v>
      </c>
    </row>
    <row r="28" spans="1:5" x14ac:dyDescent="0.35">
      <c r="A28" s="45" t="s">
        <v>72</v>
      </c>
      <c r="B28" s="45"/>
      <c r="C28" s="45"/>
      <c r="D28" s="45"/>
      <c r="E28" s="382"/>
    </row>
    <row r="29" spans="1:5" x14ac:dyDescent="0.35">
      <c r="A29" s="45" t="s">
        <v>73</v>
      </c>
      <c r="B29" s="45"/>
      <c r="C29" s="45"/>
      <c r="D29" s="45"/>
      <c r="E29" s="45"/>
    </row>
    <row r="31" spans="1:5" x14ac:dyDescent="0.35">
      <c r="E31" s="3"/>
    </row>
    <row r="32" spans="1:5" x14ac:dyDescent="0.35">
      <c r="E32" s="3"/>
    </row>
    <row r="33" spans="5:5" x14ac:dyDescent="0.35">
      <c r="E33" s="3"/>
    </row>
    <row r="34" spans="5:5" x14ac:dyDescent="0.35">
      <c r="E34" s="3"/>
    </row>
    <row r="35" spans="5:5" x14ac:dyDescent="0.35">
      <c r="E35" s="17"/>
    </row>
    <row r="36" spans="5:5" x14ac:dyDescent="0.35">
      <c r="E36" s="3"/>
    </row>
    <row r="37" spans="5:5" x14ac:dyDescent="0.35">
      <c r="E37" s="3"/>
    </row>
    <row r="38" spans="5:5" x14ac:dyDescent="0.35">
      <c r="E38" s="3"/>
    </row>
    <row r="39" spans="5:5" x14ac:dyDescent="0.35">
      <c r="E39" s="3"/>
    </row>
    <row r="42" spans="5:5" x14ac:dyDescent="0.35">
      <c r="E42" s="3"/>
    </row>
    <row r="46" spans="5:5" x14ac:dyDescent="0.35">
      <c r="E46" s="466"/>
    </row>
  </sheetData>
  <mergeCells count="1">
    <mergeCell ref="A2:E2"/>
  </mergeCells>
  <printOptions horizontalCentered="1" verticalCentered="1"/>
  <pageMargins left="0.59055118110236227" right="0.59055118110236227" top="0" bottom="0" header="0.51181102362204722" footer="0.51181102362204722"/>
  <pageSetup paperSize="9" scale="47" orientation="portrait" r:id="rId1"/>
  <headerFooter alignWithMargins="0">
    <oddHeader xml:space="preserve">&amp;R&amp;"-,Félkövér"&amp;12 14. melléklet a ...../2026. (.......) önkormányzati rendelethez
"14. melléklet a 3/2026.(II.27.) önkormányzati rendelethez"
&amp;"Times New Roman CE,Félkövér"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18"/>
  <dimension ref="A1:N41"/>
  <sheetViews>
    <sheetView zoomScale="87" zoomScaleNormal="87" workbookViewId="0">
      <selection activeCell="A42" sqref="A42:XFD52"/>
    </sheetView>
  </sheetViews>
  <sheetFormatPr defaultColWidth="9.33203125" defaultRowHeight="21" x14ac:dyDescent="0.35"/>
  <cols>
    <col min="1" max="1" width="141.33203125" style="2" bestFit="1" customWidth="1"/>
    <col min="2" max="2" width="45.5" style="2" customWidth="1"/>
    <col min="3" max="3" width="38.83203125" style="2" customWidth="1"/>
    <col min="4" max="4" width="39.1640625" style="2" customWidth="1"/>
    <col min="5" max="5" width="44.6640625" style="2" customWidth="1"/>
    <col min="6" max="13" width="9.33203125" style="2"/>
    <col min="14" max="14" width="38" style="3" customWidth="1"/>
    <col min="15" max="16384" width="9.33203125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882" t="s">
        <v>88</v>
      </c>
      <c r="B2" s="882"/>
      <c r="C2" s="882"/>
      <c r="D2" s="882"/>
      <c r="E2" s="882"/>
    </row>
    <row r="3" spans="1:5" x14ac:dyDescent="0.35">
      <c r="C3" s="182"/>
      <c r="D3" s="182"/>
      <c r="E3" s="182"/>
    </row>
    <row r="4" spans="1:5" ht="21.75" thickBot="1" x14ac:dyDescent="0.4">
      <c r="A4" s="306"/>
      <c r="E4" s="467" t="s">
        <v>201</v>
      </c>
    </row>
    <row r="5" spans="1:5" x14ac:dyDescent="0.35">
      <c r="A5" s="37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79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ht="21.75" thickBot="1" x14ac:dyDescent="0.4">
      <c r="A7" s="664" t="s">
        <v>568</v>
      </c>
      <c r="B7" s="663"/>
      <c r="C7" s="661">
        <v>513503</v>
      </c>
      <c r="D7" s="661">
        <f>13416+3000</f>
        <v>16416</v>
      </c>
      <c r="E7" s="661">
        <f>SUM(C7:D7)</f>
        <v>529919</v>
      </c>
    </row>
    <row r="8" spans="1:5" x14ac:dyDescent="0.35">
      <c r="A8" s="662" t="s">
        <v>347</v>
      </c>
      <c r="B8" s="623">
        <v>318345</v>
      </c>
      <c r="C8" s="79">
        <f>300000+40000</f>
        <v>340000</v>
      </c>
      <c r="D8" s="79">
        <v>56566</v>
      </c>
      <c r="E8" s="79">
        <f>SUM(C8:D8)</f>
        <v>396566</v>
      </c>
    </row>
    <row r="9" spans="1:5" x14ac:dyDescent="0.35">
      <c r="A9" s="468" t="s">
        <v>403</v>
      </c>
      <c r="B9" s="623"/>
      <c r="C9" s="79">
        <f>1414000+100000+73651</f>
        <v>1587651</v>
      </c>
      <c r="D9" s="79">
        <v>12289</v>
      </c>
      <c r="E9" s="79">
        <f t="shared" ref="E9:E29" si="0">SUM(C9:D9)</f>
        <v>1599940</v>
      </c>
    </row>
    <row r="10" spans="1:5" x14ac:dyDescent="0.35">
      <c r="A10" s="468" t="s">
        <v>527</v>
      </c>
      <c r="B10" s="623">
        <v>555565</v>
      </c>
      <c r="C10" s="79">
        <v>500000</v>
      </c>
      <c r="D10" s="79">
        <v>17000</v>
      </c>
      <c r="E10" s="79">
        <f t="shared" si="0"/>
        <v>517000</v>
      </c>
    </row>
    <row r="11" spans="1:5" x14ac:dyDescent="0.35">
      <c r="A11" s="468" t="s">
        <v>297</v>
      </c>
      <c r="B11" s="623">
        <v>8782</v>
      </c>
      <c r="C11" s="79">
        <v>5000</v>
      </c>
      <c r="D11" s="79">
        <v>1203</v>
      </c>
      <c r="E11" s="79">
        <f t="shared" si="0"/>
        <v>6203</v>
      </c>
    </row>
    <row r="12" spans="1:5" x14ac:dyDescent="0.35">
      <c r="A12" s="468" t="s">
        <v>74</v>
      </c>
      <c r="B12" s="623"/>
      <c r="C12" s="79">
        <v>0</v>
      </c>
      <c r="D12" s="79">
        <v>3933</v>
      </c>
      <c r="E12" s="79">
        <f t="shared" si="0"/>
        <v>3933</v>
      </c>
    </row>
    <row r="13" spans="1:5" x14ac:dyDescent="0.35">
      <c r="A13" s="468" t="s">
        <v>380</v>
      </c>
      <c r="B13" s="623">
        <v>609162</v>
      </c>
      <c r="C13" s="79">
        <f>550000-550000</f>
        <v>0</v>
      </c>
      <c r="D13" s="79"/>
      <c r="E13" s="79">
        <f t="shared" si="0"/>
        <v>0</v>
      </c>
    </row>
    <row r="14" spans="1:5" x14ac:dyDescent="0.35">
      <c r="A14" s="469" t="s">
        <v>455</v>
      </c>
      <c r="B14" s="624">
        <v>5998</v>
      </c>
      <c r="C14" s="24">
        <v>11000</v>
      </c>
      <c r="D14" s="24">
        <v>1982</v>
      </c>
      <c r="E14" s="24">
        <f t="shared" si="0"/>
        <v>12982</v>
      </c>
    </row>
    <row r="15" spans="1:5" x14ac:dyDescent="0.35">
      <c r="A15" s="371" t="s">
        <v>648</v>
      </c>
      <c r="B15" s="623">
        <v>877</v>
      </c>
      <c r="C15" s="79">
        <f>1200+2800</f>
        <v>4000</v>
      </c>
      <c r="D15" s="79">
        <v>1842</v>
      </c>
      <c r="E15" s="79">
        <f t="shared" si="0"/>
        <v>5842</v>
      </c>
    </row>
    <row r="16" spans="1:5" x14ac:dyDescent="0.35">
      <c r="A16" s="371" t="s">
        <v>82</v>
      </c>
      <c r="B16" s="623">
        <v>6135</v>
      </c>
      <c r="C16" s="79">
        <v>2600</v>
      </c>
      <c r="D16" s="79">
        <v>1001</v>
      </c>
      <c r="E16" s="79">
        <f t="shared" si="0"/>
        <v>3601</v>
      </c>
    </row>
    <row r="17" spans="1:5" x14ac:dyDescent="0.35">
      <c r="A17" s="371" t="s">
        <v>113</v>
      </c>
      <c r="B17" s="623">
        <v>2424</v>
      </c>
      <c r="C17" s="79">
        <v>3000</v>
      </c>
      <c r="D17" s="79">
        <v>2000</v>
      </c>
      <c r="E17" s="79">
        <f t="shared" si="0"/>
        <v>5000</v>
      </c>
    </row>
    <row r="18" spans="1:5" x14ac:dyDescent="0.35">
      <c r="A18" s="371" t="s">
        <v>336</v>
      </c>
      <c r="B18" s="623">
        <v>8691</v>
      </c>
      <c r="C18" s="79">
        <v>6500</v>
      </c>
      <c r="D18" s="79">
        <v>246</v>
      </c>
      <c r="E18" s="79">
        <f t="shared" si="0"/>
        <v>6746</v>
      </c>
    </row>
    <row r="19" spans="1:5" x14ac:dyDescent="0.35">
      <c r="A19" s="371" t="s">
        <v>182</v>
      </c>
      <c r="B19" s="623">
        <v>349</v>
      </c>
      <c r="C19" s="79">
        <v>4000</v>
      </c>
      <c r="D19" s="79"/>
      <c r="E19" s="79">
        <f t="shared" si="0"/>
        <v>4000</v>
      </c>
    </row>
    <row r="20" spans="1:5" x14ac:dyDescent="0.35">
      <c r="A20" s="66" t="s">
        <v>704</v>
      </c>
      <c r="B20" s="624"/>
      <c r="C20" s="24"/>
      <c r="D20" s="24">
        <v>800</v>
      </c>
      <c r="E20" s="24">
        <f t="shared" si="0"/>
        <v>800</v>
      </c>
    </row>
    <row r="21" spans="1:5" x14ac:dyDescent="0.35">
      <c r="A21" s="371" t="s">
        <v>42</v>
      </c>
      <c r="B21" s="623">
        <v>73051</v>
      </c>
      <c r="C21" s="79">
        <v>66000</v>
      </c>
      <c r="D21" s="79">
        <f>17754+7000</f>
        <v>24754</v>
      </c>
      <c r="E21" s="79">
        <f t="shared" si="0"/>
        <v>90754</v>
      </c>
    </row>
    <row r="22" spans="1:5" x14ac:dyDescent="0.35">
      <c r="A22" s="66" t="s">
        <v>603</v>
      </c>
      <c r="B22" s="624">
        <v>109244</v>
      </c>
      <c r="C22" s="24"/>
      <c r="D22" s="24">
        <v>12803</v>
      </c>
      <c r="E22" s="24">
        <f t="shared" si="0"/>
        <v>12803</v>
      </c>
    </row>
    <row r="23" spans="1:5" ht="49.5" customHeight="1" x14ac:dyDescent="0.35">
      <c r="A23" s="374" t="s">
        <v>497</v>
      </c>
      <c r="B23" s="624">
        <v>28632</v>
      </c>
      <c r="C23" s="24">
        <v>28632</v>
      </c>
      <c r="D23" s="24"/>
      <c r="E23" s="24">
        <f t="shared" si="0"/>
        <v>28632</v>
      </c>
    </row>
    <row r="24" spans="1:5" ht="21.75" thickBot="1" x14ac:dyDescent="0.4">
      <c r="A24" s="374" t="s">
        <v>691</v>
      </c>
      <c r="B24" s="624"/>
      <c r="C24" s="24"/>
      <c r="D24" s="24">
        <v>209</v>
      </c>
      <c r="E24" s="24">
        <f t="shared" si="0"/>
        <v>209</v>
      </c>
    </row>
    <row r="25" spans="1:5" ht="21.75" thickBot="1" x14ac:dyDescent="0.4">
      <c r="A25" s="470" t="s">
        <v>89</v>
      </c>
      <c r="B25" s="11">
        <f>SUM(B8:B24)</f>
        <v>1727255</v>
      </c>
      <c r="C25" s="11">
        <f>SUM(C8:C24)</f>
        <v>2558383</v>
      </c>
      <c r="D25" s="11">
        <f>SUM(D8:D24)</f>
        <v>136628</v>
      </c>
      <c r="E25" s="11">
        <f>SUM(E8:E24)</f>
        <v>2695011</v>
      </c>
    </row>
    <row r="26" spans="1:5" x14ac:dyDescent="0.35">
      <c r="A26" s="149" t="s">
        <v>90</v>
      </c>
      <c r="B26" s="625">
        <v>1217</v>
      </c>
      <c r="C26" s="80">
        <v>1000</v>
      </c>
      <c r="D26" s="80">
        <v>113</v>
      </c>
      <c r="E26" s="80">
        <f t="shared" si="0"/>
        <v>1113</v>
      </c>
    </row>
    <row r="27" spans="1:5" x14ac:dyDescent="0.35">
      <c r="A27" s="374" t="s">
        <v>456</v>
      </c>
      <c r="B27" s="626">
        <v>5283</v>
      </c>
      <c r="C27" s="25">
        <v>5000</v>
      </c>
      <c r="D27" s="24">
        <f>4714+695</f>
        <v>5409</v>
      </c>
      <c r="E27" s="24">
        <f t="shared" si="0"/>
        <v>10409</v>
      </c>
    </row>
    <row r="28" spans="1:5" x14ac:dyDescent="0.35">
      <c r="A28" s="374" t="s">
        <v>249</v>
      </c>
      <c r="B28" s="627"/>
      <c r="C28" s="36">
        <v>1900</v>
      </c>
      <c r="D28" s="24"/>
      <c r="E28" s="24">
        <f t="shared" si="0"/>
        <v>1900</v>
      </c>
    </row>
    <row r="29" spans="1:5" ht="21.75" thickBot="1" x14ac:dyDescent="0.4">
      <c r="A29" s="471" t="s">
        <v>498</v>
      </c>
      <c r="B29" s="627">
        <v>2915</v>
      </c>
      <c r="C29" s="36"/>
      <c r="D29" s="27"/>
      <c r="E29" s="27">
        <f t="shared" si="0"/>
        <v>0</v>
      </c>
    </row>
    <row r="30" spans="1:5" ht="21.75" thickBot="1" x14ac:dyDescent="0.4">
      <c r="A30" s="470" t="s">
        <v>690</v>
      </c>
      <c r="B30" s="11">
        <f>SUM(B26:B29)</f>
        <v>9415</v>
      </c>
      <c r="C30" s="11">
        <f t="shared" ref="C30:E30" si="1">SUM(C26:C29)</f>
        <v>7900</v>
      </c>
      <c r="D30" s="11">
        <f t="shared" si="1"/>
        <v>5522</v>
      </c>
      <c r="E30" s="11">
        <f t="shared" si="1"/>
        <v>13422</v>
      </c>
    </row>
    <row r="31" spans="1:5" ht="56.25" customHeight="1" thickBot="1" x14ac:dyDescent="0.4">
      <c r="A31" s="462" t="s">
        <v>694</v>
      </c>
      <c r="B31" s="11">
        <f>B7+B25+B30</f>
        <v>1736670</v>
      </c>
      <c r="C31" s="11">
        <f>C7+C25+C30</f>
        <v>3079786</v>
      </c>
      <c r="D31" s="11">
        <f>D7+D25+D30</f>
        <v>158566</v>
      </c>
      <c r="E31" s="11">
        <f>E7+E25+E30</f>
        <v>3238352</v>
      </c>
    </row>
    <row r="33" spans="1:14" ht="21.75" thickBot="1" x14ac:dyDescent="0.4">
      <c r="A33" s="316" t="s">
        <v>80</v>
      </c>
      <c r="B33" s="19"/>
      <c r="C33" s="316"/>
      <c r="D33" s="316"/>
      <c r="E33" s="316"/>
      <c r="N33" s="2"/>
    </row>
    <row r="34" spans="1:14" x14ac:dyDescent="0.35">
      <c r="A34" s="378" t="s">
        <v>155</v>
      </c>
      <c r="B34" s="185" t="s">
        <v>418</v>
      </c>
      <c r="C34" s="185" t="s">
        <v>439</v>
      </c>
      <c r="D34" s="185" t="s">
        <v>672</v>
      </c>
      <c r="E34" s="185" t="s">
        <v>671</v>
      </c>
      <c r="N34" s="2"/>
    </row>
    <row r="35" spans="1:14" ht="21.75" thickBot="1" x14ac:dyDescent="0.4">
      <c r="A35" s="379"/>
      <c r="B35" s="188" t="s">
        <v>674</v>
      </c>
      <c r="C35" s="188" t="s">
        <v>331</v>
      </c>
      <c r="D35" s="188" t="s">
        <v>673</v>
      </c>
      <c r="E35" s="188" t="s">
        <v>344</v>
      </c>
      <c r="N35" s="2"/>
    </row>
    <row r="36" spans="1:14" ht="21.75" thickBot="1" x14ac:dyDescent="0.4">
      <c r="A36" s="373" t="s">
        <v>568</v>
      </c>
      <c r="B36" s="660"/>
      <c r="C36" s="661"/>
      <c r="D36" s="661">
        <v>1000</v>
      </c>
      <c r="E36" s="661">
        <f>SUM(C36:D36)</f>
        <v>1000</v>
      </c>
      <c r="N36" s="2"/>
    </row>
    <row r="37" spans="1:14" ht="21.75" thickBot="1" x14ac:dyDescent="0.4">
      <c r="A37" s="313"/>
      <c r="B37" s="593"/>
      <c r="C37" s="45"/>
      <c r="D37" s="17"/>
      <c r="E37" s="17"/>
      <c r="N37" s="2"/>
    </row>
    <row r="38" spans="1:14" ht="21.75" thickBot="1" x14ac:dyDescent="0.4">
      <c r="A38" s="462" t="s">
        <v>288</v>
      </c>
      <c r="B38" s="615">
        <f>B31+B36</f>
        <v>1736670</v>
      </c>
      <c r="C38" s="615">
        <f t="shared" ref="C38:E38" si="2">C31+C36</f>
        <v>3079786</v>
      </c>
      <c r="D38" s="615">
        <f t="shared" si="2"/>
        <v>159566</v>
      </c>
      <c r="E38" s="615">
        <f t="shared" si="2"/>
        <v>3239352</v>
      </c>
      <c r="N38" s="2"/>
    </row>
    <row r="39" spans="1:14" x14ac:dyDescent="0.35">
      <c r="N39" s="2"/>
    </row>
    <row r="40" spans="1:14" x14ac:dyDescent="0.35">
      <c r="A40" s="45" t="s">
        <v>72</v>
      </c>
      <c r="B40" s="45"/>
      <c r="C40" s="45"/>
      <c r="D40" s="45"/>
      <c r="E40" s="436"/>
      <c r="N40" s="2"/>
    </row>
    <row r="41" spans="1:14" x14ac:dyDescent="0.35">
      <c r="A41" s="45" t="s">
        <v>73</v>
      </c>
      <c r="B41" s="45"/>
      <c r="C41" s="45"/>
      <c r="D41" s="45"/>
      <c r="E41" s="45"/>
      <c r="N41" s="2"/>
    </row>
  </sheetData>
  <customSheetViews>
    <customSheetView guid="{6D4B996F-8915-4E78-98C2-E7EAE9C4580C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1"/>
      <headerFooter alignWithMargins="0">
        <oddHeader>&amp;L&amp;F   &amp;A&amp;R&amp;"Times New Roman CE,Félkövér"&amp;16M.III/11.sz.melléklet</oddHeader>
      </headerFooter>
    </customSheetView>
    <customSheetView guid="{186732C5-520C-4E06-B066-B4F3F0A3E322}" scale="75" showRuler="0" topLeftCell="A4">
      <selection activeCell="F26" sqref="F26"/>
      <pageMargins left="0.59055118110236227" right="0" top="0.59055118110236227" bottom="0.59055118110236227" header="0.31496062992125984" footer="0.31496062992125984"/>
      <printOptions horizontalCentered="1" verticalCentered="1"/>
      <pageSetup paperSize="9" scale="66" orientation="portrait" horizontalDpi="300" verticalDpi="300" r:id="rId2"/>
      <headerFooter alignWithMargins="0">
        <oddHeader>&amp;L&amp;F   &amp;A&amp;R&amp;"Times New Roman CE,Félkövér"&amp;16M.III/11.sz.melléklet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7" orientation="portrait" r:id="rId3"/>
  <headerFooter alignWithMargins="0">
    <oddHeader xml:space="preserve">&amp;R&amp;"Times New Roman CE,Félkövér"&amp;12 
&amp;"-,Félkövér"15. melléklet a ..../2026. (........) önkormányzati rendelethez
"15. melléklet a 3/2026.(II.27.) önkormányzati rendelethez"
 &amp;"Times New Roman CE,Félkövér"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9"/>
  <dimension ref="A1:E36"/>
  <sheetViews>
    <sheetView zoomScale="87" zoomScaleNormal="87" workbookViewId="0">
      <selection activeCell="D19" sqref="D19"/>
    </sheetView>
  </sheetViews>
  <sheetFormatPr defaultColWidth="12" defaultRowHeight="21" x14ac:dyDescent="0.35"/>
  <cols>
    <col min="1" max="1" width="90" style="2" customWidth="1"/>
    <col min="2" max="2" width="41.1640625" style="2" customWidth="1"/>
    <col min="3" max="3" width="34" style="2" customWidth="1"/>
    <col min="4" max="4" width="39.1640625" style="2" customWidth="1"/>
    <col min="5" max="5" width="42.5" style="2" customWidth="1"/>
    <col min="6" max="16384" width="12" style="2"/>
  </cols>
  <sheetData>
    <row r="1" spans="1:5" x14ac:dyDescent="0.35">
      <c r="A1" s="182"/>
      <c r="B1" s="182"/>
      <c r="C1" s="182"/>
      <c r="D1" s="182"/>
      <c r="E1" s="182"/>
    </row>
    <row r="2" spans="1:5" x14ac:dyDescent="0.35">
      <c r="A2" s="882" t="s">
        <v>101</v>
      </c>
      <c r="B2" s="882"/>
      <c r="C2" s="882"/>
      <c r="D2" s="882"/>
      <c r="E2" s="882"/>
    </row>
    <row r="3" spans="1:5" x14ac:dyDescent="0.35">
      <c r="A3" s="182"/>
      <c r="B3" s="182"/>
      <c r="C3" s="182"/>
      <c r="D3" s="182"/>
      <c r="E3" s="182"/>
    </row>
    <row r="4" spans="1:5" ht="21.75" thickBot="1" x14ac:dyDescent="0.4">
      <c r="A4" s="307"/>
      <c r="B4" s="45"/>
      <c r="C4" s="45"/>
      <c r="D4" s="45"/>
      <c r="E4" s="308" t="s">
        <v>201</v>
      </c>
    </row>
    <row r="5" spans="1:5" s="55" customFormat="1" x14ac:dyDescent="0.35">
      <c r="A5" s="473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s="55" customFormat="1" ht="21.75" thickBot="1" x14ac:dyDescent="0.4">
      <c r="A6" s="474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79" t="s">
        <v>75</v>
      </c>
      <c r="B7" s="623">
        <v>8720</v>
      </c>
      <c r="C7" s="166">
        <v>40000</v>
      </c>
      <c r="D7" s="79">
        <v>313</v>
      </c>
      <c r="E7" s="166">
        <f>SUM(C7:D7)</f>
        <v>40313</v>
      </c>
    </row>
    <row r="8" spans="1:5" x14ac:dyDescent="0.35">
      <c r="A8" s="475" t="s">
        <v>177</v>
      </c>
      <c r="B8" s="628">
        <v>26922</v>
      </c>
      <c r="C8" s="82">
        <v>15000</v>
      </c>
      <c r="D8" s="81">
        <v>227</v>
      </c>
      <c r="E8" s="166">
        <f t="shared" ref="E8:E27" si="0">SUM(C8:D8)</f>
        <v>15227</v>
      </c>
    </row>
    <row r="9" spans="1:5" x14ac:dyDescent="0.35">
      <c r="A9" s="475" t="s">
        <v>1</v>
      </c>
      <c r="B9" s="628"/>
      <c r="C9" s="82">
        <v>5000</v>
      </c>
      <c r="D9" s="81"/>
      <c r="E9" s="166">
        <f t="shared" si="0"/>
        <v>5000</v>
      </c>
    </row>
    <row r="10" spans="1:5" x14ac:dyDescent="0.35">
      <c r="A10" s="475" t="s">
        <v>327</v>
      </c>
      <c r="B10" s="628">
        <v>69451</v>
      </c>
      <c r="C10" s="82">
        <v>100000</v>
      </c>
      <c r="D10" s="81">
        <v>5596</v>
      </c>
      <c r="E10" s="166">
        <f t="shared" si="0"/>
        <v>105596</v>
      </c>
    </row>
    <row r="11" spans="1:5" x14ac:dyDescent="0.35">
      <c r="A11" s="475" t="s">
        <v>292</v>
      </c>
      <c r="B11" s="628">
        <v>12208</v>
      </c>
      <c r="C11" s="82">
        <v>20000</v>
      </c>
      <c r="D11" s="81"/>
      <c r="E11" s="166">
        <f t="shared" si="0"/>
        <v>20000</v>
      </c>
    </row>
    <row r="12" spans="1:5" x14ac:dyDescent="0.35">
      <c r="A12" s="476" t="s">
        <v>363</v>
      </c>
      <c r="B12" s="629">
        <v>10312</v>
      </c>
      <c r="C12" s="82">
        <v>6000</v>
      </c>
      <c r="D12" s="81">
        <v>4024</v>
      </c>
      <c r="E12" s="166">
        <f t="shared" si="0"/>
        <v>10024</v>
      </c>
    </row>
    <row r="13" spans="1:5" x14ac:dyDescent="0.35">
      <c r="A13" s="477" t="s">
        <v>364</v>
      </c>
      <c r="B13" s="628"/>
      <c r="C13" s="82">
        <v>5000</v>
      </c>
      <c r="D13" s="81"/>
      <c r="E13" s="166">
        <f t="shared" si="0"/>
        <v>5000</v>
      </c>
    </row>
    <row r="14" spans="1:5" x14ac:dyDescent="0.35">
      <c r="A14" s="475" t="s">
        <v>43</v>
      </c>
      <c r="B14" s="628">
        <v>2178</v>
      </c>
      <c r="C14" s="82">
        <v>800</v>
      </c>
      <c r="D14" s="81">
        <v>2033</v>
      </c>
      <c r="E14" s="166">
        <f t="shared" si="0"/>
        <v>2833</v>
      </c>
    </row>
    <row r="15" spans="1:5" x14ac:dyDescent="0.35">
      <c r="A15" s="475" t="s">
        <v>2</v>
      </c>
      <c r="B15" s="628">
        <v>7490</v>
      </c>
      <c r="C15" s="82">
        <v>6000</v>
      </c>
      <c r="D15" s="81"/>
      <c r="E15" s="166">
        <f t="shared" si="0"/>
        <v>6000</v>
      </c>
    </row>
    <row r="16" spans="1:5" x14ac:dyDescent="0.35">
      <c r="A16" s="475" t="s">
        <v>94</v>
      </c>
      <c r="B16" s="628">
        <v>6783</v>
      </c>
      <c r="C16" s="82">
        <v>0</v>
      </c>
      <c r="D16" s="81"/>
      <c r="E16" s="166">
        <f t="shared" si="0"/>
        <v>0</v>
      </c>
    </row>
    <row r="17" spans="1:5" x14ac:dyDescent="0.35">
      <c r="A17" s="475" t="s">
        <v>178</v>
      </c>
      <c r="B17" s="628">
        <v>16300</v>
      </c>
      <c r="C17" s="82">
        <v>0</v>
      </c>
      <c r="D17" s="81">
        <v>2368</v>
      </c>
      <c r="E17" s="166">
        <f t="shared" si="0"/>
        <v>2368</v>
      </c>
    </row>
    <row r="18" spans="1:5" x14ac:dyDescent="0.35">
      <c r="A18" s="475" t="s">
        <v>457</v>
      </c>
      <c r="B18" s="628">
        <v>30327</v>
      </c>
      <c r="C18" s="82">
        <v>35000</v>
      </c>
      <c r="D18" s="81">
        <v>15709</v>
      </c>
      <c r="E18" s="166">
        <f t="shared" si="0"/>
        <v>50709</v>
      </c>
    </row>
    <row r="19" spans="1:5" x14ac:dyDescent="0.35">
      <c r="A19" s="475" t="s">
        <v>86</v>
      </c>
      <c r="B19" s="628">
        <v>23612</v>
      </c>
      <c r="C19" s="82">
        <v>21000</v>
      </c>
      <c r="D19" s="81">
        <v>2388</v>
      </c>
      <c r="E19" s="166">
        <f t="shared" si="0"/>
        <v>23388</v>
      </c>
    </row>
    <row r="20" spans="1:5" ht="42" x14ac:dyDescent="0.35">
      <c r="A20" s="478" t="s">
        <v>384</v>
      </c>
      <c r="B20" s="630">
        <v>6185</v>
      </c>
      <c r="C20" s="82">
        <v>6000</v>
      </c>
      <c r="D20" s="81">
        <f>780+1594</f>
        <v>2374</v>
      </c>
      <c r="E20" s="166">
        <f t="shared" si="0"/>
        <v>8374</v>
      </c>
    </row>
    <row r="21" spans="1:5" x14ac:dyDescent="0.35">
      <c r="A21" s="475" t="s">
        <v>458</v>
      </c>
      <c r="B21" s="628">
        <v>6575</v>
      </c>
      <c r="C21" s="82">
        <f>4000+12700+5000</f>
        <v>21700</v>
      </c>
      <c r="D21" s="81">
        <v>5994</v>
      </c>
      <c r="E21" s="166">
        <f t="shared" si="0"/>
        <v>27694</v>
      </c>
    </row>
    <row r="22" spans="1:5" ht="42" x14ac:dyDescent="0.35">
      <c r="A22" s="477" t="s">
        <v>293</v>
      </c>
      <c r="B22" s="628"/>
      <c r="C22" s="82">
        <v>3000</v>
      </c>
      <c r="D22" s="81"/>
      <c r="E22" s="166">
        <f t="shared" si="0"/>
        <v>3000</v>
      </c>
    </row>
    <row r="23" spans="1:5" x14ac:dyDescent="0.35">
      <c r="A23" s="371" t="s">
        <v>652</v>
      </c>
      <c r="B23" s="628">
        <v>27306</v>
      </c>
      <c r="C23" s="82">
        <v>0</v>
      </c>
      <c r="D23" s="81">
        <f>4935+10000+17034</f>
        <v>31969</v>
      </c>
      <c r="E23" s="166">
        <f t="shared" si="0"/>
        <v>31969</v>
      </c>
    </row>
    <row r="24" spans="1:5" x14ac:dyDescent="0.35">
      <c r="A24" s="475" t="s">
        <v>215</v>
      </c>
      <c r="B24" s="628"/>
      <c r="C24" s="82">
        <v>1500</v>
      </c>
      <c r="D24" s="81"/>
      <c r="E24" s="166">
        <f t="shared" si="0"/>
        <v>1500</v>
      </c>
    </row>
    <row r="25" spans="1:5" x14ac:dyDescent="0.35">
      <c r="A25" s="478" t="s">
        <v>429</v>
      </c>
      <c r="B25" s="630">
        <v>5169</v>
      </c>
      <c r="C25" s="82">
        <v>10000</v>
      </c>
      <c r="D25" s="81">
        <v>10100</v>
      </c>
      <c r="E25" s="166">
        <f t="shared" si="0"/>
        <v>20100</v>
      </c>
    </row>
    <row r="26" spans="1:5" x14ac:dyDescent="0.35">
      <c r="A26" s="478" t="s">
        <v>604</v>
      </c>
      <c r="B26" s="630"/>
      <c r="C26" s="82"/>
      <c r="D26" s="81">
        <v>15875</v>
      </c>
      <c r="E26" s="166">
        <f t="shared" si="0"/>
        <v>15875</v>
      </c>
    </row>
    <row r="27" spans="1:5" ht="21.75" thickBot="1" x14ac:dyDescent="0.4">
      <c r="A27" s="479" t="s">
        <v>556</v>
      </c>
      <c r="B27" s="631">
        <v>94267</v>
      </c>
      <c r="C27" s="84">
        <f>79000+21000+60000-60000</f>
        <v>100000</v>
      </c>
      <c r="D27" s="83">
        <f>236884-17034</f>
        <v>219850</v>
      </c>
      <c r="E27" s="166">
        <f t="shared" si="0"/>
        <v>319850</v>
      </c>
    </row>
    <row r="28" spans="1:5" ht="21.75" thickBot="1" x14ac:dyDescent="0.4">
      <c r="A28" s="472" t="s">
        <v>289</v>
      </c>
      <c r="B28" s="11">
        <f>SUM(B7:B27)</f>
        <v>353805</v>
      </c>
      <c r="C28" s="15">
        <f>SUM(C7:C27)</f>
        <v>396000</v>
      </c>
      <c r="D28" s="15">
        <f>SUM(D7:D27)</f>
        <v>318820</v>
      </c>
      <c r="E28" s="15">
        <f>SUM(E7:E27)</f>
        <v>714820</v>
      </c>
    </row>
    <row r="31" spans="1:5" x14ac:dyDescent="0.35">
      <c r="A31" s="45" t="s">
        <v>72</v>
      </c>
      <c r="B31" s="45"/>
      <c r="C31" s="45"/>
      <c r="D31" s="45"/>
      <c r="E31" s="480"/>
    </row>
    <row r="32" spans="1:5" x14ac:dyDescent="0.35">
      <c r="A32" s="45" t="s">
        <v>73</v>
      </c>
      <c r="B32" s="45"/>
      <c r="C32" s="45"/>
      <c r="D32" s="45"/>
      <c r="E32" s="45"/>
    </row>
    <row r="36" spans="3:3" x14ac:dyDescent="0.35">
      <c r="C36" s="173"/>
    </row>
  </sheetData>
  <customSheetViews>
    <customSheetView guid="{6D4B996F-8915-4E78-98C2-E7EAE9C4580C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1"/>
      <headerFooter alignWithMargins="0">
        <oddHeader>&amp;L&amp;F   &amp;A&amp;R&amp;"Times New Roman CE,Félkövér"&amp;16 M.III.12.sz.melléklet</oddHeader>
        <oddFooter xml:space="preserve">&amp;C </oddFooter>
      </headerFooter>
    </customSheetView>
    <customSheetView guid="{186732C5-520C-4E06-B066-B4F3F0A3E322}" scale="75" showRuler="0">
      <selection activeCell="H24" sqref="H24"/>
      <pageMargins left="0.19685039370078741" right="0.19685039370078741" top="0.19685039370078741" bottom="0.19685039370078741" header="0.11811023622047245" footer="0.11811023622047245"/>
      <printOptions horizontalCentered="1" verticalCentered="1"/>
      <pageSetup paperSize="9" scale="78" orientation="portrait" horizontalDpi="300" verticalDpi="300" r:id="rId2"/>
      <headerFooter alignWithMargins="0">
        <oddHeader>&amp;L&amp;F   &amp;A&amp;R&amp;"Times New Roman CE,Félkövér"&amp;16 M.III.12.sz.melléklet</oddHeader>
        <oddFooter xml:space="preserve">&amp;C </oddFoot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46" orientation="portrait" r:id="rId3"/>
  <headerFooter alignWithMargins="0">
    <oddHeader xml:space="preserve">&amp;R&amp;"-,Félkövér"&amp;12 16. melléklet a ..../2026. (.......) önkormányzati rendelethez
"16. melléklet a 3/2026.(II.27.) önkormányzati rendelethez"
 &amp;"Times New Roman CE,Félkövér"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32"/>
  <dimension ref="A1:F60"/>
  <sheetViews>
    <sheetView zoomScale="89" zoomScaleNormal="89" workbookViewId="0">
      <selection activeCell="D19" sqref="D19"/>
    </sheetView>
  </sheetViews>
  <sheetFormatPr defaultColWidth="10.6640625" defaultRowHeight="21" x14ac:dyDescent="0.35"/>
  <cols>
    <col min="1" max="1" width="6" style="155" customWidth="1"/>
    <col min="2" max="2" width="138.1640625" style="13" customWidth="1"/>
    <col min="3" max="3" width="53.5" style="13" customWidth="1"/>
    <col min="4" max="4" width="37.83203125" style="155" customWidth="1"/>
    <col min="5" max="5" width="39.1640625" style="155" customWidth="1"/>
    <col min="6" max="6" width="44.33203125" style="503" customWidth="1"/>
    <col min="7" max="16384" width="10.6640625" style="155"/>
  </cols>
  <sheetData>
    <row r="1" spans="1:6" x14ac:dyDescent="0.35">
      <c r="A1" s="911" t="s">
        <v>132</v>
      </c>
      <c r="B1" s="911"/>
      <c r="C1" s="911"/>
      <c r="D1" s="911"/>
      <c r="E1" s="911"/>
      <c r="F1" s="911"/>
    </row>
    <row r="2" spans="1:6" ht="21.75" thickBot="1" x14ac:dyDescent="0.4">
      <c r="B2" s="492"/>
      <c r="C2" s="492"/>
      <c r="D2" s="481"/>
      <c r="E2" s="481"/>
      <c r="F2" s="308" t="s">
        <v>201</v>
      </c>
    </row>
    <row r="3" spans="1:6" ht="24" customHeight="1" x14ac:dyDescent="0.35">
      <c r="A3" s="482"/>
      <c r="B3" s="184" t="s">
        <v>155</v>
      </c>
      <c r="C3" s="185" t="s">
        <v>418</v>
      </c>
      <c r="D3" s="185" t="s">
        <v>439</v>
      </c>
      <c r="E3" s="185" t="s">
        <v>672</v>
      </c>
      <c r="F3" s="185" t="s">
        <v>671</v>
      </c>
    </row>
    <row r="4" spans="1:6" ht="21.75" thickBot="1" x14ac:dyDescent="0.4">
      <c r="A4" s="483"/>
      <c r="B4" s="493"/>
      <c r="C4" s="370" t="s">
        <v>674</v>
      </c>
      <c r="D4" s="370" t="s">
        <v>331</v>
      </c>
      <c r="E4" s="370" t="s">
        <v>673</v>
      </c>
      <c r="F4" s="370" t="s">
        <v>344</v>
      </c>
    </row>
    <row r="5" spans="1:6" x14ac:dyDescent="0.35">
      <c r="A5" s="484" t="s">
        <v>59</v>
      </c>
      <c r="B5" s="494"/>
      <c r="C5" s="632"/>
      <c r="D5" s="574"/>
      <c r="E5" s="574"/>
      <c r="F5" s="574"/>
    </row>
    <row r="6" spans="1:6" x14ac:dyDescent="0.35">
      <c r="A6" s="176"/>
      <c r="B6" s="495" t="s">
        <v>605</v>
      </c>
      <c r="C6" s="633"/>
      <c r="D6" s="85"/>
      <c r="E6" s="85">
        <v>225150</v>
      </c>
      <c r="F6" s="85">
        <f t="shared" ref="F6:F57" si="0">SUM(D6:E6)</f>
        <v>225150</v>
      </c>
    </row>
    <row r="7" spans="1:6" x14ac:dyDescent="0.35">
      <c r="A7" s="176"/>
      <c r="B7" s="496" t="s">
        <v>606</v>
      </c>
      <c r="C7" s="633"/>
      <c r="D7" s="85"/>
      <c r="E7" s="85">
        <v>194800</v>
      </c>
      <c r="F7" s="85">
        <f t="shared" si="0"/>
        <v>194800</v>
      </c>
    </row>
    <row r="8" spans="1:6" x14ac:dyDescent="0.35">
      <c r="A8" s="176"/>
      <c r="B8" s="496" t="s">
        <v>607</v>
      </c>
      <c r="C8" s="633"/>
      <c r="D8" s="85"/>
      <c r="E8" s="85">
        <v>358920</v>
      </c>
      <c r="F8" s="85">
        <f t="shared" si="0"/>
        <v>358920</v>
      </c>
    </row>
    <row r="9" spans="1:6" x14ac:dyDescent="0.35">
      <c r="A9" s="176"/>
      <c r="B9" s="496" t="s">
        <v>608</v>
      </c>
      <c r="C9" s="633"/>
      <c r="D9" s="85"/>
      <c r="E9" s="85">
        <v>109473</v>
      </c>
      <c r="F9" s="85">
        <f t="shared" si="0"/>
        <v>109473</v>
      </c>
    </row>
    <row r="10" spans="1:6" x14ac:dyDescent="0.35">
      <c r="A10" s="176"/>
      <c r="B10" s="496" t="s">
        <v>609</v>
      </c>
      <c r="C10" s="633"/>
      <c r="D10" s="85"/>
      <c r="E10" s="85">
        <v>647071</v>
      </c>
      <c r="F10" s="85">
        <f t="shared" si="0"/>
        <v>647071</v>
      </c>
    </row>
    <row r="11" spans="1:6" x14ac:dyDescent="0.35">
      <c r="A11" s="176"/>
      <c r="B11" s="496" t="s">
        <v>610</v>
      </c>
      <c r="C11" s="633"/>
      <c r="D11" s="85"/>
      <c r="E11" s="85">
        <v>544045</v>
      </c>
      <c r="F11" s="85">
        <f t="shared" si="0"/>
        <v>544045</v>
      </c>
    </row>
    <row r="12" spans="1:6" x14ac:dyDescent="0.35">
      <c r="A12" s="176"/>
      <c r="B12" s="496" t="s">
        <v>611</v>
      </c>
      <c r="C12" s="633"/>
      <c r="D12" s="85"/>
      <c r="E12" s="85">
        <v>194065</v>
      </c>
      <c r="F12" s="85">
        <f t="shared" si="0"/>
        <v>194065</v>
      </c>
    </row>
    <row r="13" spans="1:6" ht="36" customHeight="1" x14ac:dyDescent="0.35">
      <c r="A13" s="176"/>
      <c r="B13" s="568" t="s">
        <v>612</v>
      </c>
      <c r="C13" s="634"/>
      <c r="D13" s="85"/>
      <c r="E13" s="85">
        <v>393968</v>
      </c>
      <c r="F13" s="85">
        <f t="shared" si="0"/>
        <v>393968</v>
      </c>
    </row>
    <row r="14" spans="1:6" x14ac:dyDescent="0.35">
      <c r="A14" s="176"/>
      <c r="B14" s="496" t="s">
        <v>613</v>
      </c>
      <c r="C14" s="633"/>
      <c r="D14" s="85"/>
      <c r="E14" s="85">
        <v>44024</v>
      </c>
      <c r="F14" s="85">
        <f t="shared" si="0"/>
        <v>44024</v>
      </c>
    </row>
    <row r="15" spans="1:6" x14ac:dyDescent="0.35">
      <c r="A15" s="176"/>
      <c r="B15" s="496" t="s">
        <v>614</v>
      </c>
      <c r="C15" s="633"/>
      <c r="D15" s="85"/>
      <c r="E15" s="85">
        <v>423301</v>
      </c>
      <c r="F15" s="85">
        <f t="shared" si="0"/>
        <v>423301</v>
      </c>
    </row>
    <row r="16" spans="1:6" x14ac:dyDescent="0.35">
      <c r="A16" s="176"/>
      <c r="B16" s="496" t="s">
        <v>615</v>
      </c>
      <c r="C16" s="633">
        <v>4515</v>
      </c>
      <c r="D16" s="85"/>
      <c r="E16" s="85"/>
      <c r="F16" s="85">
        <f t="shared" si="0"/>
        <v>0</v>
      </c>
    </row>
    <row r="17" spans="1:6" x14ac:dyDescent="0.35">
      <c r="A17" s="176"/>
      <c r="B17" s="496" t="s">
        <v>616</v>
      </c>
      <c r="C17" s="633"/>
      <c r="D17" s="85"/>
      <c r="E17" s="85">
        <v>589110</v>
      </c>
      <c r="F17" s="85">
        <f t="shared" si="0"/>
        <v>589110</v>
      </c>
    </row>
    <row r="18" spans="1:6" x14ac:dyDescent="0.35">
      <c r="A18" s="176"/>
      <c r="B18" s="496" t="s">
        <v>617</v>
      </c>
      <c r="C18" s="633"/>
      <c r="D18" s="85"/>
      <c r="E18" s="85">
        <v>449186</v>
      </c>
      <c r="F18" s="85">
        <f t="shared" si="0"/>
        <v>449186</v>
      </c>
    </row>
    <row r="19" spans="1:6" x14ac:dyDescent="0.35">
      <c r="A19" s="176"/>
      <c r="B19" s="496" t="s">
        <v>618</v>
      </c>
      <c r="C19" s="633"/>
      <c r="D19" s="85"/>
      <c r="E19" s="85">
        <v>460184</v>
      </c>
      <c r="F19" s="85">
        <f t="shared" si="0"/>
        <v>460184</v>
      </c>
    </row>
    <row r="20" spans="1:6" x14ac:dyDescent="0.35">
      <c r="A20" s="176"/>
      <c r="B20" s="496" t="s">
        <v>619</v>
      </c>
      <c r="C20" s="633">
        <v>4198</v>
      </c>
      <c r="D20" s="85"/>
      <c r="E20" s="85"/>
      <c r="F20" s="85">
        <f t="shared" si="0"/>
        <v>0</v>
      </c>
    </row>
    <row r="21" spans="1:6" x14ac:dyDescent="0.35">
      <c r="A21" s="176"/>
      <c r="B21" s="496" t="s">
        <v>620</v>
      </c>
      <c r="C21" s="633">
        <v>3429</v>
      </c>
      <c r="D21" s="85"/>
      <c r="E21" s="85">
        <v>5080</v>
      </c>
      <c r="F21" s="85">
        <f t="shared" si="0"/>
        <v>5080</v>
      </c>
    </row>
    <row r="22" spans="1:6" x14ac:dyDescent="0.35">
      <c r="A22" s="176"/>
      <c r="B22" s="496" t="s">
        <v>621</v>
      </c>
      <c r="C22" s="633">
        <v>3222</v>
      </c>
      <c r="D22" s="85"/>
      <c r="E22" s="85">
        <v>1651</v>
      </c>
      <c r="F22" s="85">
        <f t="shared" si="0"/>
        <v>1651</v>
      </c>
    </row>
    <row r="23" spans="1:6" x14ac:dyDescent="0.35">
      <c r="A23" s="176"/>
      <c r="B23" s="496" t="s">
        <v>622</v>
      </c>
      <c r="C23" s="633"/>
      <c r="D23" s="85"/>
      <c r="E23" s="85">
        <v>474062</v>
      </c>
      <c r="F23" s="85">
        <f t="shared" si="0"/>
        <v>474062</v>
      </c>
    </row>
    <row r="24" spans="1:6" x14ac:dyDescent="0.35">
      <c r="A24" s="176"/>
      <c r="B24" s="496" t="s">
        <v>623</v>
      </c>
      <c r="C24" s="633"/>
      <c r="D24" s="85"/>
      <c r="E24" s="85">
        <v>662601</v>
      </c>
      <c r="F24" s="85">
        <f t="shared" si="0"/>
        <v>662601</v>
      </c>
    </row>
    <row r="25" spans="1:6" x14ac:dyDescent="0.35">
      <c r="A25" s="176"/>
      <c r="B25" s="496" t="s">
        <v>624</v>
      </c>
      <c r="C25" s="633"/>
      <c r="D25" s="85"/>
      <c r="E25" s="85">
        <v>1666437</v>
      </c>
      <c r="F25" s="85">
        <f t="shared" si="0"/>
        <v>1666437</v>
      </c>
    </row>
    <row r="26" spans="1:6" ht="21.75" customHeight="1" thickBot="1" x14ac:dyDescent="0.4">
      <c r="A26" s="176"/>
      <c r="B26" s="496" t="s">
        <v>625</v>
      </c>
      <c r="C26" s="633"/>
      <c r="D26" s="85"/>
      <c r="E26" s="86">
        <v>514871</v>
      </c>
      <c r="F26" s="86">
        <f t="shared" si="0"/>
        <v>514871</v>
      </c>
    </row>
    <row r="27" spans="1:6" ht="21.75" thickBot="1" x14ac:dyDescent="0.4">
      <c r="A27" s="912" t="s">
        <v>63</v>
      </c>
      <c r="B27" s="913"/>
      <c r="C27" s="635">
        <f>SUM(C5:C26)</f>
        <v>15364</v>
      </c>
      <c r="D27" s="87">
        <f>SUM(D5:D26)</f>
        <v>0</v>
      </c>
      <c r="E27" s="87">
        <f t="shared" ref="E27:F27" si="1">SUM(E5:E26)</f>
        <v>7957999</v>
      </c>
      <c r="F27" s="87">
        <f t="shared" si="1"/>
        <v>7957999</v>
      </c>
    </row>
    <row r="28" spans="1:6" x14ac:dyDescent="0.35">
      <c r="A28" s="484" t="s">
        <v>57</v>
      </c>
      <c r="B28" s="494"/>
      <c r="C28" s="632"/>
      <c r="D28" s="163"/>
      <c r="E28" s="163"/>
      <c r="F28" s="574"/>
    </row>
    <row r="29" spans="1:6" x14ac:dyDescent="0.35">
      <c r="A29" s="177"/>
      <c r="B29" s="162" t="s">
        <v>127</v>
      </c>
      <c r="C29" s="633">
        <v>793559</v>
      </c>
      <c r="D29" s="85">
        <v>500000</v>
      </c>
      <c r="E29" s="85"/>
      <c r="F29" s="85">
        <f t="shared" si="0"/>
        <v>500000</v>
      </c>
    </row>
    <row r="30" spans="1:6" x14ac:dyDescent="0.35">
      <c r="A30" s="177"/>
      <c r="B30" s="162" t="s">
        <v>462</v>
      </c>
      <c r="C30" s="633">
        <v>4330</v>
      </c>
      <c r="D30" s="85"/>
      <c r="E30" s="86"/>
      <c r="F30" s="86">
        <f t="shared" si="0"/>
        <v>0</v>
      </c>
    </row>
    <row r="31" spans="1:6" x14ac:dyDescent="0.35">
      <c r="A31" s="177"/>
      <c r="B31" s="162" t="s">
        <v>626</v>
      </c>
      <c r="C31" s="633">
        <v>990</v>
      </c>
      <c r="D31" s="85"/>
      <c r="E31" s="86"/>
      <c r="F31" s="86">
        <f t="shared" si="0"/>
        <v>0</v>
      </c>
    </row>
    <row r="32" spans="1:6" x14ac:dyDescent="0.35">
      <c r="A32" s="177"/>
      <c r="B32" s="162" t="s">
        <v>627</v>
      </c>
      <c r="C32" s="633">
        <v>79270</v>
      </c>
      <c r="D32" s="85"/>
      <c r="E32" s="86"/>
      <c r="F32" s="86">
        <f t="shared" si="0"/>
        <v>0</v>
      </c>
    </row>
    <row r="33" spans="1:6" ht="21.75" thickBot="1" x14ac:dyDescent="0.4">
      <c r="A33" s="177"/>
      <c r="B33" s="162" t="s">
        <v>453</v>
      </c>
      <c r="C33" s="633">
        <v>24100</v>
      </c>
      <c r="D33" s="86"/>
      <c r="E33" s="86">
        <v>2100</v>
      </c>
      <c r="F33" s="86">
        <f t="shared" si="0"/>
        <v>2100</v>
      </c>
    </row>
    <row r="34" spans="1:6" ht="21.75" thickBot="1" x14ac:dyDescent="0.4">
      <c r="A34" s="485" t="s">
        <v>58</v>
      </c>
      <c r="B34" s="497"/>
      <c r="C34" s="11">
        <f>SUM(C29:C33)</f>
        <v>902249</v>
      </c>
      <c r="D34" s="11">
        <f>SUM(D29:D33)</f>
        <v>500000</v>
      </c>
      <c r="E34" s="11">
        <f>SUM(E29:E33)</f>
        <v>2100</v>
      </c>
      <c r="F34" s="11">
        <f>SUM(F29:F33)</f>
        <v>502100</v>
      </c>
    </row>
    <row r="35" spans="1:6" ht="16.5" customHeight="1" x14ac:dyDescent="0.35">
      <c r="A35" s="486" t="s">
        <v>64</v>
      </c>
      <c r="B35" s="498"/>
      <c r="C35" s="636"/>
      <c r="D35" s="487"/>
      <c r="E35" s="487"/>
      <c r="F35" s="574"/>
    </row>
    <row r="36" spans="1:6" ht="44.25" customHeight="1" x14ac:dyDescent="0.35">
      <c r="A36" s="189"/>
      <c r="B36" s="499" t="s">
        <v>29</v>
      </c>
      <c r="C36" s="637"/>
      <c r="D36" s="488"/>
      <c r="E36" s="488"/>
      <c r="F36" s="579"/>
    </row>
    <row r="37" spans="1:6" x14ac:dyDescent="0.35">
      <c r="A37" s="177"/>
      <c r="B37" s="495" t="s">
        <v>129</v>
      </c>
      <c r="C37" s="578">
        <v>8665</v>
      </c>
      <c r="D37" s="85">
        <v>7000</v>
      </c>
      <c r="E37" s="85"/>
      <c r="F37" s="578">
        <f t="shared" si="0"/>
        <v>7000</v>
      </c>
    </row>
    <row r="38" spans="1:6" x14ac:dyDescent="0.35">
      <c r="A38" s="177"/>
      <c r="B38" s="496" t="s">
        <v>112</v>
      </c>
      <c r="C38" s="578">
        <v>2935</v>
      </c>
      <c r="D38" s="85"/>
      <c r="E38" s="85"/>
      <c r="F38" s="578">
        <f t="shared" si="0"/>
        <v>0</v>
      </c>
    </row>
    <row r="39" spans="1:6" x14ac:dyDescent="0.35">
      <c r="A39" s="189"/>
      <c r="B39" s="500" t="s">
        <v>30</v>
      </c>
      <c r="C39" s="638"/>
      <c r="D39" s="88"/>
      <c r="E39" s="489"/>
      <c r="F39" s="638"/>
    </row>
    <row r="40" spans="1:6" x14ac:dyDescent="0.35">
      <c r="A40" s="189"/>
      <c r="B40" s="345" t="s">
        <v>701</v>
      </c>
      <c r="C40" s="578"/>
      <c r="D40" s="85"/>
      <c r="E40" s="578">
        <v>100000</v>
      </c>
      <c r="F40" s="578">
        <f t="shared" si="0"/>
        <v>100000</v>
      </c>
    </row>
    <row r="41" spans="1:6" ht="48.75" customHeight="1" x14ac:dyDescent="0.35">
      <c r="A41" s="189"/>
      <c r="B41" s="501" t="s">
        <v>628</v>
      </c>
      <c r="C41" s="639">
        <v>38449</v>
      </c>
      <c r="D41" s="99"/>
      <c r="E41" s="85"/>
      <c r="F41" s="578">
        <f t="shared" si="0"/>
        <v>0</v>
      </c>
    </row>
    <row r="42" spans="1:6" x14ac:dyDescent="0.35">
      <c r="A42" s="189"/>
      <c r="B42" s="495" t="s">
        <v>629</v>
      </c>
      <c r="C42" s="90">
        <v>800</v>
      </c>
      <c r="D42" s="86"/>
      <c r="E42" s="85"/>
      <c r="F42" s="578">
        <f t="shared" si="0"/>
        <v>0</v>
      </c>
    </row>
    <row r="43" spans="1:6" x14ac:dyDescent="0.35">
      <c r="A43" s="177"/>
      <c r="B43" s="495" t="s">
        <v>409</v>
      </c>
      <c r="C43" s="578">
        <v>80108</v>
      </c>
      <c r="D43" s="85"/>
      <c r="E43" s="85">
        <v>12131</v>
      </c>
      <c r="F43" s="578">
        <f t="shared" si="0"/>
        <v>12131</v>
      </c>
    </row>
    <row r="44" spans="1:6" x14ac:dyDescent="0.35">
      <c r="A44" s="907" t="s">
        <v>65</v>
      </c>
      <c r="B44" s="908"/>
      <c r="C44" s="91">
        <f>SUM(C35:C43)</f>
        <v>130957</v>
      </c>
      <c r="D44" s="91">
        <f t="shared" ref="D44:F44" si="2">SUM(D35:D43)</f>
        <v>7000</v>
      </c>
      <c r="E44" s="91">
        <f t="shared" si="2"/>
        <v>112131</v>
      </c>
      <c r="F44" s="91">
        <f t="shared" si="2"/>
        <v>119131</v>
      </c>
    </row>
    <row r="45" spans="1:6" x14ac:dyDescent="0.35">
      <c r="A45" s="313" t="s">
        <v>102</v>
      </c>
      <c r="B45" s="659"/>
      <c r="C45" s="640"/>
      <c r="D45" s="491"/>
      <c r="E45" s="491"/>
      <c r="F45" s="580"/>
    </row>
    <row r="46" spans="1:6" x14ac:dyDescent="0.35">
      <c r="A46" s="189"/>
      <c r="B46" s="359" t="s">
        <v>179</v>
      </c>
      <c r="C46" s="658">
        <v>774</v>
      </c>
      <c r="D46" s="578"/>
      <c r="E46" s="578"/>
      <c r="F46" s="578">
        <f t="shared" si="0"/>
        <v>0</v>
      </c>
    </row>
    <row r="47" spans="1:6" x14ac:dyDescent="0.35">
      <c r="A47" s="189"/>
      <c r="B47" s="366" t="s">
        <v>675</v>
      </c>
      <c r="C47" s="641">
        <v>35</v>
      </c>
      <c r="D47" s="90"/>
      <c r="E47" s="90"/>
      <c r="F47" s="578">
        <f t="shared" si="0"/>
        <v>0</v>
      </c>
    </row>
    <row r="48" spans="1:6" x14ac:dyDescent="0.35">
      <c r="A48" s="189"/>
      <c r="B48" s="366" t="s">
        <v>96</v>
      </c>
      <c r="C48" s="641"/>
      <c r="D48" s="90"/>
      <c r="E48" s="90"/>
      <c r="F48" s="578">
        <f t="shared" si="0"/>
        <v>0</v>
      </c>
    </row>
    <row r="49" spans="1:6" x14ac:dyDescent="0.35">
      <c r="A49" s="189"/>
      <c r="B49" s="366" t="s">
        <v>588</v>
      </c>
      <c r="C49" s="641">
        <v>31679</v>
      </c>
      <c r="D49" s="90"/>
      <c r="E49" s="90">
        <v>12000</v>
      </c>
      <c r="F49" s="578">
        <f t="shared" si="0"/>
        <v>12000</v>
      </c>
    </row>
    <row r="50" spans="1:6" x14ac:dyDescent="0.35">
      <c r="A50" s="189"/>
      <c r="B50" s="366" t="s">
        <v>329</v>
      </c>
      <c r="C50" s="641"/>
      <c r="D50" s="90"/>
      <c r="E50" s="90"/>
      <c r="F50" s="578">
        <f t="shared" si="0"/>
        <v>0</v>
      </c>
    </row>
    <row r="51" spans="1:6" x14ac:dyDescent="0.35">
      <c r="A51" s="189"/>
      <c r="B51" s="366" t="s">
        <v>108</v>
      </c>
      <c r="C51" s="641">
        <v>5800</v>
      </c>
      <c r="D51" s="90"/>
      <c r="E51" s="90">
        <v>600</v>
      </c>
      <c r="F51" s="578">
        <f t="shared" si="0"/>
        <v>600</v>
      </c>
    </row>
    <row r="52" spans="1:6" x14ac:dyDescent="0.35">
      <c r="A52" s="189"/>
      <c r="B52" s="366" t="s">
        <v>71</v>
      </c>
      <c r="C52" s="641"/>
      <c r="D52" s="90"/>
      <c r="E52" s="90"/>
      <c r="F52" s="578">
        <f t="shared" si="0"/>
        <v>0</v>
      </c>
    </row>
    <row r="53" spans="1:6" x14ac:dyDescent="0.35">
      <c r="A53" s="189"/>
      <c r="B53" s="366" t="s">
        <v>188</v>
      </c>
      <c r="C53" s="641">
        <v>6009</v>
      </c>
      <c r="D53" s="90"/>
      <c r="E53" s="90"/>
      <c r="F53" s="578">
        <f t="shared" si="0"/>
        <v>0</v>
      </c>
    </row>
    <row r="54" spans="1:6" x14ac:dyDescent="0.35">
      <c r="A54" s="189"/>
      <c r="B54" s="366" t="s">
        <v>13</v>
      </c>
      <c r="C54" s="641">
        <v>121</v>
      </c>
      <c r="D54" s="90"/>
      <c r="E54" s="90"/>
      <c r="F54" s="578">
        <f t="shared" si="0"/>
        <v>0</v>
      </c>
    </row>
    <row r="55" spans="1:6" x14ac:dyDescent="0.35">
      <c r="A55" s="189"/>
      <c r="B55" s="366" t="s">
        <v>472</v>
      </c>
      <c r="C55" s="641"/>
      <c r="D55" s="90"/>
      <c r="E55" s="90"/>
      <c r="F55" s="578">
        <f t="shared" si="0"/>
        <v>0</v>
      </c>
    </row>
    <row r="56" spans="1:6" x14ac:dyDescent="0.35">
      <c r="A56" s="189"/>
      <c r="B56" s="366" t="s">
        <v>568</v>
      </c>
      <c r="C56" s="641"/>
      <c r="D56" s="90"/>
      <c r="E56" s="90">
        <v>14416</v>
      </c>
      <c r="F56" s="578">
        <f t="shared" si="0"/>
        <v>14416</v>
      </c>
    </row>
    <row r="57" spans="1:6" x14ac:dyDescent="0.35">
      <c r="A57" s="189"/>
      <c r="B57" s="366" t="s">
        <v>4</v>
      </c>
      <c r="C57" s="641">
        <v>1580</v>
      </c>
      <c r="D57" s="90"/>
      <c r="E57" s="90"/>
      <c r="F57" s="90">
        <f t="shared" si="0"/>
        <v>0</v>
      </c>
    </row>
    <row r="58" spans="1:6" x14ac:dyDescent="0.35">
      <c r="A58" s="909" t="s">
        <v>62</v>
      </c>
      <c r="B58" s="910"/>
      <c r="C58" s="91">
        <f>SUM(C46:C57)</f>
        <v>45998</v>
      </c>
      <c r="D58" s="91">
        <f>SUM(D46:D57)</f>
        <v>0</v>
      </c>
      <c r="E58" s="91">
        <f>SUM(E46:E57)</f>
        <v>27016</v>
      </c>
      <c r="F58" s="91">
        <f>SUM(F46:F57)</f>
        <v>27016</v>
      </c>
    </row>
    <row r="59" spans="1:6" ht="21.75" thickBot="1" x14ac:dyDescent="0.4">
      <c r="A59" s="905" t="s">
        <v>290</v>
      </c>
      <c r="B59" s="906"/>
      <c r="C59" s="92">
        <f>C34+C27+C44+C58</f>
        <v>1094568</v>
      </c>
      <c r="D59" s="92">
        <f>D34+D27+D44+D58</f>
        <v>507000</v>
      </c>
      <c r="E59" s="92">
        <f>E34+E27+E44+E58</f>
        <v>8099246</v>
      </c>
      <c r="F59" s="92">
        <f>F34+F27+F44+F58</f>
        <v>8606246</v>
      </c>
    </row>
    <row r="60" spans="1:6" x14ac:dyDescent="0.35">
      <c r="A60" s="180"/>
      <c r="B60" s="93"/>
      <c r="C60" s="93"/>
      <c r="D60" s="180"/>
      <c r="E60" s="180"/>
      <c r="F60" s="575"/>
    </row>
  </sheetData>
  <mergeCells count="5">
    <mergeCell ref="A59:B59"/>
    <mergeCell ref="A44:B44"/>
    <mergeCell ref="A58:B58"/>
    <mergeCell ref="A1:F1"/>
    <mergeCell ref="A27:B27"/>
  </mergeCells>
  <phoneticPr fontId="0" type="noConversion"/>
  <printOptions horizontalCentered="1" verticalCentered="1"/>
  <pageMargins left="0.59055118110236227" right="0.59055118110236227" top="0" bottom="0" header="0.51181102362204722" footer="0.51181102362204722"/>
  <pageSetup paperSize="9" scale="38" orientation="portrait" r:id="rId1"/>
  <headerFooter alignWithMargins="0">
    <oddHeader xml:space="preserve">&amp;R&amp;"-,Félkövér"&amp;12 17. melléklet a ..../2026. (.......) önkormányzati rendelethe&amp;"Times New Roman CE,Félkövér"z
"17. melléklet a 3/2026.(II.27.) önkormányzati rendelethez"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21"/>
  <dimension ref="A1:I83"/>
  <sheetViews>
    <sheetView topLeftCell="B1" zoomScale="91" zoomScaleNormal="91" zoomScalePageLayoutView="55" workbookViewId="0">
      <selection activeCell="D19" sqref="D19"/>
    </sheetView>
  </sheetViews>
  <sheetFormatPr defaultColWidth="10.6640625" defaultRowHeight="15" customHeight="1" x14ac:dyDescent="0.35"/>
  <cols>
    <col min="1" max="1" width="5.6640625" style="155" customWidth="1"/>
    <col min="2" max="2" width="146.5" style="155" customWidth="1"/>
    <col min="3" max="3" width="39" style="155" customWidth="1"/>
    <col min="4" max="4" width="33.1640625" style="155" customWidth="1"/>
    <col min="5" max="5" width="36" style="155" customWidth="1"/>
    <col min="6" max="6" width="43.6640625" style="155" customWidth="1"/>
    <col min="7" max="7" width="10.6640625" style="503"/>
    <col min="8" max="8" width="12.33203125" style="155" bestFit="1" customWidth="1"/>
    <col min="9" max="16384" width="10.6640625" style="155"/>
  </cols>
  <sheetData>
    <row r="1" spans="1:7" ht="15" customHeight="1" x14ac:dyDescent="0.35">
      <c r="A1" s="502"/>
      <c r="B1" s="502"/>
      <c r="C1" s="502"/>
      <c r="D1" s="180"/>
      <c r="E1" s="180"/>
      <c r="F1" s="180"/>
    </row>
    <row r="2" spans="1:7" ht="23.25" customHeight="1" x14ac:dyDescent="0.35">
      <c r="A2" s="911" t="s">
        <v>157</v>
      </c>
      <c r="B2" s="911"/>
      <c r="C2" s="911"/>
      <c r="D2" s="911"/>
      <c r="E2" s="911"/>
      <c r="F2" s="911"/>
    </row>
    <row r="3" spans="1:7" ht="21.75" thickBot="1" x14ac:dyDescent="0.4">
      <c r="A3" s="155" t="s">
        <v>12</v>
      </c>
      <c r="F3" s="308" t="s">
        <v>201</v>
      </c>
      <c r="G3" s="155"/>
    </row>
    <row r="4" spans="1:7" ht="18.75" customHeight="1" x14ac:dyDescent="0.35">
      <c r="A4" s="914" t="s">
        <v>155</v>
      </c>
      <c r="B4" s="915"/>
      <c r="C4" s="185" t="s">
        <v>418</v>
      </c>
      <c r="D4" s="185" t="s">
        <v>439</v>
      </c>
      <c r="E4" s="185" t="s">
        <v>672</v>
      </c>
      <c r="F4" s="185" t="s">
        <v>671</v>
      </c>
      <c r="G4" s="155"/>
    </row>
    <row r="5" spans="1:7" ht="44.25" customHeight="1" thickBot="1" x14ac:dyDescent="0.4">
      <c r="A5" s="186"/>
      <c r="B5" s="187"/>
      <c r="C5" s="370" t="s">
        <v>674</v>
      </c>
      <c r="D5" s="370" t="s">
        <v>331</v>
      </c>
      <c r="E5" s="370" t="s">
        <v>673</v>
      </c>
      <c r="F5" s="370" t="s">
        <v>344</v>
      </c>
      <c r="G5" s="155"/>
    </row>
    <row r="6" spans="1:7" ht="21" x14ac:dyDescent="0.35">
      <c r="A6" s="504" t="s">
        <v>166</v>
      </c>
      <c r="B6" s="505" t="s">
        <v>128</v>
      </c>
      <c r="C6" s="636"/>
      <c r="D6" s="94"/>
      <c r="E6" s="94"/>
      <c r="F6" s="94"/>
      <c r="G6" s="155"/>
    </row>
    <row r="7" spans="1:7" ht="21" x14ac:dyDescent="0.35">
      <c r="A7" s="177"/>
      <c r="B7" s="490" t="s">
        <v>431</v>
      </c>
      <c r="C7" s="642"/>
      <c r="D7" s="578"/>
      <c r="E7" s="656">
        <v>81755</v>
      </c>
      <c r="F7" s="656">
        <f t="shared" ref="F7:F70" si="0">SUM(D7:E7)</f>
        <v>81755</v>
      </c>
      <c r="G7" s="155"/>
    </row>
    <row r="8" spans="1:7" ht="21" x14ac:dyDescent="0.35">
      <c r="A8" s="177"/>
      <c r="B8" s="490" t="s">
        <v>540</v>
      </c>
      <c r="C8" s="642">
        <v>2308</v>
      </c>
      <c r="D8" s="90"/>
      <c r="E8" s="95">
        <v>47692</v>
      </c>
      <c r="F8" s="95">
        <f t="shared" si="0"/>
        <v>47692</v>
      </c>
      <c r="G8" s="155"/>
    </row>
    <row r="9" spans="1:7" ht="21" x14ac:dyDescent="0.35">
      <c r="A9" s="506"/>
      <c r="B9" s="507" t="s">
        <v>153</v>
      </c>
      <c r="C9" s="91">
        <f>SUM(C7:C8)</f>
        <v>2308</v>
      </c>
      <c r="D9" s="89">
        <f>SUM(D7:D8)</f>
        <v>0</v>
      </c>
      <c r="E9" s="89">
        <f>SUM(E7:E8)</f>
        <v>129447</v>
      </c>
      <c r="F9" s="89">
        <f>SUM(F7:F8)</f>
        <v>129447</v>
      </c>
      <c r="G9" s="155"/>
    </row>
    <row r="10" spans="1:7" ht="15" customHeight="1" x14ac:dyDescent="0.35">
      <c r="A10" s="508" t="s">
        <v>167</v>
      </c>
      <c r="B10" s="509" t="s">
        <v>154</v>
      </c>
      <c r="C10" s="643"/>
      <c r="D10" s="97"/>
      <c r="E10" s="96"/>
      <c r="F10" s="96"/>
      <c r="G10" s="155"/>
    </row>
    <row r="11" spans="1:7" ht="21" x14ac:dyDescent="0.35">
      <c r="A11" s="504"/>
      <c r="B11" s="490" t="s">
        <v>552</v>
      </c>
      <c r="C11" s="642">
        <v>30426</v>
      </c>
      <c r="D11" s="85"/>
      <c r="E11" s="98">
        <f>76041</f>
        <v>76041</v>
      </c>
      <c r="F11" s="98">
        <f t="shared" si="0"/>
        <v>76041</v>
      </c>
      <c r="G11" s="155"/>
    </row>
    <row r="12" spans="1:7" ht="21" x14ac:dyDescent="0.35">
      <c r="A12" s="504"/>
      <c r="B12" s="490" t="s">
        <v>630</v>
      </c>
      <c r="C12" s="642"/>
      <c r="D12" s="85"/>
      <c r="E12" s="98">
        <f>19698</f>
        <v>19698</v>
      </c>
      <c r="F12" s="98">
        <f t="shared" ref="F12" si="1">SUM(D12:E12)</f>
        <v>19698</v>
      </c>
      <c r="G12" s="155"/>
    </row>
    <row r="13" spans="1:7" ht="21" x14ac:dyDescent="0.35">
      <c r="A13" s="504"/>
      <c r="B13" s="490" t="s">
        <v>638</v>
      </c>
      <c r="C13" s="642"/>
      <c r="D13" s="85">
        <v>200000</v>
      </c>
      <c r="E13" s="98">
        <f>3810+659-42660</f>
        <v>-38191</v>
      </c>
      <c r="F13" s="98">
        <f t="shared" si="0"/>
        <v>161809</v>
      </c>
      <c r="G13" s="155"/>
    </row>
    <row r="14" spans="1:7" ht="21" x14ac:dyDescent="0.35">
      <c r="A14" s="504"/>
      <c r="B14" s="490" t="s">
        <v>700</v>
      </c>
      <c r="C14" s="642"/>
      <c r="D14" s="85"/>
      <c r="E14" s="98">
        <v>42660</v>
      </c>
      <c r="F14" s="98">
        <f t="shared" ref="F14" si="2">SUM(D14:E14)</f>
        <v>42660</v>
      </c>
      <c r="G14" s="155"/>
    </row>
    <row r="15" spans="1:7" ht="21" x14ac:dyDescent="0.35">
      <c r="A15" s="504"/>
      <c r="B15" s="666" t="s">
        <v>698</v>
      </c>
      <c r="C15" s="667"/>
      <c r="D15" s="99"/>
      <c r="E15" s="668">
        <v>1400</v>
      </c>
      <c r="F15" s="98">
        <f t="shared" si="0"/>
        <v>1400</v>
      </c>
      <c r="G15" s="155"/>
    </row>
    <row r="16" spans="1:7" ht="21" x14ac:dyDescent="0.35">
      <c r="A16" s="506"/>
      <c r="B16" s="507" t="s">
        <v>124</v>
      </c>
      <c r="C16" s="91">
        <f>SUM(C11:C15)</f>
        <v>30426</v>
      </c>
      <c r="D16" s="91">
        <f t="shared" ref="D16:F16" si="3">SUM(D11:D15)</f>
        <v>200000</v>
      </c>
      <c r="E16" s="91">
        <f t="shared" si="3"/>
        <v>101608</v>
      </c>
      <c r="F16" s="91">
        <f t="shared" si="3"/>
        <v>301608</v>
      </c>
      <c r="G16" s="155"/>
    </row>
    <row r="17" spans="1:9" ht="20.25" customHeight="1" x14ac:dyDescent="0.35">
      <c r="A17" s="504" t="s">
        <v>168</v>
      </c>
      <c r="B17" s="509" t="s">
        <v>170</v>
      </c>
      <c r="C17" s="643"/>
      <c r="D17" s="97"/>
      <c r="E17" s="97"/>
      <c r="F17" s="97"/>
      <c r="G17" s="155"/>
    </row>
    <row r="18" spans="1:9" ht="21" x14ac:dyDescent="0.35">
      <c r="A18" s="177"/>
      <c r="B18" s="511" t="s">
        <v>342</v>
      </c>
      <c r="C18" s="5">
        <v>2568</v>
      </c>
      <c r="D18" s="85"/>
      <c r="E18" s="5">
        <f>10432+80</f>
        <v>10512</v>
      </c>
      <c r="F18" s="5">
        <f t="shared" si="0"/>
        <v>10512</v>
      </c>
      <c r="G18" s="155"/>
    </row>
    <row r="19" spans="1:9" ht="21" x14ac:dyDescent="0.35">
      <c r="A19" s="177"/>
      <c r="B19" s="161" t="s">
        <v>526</v>
      </c>
      <c r="C19" s="578">
        <v>49257</v>
      </c>
      <c r="D19" s="86"/>
      <c r="E19" s="7"/>
      <c r="F19" s="7">
        <f t="shared" si="0"/>
        <v>0</v>
      </c>
      <c r="G19" s="155"/>
    </row>
    <row r="20" spans="1:9" ht="21" x14ac:dyDescent="0.35">
      <c r="A20" s="177"/>
      <c r="B20" s="161" t="s">
        <v>463</v>
      </c>
      <c r="C20" s="639">
        <v>5499</v>
      </c>
      <c r="D20" s="99"/>
      <c r="E20" s="12"/>
      <c r="F20" s="12">
        <f t="shared" si="0"/>
        <v>0</v>
      </c>
      <c r="G20" s="155"/>
    </row>
    <row r="21" spans="1:9" ht="21" x14ac:dyDescent="0.35">
      <c r="A21" s="506"/>
      <c r="B21" s="512" t="s">
        <v>137</v>
      </c>
      <c r="C21" s="91">
        <f>SUM(C18:C20)</f>
        <v>57324</v>
      </c>
      <c r="D21" s="89">
        <f>SUM(D18:D20)</f>
        <v>0</v>
      </c>
      <c r="E21" s="89">
        <f>SUM(E18:E20)</f>
        <v>10512</v>
      </c>
      <c r="F21" s="89">
        <f>SUM(F18:F20)</f>
        <v>10512</v>
      </c>
      <c r="G21" s="155"/>
      <c r="I21" s="513"/>
    </row>
    <row r="22" spans="1:9" ht="21" customHeight="1" x14ac:dyDescent="0.35">
      <c r="A22" s="504" t="s">
        <v>169</v>
      </c>
      <c r="B22" s="509" t="s">
        <v>138</v>
      </c>
      <c r="C22" s="643"/>
      <c r="D22" s="97"/>
      <c r="E22" s="97"/>
      <c r="F22" s="97"/>
      <c r="G22" s="155"/>
    </row>
    <row r="23" spans="1:9" ht="21" x14ac:dyDescent="0.35">
      <c r="A23" s="514" t="s">
        <v>164</v>
      </c>
      <c r="B23" s="515"/>
      <c r="C23" s="644"/>
      <c r="D23" s="100"/>
      <c r="E23" s="100"/>
      <c r="F23" s="100"/>
      <c r="G23" s="155"/>
    </row>
    <row r="24" spans="1:9" ht="21" x14ac:dyDescent="0.35">
      <c r="A24" s="177"/>
      <c r="B24" s="510" t="s">
        <v>266</v>
      </c>
      <c r="C24" s="5">
        <v>146499</v>
      </c>
      <c r="D24" s="5"/>
      <c r="E24" s="5">
        <f>202933+1307450</f>
        <v>1510383</v>
      </c>
      <c r="F24" s="5">
        <f t="shared" si="0"/>
        <v>1510383</v>
      </c>
      <c r="G24" s="155"/>
    </row>
    <row r="25" spans="1:9" ht="42" x14ac:dyDescent="0.35">
      <c r="A25" s="177"/>
      <c r="B25" s="516" t="s">
        <v>499</v>
      </c>
      <c r="C25" s="12">
        <v>37</v>
      </c>
      <c r="D25" s="12"/>
      <c r="E25" s="12">
        <v>275</v>
      </c>
      <c r="F25" s="12">
        <f t="shared" si="0"/>
        <v>275</v>
      </c>
      <c r="G25" s="155"/>
    </row>
    <row r="26" spans="1:9" ht="21" x14ac:dyDescent="0.35">
      <c r="A26" s="514" t="s">
        <v>163</v>
      </c>
      <c r="B26" s="515"/>
      <c r="C26" s="52"/>
      <c r="D26" s="52"/>
      <c r="E26" s="52"/>
      <c r="F26" s="52"/>
      <c r="G26" s="155"/>
    </row>
    <row r="27" spans="1:9" ht="21" x14ac:dyDescent="0.35">
      <c r="A27" s="177"/>
      <c r="B27" s="511" t="s">
        <v>420</v>
      </c>
      <c r="C27" s="578">
        <v>4191</v>
      </c>
      <c r="D27" s="85"/>
      <c r="E27" s="5">
        <v>1000</v>
      </c>
      <c r="F27" s="5">
        <f t="shared" si="0"/>
        <v>1000</v>
      </c>
      <c r="G27" s="155"/>
    </row>
    <row r="28" spans="1:9" ht="21" x14ac:dyDescent="0.35">
      <c r="A28" s="177"/>
      <c r="B28" s="511" t="s">
        <v>446</v>
      </c>
      <c r="C28" s="578"/>
      <c r="D28" s="85"/>
      <c r="E28" s="5">
        <f>33000+2020</f>
        <v>35020</v>
      </c>
      <c r="F28" s="5">
        <f t="shared" si="0"/>
        <v>35020</v>
      </c>
      <c r="G28" s="155"/>
    </row>
    <row r="29" spans="1:9" ht="21" x14ac:dyDescent="0.35">
      <c r="A29" s="177"/>
      <c r="B29" s="516" t="s">
        <v>452</v>
      </c>
      <c r="C29" s="5">
        <v>983</v>
      </c>
      <c r="D29" s="5"/>
      <c r="E29" s="5"/>
      <c r="F29" s="5">
        <f t="shared" si="0"/>
        <v>0</v>
      </c>
      <c r="G29" s="155"/>
    </row>
    <row r="30" spans="1:9" ht="21" x14ac:dyDescent="0.35">
      <c r="A30" s="177"/>
      <c r="B30" s="516" t="s">
        <v>676</v>
      </c>
      <c r="C30" s="5"/>
      <c r="D30" s="5"/>
      <c r="E30" s="5">
        <v>38449</v>
      </c>
      <c r="F30" s="5">
        <f t="shared" si="0"/>
        <v>38449</v>
      </c>
      <c r="G30" s="155"/>
    </row>
    <row r="31" spans="1:9" ht="21" x14ac:dyDescent="0.35">
      <c r="A31" s="177"/>
      <c r="B31" s="516" t="s">
        <v>646</v>
      </c>
      <c r="C31" s="5"/>
      <c r="D31" s="5">
        <v>150000</v>
      </c>
      <c r="E31" s="5"/>
      <c r="F31" s="5">
        <f t="shared" si="0"/>
        <v>150000</v>
      </c>
      <c r="G31" s="155"/>
    </row>
    <row r="32" spans="1:9" ht="21" x14ac:dyDescent="0.35">
      <c r="A32" s="514" t="s">
        <v>165</v>
      </c>
      <c r="B32" s="517"/>
      <c r="C32" s="638"/>
      <c r="D32" s="88"/>
      <c r="E32" s="52"/>
      <c r="F32" s="52"/>
      <c r="G32" s="155"/>
    </row>
    <row r="33" spans="1:7" ht="21" x14ac:dyDescent="0.35">
      <c r="A33" s="177"/>
      <c r="B33" s="511" t="s">
        <v>702</v>
      </c>
      <c r="C33" s="5"/>
      <c r="D33" s="85"/>
      <c r="E33" s="5">
        <v>100000</v>
      </c>
      <c r="F33" s="5">
        <f t="shared" si="0"/>
        <v>100000</v>
      </c>
      <c r="G33" s="155"/>
    </row>
    <row r="34" spans="1:7" ht="42" x14ac:dyDescent="0.35">
      <c r="A34" s="514"/>
      <c r="B34" s="511" t="s">
        <v>500</v>
      </c>
      <c r="C34" s="578">
        <v>565</v>
      </c>
      <c r="D34" s="85"/>
      <c r="E34" s="5">
        <v>20563</v>
      </c>
      <c r="F34" s="5">
        <f t="shared" si="0"/>
        <v>20563</v>
      </c>
      <c r="G34" s="155"/>
    </row>
    <row r="35" spans="1:7" ht="63" x14ac:dyDescent="0.35">
      <c r="A35" s="514"/>
      <c r="B35" s="511" t="s">
        <v>631</v>
      </c>
      <c r="C35" s="578"/>
      <c r="D35" s="85"/>
      <c r="E35" s="5">
        <v>3882</v>
      </c>
      <c r="F35" s="5">
        <f t="shared" si="0"/>
        <v>3882</v>
      </c>
      <c r="G35" s="155"/>
    </row>
    <row r="36" spans="1:7" ht="21" x14ac:dyDescent="0.35">
      <c r="A36" s="177"/>
      <c r="B36" s="511" t="s">
        <v>114</v>
      </c>
      <c r="C36" s="5"/>
      <c r="D36" s="85"/>
      <c r="E36" s="5">
        <v>2807</v>
      </c>
      <c r="F36" s="5">
        <f t="shared" si="0"/>
        <v>2807</v>
      </c>
      <c r="G36" s="155"/>
    </row>
    <row r="37" spans="1:7" ht="21" x14ac:dyDescent="0.35">
      <c r="A37" s="176"/>
      <c r="B37" s="576" t="s">
        <v>705</v>
      </c>
      <c r="C37" s="642"/>
      <c r="D37" s="85"/>
      <c r="E37" s="5">
        <v>7000</v>
      </c>
      <c r="F37" s="5">
        <f t="shared" si="0"/>
        <v>7000</v>
      </c>
      <c r="G37" s="155"/>
    </row>
    <row r="38" spans="1:7" ht="42" x14ac:dyDescent="0.35">
      <c r="A38" s="176"/>
      <c r="B38" s="576" t="s">
        <v>432</v>
      </c>
      <c r="C38" s="642"/>
      <c r="D38" s="85"/>
      <c r="E38" s="5">
        <v>7608</v>
      </c>
      <c r="F38" s="5">
        <f t="shared" si="0"/>
        <v>7608</v>
      </c>
      <c r="G38" s="155"/>
    </row>
    <row r="39" spans="1:7" ht="21" x14ac:dyDescent="0.35">
      <c r="A39" s="514" t="s">
        <v>16</v>
      </c>
      <c r="B39" s="517"/>
      <c r="C39" s="12"/>
      <c r="D39" s="99"/>
      <c r="E39" s="52"/>
      <c r="F39" s="52"/>
      <c r="G39" s="155"/>
    </row>
    <row r="40" spans="1:7" ht="25.15" customHeight="1" x14ac:dyDescent="0.35">
      <c r="A40" s="177"/>
      <c r="B40" s="510" t="s">
        <v>413</v>
      </c>
      <c r="C40" s="578">
        <v>1841</v>
      </c>
      <c r="D40" s="85"/>
      <c r="E40" s="5">
        <v>6365</v>
      </c>
      <c r="F40" s="5">
        <f t="shared" si="0"/>
        <v>6365</v>
      </c>
      <c r="G40" s="155"/>
    </row>
    <row r="41" spans="1:7" ht="21" x14ac:dyDescent="0.35">
      <c r="A41" s="916" t="s">
        <v>9</v>
      </c>
      <c r="B41" s="917"/>
      <c r="C41" s="644"/>
      <c r="D41" s="99"/>
      <c r="E41" s="52"/>
      <c r="F41" s="52"/>
      <c r="G41" s="155"/>
    </row>
    <row r="42" spans="1:7" ht="21" x14ac:dyDescent="0.35">
      <c r="A42" s="514"/>
      <c r="B42" s="490" t="s">
        <v>649</v>
      </c>
      <c r="C42" s="642"/>
      <c r="D42" s="5">
        <f>3000+6000</f>
        <v>9000</v>
      </c>
      <c r="E42" s="5"/>
      <c r="F42" s="5">
        <f t="shared" si="0"/>
        <v>9000</v>
      </c>
      <c r="G42" s="155"/>
    </row>
    <row r="43" spans="1:7" ht="21" x14ac:dyDescent="0.35">
      <c r="A43" s="514"/>
      <c r="B43" s="490" t="s">
        <v>632</v>
      </c>
      <c r="C43" s="642">
        <v>2005</v>
      </c>
      <c r="D43" s="5"/>
      <c r="E43" s="5"/>
      <c r="F43" s="5">
        <f t="shared" si="0"/>
        <v>0</v>
      </c>
      <c r="G43" s="155"/>
    </row>
    <row r="44" spans="1:7" ht="21" x14ac:dyDescent="0.35">
      <c r="A44" s="514"/>
      <c r="B44" s="490" t="s">
        <v>633</v>
      </c>
      <c r="C44" s="642">
        <v>2256</v>
      </c>
      <c r="D44" s="5"/>
      <c r="E44" s="5">
        <v>244</v>
      </c>
      <c r="F44" s="5">
        <f t="shared" si="0"/>
        <v>244</v>
      </c>
      <c r="G44" s="155"/>
    </row>
    <row r="45" spans="1:7" ht="21" x14ac:dyDescent="0.35">
      <c r="A45" s="514"/>
      <c r="B45" s="490" t="s">
        <v>645</v>
      </c>
      <c r="C45" s="642"/>
      <c r="D45" s="7">
        <v>1200</v>
      </c>
      <c r="E45" s="7"/>
      <c r="F45" s="7">
        <f t="shared" si="0"/>
        <v>1200</v>
      </c>
      <c r="G45" s="155"/>
    </row>
    <row r="46" spans="1:7" ht="21" x14ac:dyDescent="0.35">
      <c r="A46" s="514" t="s">
        <v>19</v>
      </c>
      <c r="B46" s="517"/>
      <c r="C46" s="12"/>
      <c r="D46" s="12"/>
      <c r="E46" s="12"/>
      <c r="F46" s="12"/>
      <c r="G46" s="155"/>
    </row>
    <row r="47" spans="1:7" ht="21" x14ac:dyDescent="0.35">
      <c r="A47" s="176"/>
      <c r="B47" s="190" t="s">
        <v>650</v>
      </c>
      <c r="C47" s="642">
        <v>17289</v>
      </c>
      <c r="D47" s="85">
        <f>10000+79000+67000-10000-25440-5000-2260+60000-42842</f>
        <v>130458</v>
      </c>
      <c r="E47" s="85">
        <f>24255-2020-3810-1400-1050-284-1257-960-1219</f>
        <v>12255</v>
      </c>
      <c r="F47" s="85">
        <f t="shared" si="0"/>
        <v>142713</v>
      </c>
      <c r="G47" s="155"/>
    </row>
    <row r="48" spans="1:7" ht="42" x14ac:dyDescent="0.35">
      <c r="A48" s="177"/>
      <c r="B48" s="190" t="s">
        <v>612</v>
      </c>
      <c r="C48" s="642">
        <v>3175</v>
      </c>
      <c r="D48" s="85"/>
      <c r="E48" s="5">
        <v>390793</v>
      </c>
      <c r="F48" s="5">
        <f t="shared" si="0"/>
        <v>390793</v>
      </c>
      <c r="G48" s="155"/>
    </row>
    <row r="49" spans="1:7" ht="42" x14ac:dyDescent="0.35">
      <c r="A49" s="177"/>
      <c r="B49" s="190" t="s">
        <v>679</v>
      </c>
      <c r="C49" s="642"/>
      <c r="D49" s="85"/>
      <c r="E49" s="5">
        <v>960</v>
      </c>
      <c r="F49" s="5">
        <f t="shared" si="0"/>
        <v>960</v>
      </c>
      <c r="G49" s="155"/>
    </row>
    <row r="50" spans="1:7" ht="21" x14ac:dyDescent="0.35">
      <c r="A50" s="177"/>
      <c r="B50" s="190" t="s">
        <v>613</v>
      </c>
      <c r="C50" s="642">
        <v>3175</v>
      </c>
      <c r="D50" s="85"/>
      <c r="E50" s="5">
        <v>40849</v>
      </c>
      <c r="F50" s="5">
        <f t="shared" si="0"/>
        <v>40849</v>
      </c>
      <c r="G50" s="155"/>
    </row>
    <row r="51" spans="1:7" ht="21" x14ac:dyDescent="0.35">
      <c r="A51" s="177"/>
      <c r="B51" s="190" t="s">
        <v>614</v>
      </c>
      <c r="C51" s="642">
        <v>3302</v>
      </c>
      <c r="D51" s="85"/>
      <c r="E51" s="5">
        <v>419999</v>
      </c>
      <c r="F51" s="5">
        <f t="shared" si="0"/>
        <v>419999</v>
      </c>
      <c r="G51" s="155"/>
    </row>
    <row r="52" spans="1:7" ht="21" x14ac:dyDescent="0.35">
      <c r="A52" s="177"/>
      <c r="B52" s="190" t="s">
        <v>615</v>
      </c>
      <c r="C52" s="642">
        <v>3493</v>
      </c>
      <c r="D52" s="85"/>
      <c r="E52" s="5">
        <v>1022</v>
      </c>
      <c r="F52" s="5">
        <f t="shared" si="0"/>
        <v>1022</v>
      </c>
      <c r="G52" s="155"/>
    </row>
    <row r="53" spans="1:7" ht="21" x14ac:dyDescent="0.35">
      <c r="A53" s="177"/>
      <c r="B53" s="190" t="s">
        <v>616</v>
      </c>
      <c r="C53" s="642">
        <v>3175</v>
      </c>
      <c r="D53" s="85"/>
      <c r="E53" s="5">
        <v>585935</v>
      </c>
      <c r="F53" s="5">
        <f t="shared" si="0"/>
        <v>585935</v>
      </c>
      <c r="G53" s="155"/>
    </row>
    <row r="54" spans="1:7" ht="21" x14ac:dyDescent="0.35">
      <c r="A54" s="177"/>
      <c r="B54" s="190" t="s">
        <v>680</v>
      </c>
      <c r="C54" s="642"/>
      <c r="D54" s="85"/>
      <c r="E54" s="5">
        <v>1219</v>
      </c>
      <c r="F54" s="5">
        <f t="shared" si="0"/>
        <v>1219</v>
      </c>
      <c r="G54" s="155"/>
    </row>
    <row r="55" spans="1:7" ht="21" x14ac:dyDescent="0.35">
      <c r="A55" s="177"/>
      <c r="B55" s="190" t="s">
        <v>617</v>
      </c>
      <c r="C55" s="642">
        <v>3175</v>
      </c>
      <c r="D55" s="85"/>
      <c r="E55" s="5">
        <v>446011</v>
      </c>
      <c r="F55" s="5">
        <f t="shared" si="0"/>
        <v>446011</v>
      </c>
      <c r="G55" s="155"/>
    </row>
    <row r="56" spans="1:7" ht="21" x14ac:dyDescent="0.35">
      <c r="A56" s="177"/>
      <c r="B56" s="190" t="s">
        <v>618</v>
      </c>
      <c r="C56" s="642">
        <v>3175</v>
      </c>
      <c r="D56" s="85"/>
      <c r="E56" s="5">
        <v>457009</v>
      </c>
      <c r="F56" s="5">
        <f t="shared" si="0"/>
        <v>457009</v>
      </c>
      <c r="G56" s="155"/>
    </row>
    <row r="57" spans="1:7" ht="21" x14ac:dyDescent="0.35">
      <c r="A57" s="177"/>
      <c r="B57" s="190" t="s">
        <v>619</v>
      </c>
      <c r="C57" s="642">
        <v>3175</v>
      </c>
      <c r="D57" s="85"/>
      <c r="E57" s="5">
        <v>1023</v>
      </c>
      <c r="F57" s="5">
        <f t="shared" si="0"/>
        <v>1023</v>
      </c>
      <c r="G57" s="155"/>
    </row>
    <row r="58" spans="1:7" ht="21" x14ac:dyDescent="0.35">
      <c r="A58" s="177"/>
      <c r="B58" s="190" t="s">
        <v>620</v>
      </c>
      <c r="C58" s="642">
        <v>3175</v>
      </c>
      <c r="D58" s="85"/>
      <c r="E58" s="5">
        <v>5334</v>
      </c>
      <c r="F58" s="5">
        <f t="shared" si="0"/>
        <v>5334</v>
      </c>
      <c r="G58" s="155"/>
    </row>
    <row r="59" spans="1:7" ht="21" x14ac:dyDescent="0.35">
      <c r="A59" s="177"/>
      <c r="B59" s="190" t="s">
        <v>621</v>
      </c>
      <c r="C59" s="642"/>
      <c r="D59" s="85"/>
      <c r="E59" s="5">
        <v>4873</v>
      </c>
      <c r="F59" s="5">
        <f t="shared" si="0"/>
        <v>4873</v>
      </c>
      <c r="G59" s="155"/>
    </row>
    <row r="60" spans="1:7" ht="21" x14ac:dyDescent="0.35">
      <c r="A60" s="177"/>
      <c r="B60" s="190" t="s">
        <v>622</v>
      </c>
      <c r="C60" s="642"/>
      <c r="D60" s="85"/>
      <c r="E60" s="5">
        <v>474062</v>
      </c>
      <c r="F60" s="5">
        <f t="shared" si="0"/>
        <v>474062</v>
      </c>
      <c r="G60" s="155"/>
    </row>
    <row r="61" spans="1:7" ht="21" x14ac:dyDescent="0.35">
      <c r="A61" s="177"/>
      <c r="B61" s="190" t="s">
        <v>623</v>
      </c>
      <c r="C61" s="642"/>
      <c r="D61" s="85"/>
      <c r="E61" s="5">
        <v>662601</v>
      </c>
      <c r="F61" s="5">
        <f t="shared" si="0"/>
        <v>662601</v>
      </c>
      <c r="G61" s="155"/>
    </row>
    <row r="62" spans="1:7" ht="21" x14ac:dyDescent="0.35">
      <c r="A62" s="177"/>
      <c r="B62" s="190" t="s">
        <v>624</v>
      </c>
      <c r="C62" s="642">
        <v>952</v>
      </c>
      <c r="D62" s="85"/>
      <c r="E62" s="5">
        <v>1665485</v>
      </c>
      <c r="F62" s="5">
        <f t="shared" si="0"/>
        <v>1665485</v>
      </c>
      <c r="G62" s="155"/>
    </row>
    <row r="63" spans="1:7" ht="21" x14ac:dyDescent="0.35">
      <c r="A63" s="177"/>
      <c r="B63" s="190" t="s">
        <v>625</v>
      </c>
      <c r="C63" s="642"/>
      <c r="D63" s="85"/>
      <c r="E63" s="5">
        <v>514871</v>
      </c>
      <c r="F63" s="5">
        <f t="shared" si="0"/>
        <v>514871</v>
      </c>
      <c r="G63" s="155"/>
    </row>
    <row r="64" spans="1:7" ht="42" x14ac:dyDescent="0.35">
      <c r="A64" s="177"/>
      <c r="B64" s="190" t="s">
        <v>703</v>
      </c>
      <c r="C64" s="642"/>
      <c r="D64" s="85"/>
      <c r="E64" s="5">
        <v>1257</v>
      </c>
      <c r="F64" s="5">
        <f t="shared" si="0"/>
        <v>1257</v>
      </c>
      <c r="G64" s="155"/>
    </row>
    <row r="65" spans="1:7" ht="21" x14ac:dyDescent="0.35">
      <c r="A65" s="177"/>
      <c r="B65" s="190" t="s">
        <v>605</v>
      </c>
      <c r="C65" s="642">
        <v>450</v>
      </c>
      <c r="D65" s="85"/>
      <c r="E65" s="5">
        <v>224700</v>
      </c>
      <c r="F65" s="5">
        <f t="shared" si="0"/>
        <v>224700</v>
      </c>
      <c r="G65" s="155"/>
    </row>
    <row r="66" spans="1:7" ht="21" x14ac:dyDescent="0.35">
      <c r="A66" s="177"/>
      <c r="B66" s="190" t="s">
        <v>606</v>
      </c>
      <c r="C66" s="642"/>
      <c r="D66" s="85"/>
      <c r="E66" s="5">
        <v>194800</v>
      </c>
      <c r="F66" s="5">
        <f t="shared" si="0"/>
        <v>194800</v>
      </c>
      <c r="G66" s="155"/>
    </row>
    <row r="67" spans="1:7" ht="21" x14ac:dyDescent="0.35">
      <c r="A67" s="177"/>
      <c r="B67" s="190" t="s">
        <v>607</v>
      </c>
      <c r="C67" s="642"/>
      <c r="D67" s="85"/>
      <c r="E67" s="5">
        <v>358920</v>
      </c>
      <c r="F67" s="5">
        <f t="shared" si="0"/>
        <v>358920</v>
      </c>
      <c r="G67" s="155"/>
    </row>
    <row r="68" spans="1:7" ht="21" x14ac:dyDescent="0.35">
      <c r="A68" s="177"/>
      <c r="B68" s="190" t="s">
        <v>608</v>
      </c>
      <c r="C68" s="642">
        <v>3810</v>
      </c>
      <c r="D68" s="85"/>
      <c r="E68" s="5">
        <v>105663</v>
      </c>
      <c r="F68" s="5">
        <f t="shared" si="0"/>
        <v>105663</v>
      </c>
      <c r="G68" s="155"/>
    </row>
    <row r="69" spans="1:7" ht="21" x14ac:dyDescent="0.35">
      <c r="A69" s="177"/>
      <c r="B69" s="190" t="s">
        <v>609</v>
      </c>
      <c r="C69" s="642">
        <v>51</v>
      </c>
      <c r="D69" s="85"/>
      <c r="E69" s="5">
        <v>647020</v>
      </c>
      <c r="F69" s="5">
        <f t="shared" si="0"/>
        <v>647020</v>
      </c>
      <c r="G69" s="155"/>
    </row>
    <row r="70" spans="1:7" ht="21" x14ac:dyDescent="0.35">
      <c r="A70" s="177"/>
      <c r="B70" s="190" t="s">
        <v>610</v>
      </c>
      <c r="C70" s="642"/>
      <c r="D70" s="85"/>
      <c r="E70" s="5">
        <v>544045</v>
      </c>
      <c r="F70" s="5">
        <f t="shared" si="0"/>
        <v>544045</v>
      </c>
      <c r="G70" s="155"/>
    </row>
    <row r="71" spans="1:7" ht="21" x14ac:dyDescent="0.35">
      <c r="A71" s="177"/>
      <c r="B71" s="190" t="s">
        <v>611</v>
      </c>
      <c r="C71" s="642">
        <v>6350</v>
      </c>
      <c r="D71" s="85"/>
      <c r="E71" s="5">
        <v>187715</v>
      </c>
      <c r="F71" s="5">
        <f t="shared" ref="F71:F75" si="4">SUM(D71:E71)</f>
        <v>187715</v>
      </c>
      <c r="G71" s="155"/>
    </row>
    <row r="72" spans="1:7" ht="42" x14ac:dyDescent="0.35">
      <c r="A72" s="177"/>
      <c r="B72" s="190" t="s">
        <v>677</v>
      </c>
      <c r="C72" s="642"/>
      <c r="D72" s="85"/>
      <c r="E72" s="5">
        <f>1050+284</f>
        <v>1334</v>
      </c>
      <c r="F72" s="5">
        <f t="shared" si="4"/>
        <v>1334</v>
      </c>
      <c r="G72" s="155"/>
    </row>
    <row r="73" spans="1:7" ht="21" x14ac:dyDescent="0.35">
      <c r="A73" s="177"/>
      <c r="B73" s="333" t="s">
        <v>382</v>
      </c>
      <c r="C73" s="63"/>
      <c r="D73" s="85">
        <v>7966774</v>
      </c>
      <c r="E73" s="5">
        <v>-7966774</v>
      </c>
      <c r="F73" s="5">
        <f t="shared" si="4"/>
        <v>0</v>
      </c>
      <c r="G73" s="155"/>
    </row>
    <row r="74" spans="1:7" ht="42" x14ac:dyDescent="0.35">
      <c r="A74" s="177"/>
      <c r="B74" s="158" t="s">
        <v>430</v>
      </c>
      <c r="C74" s="63"/>
      <c r="D74" s="85"/>
      <c r="E74" s="5">
        <v>82</v>
      </c>
      <c r="F74" s="5">
        <f t="shared" si="4"/>
        <v>82</v>
      </c>
      <c r="G74" s="155"/>
    </row>
    <row r="75" spans="1:7" ht="21.75" thickBot="1" x14ac:dyDescent="0.4">
      <c r="A75" s="177"/>
      <c r="B75" s="158" t="s">
        <v>525</v>
      </c>
      <c r="C75" s="63">
        <v>5903</v>
      </c>
      <c r="D75" s="85"/>
      <c r="E75" s="5">
        <v>24707</v>
      </c>
      <c r="F75" s="5">
        <f t="shared" si="4"/>
        <v>24707</v>
      </c>
      <c r="G75" s="155"/>
    </row>
    <row r="76" spans="1:7" ht="21.75" thickBot="1" x14ac:dyDescent="0.4">
      <c r="A76" s="518"/>
      <c r="B76" s="519" t="s">
        <v>190</v>
      </c>
      <c r="C76" s="11">
        <f>SUM(C24:C75)</f>
        <v>222202</v>
      </c>
      <c r="D76" s="11">
        <f>SUM(D24:D75)</f>
        <v>8257432</v>
      </c>
      <c r="E76" s="11">
        <f>SUM(E24:E75)</f>
        <v>1741366</v>
      </c>
      <c r="F76" s="11">
        <f>SUM(F24:F75)</f>
        <v>9998798</v>
      </c>
      <c r="G76" s="155"/>
    </row>
    <row r="77" spans="1:7" ht="21.75" thickBot="1" x14ac:dyDescent="0.4">
      <c r="A77" s="520" t="s">
        <v>171</v>
      </c>
      <c r="B77" s="521" t="s">
        <v>662</v>
      </c>
      <c r="C77" s="645">
        <v>1027</v>
      </c>
      <c r="D77" s="101"/>
      <c r="E77" s="172">
        <v>173</v>
      </c>
      <c r="F77" s="172">
        <f>SUM(D77:E77)</f>
        <v>173</v>
      </c>
      <c r="G77" s="155"/>
    </row>
    <row r="78" spans="1:7" ht="20.25" customHeight="1" thickBot="1" x14ac:dyDescent="0.4">
      <c r="A78" s="485" t="s">
        <v>291</v>
      </c>
      <c r="B78" s="577"/>
      <c r="C78" s="635">
        <f>C9+C16+C21+C76+C77</f>
        <v>313287</v>
      </c>
      <c r="D78" s="87">
        <f>D9+D16+D21+D76+D77</f>
        <v>8457432</v>
      </c>
      <c r="E78" s="87">
        <f>E9+E16+E21+E76+E77</f>
        <v>1983106</v>
      </c>
      <c r="F78" s="87">
        <f>F9+F16+F21+F76+F77</f>
        <v>10440538</v>
      </c>
      <c r="G78" s="155"/>
    </row>
    <row r="79" spans="1:7" ht="15" customHeight="1" x14ac:dyDescent="0.35">
      <c r="C79" s="646"/>
    </row>
    <row r="80" spans="1:7" ht="15" customHeight="1" x14ac:dyDescent="0.35">
      <c r="C80" s="646"/>
    </row>
    <row r="81" spans="3:6" ht="15" customHeight="1" x14ac:dyDescent="0.35">
      <c r="C81" s="646"/>
      <c r="D81" s="503"/>
      <c r="F81" s="503"/>
    </row>
    <row r="82" spans="3:6" ht="15" customHeight="1" x14ac:dyDescent="0.35">
      <c r="D82" s="503"/>
      <c r="F82" s="503"/>
    </row>
    <row r="83" spans="3:6" ht="15" customHeight="1" x14ac:dyDescent="0.35">
      <c r="D83" s="503"/>
      <c r="F83" s="503"/>
    </row>
  </sheetData>
  <customSheetViews>
    <customSheetView guid="{6D4B996F-8915-4E78-98C2-E7EAE9C4580C}" scale="75" showRuler="0">
      <selection activeCell="C29" sqref="C29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1"/>
      <headerFooter alignWithMargins="0">
        <oddHeader>&amp;C&amp;R&amp;"Times New Roman CE,Félkövér"&amp;16F.1.sz. melléklet&amp;"Times New Roman CE,Normál"&amp;8</oddHeader>
      </headerFooter>
    </customSheetView>
    <customSheetView guid="{186732C5-520C-4E06-B066-B4F3F0A3E322}" scale="75" showRuler="0" topLeftCell="A89">
      <selection activeCell="C26" sqref="C26"/>
      <rowBreaks count="1" manualBreakCount="1">
        <brk id="71" max="6" man="1"/>
      </rowBreaks>
      <pageMargins left="0" right="0" top="0" bottom="0" header="0.11811023622047245" footer="0"/>
      <printOptions horizontalCentered="1" verticalCentered="1"/>
      <pageSetup paperSize="9" scale="60" orientation="portrait" horizontalDpi="300" verticalDpi="300" r:id="rId2"/>
      <headerFooter alignWithMargins="0">
        <oddHeader>&amp;C&amp;R&amp;"Times New Roman CE,Félkövér"&amp;16F.1.sz. melléklet&amp;"Times New Roman CE,Normál"&amp;8</oddHeader>
      </headerFooter>
    </customSheetView>
  </customSheetViews>
  <mergeCells count="3">
    <mergeCell ref="A4:B4"/>
    <mergeCell ref="A41:B41"/>
    <mergeCell ref="A2:F2"/>
  </mergeCells>
  <phoneticPr fontId="0" type="noConversion"/>
  <printOptions horizontalCentered="1" verticalCentered="1"/>
  <pageMargins left="0.39370078740157483" right="0.19685039370078741" top="0" bottom="0" header="0" footer="0.51181102362204722"/>
  <pageSetup paperSize="9" scale="38" fitToHeight="0" orientation="portrait" r:id="rId3"/>
  <headerFooter alignWithMargins="0">
    <oddHeader xml:space="preserve">&amp;R&amp;"-,Félkövér"&amp;14 18. melléklet a ..../2026. (......) önkormányzati rendelethez
"18. melléklet a 3/2026.(II.27.) önkormányzati rendelethez"
 &amp;"Times New Roman CE,Félkövér"&amp;20
</oddHeader>
  </headerFooter>
  <rowBreaks count="1" manualBreakCount="1">
    <brk id="78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22"/>
  <sheetViews>
    <sheetView zoomScale="89" zoomScaleNormal="89" workbookViewId="0">
      <selection activeCell="P17" sqref="P17"/>
    </sheetView>
  </sheetViews>
  <sheetFormatPr defaultColWidth="9.33203125" defaultRowHeight="21" x14ac:dyDescent="0.35"/>
  <cols>
    <col min="1" max="1" width="102.83203125" style="522" customWidth="1"/>
    <col min="2" max="2" width="23.83203125" style="522" bestFit="1" customWidth="1"/>
    <col min="3" max="3" width="22.1640625" style="522" bestFit="1" customWidth="1"/>
    <col min="4" max="5" width="20.83203125" style="522" customWidth="1"/>
    <col min="6" max="6" width="22.1640625" style="522" bestFit="1" customWidth="1"/>
    <col min="7" max="14" width="20.83203125" style="522" customWidth="1"/>
    <col min="15" max="15" width="9.33203125" style="522"/>
    <col min="16" max="16" width="16.5" style="545" bestFit="1" customWidth="1"/>
    <col min="17" max="17" width="14.6640625" style="545" bestFit="1" customWidth="1"/>
    <col min="18" max="18" width="17.33203125" style="545" customWidth="1"/>
    <col min="19" max="19" width="13.33203125" style="545" bestFit="1" customWidth="1"/>
    <col min="20" max="21" width="9.33203125" style="545"/>
    <col min="22" max="16384" width="9.33203125" style="522"/>
  </cols>
  <sheetData>
    <row r="1" spans="1:21" s="524" customFormat="1" x14ac:dyDescent="0.35">
      <c r="A1" s="45" t="s">
        <v>668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P1" s="525"/>
      <c r="Q1" s="525"/>
      <c r="R1" s="525"/>
      <c r="S1" s="525"/>
      <c r="T1" s="525"/>
      <c r="U1" s="525"/>
    </row>
    <row r="2" spans="1:21" s="524" customFormat="1" x14ac:dyDescent="0.35">
      <c r="A2" s="918"/>
      <c r="B2" s="918"/>
      <c r="P2" s="525"/>
      <c r="Q2" s="525"/>
      <c r="R2" s="525"/>
      <c r="S2" s="525"/>
      <c r="T2" s="525"/>
      <c r="U2" s="525"/>
    </row>
    <row r="3" spans="1:21" s="524" customFormat="1" ht="21.75" thickBot="1" x14ac:dyDescent="0.4">
      <c r="N3" s="526" t="s">
        <v>345</v>
      </c>
      <c r="P3" s="525"/>
      <c r="Q3" s="525"/>
      <c r="R3" s="525"/>
      <c r="S3" s="525"/>
      <c r="T3" s="525"/>
      <c r="U3" s="525"/>
    </row>
    <row r="4" spans="1:21" s="524" customFormat="1" ht="20.100000000000001" customHeight="1" x14ac:dyDescent="0.35">
      <c r="A4" s="527" t="s">
        <v>200</v>
      </c>
      <c r="B4" s="528" t="s">
        <v>216</v>
      </c>
      <c r="C4" s="528" t="s">
        <v>166</v>
      </c>
      <c r="D4" s="528" t="s">
        <v>167</v>
      </c>
      <c r="E4" s="528" t="s">
        <v>168</v>
      </c>
      <c r="F4" s="528" t="s">
        <v>169</v>
      </c>
      <c r="G4" s="528" t="s">
        <v>171</v>
      </c>
      <c r="H4" s="528" t="s">
        <v>172</v>
      </c>
      <c r="I4" s="528" t="s">
        <v>173</v>
      </c>
      <c r="J4" s="528" t="s">
        <v>174</v>
      </c>
      <c r="K4" s="528" t="s">
        <v>210</v>
      </c>
      <c r="L4" s="528" t="s">
        <v>211</v>
      </c>
      <c r="M4" s="528" t="s">
        <v>212</v>
      </c>
      <c r="N4" s="528" t="s">
        <v>213</v>
      </c>
      <c r="P4" s="525"/>
      <c r="Q4" s="525"/>
      <c r="R4" s="525"/>
      <c r="S4" s="525"/>
      <c r="T4" s="525"/>
      <c r="U4" s="525"/>
    </row>
    <row r="5" spans="1:21" s="524" customFormat="1" ht="20.100000000000001" customHeight="1" x14ac:dyDescent="0.35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P5" s="525"/>
      <c r="Q5" s="525"/>
      <c r="R5" s="525"/>
      <c r="S5" s="525"/>
      <c r="T5" s="525"/>
      <c r="U5" s="525"/>
    </row>
    <row r="6" spans="1:21" s="524" customFormat="1" ht="67.5" customHeight="1" thickBot="1" x14ac:dyDescent="0.4">
      <c r="A6" s="531"/>
      <c r="B6" s="532" t="s">
        <v>217</v>
      </c>
      <c r="C6" s="532" t="s">
        <v>218</v>
      </c>
      <c r="D6" s="532" t="s">
        <v>218</v>
      </c>
      <c r="E6" s="532" t="s">
        <v>218</v>
      </c>
      <c r="F6" s="532" t="s">
        <v>218</v>
      </c>
      <c r="G6" s="532" t="s">
        <v>218</v>
      </c>
      <c r="H6" s="532" t="s">
        <v>218</v>
      </c>
      <c r="I6" s="532" t="s">
        <v>218</v>
      </c>
      <c r="J6" s="532" t="s">
        <v>218</v>
      </c>
      <c r="K6" s="532" t="s">
        <v>218</v>
      </c>
      <c r="L6" s="532" t="s">
        <v>218</v>
      </c>
      <c r="M6" s="532" t="s">
        <v>218</v>
      </c>
      <c r="N6" s="532" t="s">
        <v>218</v>
      </c>
      <c r="P6" s="525"/>
      <c r="Q6" s="525"/>
      <c r="R6" s="525"/>
      <c r="S6" s="525"/>
      <c r="T6" s="525"/>
      <c r="U6" s="525"/>
    </row>
    <row r="7" spans="1:21" s="524" customFormat="1" ht="24" customHeight="1" x14ac:dyDescent="0.35">
      <c r="A7" s="534" t="s">
        <v>219</v>
      </c>
      <c r="B7" s="535">
        <f>'1 kiemelt ei. '!G13</f>
        <v>35361215</v>
      </c>
      <c r="C7" s="535">
        <f>897325+177046+189084+4666</f>
        <v>1268121</v>
      </c>
      <c r="D7" s="535">
        <f t="shared" ref="D7" si="0">897325+177046+189084+4666</f>
        <v>1268121</v>
      </c>
      <c r="E7" s="535">
        <f>897325+177046+189084+4666+40279+4026000+1367500</f>
        <v>6701900</v>
      </c>
      <c r="F7" s="535">
        <f>897325+177046+189084+4666-121</f>
        <v>1268000</v>
      </c>
      <c r="G7" s="535">
        <f>897325+177046+189084+4666+2000000-121</f>
        <v>3268000</v>
      </c>
      <c r="H7" s="535">
        <f>897325+177046+189084+4666+602000-121-1000000</f>
        <v>870000</v>
      </c>
      <c r="I7" s="535">
        <f>897325+177046+189084+4666+250000+700000+602000-1000000-121</f>
        <v>1820000</v>
      </c>
      <c r="J7" s="535">
        <f>897325+177046+189084+4666+602000-121</f>
        <v>1870000</v>
      </c>
      <c r="K7" s="535">
        <f>897325+177046+189084+4666+4000000+1367500+602000+240-1</f>
        <v>7237860</v>
      </c>
      <c r="L7" s="535">
        <f>897325+177046+189084+4666+602000+3</f>
        <v>1870124</v>
      </c>
      <c r="M7" s="535">
        <f>897325+177046+189084+4666+1000000+602000+2000363</f>
        <v>4870484</v>
      </c>
      <c r="N7" s="535">
        <f>897325+177046+189084+4666+2174000+9-1000000+606475</f>
        <v>3048605</v>
      </c>
      <c r="P7" s="525"/>
      <c r="Q7" s="525"/>
      <c r="R7" s="525"/>
      <c r="S7" s="525"/>
      <c r="T7" s="525"/>
      <c r="U7" s="525"/>
    </row>
    <row r="8" spans="1:21" s="524" customFormat="1" ht="24" customHeight="1" thickBot="1" x14ac:dyDescent="0.4">
      <c r="A8" s="531" t="s">
        <v>220</v>
      </c>
      <c r="B8" s="536">
        <f>'1 kiemelt ei. '!G17</f>
        <v>8606246</v>
      </c>
      <c r="C8" s="536">
        <v>583</v>
      </c>
      <c r="D8" s="536">
        <v>583</v>
      </c>
      <c r="E8" s="536">
        <v>583</v>
      </c>
      <c r="F8" s="536">
        <v>583</v>
      </c>
      <c r="G8" s="536">
        <v>583</v>
      </c>
      <c r="H8" s="536">
        <v>583</v>
      </c>
      <c r="I8" s="536">
        <v>583</v>
      </c>
      <c r="J8" s="536">
        <v>583</v>
      </c>
      <c r="K8" s="536">
        <v>583</v>
      </c>
      <c r="L8" s="536">
        <f>583+1000000</f>
        <v>1000583</v>
      </c>
      <c r="M8" s="536">
        <f>583+500000</f>
        <v>500583</v>
      </c>
      <c r="N8" s="536">
        <f>583+4+7099246</f>
        <v>7099833</v>
      </c>
      <c r="P8" s="525"/>
      <c r="Q8" s="525"/>
      <c r="R8" s="525"/>
      <c r="S8" s="525"/>
      <c r="T8" s="525"/>
      <c r="U8" s="525"/>
    </row>
    <row r="9" spans="1:21" s="539" customFormat="1" ht="24" customHeight="1" thickBot="1" x14ac:dyDescent="0.4">
      <c r="A9" s="537" t="s">
        <v>221</v>
      </c>
      <c r="B9" s="538">
        <f t="shared" ref="B9:N9" si="1">+B7+B8</f>
        <v>43967461</v>
      </c>
      <c r="C9" s="538">
        <f t="shared" si="1"/>
        <v>1268704</v>
      </c>
      <c r="D9" s="538">
        <f t="shared" si="1"/>
        <v>1268704</v>
      </c>
      <c r="E9" s="538">
        <f t="shared" si="1"/>
        <v>6702483</v>
      </c>
      <c r="F9" s="538">
        <f t="shared" si="1"/>
        <v>1268583</v>
      </c>
      <c r="G9" s="538">
        <f t="shared" si="1"/>
        <v>3268583</v>
      </c>
      <c r="H9" s="538">
        <f t="shared" si="1"/>
        <v>870583</v>
      </c>
      <c r="I9" s="538">
        <f t="shared" si="1"/>
        <v>1820583</v>
      </c>
      <c r="J9" s="538">
        <f t="shared" si="1"/>
        <v>1870583</v>
      </c>
      <c r="K9" s="538">
        <f t="shared" si="1"/>
        <v>7238443</v>
      </c>
      <c r="L9" s="538">
        <f t="shared" si="1"/>
        <v>2870707</v>
      </c>
      <c r="M9" s="538">
        <f t="shared" si="1"/>
        <v>5371067</v>
      </c>
      <c r="N9" s="538">
        <f t="shared" si="1"/>
        <v>10148438</v>
      </c>
      <c r="P9" s="533"/>
      <c r="Q9" s="533"/>
      <c r="R9" s="533"/>
      <c r="S9" s="533"/>
      <c r="T9" s="533"/>
      <c r="U9" s="533"/>
    </row>
    <row r="10" spans="1:21" s="524" customFormat="1" ht="49.5" customHeight="1" thickBot="1" x14ac:dyDescent="0.4">
      <c r="A10" s="540" t="s">
        <v>222</v>
      </c>
      <c r="B10" s="541">
        <f>'1 kiemelt ei. '!G19</f>
        <v>7363715</v>
      </c>
      <c r="C10" s="542">
        <f>10830113-1940747-7966774</f>
        <v>922592</v>
      </c>
      <c r="D10" s="542"/>
      <c r="E10" s="542">
        <v>6441123</v>
      </c>
      <c r="F10" s="542"/>
      <c r="G10" s="542"/>
      <c r="H10" s="542"/>
      <c r="I10" s="542"/>
      <c r="J10" s="542"/>
      <c r="K10" s="542"/>
      <c r="L10" s="542"/>
      <c r="M10" s="542"/>
      <c r="N10" s="542"/>
      <c r="P10" s="533"/>
      <c r="Q10" s="525"/>
      <c r="R10" s="525"/>
      <c r="S10" s="525"/>
      <c r="T10" s="525"/>
      <c r="U10" s="525"/>
    </row>
    <row r="11" spans="1:21" s="539" customFormat="1" ht="24" customHeight="1" thickBot="1" x14ac:dyDescent="0.4">
      <c r="A11" s="543" t="s">
        <v>223</v>
      </c>
      <c r="B11" s="538">
        <f>+B9+B10</f>
        <v>51331176</v>
      </c>
      <c r="C11" s="538">
        <f t="shared" ref="C11:N11" si="2">+C9+C10</f>
        <v>2191296</v>
      </c>
      <c r="D11" s="538">
        <f t="shared" si="2"/>
        <v>1268704</v>
      </c>
      <c r="E11" s="538">
        <f t="shared" si="2"/>
        <v>13143606</v>
      </c>
      <c r="F11" s="538">
        <f t="shared" si="2"/>
        <v>1268583</v>
      </c>
      <c r="G11" s="538">
        <f t="shared" si="2"/>
        <v>3268583</v>
      </c>
      <c r="H11" s="538">
        <f t="shared" si="2"/>
        <v>870583</v>
      </c>
      <c r="I11" s="538">
        <f t="shared" si="2"/>
        <v>1820583</v>
      </c>
      <c r="J11" s="538">
        <f t="shared" si="2"/>
        <v>1870583</v>
      </c>
      <c r="K11" s="538">
        <f t="shared" si="2"/>
        <v>7238443</v>
      </c>
      <c r="L11" s="538">
        <f t="shared" si="2"/>
        <v>2870707</v>
      </c>
      <c r="M11" s="538">
        <f t="shared" si="2"/>
        <v>5371067</v>
      </c>
      <c r="N11" s="538">
        <f t="shared" si="2"/>
        <v>10148438</v>
      </c>
      <c r="P11" s="533"/>
      <c r="Q11" s="533"/>
      <c r="R11" s="533"/>
      <c r="S11" s="533"/>
      <c r="T11" s="533"/>
      <c r="U11" s="533"/>
    </row>
    <row r="12" spans="1:21" s="524" customFormat="1" ht="24" customHeight="1" x14ac:dyDescent="0.35">
      <c r="P12" s="525"/>
      <c r="Q12" s="525"/>
      <c r="R12" s="525"/>
      <c r="S12" s="525"/>
      <c r="T12" s="525"/>
      <c r="U12" s="525"/>
    </row>
    <row r="13" spans="1:21" s="524" customFormat="1" x14ac:dyDescent="0.35">
      <c r="B13" s="525"/>
      <c r="P13" s="525"/>
      <c r="Q13" s="525"/>
      <c r="R13" s="525"/>
      <c r="S13" s="525"/>
      <c r="T13" s="525"/>
      <c r="U13" s="525"/>
    </row>
    <row r="14" spans="1:21" s="524" customFormat="1" x14ac:dyDescent="0.35">
      <c r="C14" s="525"/>
      <c r="D14" s="525"/>
      <c r="E14" s="525"/>
      <c r="F14" s="525"/>
      <c r="G14" s="525"/>
      <c r="H14" s="525"/>
      <c r="I14" s="525"/>
      <c r="J14" s="525"/>
      <c r="K14" s="525"/>
      <c r="L14" s="525"/>
      <c r="M14" s="525"/>
      <c r="N14" s="525"/>
      <c r="P14" s="525"/>
      <c r="Q14" s="525"/>
      <c r="R14" s="525"/>
      <c r="S14" s="525"/>
      <c r="T14" s="525"/>
      <c r="U14" s="525"/>
    </row>
    <row r="15" spans="1:21" s="524" customFormat="1" x14ac:dyDescent="0.35">
      <c r="C15" s="525"/>
      <c r="P15" s="525"/>
      <c r="Q15" s="525"/>
      <c r="R15" s="525"/>
      <c r="S15" s="525"/>
      <c r="T15" s="525"/>
      <c r="U15" s="525"/>
    </row>
    <row r="16" spans="1:21" s="524" customFormat="1" x14ac:dyDescent="0.35">
      <c r="C16" s="544"/>
      <c r="D16" s="544"/>
      <c r="E16" s="544"/>
      <c r="F16" s="525"/>
      <c r="G16" s="525"/>
      <c r="H16" s="525"/>
      <c r="I16" s="525"/>
      <c r="L16" s="525"/>
      <c r="M16" s="544"/>
      <c r="N16" s="544"/>
      <c r="P16" s="525"/>
      <c r="Q16" s="525"/>
      <c r="R16" s="525"/>
      <c r="S16" s="525"/>
      <c r="T16" s="525"/>
      <c r="U16" s="525"/>
    </row>
    <row r="17" spans="2:21" s="524" customFormat="1" x14ac:dyDescent="0.35">
      <c r="F17" s="525"/>
      <c r="G17" s="525"/>
      <c r="H17" s="525"/>
      <c r="I17" s="525"/>
      <c r="J17" s="525"/>
      <c r="L17" s="525"/>
      <c r="P17" s="525"/>
      <c r="Q17" s="525"/>
      <c r="R17" s="525"/>
      <c r="S17" s="525"/>
      <c r="T17" s="525"/>
      <c r="U17" s="525"/>
    </row>
    <row r="18" spans="2:21" s="524" customFormat="1" x14ac:dyDescent="0.35">
      <c r="B18" s="525"/>
      <c r="C18" s="525"/>
      <c r="F18" s="525"/>
      <c r="G18" s="525"/>
      <c r="H18" s="525"/>
      <c r="I18" s="525"/>
      <c r="J18" s="525"/>
      <c r="K18" s="525"/>
      <c r="P18" s="525"/>
      <c r="Q18" s="525"/>
      <c r="R18" s="525"/>
      <c r="S18" s="525"/>
      <c r="T18" s="525"/>
      <c r="U18" s="525"/>
    </row>
    <row r="19" spans="2:21" s="524" customFormat="1" x14ac:dyDescent="0.35">
      <c r="F19" s="525"/>
      <c r="G19" s="525"/>
      <c r="H19" s="525"/>
      <c r="I19" s="525"/>
      <c r="J19" s="525"/>
      <c r="L19" s="525"/>
      <c r="P19" s="525"/>
      <c r="Q19" s="525"/>
      <c r="R19" s="525"/>
      <c r="S19" s="525"/>
      <c r="T19" s="525"/>
      <c r="U19" s="525"/>
    </row>
    <row r="20" spans="2:21" s="524" customFormat="1" x14ac:dyDescent="0.35">
      <c r="C20" s="525"/>
      <c r="F20" s="525"/>
      <c r="G20" s="525"/>
      <c r="H20" s="525"/>
      <c r="P20" s="525"/>
      <c r="Q20" s="525"/>
      <c r="R20" s="525"/>
      <c r="S20" s="525"/>
      <c r="T20" s="525"/>
      <c r="U20" s="525"/>
    </row>
    <row r="21" spans="2:21" x14ac:dyDescent="0.35">
      <c r="F21" s="545"/>
      <c r="G21" s="545"/>
      <c r="H21" s="525"/>
      <c r="I21" s="545"/>
      <c r="J21" s="545"/>
      <c r="K21" s="545"/>
    </row>
    <row r="22" spans="2:21" x14ac:dyDescent="0.35">
      <c r="F22" s="545"/>
      <c r="G22" s="545"/>
      <c r="H22" s="525"/>
      <c r="I22" s="545"/>
      <c r="J22" s="545"/>
      <c r="K22" s="545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50" orientation="landscape" r:id="rId1"/>
  <headerFooter alignWithMargins="0">
    <oddHeader xml:space="preserve">&amp;R&amp;"-,Félkövér"&amp;12 19. melléklet a ..../2026. (......) önkormányzati rendelethe&amp;"Times New Roman CE,Félkövér"z
"19. melléklet a 3/2026.(II.27.) önkormányzati rendelethez"
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/>
  <dimension ref="A2:M60"/>
  <sheetViews>
    <sheetView zoomScale="77" zoomScaleNormal="77" workbookViewId="0">
      <selection activeCell="N1" sqref="N1:AL1048576"/>
    </sheetView>
  </sheetViews>
  <sheetFormatPr defaultColWidth="9.33203125" defaultRowHeight="15" customHeight="1" x14ac:dyDescent="0.35"/>
  <cols>
    <col min="1" max="1" width="3.1640625" style="78" customWidth="1"/>
    <col min="2" max="2" width="5" style="78" customWidth="1"/>
    <col min="3" max="3" width="119" style="78" bestFit="1" customWidth="1"/>
    <col min="4" max="4" width="39.33203125" style="78" customWidth="1"/>
    <col min="5" max="5" width="38" style="78" customWidth="1"/>
    <col min="6" max="6" width="43.83203125" style="78" customWidth="1"/>
    <col min="7" max="7" width="45.1640625" style="78" customWidth="1"/>
    <col min="8" max="8" width="33.6640625" style="78" customWidth="1"/>
    <col min="9" max="9" width="120.6640625" style="78" customWidth="1"/>
    <col min="10" max="10" width="40.1640625" style="78" customWidth="1"/>
    <col min="11" max="11" width="37.83203125" style="78" customWidth="1"/>
    <col min="12" max="12" width="45.5" style="78" customWidth="1"/>
    <col min="13" max="13" width="46.83203125" style="78" customWidth="1"/>
    <col min="14" max="16384" width="9.33203125" style="78"/>
  </cols>
  <sheetData>
    <row r="2" spans="1:13" ht="18.75" customHeight="1" x14ac:dyDescent="0.35">
      <c r="A2" s="879" t="s">
        <v>386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</row>
    <row r="3" spans="1:13" ht="15" customHeight="1" thickBot="1" x14ac:dyDescent="0.4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4" t="s">
        <v>201</v>
      </c>
    </row>
    <row r="4" spans="1:13" ht="23.25" x14ac:dyDescent="0.35">
      <c r="A4" s="225"/>
      <c r="B4" s="226" t="s">
        <v>14</v>
      </c>
      <c r="C4" s="226"/>
      <c r="D4" s="227" t="s">
        <v>418</v>
      </c>
      <c r="E4" s="227" t="s">
        <v>439</v>
      </c>
      <c r="F4" s="227" t="s">
        <v>672</v>
      </c>
      <c r="G4" s="227" t="s">
        <v>671</v>
      </c>
      <c r="H4" s="226" t="s">
        <v>15</v>
      </c>
      <c r="I4" s="228"/>
      <c r="J4" s="227" t="s">
        <v>418</v>
      </c>
      <c r="K4" s="227" t="s">
        <v>439</v>
      </c>
      <c r="L4" s="227" t="s">
        <v>672</v>
      </c>
      <c r="M4" s="227" t="s">
        <v>671</v>
      </c>
    </row>
    <row r="5" spans="1:13" ht="23.25" x14ac:dyDescent="0.35">
      <c r="A5" s="229"/>
      <c r="B5" s="142"/>
      <c r="C5" s="142"/>
      <c r="D5" s="230" t="s">
        <v>674</v>
      </c>
      <c r="E5" s="230" t="s">
        <v>331</v>
      </c>
      <c r="F5" s="230" t="s">
        <v>673</v>
      </c>
      <c r="G5" s="230" t="s">
        <v>344</v>
      </c>
      <c r="H5" s="142"/>
      <c r="J5" s="230" t="s">
        <v>674</v>
      </c>
      <c r="K5" s="230" t="s">
        <v>331</v>
      </c>
      <c r="L5" s="230" t="s">
        <v>673</v>
      </c>
      <c r="M5" s="230" t="s">
        <v>344</v>
      </c>
    </row>
    <row r="6" spans="1:13" ht="24" thickBot="1" x14ac:dyDescent="0.4">
      <c r="A6" s="231"/>
      <c r="B6" s="232"/>
      <c r="C6" s="232"/>
      <c r="D6" s="233"/>
      <c r="E6" s="233"/>
      <c r="F6" s="233"/>
      <c r="G6" s="233"/>
      <c r="H6" s="234"/>
      <c r="I6" s="235"/>
      <c r="J6" s="233"/>
      <c r="K6" s="233"/>
      <c r="L6" s="233"/>
      <c r="M6" s="233"/>
    </row>
    <row r="7" spans="1:13" ht="23.25" x14ac:dyDescent="0.35">
      <c r="A7" s="236" t="s">
        <v>105</v>
      </c>
      <c r="B7" s="237"/>
      <c r="C7" s="237"/>
      <c r="D7" s="116">
        <f>'3 működési bevételek'!F58</f>
        <v>9963486</v>
      </c>
      <c r="E7" s="116">
        <f>'3 működési bevételek'!G58</f>
        <v>11782041</v>
      </c>
      <c r="F7" s="116">
        <f>'3 működési bevételek'!H58</f>
        <v>248634</v>
      </c>
      <c r="G7" s="116">
        <f>'3 működési bevételek'!I58</f>
        <v>12030675</v>
      </c>
      <c r="H7" s="237" t="s">
        <v>195</v>
      </c>
      <c r="I7" s="238"/>
      <c r="J7" s="119">
        <f>+'8 oktatás'!B24+'8 oktatás'!B9</f>
        <v>6001882</v>
      </c>
      <c r="K7" s="119">
        <f>+'8 oktatás'!C24+'8 oktatás'!C9</f>
        <v>6593717</v>
      </c>
      <c r="L7" s="119">
        <f>+'8 oktatás'!D24+'8 oktatás'!D9</f>
        <v>373662</v>
      </c>
      <c r="M7" s="119">
        <f>'8 oktatás'!E25</f>
        <v>6967379</v>
      </c>
    </row>
    <row r="8" spans="1:13" ht="23.25" x14ac:dyDescent="0.35">
      <c r="A8" s="239" t="s">
        <v>180</v>
      </c>
      <c r="B8" s="140"/>
      <c r="C8" s="140"/>
      <c r="D8" s="117">
        <f>'3 működési bevételek'!F72</f>
        <v>16204265</v>
      </c>
      <c r="E8" s="117">
        <f>'3 működési bevételek'!G72</f>
        <v>14991000</v>
      </c>
      <c r="F8" s="117">
        <f>'3 működési bevételek'!H72</f>
        <v>2026</v>
      </c>
      <c r="G8" s="117">
        <f>'3 működési bevételek'!I72</f>
        <v>14993026</v>
      </c>
      <c r="H8" s="140" t="s">
        <v>274</v>
      </c>
      <c r="I8" s="240"/>
      <c r="J8" s="120">
        <f>'9 kultúra'!B66</f>
        <v>3546874</v>
      </c>
      <c r="K8" s="120">
        <f>'9 kultúra'!C66</f>
        <v>3694119</v>
      </c>
      <c r="L8" s="120">
        <f>'9 kultúra'!D66</f>
        <v>721230</v>
      </c>
      <c r="M8" s="120">
        <f>'9 kultúra'!E66</f>
        <v>4415349</v>
      </c>
    </row>
    <row r="9" spans="1:13" ht="23.25" x14ac:dyDescent="0.35">
      <c r="A9" s="241" t="s">
        <v>50</v>
      </c>
      <c r="B9" s="242"/>
      <c r="C9" s="242"/>
      <c r="D9" s="118">
        <f>'3 működési bevételek'!F109</f>
        <v>3015061</v>
      </c>
      <c r="E9" s="118">
        <f>'3 működési bevételek'!G109</f>
        <v>2100686</v>
      </c>
      <c r="F9" s="118">
        <f>'3 működési bevételek'!H109</f>
        <v>1585773</v>
      </c>
      <c r="G9" s="118">
        <f>'3 működési bevételek'!I109</f>
        <v>3686459</v>
      </c>
      <c r="H9" s="242" t="s">
        <v>144</v>
      </c>
      <c r="I9" s="243"/>
      <c r="J9" s="121">
        <f>'10 szociális'!B36</f>
        <v>2505141</v>
      </c>
      <c r="K9" s="121">
        <f>'10 szociális'!C36</f>
        <v>2284192</v>
      </c>
      <c r="L9" s="121">
        <f>'10 szociális'!D36</f>
        <v>272471</v>
      </c>
      <c r="M9" s="121">
        <f>'10 szociális'!E36</f>
        <v>2556663</v>
      </c>
    </row>
    <row r="10" spans="1:13" ht="23.25" x14ac:dyDescent="0.35">
      <c r="A10" s="241" t="s">
        <v>106</v>
      </c>
      <c r="B10" s="242"/>
      <c r="C10" s="242"/>
      <c r="D10" s="118">
        <f>'3 működési bevételek'!F134</f>
        <v>38469</v>
      </c>
      <c r="E10" s="118">
        <f>'3 működési bevételek'!G134</f>
        <v>0</v>
      </c>
      <c r="F10" s="118">
        <f>'3 működési bevételek'!H134</f>
        <v>1944780</v>
      </c>
      <c r="G10" s="118">
        <f>'3 működési bevételek'!I134</f>
        <v>1944780</v>
      </c>
      <c r="H10" s="242" t="s">
        <v>140</v>
      </c>
      <c r="I10" s="243"/>
      <c r="J10" s="121">
        <f>'11 egészségügy'!B19</f>
        <v>934767</v>
      </c>
      <c r="K10" s="121">
        <f>'11 egészségügy'!C19</f>
        <v>1038794</v>
      </c>
      <c r="L10" s="121">
        <f>'11 egészségügy'!D19</f>
        <v>192256</v>
      </c>
      <c r="M10" s="121">
        <f>'11 egészségügy'!E19</f>
        <v>1231050</v>
      </c>
    </row>
    <row r="11" spans="1:13" ht="23.25" x14ac:dyDescent="0.35">
      <c r="A11" s="241" t="s">
        <v>83</v>
      </c>
      <c r="B11" s="242"/>
      <c r="C11" s="242"/>
      <c r="D11" s="118">
        <f>'3 működési bevételek'!F148</f>
        <v>2616703</v>
      </c>
      <c r="E11" s="118">
        <f>'3 működési bevételek'!G148</f>
        <v>2269013</v>
      </c>
      <c r="F11" s="118">
        <f>'3 működési bevételek'!H148</f>
        <v>437262</v>
      </c>
      <c r="G11" s="118">
        <f>'3 működési bevételek'!I148</f>
        <v>2706275</v>
      </c>
      <c r="H11" s="242" t="s">
        <v>283</v>
      </c>
      <c r="I11" s="243"/>
      <c r="J11" s="121">
        <f>'12 gyermek és ifj.véd.'!B12</f>
        <v>1998458</v>
      </c>
      <c r="K11" s="121">
        <f>'12 gyermek és ifj.véd.'!C12</f>
        <v>2147581</v>
      </c>
      <c r="L11" s="121">
        <f>'12 gyermek és ifj.véd.'!D12</f>
        <v>122765</v>
      </c>
      <c r="M11" s="121">
        <f>'12 gyermek és ifj.véd.'!E12</f>
        <v>2270346</v>
      </c>
    </row>
    <row r="12" spans="1:13" ht="23.25" x14ac:dyDescent="0.35">
      <c r="A12" s="244"/>
      <c r="D12" s="130"/>
      <c r="E12" s="130"/>
      <c r="F12" s="130"/>
      <c r="G12" s="130"/>
      <c r="H12" s="242" t="s">
        <v>284</v>
      </c>
      <c r="I12" s="245"/>
      <c r="J12" s="121">
        <f>'13 egyéb'!B111</f>
        <v>13719352</v>
      </c>
      <c r="K12" s="121">
        <f>'13 egyéb'!C111</f>
        <v>12726120</v>
      </c>
      <c r="L12" s="121">
        <f>'13 egyéb'!D111</f>
        <v>709321</v>
      </c>
      <c r="M12" s="121">
        <f>'13 egyéb'!E111</f>
        <v>13435441</v>
      </c>
    </row>
    <row r="13" spans="1:13" ht="23.25" x14ac:dyDescent="0.35">
      <c r="A13" s="246"/>
      <c r="B13" s="141"/>
      <c r="C13" s="141"/>
      <c r="D13" s="247"/>
      <c r="E13" s="247"/>
      <c r="F13" s="247"/>
      <c r="G13" s="247"/>
      <c r="H13" s="242" t="s">
        <v>152</v>
      </c>
      <c r="I13" s="248"/>
      <c r="J13" s="121">
        <f>+'14 sport'!B26</f>
        <v>1222396</v>
      </c>
      <c r="K13" s="121">
        <f>+'14 sport'!C26</f>
        <v>984977</v>
      </c>
      <c r="L13" s="121">
        <f>+'14 sport'!D26</f>
        <v>10582</v>
      </c>
      <c r="M13" s="121">
        <f>+'14 sport'!E26</f>
        <v>995559</v>
      </c>
    </row>
    <row r="14" spans="1:13" ht="23.25" x14ac:dyDescent="0.35">
      <c r="A14" s="246"/>
      <c r="C14" s="141"/>
      <c r="D14" s="247"/>
      <c r="E14" s="247"/>
      <c r="F14" s="247"/>
      <c r="G14" s="247"/>
      <c r="H14" s="242" t="s">
        <v>91</v>
      </c>
      <c r="I14" s="249"/>
      <c r="J14" s="121">
        <f>+'15 város.ü.'!B31</f>
        <v>1736670</v>
      </c>
      <c r="K14" s="121">
        <f>+'15 város.ü.'!C31</f>
        <v>3079786</v>
      </c>
      <c r="L14" s="121">
        <f>+'15 város.ü.'!D31</f>
        <v>158566</v>
      </c>
      <c r="M14" s="121">
        <f>+'15 város.ü.'!E31</f>
        <v>3238352</v>
      </c>
    </row>
    <row r="15" spans="1:13" ht="23.25" x14ac:dyDescent="0.35">
      <c r="A15" s="246"/>
      <c r="C15" s="141"/>
      <c r="D15" s="247"/>
      <c r="E15" s="247"/>
      <c r="F15" s="247"/>
      <c r="G15" s="130"/>
      <c r="H15" s="242" t="s">
        <v>187</v>
      </c>
      <c r="I15" s="249"/>
      <c r="J15" s="121">
        <f>+'16 út-híd'!B28</f>
        <v>353805</v>
      </c>
      <c r="K15" s="121">
        <f>+'16 út-híd'!C28</f>
        <v>396000</v>
      </c>
      <c r="L15" s="121">
        <f>+'16 út-híd'!D28</f>
        <v>318820</v>
      </c>
      <c r="M15" s="121">
        <f>+'16 út-híd'!E28</f>
        <v>714820</v>
      </c>
    </row>
    <row r="16" spans="1:13" ht="23.25" x14ac:dyDescent="0.35">
      <c r="A16" s="246"/>
      <c r="C16" s="141"/>
      <c r="D16" s="247"/>
      <c r="E16" s="247"/>
      <c r="F16" s="247"/>
      <c r="G16" s="130"/>
      <c r="H16" s="141" t="s">
        <v>11</v>
      </c>
      <c r="I16" s="250"/>
      <c r="J16" s="122"/>
      <c r="K16" s="122"/>
      <c r="L16" s="122"/>
      <c r="M16" s="122"/>
    </row>
    <row r="17" spans="1:13" ht="23.25" x14ac:dyDescent="0.35">
      <c r="A17" s="251"/>
      <c r="B17" s="252"/>
      <c r="C17" s="252"/>
      <c r="D17" s="253"/>
      <c r="E17" s="253"/>
      <c r="F17" s="253"/>
      <c r="G17" s="130"/>
      <c r="H17" s="141"/>
      <c r="I17" s="140" t="s">
        <v>135</v>
      </c>
      <c r="J17" s="117"/>
      <c r="K17" s="117">
        <f>2245+1+6686+3649-200+1510</f>
        <v>13891</v>
      </c>
      <c r="L17" s="117">
        <f>22-695-7000+650</f>
        <v>-7023</v>
      </c>
      <c r="M17" s="117">
        <f>SUM(K17:L17)</f>
        <v>6868</v>
      </c>
    </row>
    <row r="18" spans="1:13" ht="69.75" x14ac:dyDescent="0.35">
      <c r="A18" s="251"/>
      <c r="B18" s="252"/>
      <c r="C18" s="252"/>
      <c r="D18" s="253"/>
      <c r="E18" s="253"/>
      <c r="F18" s="253"/>
      <c r="G18" s="130"/>
      <c r="H18" s="141"/>
      <c r="I18" s="254" t="s">
        <v>558</v>
      </c>
      <c r="J18" s="117"/>
      <c r="K18" s="117">
        <f>142713-392</f>
        <v>142321</v>
      </c>
      <c r="L18" s="118">
        <v>-142321</v>
      </c>
      <c r="M18" s="117">
        <f t="shared" ref="M18:M24" si="0">SUM(K18:L18)</f>
        <v>0</v>
      </c>
    </row>
    <row r="19" spans="1:13" ht="43.9" customHeight="1" x14ac:dyDescent="0.35">
      <c r="A19" s="251"/>
      <c r="B19" s="252"/>
      <c r="C19" s="252"/>
      <c r="D19" s="253"/>
      <c r="E19" s="253"/>
      <c r="F19" s="253"/>
      <c r="G19" s="253"/>
      <c r="H19" s="141"/>
      <c r="I19" s="254" t="s">
        <v>559</v>
      </c>
      <c r="J19" s="117"/>
      <c r="K19" s="117">
        <f>243763-19926-77726-38000-79910-3631</f>
        <v>24570</v>
      </c>
      <c r="L19" s="118">
        <v>-24570</v>
      </c>
      <c r="M19" s="117">
        <f t="shared" si="0"/>
        <v>0</v>
      </c>
    </row>
    <row r="20" spans="1:13" ht="43.9" customHeight="1" x14ac:dyDescent="0.35">
      <c r="A20" s="251"/>
      <c r="B20" s="252"/>
      <c r="C20" s="252"/>
      <c r="D20" s="253"/>
      <c r="E20" s="253"/>
      <c r="F20" s="253"/>
      <c r="G20" s="253"/>
      <c r="H20" s="141"/>
      <c r="I20" s="254" t="s">
        <v>660</v>
      </c>
      <c r="J20" s="117"/>
      <c r="K20" s="117">
        <v>139829</v>
      </c>
      <c r="L20" s="117">
        <v>-139829</v>
      </c>
      <c r="M20" s="117">
        <f t="shared" si="0"/>
        <v>0</v>
      </c>
    </row>
    <row r="21" spans="1:13" ht="43.9" customHeight="1" x14ac:dyDescent="0.35">
      <c r="A21" s="251"/>
      <c r="B21" s="252"/>
      <c r="C21" s="252"/>
      <c r="D21" s="253"/>
      <c r="E21" s="253"/>
      <c r="F21" s="253"/>
      <c r="G21" s="253"/>
      <c r="H21" s="141"/>
      <c r="I21" s="254" t="s">
        <v>634</v>
      </c>
      <c r="J21" s="117"/>
      <c r="K21" s="117"/>
      <c r="L21" s="117"/>
      <c r="M21" s="117">
        <f t="shared" si="0"/>
        <v>0</v>
      </c>
    </row>
    <row r="22" spans="1:13" ht="43.9" customHeight="1" x14ac:dyDescent="0.35">
      <c r="A22" s="251"/>
      <c r="B22" s="252"/>
      <c r="C22" s="252"/>
      <c r="D22" s="253"/>
      <c r="E22" s="253"/>
      <c r="F22" s="253"/>
      <c r="G22" s="253"/>
      <c r="H22" s="141"/>
      <c r="I22" s="254" t="s">
        <v>635</v>
      </c>
      <c r="J22" s="117"/>
      <c r="K22" s="117"/>
      <c r="L22" s="117"/>
      <c r="M22" s="117">
        <f t="shared" si="0"/>
        <v>0</v>
      </c>
    </row>
    <row r="23" spans="1:13" ht="43.9" customHeight="1" x14ac:dyDescent="0.35">
      <c r="A23" s="251"/>
      <c r="B23" s="252"/>
      <c r="C23" s="252"/>
      <c r="D23" s="253"/>
      <c r="E23" s="253"/>
      <c r="F23" s="253"/>
      <c r="G23" s="253"/>
      <c r="H23" s="141"/>
      <c r="I23" s="254" t="s">
        <v>554</v>
      </c>
      <c r="J23" s="117"/>
      <c r="K23" s="117">
        <f>7158+42842+7842+7890+76016-1000-1000-300+5000-4000-1000+500-5000-6966</f>
        <v>127982</v>
      </c>
      <c r="L23" s="117">
        <f>-23795+169759</f>
        <v>145964</v>
      </c>
      <c r="M23" s="117">
        <f t="shared" si="0"/>
        <v>273946</v>
      </c>
    </row>
    <row r="24" spans="1:13" ht="23.25" x14ac:dyDescent="0.35">
      <c r="A24" s="251"/>
      <c r="B24" s="252"/>
      <c r="C24" s="252"/>
      <c r="D24" s="253"/>
      <c r="E24" s="253"/>
      <c r="F24" s="253"/>
      <c r="G24" s="253"/>
      <c r="H24" s="141"/>
      <c r="I24" s="254" t="s">
        <v>656</v>
      </c>
      <c r="J24" s="117"/>
      <c r="K24" s="117">
        <f>10000-5000+5000</f>
        <v>10000</v>
      </c>
      <c r="L24" s="117"/>
      <c r="M24" s="117">
        <f t="shared" si="0"/>
        <v>10000</v>
      </c>
    </row>
    <row r="25" spans="1:13" ht="24" thickBot="1" x14ac:dyDescent="0.4">
      <c r="A25" s="255"/>
      <c r="B25" s="256"/>
      <c r="C25" s="257"/>
      <c r="D25" s="258"/>
      <c r="E25" s="258"/>
      <c r="F25" s="258"/>
      <c r="G25" s="258"/>
      <c r="H25" s="259" t="s">
        <v>36</v>
      </c>
      <c r="I25" s="123"/>
      <c r="J25" s="123">
        <f>SUM(J17:J24)</f>
        <v>0</v>
      </c>
      <c r="K25" s="123">
        <f>SUM(K17:K24)</f>
        <v>458593</v>
      </c>
      <c r="L25" s="123">
        <f>SUM(L16:L24)</f>
        <v>-167779</v>
      </c>
      <c r="M25" s="123">
        <f>SUM(M17:M24)</f>
        <v>290814</v>
      </c>
    </row>
    <row r="26" spans="1:13" ht="24" thickBot="1" x14ac:dyDescent="0.4">
      <c r="A26" s="260" t="s">
        <v>130</v>
      </c>
      <c r="B26" s="261"/>
      <c r="C26" s="262"/>
      <c r="D26" s="131">
        <f>SUM(D7:D25)</f>
        <v>31837984</v>
      </c>
      <c r="E26" s="131">
        <f>SUM(E7:E25)</f>
        <v>31142740</v>
      </c>
      <c r="F26" s="131">
        <f>SUM(F7:F25)</f>
        <v>4218475</v>
      </c>
      <c r="G26" s="131">
        <f>SUM(G7:G25)</f>
        <v>35361215</v>
      </c>
      <c r="H26" s="232" t="s">
        <v>149</v>
      </c>
      <c r="I26" s="232"/>
      <c r="J26" s="128">
        <f>+J25+J15+J14+J13+J12+J11+J10+J9+J8+J7</f>
        <v>32019345</v>
      </c>
      <c r="K26" s="128">
        <f>+K25+K15+K14+K13+K12+K11+K10+K9+K8+K7</f>
        <v>33403879</v>
      </c>
      <c r="L26" s="128">
        <f>+L25+L15+L14+L13+L12+L11+L10+L9+L8+L7</f>
        <v>2711894</v>
      </c>
      <c r="M26" s="128">
        <f>+M25+M15+M14+M13+M12+M11+M10+M9+M8+M7</f>
        <v>36115773</v>
      </c>
    </row>
    <row r="27" spans="1:13" ht="24" thickBot="1" x14ac:dyDescent="0.4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</row>
    <row r="28" spans="1:13" ht="28.5" customHeight="1" x14ac:dyDescent="0.35">
      <c r="A28" s="225"/>
      <c r="B28" s="226"/>
      <c r="C28" s="263" t="s">
        <v>57</v>
      </c>
      <c r="D28" s="227" t="s">
        <v>418</v>
      </c>
      <c r="E28" s="227" t="s">
        <v>439</v>
      </c>
      <c r="F28" s="227" t="s">
        <v>672</v>
      </c>
      <c r="G28" s="227" t="s">
        <v>671</v>
      </c>
      <c r="H28" s="264"/>
      <c r="I28" s="226" t="s">
        <v>69</v>
      </c>
      <c r="J28" s="227" t="s">
        <v>418</v>
      </c>
      <c r="K28" s="227" t="s">
        <v>439</v>
      </c>
      <c r="L28" s="227" t="s">
        <v>672</v>
      </c>
      <c r="M28" s="227" t="s">
        <v>671</v>
      </c>
    </row>
    <row r="29" spans="1:13" ht="20.25" customHeight="1" x14ac:dyDescent="0.35">
      <c r="A29" s="229"/>
      <c r="B29" s="142"/>
      <c r="C29" s="265"/>
      <c r="D29" s="230" t="s">
        <v>674</v>
      </c>
      <c r="E29" s="230" t="s">
        <v>331</v>
      </c>
      <c r="F29" s="230" t="s">
        <v>673</v>
      </c>
      <c r="G29" s="230" t="s">
        <v>344</v>
      </c>
      <c r="H29" s="266"/>
      <c r="I29" s="142"/>
      <c r="J29" s="230" t="s">
        <v>674</v>
      </c>
      <c r="K29" s="230" t="s">
        <v>331</v>
      </c>
      <c r="L29" s="230" t="s">
        <v>673</v>
      </c>
      <c r="M29" s="230" t="s">
        <v>344</v>
      </c>
    </row>
    <row r="30" spans="1:13" ht="18.75" customHeight="1" thickBot="1" x14ac:dyDescent="0.4">
      <c r="A30" s="231"/>
      <c r="B30" s="232"/>
      <c r="C30" s="267"/>
      <c r="D30" s="233"/>
      <c r="E30" s="233"/>
      <c r="F30" s="233"/>
      <c r="G30" s="233"/>
      <c r="H30" s="234"/>
      <c r="I30" s="235"/>
      <c r="J30" s="233"/>
      <c r="K30" s="233"/>
      <c r="L30" s="233"/>
      <c r="M30" s="233"/>
    </row>
    <row r="31" spans="1:13" ht="23.25" x14ac:dyDescent="0.35">
      <c r="A31" s="268" t="s">
        <v>67</v>
      </c>
      <c r="B31" s="269"/>
      <c r="C31" s="270"/>
      <c r="D31" s="124">
        <f>'17 felhalm.bevétel '!C27</f>
        <v>15364</v>
      </c>
      <c r="E31" s="124">
        <f>'17 felhalm.bevétel '!D27</f>
        <v>0</v>
      </c>
      <c r="F31" s="124">
        <f>'17 felhalm.bevétel '!E27</f>
        <v>7957999</v>
      </c>
      <c r="G31" s="124">
        <f>'17 felhalm.bevétel '!F27</f>
        <v>7957999</v>
      </c>
      <c r="H31" s="271" t="s">
        <v>158</v>
      </c>
      <c r="I31" s="272"/>
      <c r="J31" s="273"/>
      <c r="K31" s="273"/>
      <c r="L31" s="273"/>
      <c r="M31" s="273"/>
    </row>
    <row r="32" spans="1:13" ht="23.25" x14ac:dyDescent="0.35">
      <c r="A32" s="274" t="s">
        <v>66</v>
      </c>
      <c r="B32" s="249"/>
      <c r="C32" s="275"/>
      <c r="D32" s="121">
        <f>'17 felhalm.bevétel '!C34</f>
        <v>902249</v>
      </c>
      <c r="E32" s="121">
        <f>'17 felhalm.bevétel '!D34</f>
        <v>500000</v>
      </c>
      <c r="F32" s="121">
        <f>'17 felhalm.bevétel '!E34</f>
        <v>2100</v>
      </c>
      <c r="G32" s="121">
        <f>'17 felhalm.bevétel '!F34</f>
        <v>502100</v>
      </c>
      <c r="H32" s="140" t="s">
        <v>195</v>
      </c>
      <c r="I32" s="276"/>
      <c r="J32" s="120">
        <f>+'8 oktatás'!B32</f>
        <v>91293</v>
      </c>
      <c r="K32" s="120">
        <f>+'8 oktatás'!C32</f>
        <v>0</v>
      </c>
      <c r="L32" s="120">
        <f>+'8 oktatás'!D32</f>
        <v>25286</v>
      </c>
      <c r="M32" s="120">
        <f>+'8 oktatás'!E32</f>
        <v>25286</v>
      </c>
    </row>
    <row r="33" spans="1:13" ht="23.25" x14ac:dyDescent="0.35">
      <c r="A33" s="274" t="s">
        <v>68</v>
      </c>
      <c r="B33" s="275"/>
      <c r="C33" s="277"/>
      <c r="D33" s="121">
        <f>'17 felhalm.bevétel '!C44</f>
        <v>130957</v>
      </c>
      <c r="E33" s="121">
        <f>'17 felhalm.bevétel '!D44</f>
        <v>7000</v>
      </c>
      <c r="F33" s="121">
        <f>'17 felhalm.bevétel '!E44</f>
        <v>112131</v>
      </c>
      <c r="G33" s="121">
        <f>'17 felhalm.bevétel '!F44</f>
        <v>119131</v>
      </c>
      <c r="H33" s="242" t="s">
        <v>274</v>
      </c>
      <c r="I33" s="278"/>
      <c r="J33" s="121">
        <f>'9 kultúra'!B75</f>
        <v>108483</v>
      </c>
      <c r="K33" s="121">
        <f>'9 kultúra'!C75</f>
        <v>0</v>
      </c>
      <c r="L33" s="121">
        <f>'9 kultúra'!D75</f>
        <v>79982</v>
      </c>
      <c r="M33" s="121">
        <f>'9 kultúra'!E75</f>
        <v>79982</v>
      </c>
    </row>
    <row r="34" spans="1:13" ht="23.25" x14ac:dyDescent="0.35">
      <c r="A34" s="241" t="s">
        <v>84</v>
      </c>
      <c r="B34" s="242"/>
      <c r="C34" s="242"/>
      <c r="D34" s="121">
        <f>'17 felhalm.bevétel '!C58</f>
        <v>45998</v>
      </c>
      <c r="E34" s="121">
        <f>'17 felhalm.bevétel '!D58</f>
        <v>0</v>
      </c>
      <c r="F34" s="121">
        <f>'17 felhalm.bevétel '!E58</f>
        <v>27016</v>
      </c>
      <c r="G34" s="121">
        <f>'17 felhalm.bevétel '!F58</f>
        <v>27016</v>
      </c>
      <c r="H34" s="242" t="s">
        <v>144</v>
      </c>
      <c r="I34" s="278"/>
      <c r="J34" s="121">
        <f>'10 szociális'!B41</f>
        <v>27472</v>
      </c>
      <c r="K34" s="121">
        <f>'10 szociális'!C41</f>
        <v>14967</v>
      </c>
      <c r="L34" s="120">
        <f>'10 szociális'!D41</f>
        <v>11752</v>
      </c>
      <c r="M34" s="121">
        <f>'10 szociális'!E41</f>
        <v>26719</v>
      </c>
    </row>
    <row r="35" spans="1:13" ht="23.25" x14ac:dyDescent="0.35">
      <c r="A35" s="279"/>
      <c r="B35" s="270"/>
      <c r="C35" s="270"/>
      <c r="D35" s="125"/>
      <c r="E35" s="125"/>
      <c r="F35" s="125"/>
      <c r="G35" s="126"/>
      <c r="H35" s="242" t="s">
        <v>140</v>
      </c>
      <c r="I35" s="278"/>
      <c r="J35" s="121">
        <f>'11 egészségügy'!B25</f>
        <v>16562</v>
      </c>
      <c r="K35" s="121">
        <f>'11 egészségügy'!C25</f>
        <v>0</v>
      </c>
      <c r="L35" s="121">
        <f>'11 egészségügy'!D25</f>
        <v>8416</v>
      </c>
      <c r="M35" s="121">
        <f>'11 egészségügy'!E25</f>
        <v>8416</v>
      </c>
    </row>
    <row r="36" spans="1:13" ht="23.25" x14ac:dyDescent="0.35">
      <c r="A36" s="279"/>
      <c r="B36" s="270"/>
      <c r="C36" s="270"/>
      <c r="D36" s="125"/>
      <c r="E36" s="125"/>
      <c r="F36" s="125"/>
      <c r="G36" s="126"/>
      <c r="H36" s="242" t="s">
        <v>283</v>
      </c>
      <c r="I36" s="278"/>
      <c r="J36" s="121">
        <f>'12 gyermek és ifj.véd.'!B17</f>
        <v>27208</v>
      </c>
      <c r="K36" s="121">
        <f>'12 gyermek és ifj.véd.'!C17</f>
        <v>51660</v>
      </c>
      <c r="L36" s="120">
        <f>'12 gyermek és ifj.véd.'!D17</f>
        <v>7696</v>
      </c>
      <c r="M36" s="121">
        <f>'12 gyermek és ifj.véd.'!E17</f>
        <v>59356</v>
      </c>
    </row>
    <row r="37" spans="1:13" ht="23.25" x14ac:dyDescent="0.35">
      <c r="A37" s="280"/>
      <c r="B37" s="281"/>
      <c r="C37" s="281"/>
      <c r="D37" s="132"/>
      <c r="E37" s="132"/>
      <c r="F37" s="132"/>
      <c r="G37" s="133"/>
      <c r="H37" s="242" t="s">
        <v>284</v>
      </c>
      <c r="I37" s="278"/>
      <c r="J37" s="121">
        <f>'13 egyéb'!B118</f>
        <v>91573</v>
      </c>
      <c r="K37" s="121">
        <f>'13 egyéb'!C118</f>
        <v>95155</v>
      </c>
      <c r="L37" s="120">
        <f>'13 egyéb'!D118</f>
        <v>22191</v>
      </c>
      <c r="M37" s="121">
        <f>'13 egyéb'!E118</f>
        <v>117346</v>
      </c>
    </row>
    <row r="38" spans="1:13" ht="24" thickBot="1" x14ac:dyDescent="0.4">
      <c r="A38" s="280"/>
      <c r="B38" s="281"/>
      <c r="C38" s="281"/>
      <c r="D38" s="132"/>
      <c r="E38" s="132"/>
      <c r="F38" s="132"/>
      <c r="G38" s="133"/>
      <c r="H38" s="242" t="s">
        <v>88</v>
      </c>
      <c r="I38" s="278"/>
      <c r="J38" s="121">
        <f>'15 város.ü.'!B36</f>
        <v>0</v>
      </c>
      <c r="K38" s="121">
        <f>'15 város.ü.'!C36</f>
        <v>0</v>
      </c>
      <c r="L38" s="121">
        <f>'15 város.ü.'!D36</f>
        <v>1000</v>
      </c>
      <c r="M38" s="121">
        <f>'15 város.ü.'!E36</f>
        <v>1000</v>
      </c>
    </row>
    <row r="39" spans="1:13" ht="24" thickBot="1" x14ac:dyDescent="0.4">
      <c r="A39" s="280"/>
      <c r="B39" s="281"/>
      <c r="C39" s="281"/>
      <c r="D39" s="132"/>
      <c r="E39" s="132"/>
      <c r="F39" s="132"/>
      <c r="G39" s="133"/>
      <c r="H39" s="282" t="s">
        <v>159</v>
      </c>
      <c r="I39" s="283"/>
      <c r="J39" s="128">
        <f>SUM(J32:J38)</f>
        <v>362591</v>
      </c>
      <c r="K39" s="128">
        <f t="shared" ref="K39:M39" si="1">SUM(K32:K38)</f>
        <v>161782</v>
      </c>
      <c r="L39" s="128">
        <f t="shared" si="1"/>
        <v>156323</v>
      </c>
      <c r="M39" s="128">
        <f t="shared" si="1"/>
        <v>318105</v>
      </c>
    </row>
    <row r="40" spans="1:13" ht="23.25" x14ac:dyDescent="0.35">
      <c r="A40" s="246"/>
      <c r="D40" s="130"/>
      <c r="E40" s="130"/>
      <c r="F40" s="130"/>
      <c r="G40" s="126"/>
      <c r="H40" s="141" t="s">
        <v>128</v>
      </c>
      <c r="I40" s="269"/>
      <c r="J40" s="124">
        <f>+'18 felhalm.kiadás'!C9</f>
        <v>2308</v>
      </c>
      <c r="K40" s="124">
        <f>+'18 felhalm.kiadás'!D9</f>
        <v>0</v>
      </c>
      <c r="L40" s="124">
        <f>+'18 felhalm.kiadás'!E9</f>
        <v>129447</v>
      </c>
      <c r="M40" s="124">
        <f>+'18 felhalm.kiadás'!F9</f>
        <v>129447</v>
      </c>
    </row>
    <row r="41" spans="1:13" ht="23.25" x14ac:dyDescent="0.35">
      <c r="A41" s="246"/>
      <c r="D41" s="130"/>
      <c r="E41" s="130"/>
      <c r="F41" s="130"/>
      <c r="G41" s="126"/>
      <c r="H41" s="242" t="s">
        <v>154</v>
      </c>
      <c r="I41" s="249"/>
      <c r="J41" s="121">
        <f>'18 felhalm.kiadás'!C16</f>
        <v>30426</v>
      </c>
      <c r="K41" s="121">
        <f>'18 felhalm.kiadás'!D16</f>
        <v>200000</v>
      </c>
      <c r="L41" s="121">
        <f>'18 felhalm.kiadás'!E16</f>
        <v>101608</v>
      </c>
      <c r="M41" s="121">
        <f>'18 felhalm.kiadás'!F16</f>
        <v>301608</v>
      </c>
    </row>
    <row r="42" spans="1:13" ht="23.25" x14ac:dyDescent="0.35">
      <c r="A42" s="284"/>
      <c r="B42" s="285"/>
      <c r="D42" s="130"/>
      <c r="E42" s="130"/>
      <c r="F42" s="130"/>
      <c r="G42" s="126"/>
      <c r="H42" s="242" t="s">
        <v>170</v>
      </c>
      <c r="I42" s="248"/>
      <c r="J42" s="121">
        <f>+'18 felhalm.kiadás'!C21</f>
        <v>57324</v>
      </c>
      <c r="K42" s="121">
        <f>+'18 felhalm.kiadás'!D21</f>
        <v>0</v>
      </c>
      <c r="L42" s="121">
        <f>+'18 felhalm.kiadás'!E21</f>
        <v>10512</v>
      </c>
      <c r="M42" s="121">
        <f>+'18 felhalm.kiadás'!F21</f>
        <v>10512</v>
      </c>
    </row>
    <row r="43" spans="1:13" ht="23.25" x14ac:dyDescent="0.35">
      <c r="A43" s="284"/>
      <c r="B43" s="285"/>
      <c r="C43" s="286"/>
      <c r="D43" s="134"/>
      <c r="E43" s="134"/>
      <c r="F43" s="134"/>
      <c r="G43" s="126"/>
      <c r="H43" s="242" t="s">
        <v>138</v>
      </c>
      <c r="I43" s="248"/>
      <c r="J43" s="121">
        <f>+'18 felhalm.kiadás'!C76</f>
        <v>222202</v>
      </c>
      <c r="K43" s="121">
        <f>+'18 felhalm.kiadás'!D76</f>
        <v>8257432</v>
      </c>
      <c r="L43" s="121">
        <f>+'18 felhalm.kiadás'!E76</f>
        <v>1741366</v>
      </c>
      <c r="M43" s="121">
        <f>+'18 felhalm.kiadás'!F76</f>
        <v>9998798</v>
      </c>
    </row>
    <row r="44" spans="1:13" ht="23.25" x14ac:dyDescent="0.35">
      <c r="A44" s="244"/>
      <c r="B44" s="287"/>
      <c r="C44" s="286"/>
      <c r="D44" s="134"/>
      <c r="E44" s="134"/>
      <c r="F44" s="134"/>
      <c r="G44" s="126"/>
      <c r="H44" s="242" t="s">
        <v>33</v>
      </c>
      <c r="I44" s="242"/>
      <c r="J44" s="121">
        <f>'18 felhalm.kiadás'!C77</f>
        <v>1027</v>
      </c>
      <c r="K44" s="121">
        <f>'18 felhalm.kiadás'!D77</f>
        <v>0</v>
      </c>
      <c r="L44" s="121">
        <f>'18 felhalm.kiadás'!E77</f>
        <v>173</v>
      </c>
      <c r="M44" s="121">
        <f>'18 felhalm.kiadás'!F77</f>
        <v>173</v>
      </c>
    </row>
    <row r="45" spans="1:13" ht="24" thickBot="1" x14ac:dyDescent="0.4">
      <c r="A45" s="244"/>
      <c r="B45" s="287"/>
      <c r="C45" s="286"/>
      <c r="D45" s="135"/>
      <c r="E45" s="135"/>
      <c r="F45" s="135"/>
      <c r="G45" s="135"/>
      <c r="H45" s="288" t="s">
        <v>160</v>
      </c>
      <c r="I45" s="289"/>
      <c r="J45" s="290">
        <f>SUM(J40:J44)</f>
        <v>313287</v>
      </c>
      <c r="K45" s="290">
        <f>SUM(K40:K44)</f>
        <v>8457432</v>
      </c>
      <c r="L45" s="290">
        <f>SUM(L40:L44)</f>
        <v>1983106</v>
      </c>
      <c r="M45" s="290">
        <f>SUM(M40:M44)</f>
        <v>10440538</v>
      </c>
    </row>
    <row r="46" spans="1:13" ht="24" thickBot="1" x14ac:dyDescent="0.4">
      <c r="A46" s="291" t="s">
        <v>150</v>
      </c>
      <c r="B46" s="291"/>
      <c r="C46" s="292"/>
      <c r="D46" s="129">
        <f>SUM(D31:D45)</f>
        <v>1094568</v>
      </c>
      <c r="E46" s="129">
        <f>SUM(E31:E45)</f>
        <v>507000</v>
      </c>
      <c r="F46" s="129">
        <f>SUM(F31:F45)</f>
        <v>8099246</v>
      </c>
      <c r="G46" s="129">
        <f>SUM(G31:G45)</f>
        <v>8606246</v>
      </c>
      <c r="H46" s="293" t="s">
        <v>151</v>
      </c>
      <c r="I46" s="293"/>
      <c r="J46" s="129">
        <f>+J45+J39</f>
        <v>675878</v>
      </c>
      <c r="K46" s="129">
        <f>+K45+K39</f>
        <v>8619214</v>
      </c>
      <c r="L46" s="129">
        <f>+L45+L39</f>
        <v>2139429</v>
      </c>
      <c r="M46" s="129">
        <f>+M45+M39</f>
        <v>10758643</v>
      </c>
    </row>
    <row r="47" spans="1:13" ht="18.75" customHeight="1" thickBot="1" x14ac:dyDescent="0.4">
      <c r="A47" s="294"/>
      <c r="B47" s="294"/>
      <c r="C47" s="295"/>
      <c r="D47" s="295"/>
      <c r="E47" s="295"/>
      <c r="F47" s="295"/>
      <c r="G47" s="295"/>
      <c r="H47" s="226"/>
      <c r="I47" s="226"/>
      <c r="J47" s="226"/>
      <c r="K47" s="226"/>
      <c r="L47" s="226"/>
      <c r="M47" s="226"/>
    </row>
    <row r="48" spans="1:13" ht="23.25" x14ac:dyDescent="0.35">
      <c r="A48" s="296" t="s">
        <v>142</v>
      </c>
      <c r="B48" s="297"/>
      <c r="C48" s="298"/>
      <c r="D48" s="136"/>
      <c r="E48" s="136"/>
      <c r="F48" s="136"/>
      <c r="G48" s="136"/>
      <c r="H48" s="296" t="s">
        <v>142</v>
      </c>
      <c r="I48" s="299"/>
      <c r="J48" s="146"/>
      <c r="K48" s="146"/>
      <c r="L48" s="146"/>
      <c r="M48" s="146"/>
    </row>
    <row r="49" spans="1:13" ht="23.25" x14ac:dyDescent="0.35">
      <c r="A49" s="251"/>
      <c r="C49" s="300" t="s">
        <v>95</v>
      </c>
      <c r="D49" s="127">
        <v>1069309</v>
      </c>
      <c r="E49" s="127">
        <v>500000</v>
      </c>
      <c r="F49" s="127">
        <f>-500000+685622</f>
        <v>185622</v>
      </c>
      <c r="G49" s="127">
        <f>SUM(E49:F49)</f>
        <v>685622</v>
      </c>
      <c r="H49" s="140" t="s">
        <v>366</v>
      </c>
      <c r="I49" s="140"/>
      <c r="J49" s="120">
        <v>120749</v>
      </c>
      <c r="K49" s="120">
        <v>120750</v>
      </c>
      <c r="L49" s="120"/>
      <c r="M49" s="120">
        <f>SUM(K49:L49)</f>
        <v>120750</v>
      </c>
    </row>
    <row r="50" spans="1:13" ht="23.25" x14ac:dyDescent="0.35">
      <c r="A50" s="251"/>
      <c r="C50" s="301" t="s">
        <v>466</v>
      </c>
      <c r="D50" s="127"/>
      <c r="E50" s="127">
        <v>1940747</v>
      </c>
      <c r="F50" s="127">
        <v>-1940747</v>
      </c>
      <c r="G50" s="127">
        <f t="shared" ref="G50:G56" si="2">SUM(E50:F50)</f>
        <v>0</v>
      </c>
      <c r="H50" s="140" t="s">
        <v>562</v>
      </c>
      <c r="I50" s="140"/>
      <c r="J50" s="120"/>
      <c r="K50" s="120">
        <v>336010</v>
      </c>
      <c r="L50" s="120"/>
      <c r="M50" s="120">
        <f t="shared" ref="M50:M56" si="3">SUM(K50:L50)</f>
        <v>336010</v>
      </c>
    </row>
    <row r="51" spans="1:13" ht="46.5" x14ac:dyDescent="0.35">
      <c r="A51" s="251"/>
      <c r="C51" s="300" t="s">
        <v>561</v>
      </c>
      <c r="D51" s="127">
        <v>336010</v>
      </c>
      <c r="E51" s="127">
        <v>336010</v>
      </c>
      <c r="F51" s="127">
        <v>-336010</v>
      </c>
      <c r="G51" s="127">
        <f t="shared" si="2"/>
        <v>0</v>
      </c>
      <c r="H51" s="140" t="s">
        <v>502</v>
      </c>
      <c r="I51" s="140"/>
      <c r="J51" s="120">
        <v>2269238</v>
      </c>
      <c r="K51" s="120"/>
      <c r="L51" s="120"/>
      <c r="M51" s="120">
        <f t="shared" si="3"/>
        <v>0</v>
      </c>
    </row>
    <row r="52" spans="1:13" ht="46.5" x14ac:dyDescent="0.35">
      <c r="A52" s="251"/>
      <c r="C52" s="300" t="s">
        <v>501</v>
      </c>
      <c r="D52" s="127">
        <v>1988234</v>
      </c>
      <c r="E52" s="127"/>
      <c r="F52" s="127"/>
      <c r="G52" s="127">
        <f t="shared" si="2"/>
        <v>0</v>
      </c>
      <c r="H52" s="140" t="s">
        <v>636</v>
      </c>
      <c r="I52" s="140"/>
      <c r="J52" s="120">
        <v>2000000</v>
      </c>
      <c r="K52" s="120"/>
      <c r="L52" s="120">
        <v>4000000</v>
      </c>
      <c r="M52" s="120">
        <f t="shared" si="3"/>
        <v>4000000</v>
      </c>
    </row>
    <row r="53" spans="1:13" ht="21" customHeight="1" x14ac:dyDescent="0.35">
      <c r="A53" s="251"/>
      <c r="C53" s="302" t="s">
        <v>123</v>
      </c>
      <c r="D53" s="127">
        <v>1456893</v>
      </c>
      <c r="E53" s="127"/>
      <c r="F53" s="127">
        <f>1178093</f>
        <v>1178093</v>
      </c>
      <c r="G53" s="127">
        <f t="shared" si="2"/>
        <v>1178093</v>
      </c>
      <c r="H53" s="140"/>
      <c r="I53" s="140"/>
      <c r="J53" s="120"/>
      <c r="K53" s="120"/>
      <c r="L53" s="120"/>
      <c r="M53" s="120">
        <f t="shared" si="3"/>
        <v>0</v>
      </c>
    </row>
    <row r="54" spans="1:13" ht="23.25" x14ac:dyDescent="0.35">
      <c r="A54" s="251"/>
      <c r="C54" s="302" t="s">
        <v>467</v>
      </c>
      <c r="D54" s="127"/>
      <c r="E54" s="127">
        <v>7966774</v>
      </c>
      <c r="F54" s="127">
        <v>-7966774</v>
      </c>
      <c r="G54" s="127">
        <f t="shared" si="2"/>
        <v>0</v>
      </c>
      <c r="H54" s="140"/>
      <c r="I54" s="140"/>
      <c r="J54" s="120"/>
      <c r="K54" s="120"/>
      <c r="L54" s="120"/>
      <c r="M54" s="120">
        <f t="shared" si="3"/>
        <v>0</v>
      </c>
    </row>
    <row r="55" spans="1:13" ht="23.25" x14ac:dyDescent="0.35">
      <c r="A55" s="251"/>
      <c r="B55" s="287"/>
      <c r="C55" s="300" t="s">
        <v>657</v>
      </c>
      <c r="D55" s="127">
        <v>690176</v>
      </c>
      <c r="E55" s="127">
        <f>19955+26670+24990+14967</f>
        <v>86582</v>
      </c>
      <c r="F55" s="127">
        <v>-86582</v>
      </c>
      <c r="G55" s="127">
        <f t="shared" si="2"/>
        <v>0</v>
      </c>
      <c r="H55" s="140"/>
      <c r="I55" s="140"/>
      <c r="J55" s="120"/>
      <c r="K55" s="120"/>
      <c r="L55" s="120"/>
      <c r="M55" s="120">
        <f t="shared" si="3"/>
        <v>0</v>
      </c>
    </row>
    <row r="56" spans="1:13" ht="47.25" thickBot="1" x14ac:dyDescent="0.4">
      <c r="A56" s="251"/>
      <c r="B56" s="287"/>
      <c r="C56" s="302" t="s">
        <v>637</v>
      </c>
      <c r="D56" s="127">
        <v>500000</v>
      </c>
      <c r="E56" s="127"/>
      <c r="F56" s="127">
        <f>1500000+4000000</f>
        <v>5500000</v>
      </c>
      <c r="G56" s="127">
        <f t="shared" si="2"/>
        <v>5500000</v>
      </c>
      <c r="H56" s="141"/>
      <c r="I56" s="142"/>
      <c r="J56" s="143"/>
      <c r="K56" s="143"/>
      <c r="L56" s="143"/>
      <c r="M56" s="120">
        <f t="shared" si="3"/>
        <v>0</v>
      </c>
    </row>
    <row r="57" spans="1:13" ht="24" thickBot="1" x14ac:dyDescent="0.4">
      <c r="A57" s="303" t="s">
        <v>118</v>
      </c>
      <c r="B57" s="292"/>
      <c r="C57" s="137"/>
      <c r="D57" s="137">
        <f>SUM(D48:D56)</f>
        <v>6040622</v>
      </c>
      <c r="E57" s="137">
        <f t="shared" ref="E57:G57" si="4">SUM(E48:E56)</f>
        <v>10830113</v>
      </c>
      <c r="F57" s="137">
        <f t="shared" si="4"/>
        <v>-3466398</v>
      </c>
      <c r="G57" s="137">
        <f t="shared" si="4"/>
        <v>7363715</v>
      </c>
      <c r="H57" s="144" t="s">
        <v>118</v>
      </c>
      <c r="I57" s="145"/>
      <c r="J57" s="128">
        <f>SUM(J49:J56)</f>
        <v>4389987</v>
      </c>
      <c r="K57" s="128">
        <f>SUM(K49:K56)</f>
        <v>456760</v>
      </c>
      <c r="L57" s="128">
        <f t="shared" ref="L57:M57" si="5">SUM(L49:L56)</f>
        <v>4000000</v>
      </c>
      <c r="M57" s="128">
        <f t="shared" si="5"/>
        <v>4456760</v>
      </c>
    </row>
    <row r="58" spans="1:13" ht="23.25" x14ac:dyDescent="0.35">
      <c r="A58" s="251"/>
      <c r="B58" s="294"/>
      <c r="C58" s="294"/>
      <c r="D58" s="136"/>
      <c r="E58" s="136"/>
      <c r="F58" s="136"/>
      <c r="G58" s="136"/>
      <c r="H58" s="142"/>
      <c r="I58" s="142"/>
      <c r="J58" s="146"/>
      <c r="K58" s="146"/>
      <c r="L58" s="146"/>
      <c r="M58" s="146"/>
    </row>
    <row r="59" spans="1:13" ht="24" thickBot="1" x14ac:dyDescent="0.4">
      <c r="A59" s="304"/>
      <c r="B59" s="148"/>
      <c r="C59" s="148"/>
      <c r="D59" s="138"/>
      <c r="E59" s="138"/>
      <c r="F59" s="138"/>
      <c r="G59" s="138"/>
      <c r="H59" s="147"/>
      <c r="I59" s="148"/>
      <c r="J59" s="138"/>
      <c r="K59" s="138"/>
      <c r="L59" s="138"/>
      <c r="M59" s="138"/>
    </row>
    <row r="60" spans="1:13" ht="24" thickBot="1" x14ac:dyDescent="0.4">
      <c r="A60" s="305" t="s">
        <v>143</v>
      </c>
      <c r="B60" s="292"/>
      <c r="C60" s="292"/>
      <c r="D60" s="129">
        <f>+D57+D46+D26</f>
        <v>38973174</v>
      </c>
      <c r="E60" s="129">
        <f>+E57+E46+E26</f>
        <v>42479853</v>
      </c>
      <c r="F60" s="129">
        <f>+F57+F46+F26</f>
        <v>8851323</v>
      </c>
      <c r="G60" s="129">
        <f>+G57+G46+G26</f>
        <v>51331176</v>
      </c>
      <c r="H60" s="144" t="s">
        <v>117</v>
      </c>
      <c r="I60" s="145"/>
      <c r="J60" s="128">
        <f>+J57+J46+J26</f>
        <v>37085210</v>
      </c>
      <c r="K60" s="128">
        <f>+K57+K46+K26</f>
        <v>42479853</v>
      </c>
      <c r="L60" s="128">
        <f>+L57+L46+L26</f>
        <v>8851323</v>
      </c>
      <c r="M60" s="128">
        <f>+M57+M46+M26</f>
        <v>51331176</v>
      </c>
    </row>
  </sheetData>
  <customSheetViews>
    <customSheetView guid="{6D4B996F-8915-4E78-98C2-E7EAE9C4580C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1"/>
      <headerFooter alignWithMargins="0">
        <oddHeader>&amp;L&amp;D&amp;T&amp;R&amp;"Times New Roman CE,Félkövér"&amp;16I.sz.melléklet</oddHeader>
      </headerFooter>
    </customSheetView>
    <customSheetView guid="{186732C5-520C-4E06-B066-B4F3F0A3E322}" scale="75" showRuler="0" topLeftCell="A49">
      <selection activeCell="J61" sqref="J61"/>
      <pageMargins left="0" right="0" top="0" bottom="0" header="0.11811023622047245" footer="7.874015748031496E-2"/>
      <printOptions horizontalCentered="1" verticalCentered="1"/>
      <pageSetup paperSize="9" scale="55" orientation="landscape" horizontalDpi="300" verticalDpi="300" r:id="rId2"/>
      <headerFooter alignWithMargins="0">
        <oddHeader>&amp;L&amp;D&amp;T&amp;R&amp;"Times New Roman CE,Félkövér"&amp;16I.sz.melléklet</oddHeader>
      </headerFooter>
    </customSheetView>
  </customSheetViews>
  <mergeCells count="1">
    <mergeCell ref="A2:M2"/>
  </mergeCells>
  <phoneticPr fontId="0" type="noConversion"/>
  <printOptions horizontalCentered="1" verticalCentered="1"/>
  <pageMargins left="0" right="0" top="0" bottom="0" header="0.39370078740157483" footer="0"/>
  <pageSetup paperSize="9" scale="32" orientation="landscape" r:id="rId3"/>
  <headerFooter alignWithMargins="0">
    <oddHeader xml:space="preserve">&amp;R&amp;"Times New Roman CE,Félkövér"&amp;18
&amp;"-,Félkövér"2. melléklet a ..../2026. (........) önkormányzati rendelethez 
"2. melléklet a 3/2026.(II.27.) önkormányzati rendelethez"&amp;"Times New Roman CE,Félkövér"
 </oddHeader>
    <oddFooter>&amp;L&amp;14&amp;D&amp;T</oddFooter>
  </headerFooter>
  <rowBreaks count="1" manualBreakCount="1">
    <brk id="26" max="1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S31"/>
  <sheetViews>
    <sheetView zoomScale="85" zoomScaleNormal="85" workbookViewId="0">
      <selection activeCell="N17" sqref="N17"/>
    </sheetView>
  </sheetViews>
  <sheetFormatPr defaultColWidth="9.33203125" defaultRowHeight="21" x14ac:dyDescent="0.35"/>
  <cols>
    <col min="1" max="1" width="102.83203125" style="524" customWidth="1"/>
    <col min="2" max="2" width="26.83203125" style="524" bestFit="1" customWidth="1"/>
    <col min="3" max="3" width="28" style="524" bestFit="1" customWidth="1"/>
    <col min="4" max="5" width="21.6640625" style="524" bestFit="1" customWidth="1"/>
    <col min="6" max="14" width="20.83203125" style="524" customWidth="1"/>
    <col min="15" max="16" width="9.33203125" style="524"/>
    <col min="17" max="17" width="18.83203125" style="524" customWidth="1"/>
    <col min="18" max="18" width="23.1640625" style="524" customWidth="1"/>
    <col min="19" max="16384" width="9.33203125" style="524"/>
  </cols>
  <sheetData>
    <row r="1" spans="1:19" x14ac:dyDescent="0.35">
      <c r="A1" s="45" t="s">
        <v>669</v>
      </c>
      <c r="B1" s="523"/>
      <c r="C1" s="523"/>
      <c r="D1" s="523"/>
      <c r="E1" s="525"/>
      <c r="F1" s="523"/>
      <c r="G1" s="523"/>
      <c r="H1" s="523"/>
      <c r="I1" s="523"/>
      <c r="J1" s="523"/>
      <c r="K1" s="523"/>
      <c r="L1" s="523"/>
      <c r="M1" s="523"/>
      <c r="N1" s="523"/>
    </row>
    <row r="2" spans="1:19" x14ac:dyDescent="0.35">
      <c r="A2" s="918"/>
      <c r="B2" s="918"/>
    </row>
    <row r="3" spans="1:19" ht="21.75" thickBot="1" x14ac:dyDescent="0.4">
      <c r="N3" s="524" t="s">
        <v>345</v>
      </c>
    </row>
    <row r="4" spans="1:19" ht="20.100000000000001" customHeight="1" x14ac:dyDescent="0.35">
      <c r="A4" s="527" t="s">
        <v>224</v>
      </c>
      <c r="B4" s="528" t="s">
        <v>216</v>
      </c>
      <c r="C4" s="528" t="s">
        <v>166</v>
      </c>
      <c r="D4" s="528" t="s">
        <v>167</v>
      </c>
      <c r="E4" s="528" t="s">
        <v>168</v>
      </c>
      <c r="F4" s="528" t="s">
        <v>169</v>
      </c>
      <c r="G4" s="528" t="s">
        <v>171</v>
      </c>
      <c r="H4" s="528" t="s">
        <v>172</v>
      </c>
      <c r="I4" s="528" t="s">
        <v>173</v>
      </c>
      <c r="J4" s="528" t="s">
        <v>174</v>
      </c>
      <c r="K4" s="528" t="s">
        <v>210</v>
      </c>
      <c r="L4" s="528" t="s">
        <v>211</v>
      </c>
      <c r="M4" s="528" t="s">
        <v>212</v>
      </c>
      <c r="N4" s="528" t="s">
        <v>213</v>
      </c>
    </row>
    <row r="5" spans="1:19" ht="20.100000000000001" customHeight="1" x14ac:dyDescent="0.35">
      <c r="A5" s="529"/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</row>
    <row r="6" spans="1:19" ht="67.5" customHeight="1" thickBot="1" x14ac:dyDescent="0.4">
      <c r="A6" s="531"/>
      <c r="B6" s="532" t="s">
        <v>225</v>
      </c>
      <c r="C6" s="532" t="s">
        <v>218</v>
      </c>
      <c r="D6" s="532" t="s">
        <v>218</v>
      </c>
      <c r="E6" s="532" t="s">
        <v>218</v>
      </c>
      <c r="F6" s="532" t="s">
        <v>218</v>
      </c>
      <c r="G6" s="532" t="s">
        <v>218</v>
      </c>
      <c r="H6" s="532" t="s">
        <v>218</v>
      </c>
      <c r="I6" s="532" t="s">
        <v>218</v>
      </c>
      <c r="J6" s="532" t="s">
        <v>218</v>
      </c>
      <c r="K6" s="532" t="s">
        <v>218</v>
      </c>
      <c r="L6" s="532" t="s">
        <v>218</v>
      </c>
      <c r="M6" s="532" t="s">
        <v>218</v>
      </c>
      <c r="N6" s="532" t="s">
        <v>218</v>
      </c>
      <c r="O6" s="525"/>
      <c r="P6" s="525"/>
      <c r="Q6" s="525"/>
      <c r="R6" s="525"/>
      <c r="S6" s="525"/>
    </row>
    <row r="7" spans="1:19" ht="24" customHeight="1" x14ac:dyDescent="0.35">
      <c r="A7" s="534" t="s">
        <v>226</v>
      </c>
      <c r="B7" s="535">
        <f>'1 kiemelt ei. '!N13</f>
        <v>36155973</v>
      </c>
      <c r="C7" s="535">
        <f>2264571+502594+50000-130000-127000-70000-25000-100000-100000-500000</f>
        <v>1765165</v>
      </c>
      <c r="D7" s="535">
        <f>2264571-1000000</f>
        <v>1264571</v>
      </c>
      <c r="E7" s="535">
        <f>2264571+150000</f>
        <v>2414571</v>
      </c>
      <c r="F7" s="535">
        <f>2264571+1591548+150000</f>
        <v>4006119</v>
      </c>
      <c r="G7" s="535">
        <f>2264571+150000</f>
        <v>2414571</v>
      </c>
      <c r="H7" s="535">
        <f>2264571+150000+393000</f>
        <v>2807571</v>
      </c>
      <c r="I7" s="535">
        <f>2264571+502594+150000+393000</f>
        <v>3310165</v>
      </c>
      <c r="J7" s="535">
        <f>2264571+130000+127000+150000+393000</f>
        <v>3064571</v>
      </c>
      <c r="K7" s="535">
        <f>2264571+100000+25000+150000+393000</f>
        <v>2932571</v>
      </c>
      <c r="L7" s="535">
        <f>2264571+1591547+150000+393000</f>
        <v>4399118</v>
      </c>
      <c r="M7" s="535">
        <f>2264571+50000+1940747+150000</f>
        <v>4405318</v>
      </c>
      <c r="N7" s="535">
        <f>2264571-3+70000+100000+150000+787094</f>
        <v>3371662</v>
      </c>
      <c r="O7" s="525"/>
      <c r="P7" s="525"/>
      <c r="Q7" s="525"/>
      <c r="R7" s="525"/>
      <c r="S7" s="525"/>
    </row>
    <row r="8" spans="1:19" ht="24" customHeight="1" thickBot="1" x14ac:dyDescent="0.4">
      <c r="A8" s="546" t="s">
        <v>227</v>
      </c>
      <c r="B8" s="536">
        <f>'1 kiemelt ei. '!N17</f>
        <v>10718443</v>
      </c>
      <c r="C8" s="536"/>
      <c r="D8" s="536"/>
      <c r="E8" s="536"/>
      <c r="F8" s="536">
        <v>10200</v>
      </c>
      <c r="G8" s="536">
        <v>200000</v>
      </c>
      <c r="H8" s="536"/>
      <c r="I8" s="536"/>
      <c r="J8" s="536"/>
      <c r="K8" s="536"/>
      <c r="L8" s="536">
        <f>150000+1000000</f>
        <v>1150000</v>
      </c>
      <c r="M8" s="536">
        <f>8259014-5700000</f>
        <v>2559014</v>
      </c>
      <c r="N8" s="536">
        <f>1099229+5700000</f>
        <v>6799229</v>
      </c>
      <c r="O8" s="525"/>
      <c r="P8" s="525"/>
      <c r="Q8" s="525"/>
      <c r="R8" s="525"/>
      <c r="S8" s="525"/>
    </row>
    <row r="9" spans="1:19" s="539" customFormat="1" ht="24" customHeight="1" thickBot="1" x14ac:dyDescent="0.4">
      <c r="A9" s="543" t="s">
        <v>228</v>
      </c>
      <c r="B9" s="538">
        <f t="shared" ref="B9:N9" si="0">B7+B8</f>
        <v>46874416</v>
      </c>
      <c r="C9" s="538">
        <f t="shared" si="0"/>
        <v>1765165</v>
      </c>
      <c r="D9" s="538">
        <f t="shared" si="0"/>
        <v>1264571</v>
      </c>
      <c r="E9" s="538">
        <f t="shared" si="0"/>
        <v>2414571</v>
      </c>
      <c r="F9" s="538">
        <f t="shared" si="0"/>
        <v>4016319</v>
      </c>
      <c r="G9" s="538">
        <f t="shared" si="0"/>
        <v>2614571</v>
      </c>
      <c r="H9" s="538">
        <f t="shared" si="0"/>
        <v>2807571</v>
      </c>
      <c r="I9" s="538">
        <f t="shared" si="0"/>
        <v>3310165</v>
      </c>
      <c r="J9" s="538">
        <f t="shared" si="0"/>
        <v>3064571</v>
      </c>
      <c r="K9" s="538">
        <f>K7+K8</f>
        <v>2932571</v>
      </c>
      <c r="L9" s="538">
        <f t="shared" si="0"/>
        <v>5549118</v>
      </c>
      <c r="M9" s="538">
        <f t="shared" si="0"/>
        <v>6964332</v>
      </c>
      <c r="N9" s="538">
        <f t="shared" si="0"/>
        <v>10170891</v>
      </c>
      <c r="O9" s="525"/>
      <c r="P9" s="525"/>
      <c r="Q9" s="525"/>
      <c r="R9" s="525"/>
      <c r="S9" s="525"/>
    </row>
    <row r="10" spans="1:19" ht="49.5" customHeight="1" thickBot="1" x14ac:dyDescent="0.4">
      <c r="A10" s="547" t="s">
        <v>229</v>
      </c>
      <c r="B10" s="541">
        <f>'1 kiemelt ei. '!N19</f>
        <v>4456760</v>
      </c>
      <c r="C10" s="542">
        <f>10063+336004</f>
        <v>346067</v>
      </c>
      <c r="D10" s="542">
        <v>10063</v>
      </c>
      <c r="E10" s="542">
        <v>10063</v>
      </c>
      <c r="F10" s="542">
        <v>10063</v>
      </c>
      <c r="G10" s="542">
        <v>10063</v>
      </c>
      <c r="H10" s="542">
        <f>10063+4000000</f>
        <v>4010063</v>
      </c>
      <c r="I10" s="542">
        <v>10063</v>
      </c>
      <c r="J10" s="542">
        <v>10063</v>
      </c>
      <c r="K10" s="542">
        <v>10063</v>
      </c>
      <c r="L10" s="542">
        <v>10063</v>
      </c>
      <c r="M10" s="542">
        <v>10063</v>
      </c>
      <c r="N10" s="542">
        <v>10063</v>
      </c>
      <c r="O10" s="525"/>
      <c r="P10" s="525"/>
      <c r="Q10" s="525"/>
      <c r="R10" s="525"/>
      <c r="S10" s="525"/>
    </row>
    <row r="11" spans="1:19" s="539" customFormat="1" ht="24" customHeight="1" thickBot="1" x14ac:dyDescent="0.4">
      <c r="A11" s="543" t="s">
        <v>230</v>
      </c>
      <c r="B11" s="538">
        <f>SUM(B9:B10)</f>
        <v>51331176</v>
      </c>
      <c r="C11" s="538">
        <f t="shared" ref="C11:N11" si="1">SUM(C9:C10)</f>
        <v>2111232</v>
      </c>
      <c r="D11" s="538">
        <f t="shared" si="1"/>
        <v>1274634</v>
      </c>
      <c r="E11" s="538">
        <f t="shared" si="1"/>
        <v>2424634</v>
      </c>
      <c r="F11" s="538">
        <f t="shared" si="1"/>
        <v>4026382</v>
      </c>
      <c r="G11" s="538">
        <f t="shared" si="1"/>
        <v>2624634</v>
      </c>
      <c r="H11" s="538">
        <f t="shared" si="1"/>
        <v>6817634</v>
      </c>
      <c r="I11" s="538">
        <f t="shared" si="1"/>
        <v>3320228</v>
      </c>
      <c r="J11" s="538">
        <f t="shared" si="1"/>
        <v>3074634</v>
      </c>
      <c r="K11" s="538">
        <f t="shared" si="1"/>
        <v>2942634</v>
      </c>
      <c r="L11" s="538">
        <f t="shared" si="1"/>
        <v>5559181</v>
      </c>
      <c r="M11" s="538">
        <f t="shared" si="1"/>
        <v>6974395</v>
      </c>
      <c r="N11" s="538">
        <f t="shared" si="1"/>
        <v>10180954</v>
      </c>
      <c r="O11" s="525"/>
      <c r="P11" s="525"/>
      <c r="Q11" s="525"/>
      <c r="R11" s="525"/>
      <c r="S11" s="525"/>
    </row>
    <row r="12" spans="1:19" ht="24" customHeight="1" thickBot="1" x14ac:dyDescent="0.4">
      <c r="B12" s="525"/>
      <c r="O12" s="525"/>
      <c r="P12" s="525"/>
      <c r="Q12" s="525"/>
      <c r="R12" s="525"/>
      <c r="S12" s="525"/>
    </row>
    <row r="13" spans="1:19" s="2" customFormat="1" ht="42" x14ac:dyDescent="0.35">
      <c r="A13" s="548" t="s">
        <v>155</v>
      </c>
      <c r="B13" s="549"/>
      <c r="C13" s="549" t="s">
        <v>231</v>
      </c>
      <c r="D13" s="549" t="s">
        <v>232</v>
      </c>
      <c r="E13" s="550" t="s">
        <v>233</v>
      </c>
      <c r="O13" s="525"/>
      <c r="P13" s="525"/>
      <c r="Q13" s="525"/>
      <c r="R13" s="525"/>
      <c r="S13" s="525"/>
    </row>
    <row r="14" spans="1:19" s="2" customFormat="1" ht="21.75" thickBot="1" x14ac:dyDescent="0.4">
      <c r="A14" s="310"/>
      <c r="B14" s="551"/>
      <c r="C14" s="552"/>
      <c r="D14" s="552"/>
      <c r="E14" s="553"/>
      <c r="F14" s="3"/>
      <c r="G14" s="554"/>
      <c r="H14" s="554"/>
      <c r="I14" s="554"/>
      <c r="J14" s="554"/>
      <c r="K14" s="554"/>
      <c r="L14" s="554"/>
      <c r="M14" s="554"/>
      <c r="N14" s="554"/>
      <c r="O14" s="525"/>
      <c r="P14" s="525"/>
      <c r="Q14" s="525"/>
      <c r="R14" s="525"/>
      <c r="S14" s="525"/>
    </row>
    <row r="15" spans="1:19" s="2" customFormat="1" x14ac:dyDescent="0.35">
      <c r="A15" s="555" t="s">
        <v>234</v>
      </c>
      <c r="B15" s="556"/>
      <c r="C15" s="179">
        <f>'19 ei felh. terv bevétel'!C11</f>
        <v>2191296</v>
      </c>
      <c r="D15" s="179">
        <f>C11</f>
        <v>2111232</v>
      </c>
      <c r="E15" s="557">
        <f>+B15+C15-D15</f>
        <v>80064</v>
      </c>
      <c r="F15" s="3"/>
      <c r="G15" s="3"/>
      <c r="H15" s="3"/>
      <c r="I15" s="3"/>
      <c r="J15" s="3"/>
      <c r="K15" s="3"/>
      <c r="L15" s="3"/>
      <c r="M15" s="3"/>
      <c r="O15" s="525"/>
      <c r="P15" s="525"/>
      <c r="Q15" s="525"/>
      <c r="R15" s="525"/>
      <c r="S15" s="525"/>
    </row>
    <row r="16" spans="1:19" s="2" customFormat="1" x14ac:dyDescent="0.35">
      <c r="A16" s="558" t="s">
        <v>235</v>
      </c>
      <c r="B16" s="18"/>
      <c r="C16" s="179">
        <f>'19 ei felh. terv bevétel'!D11</f>
        <v>1268704</v>
      </c>
      <c r="D16" s="179">
        <f>D11</f>
        <v>1274634</v>
      </c>
      <c r="E16" s="559">
        <f t="shared" ref="E16:E26" si="2">+E15+C16-D16</f>
        <v>74134</v>
      </c>
      <c r="F16" s="3"/>
      <c r="G16" s="3"/>
      <c r="H16" s="3"/>
      <c r="I16" s="3"/>
      <c r="J16" s="3"/>
      <c r="K16" s="3"/>
      <c r="L16" s="3"/>
      <c r="M16" s="3"/>
      <c r="O16" s="525"/>
      <c r="P16" s="525"/>
      <c r="Q16" s="525"/>
      <c r="R16" s="525"/>
      <c r="S16" s="525"/>
    </row>
    <row r="17" spans="1:19" s="2" customFormat="1" x14ac:dyDescent="0.35">
      <c r="A17" s="558" t="s">
        <v>203</v>
      </c>
      <c r="B17" s="18"/>
      <c r="C17" s="179">
        <f>'19 ei felh. terv bevétel'!E11</f>
        <v>13143606</v>
      </c>
      <c r="D17" s="179">
        <f>E11</f>
        <v>2424634</v>
      </c>
      <c r="E17" s="559">
        <f t="shared" si="2"/>
        <v>10793106</v>
      </c>
      <c r="F17" s="3"/>
      <c r="G17" s="3"/>
      <c r="H17" s="3"/>
      <c r="I17" s="3"/>
      <c r="J17" s="3"/>
      <c r="K17" s="3"/>
      <c r="L17" s="3"/>
      <c r="M17" s="3"/>
      <c r="O17" s="525"/>
      <c r="P17" s="525"/>
      <c r="Q17" s="525"/>
      <c r="R17" s="525"/>
      <c r="S17" s="525"/>
    </row>
    <row r="18" spans="1:19" s="2" customFormat="1" x14ac:dyDescent="0.35">
      <c r="A18" s="558" t="s">
        <v>204</v>
      </c>
      <c r="B18" s="18"/>
      <c r="C18" s="179">
        <f>'19 ei felh. terv bevétel'!F11</f>
        <v>1268583</v>
      </c>
      <c r="D18" s="179">
        <f>F11</f>
        <v>4026382</v>
      </c>
      <c r="E18" s="559">
        <f t="shared" si="2"/>
        <v>8035307</v>
      </c>
      <c r="F18" s="3"/>
      <c r="G18" s="3"/>
      <c r="H18" s="3"/>
      <c r="I18" s="3"/>
      <c r="J18" s="3"/>
      <c r="K18" s="3"/>
      <c r="L18" s="3"/>
      <c r="M18" s="3"/>
      <c r="O18" s="525"/>
      <c r="P18" s="525"/>
      <c r="Q18" s="525"/>
      <c r="R18" s="525"/>
      <c r="S18" s="525"/>
    </row>
    <row r="19" spans="1:19" s="2" customFormat="1" x14ac:dyDescent="0.35">
      <c r="A19" s="558" t="s">
        <v>205</v>
      </c>
      <c r="B19" s="18"/>
      <c r="C19" s="179">
        <f>'19 ei felh. terv bevétel'!G11</f>
        <v>3268583</v>
      </c>
      <c r="D19" s="179">
        <f>G11</f>
        <v>2624634</v>
      </c>
      <c r="E19" s="559">
        <f t="shared" si="2"/>
        <v>8679256</v>
      </c>
      <c r="F19" s="3"/>
      <c r="G19" s="3"/>
      <c r="H19" s="3"/>
      <c r="I19" s="3"/>
      <c r="J19" s="3"/>
      <c r="K19" s="3"/>
      <c r="L19" s="3"/>
      <c r="M19" s="3"/>
      <c r="O19" s="525"/>
      <c r="P19" s="525"/>
      <c r="Q19" s="525"/>
      <c r="R19" s="525"/>
      <c r="S19" s="525"/>
    </row>
    <row r="20" spans="1:19" s="2" customFormat="1" x14ac:dyDescent="0.35">
      <c r="A20" s="558" t="s">
        <v>236</v>
      </c>
      <c r="B20" s="18"/>
      <c r="C20" s="179">
        <f>'19 ei felh. terv bevétel'!H11</f>
        <v>870583</v>
      </c>
      <c r="D20" s="179">
        <f>H11</f>
        <v>6817634</v>
      </c>
      <c r="E20" s="559">
        <f t="shared" si="2"/>
        <v>2732205</v>
      </c>
      <c r="F20" s="3"/>
      <c r="G20" s="3"/>
      <c r="H20" s="3"/>
      <c r="I20" s="3"/>
      <c r="J20" s="3"/>
      <c r="K20" s="3"/>
      <c r="L20" s="3"/>
      <c r="M20" s="3"/>
      <c r="O20" s="525"/>
      <c r="P20" s="525"/>
      <c r="Q20" s="525"/>
      <c r="R20" s="525"/>
      <c r="S20" s="525"/>
    </row>
    <row r="21" spans="1:19" s="2" customFormat="1" x14ac:dyDescent="0.35">
      <c r="A21" s="558" t="s">
        <v>237</v>
      </c>
      <c r="B21" s="18"/>
      <c r="C21" s="179">
        <f>'19 ei felh. terv bevétel'!I11</f>
        <v>1820583</v>
      </c>
      <c r="D21" s="179">
        <f>I11</f>
        <v>3320228</v>
      </c>
      <c r="E21" s="559">
        <f t="shared" si="2"/>
        <v>1232560</v>
      </c>
      <c r="F21" s="3"/>
      <c r="G21" s="3"/>
      <c r="H21" s="3"/>
      <c r="I21" s="3"/>
      <c r="J21" s="3"/>
      <c r="K21" s="3"/>
      <c r="L21" s="3"/>
      <c r="M21" s="3"/>
      <c r="O21" s="525"/>
      <c r="P21" s="525"/>
      <c r="Q21" s="525"/>
      <c r="R21" s="525"/>
      <c r="S21" s="525"/>
    </row>
    <row r="22" spans="1:19" s="2" customFormat="1" x14ac:dyDescent="0.35">
      <c r="A22" s="558" t="s">
        <v>238</v>
      </c>
      <c r="B22" s="18"/>
      <c r="C22" s="179">
        <f>'19 ei felh. terv bevétel'!J11</f>
        <v>1870583</v>
      </c>
      <c r="D22" s="179">
        <f>J11</f>
        <v>3074634</v>
      </c>
      <c r="E22" s="559">
        <f t="shared" si="2"/>
        <v>28509</v>
      </c>
      <c r="F22" s="3"/>
      <c r="G22" s="3"/>
      <c r="H22" s="3"/>
      <c r="I22" s="3"/>
      <c r="J22" s="3"/>
      <c r="K22" s="3"/>
      <c r="L22" s="3"/>
      <c r="M22" s="3"/>
      <c r="O22" s="525"/>
      <c r="P22" s="525"/>
      <c r="Q22" s="525"/>
      <c r="R22" s="525"/>
      <c r="S22" s="525"/>
    </row>
    <row r="23" spans="1:19" s="2" customFormat="1" x14ac:dyDescent="0.35">
      <c r="A23" s="558" t="s">
        <v>206</v>
      </c>
      <c r="B23" s="18"/>
      <c r="C23" s="179">
        <f>'19 ei felh. terv bevétel'!K11</f>
        <v>7238443</v>
      </c>
      <c r="D23" s="179">
        <f>K11</f>
        <v>2942634</v>
      </c>
      <c r="E23" s="559">
        <f t="shared" si="2"/>
        <v>4324318</v>
      </c>
      <c r="F23" s="3"/>
      <c r="G23" s="3"/>
      <c r="H23" s="3"/>
      <c r="I23" s="3"/>
      <c r="J23" s="3"/>
      <c r="K23" s="3"/>
      <c r="L23" s="3"/>
      <c r="M23" s="3"/>
    </row>
    <row r="24" spans="1:19" s="2" customFormat="1" x14ac:dyDescent="0.35">
      <c r="A24" s="558" t="s">
        <v>208</v>
      </c>
      <c r="B24" s="18"/>
      <c r="C24" s="179">
        <f>'19 ei felh. terv bevétel'!L11</f>
        <v>2870707</v>
      </c>
      <c r="D24" s="179">
        <f>L11</f>
        <v>5559181</v>
      </c>
      <c r="E24" s="559">
        <f t="shared" si="2"/>
        <v>1635844</v>
      </c>
      <c r="F24" s="3"/>
      <c r="G24" s="3"/>
      <c r="H24" s="3"/>
      <c r="I24" s="3"/>
      <c r="J24" s="3"/>
      <c r="K24" s="3"/>
      <c r="L24" s="3"/>
      <c r="M24" s="3"/>
    </row>
    <row r="25" spans="1:19" s="2" customFormat="1" x14ac:dyDescent="0.35">
      <c r="A25" s="558" t="s">
        <v>239</v>
      </c>
      <c r="B25" s="18"/>
      <c r="C25" s="179">
        <f>'19 ei felh. terv bevétel'!M11</f>
        <v>5371067</v>
      </c>
      <c r="D25" s="179">
        <f>M11</f>
        <v>6974395</v>
      </c>
      <c r="E25" s="559">
        <f t="shared" si="2"/>
        <v>32516</v>
      </c>
      <c r="F25" s="3"/>
      <c r="G25" s="3"/>
      <c r="H25" s="3"/>
      <c r="I25" s="3"/>
      <c r="J25" s="3"/>
      <c r="K25" s="3"/>
      <c r="L25" s="3"/>
      <c r="M25" s="3"/>
    </row>
    <row r="26" spans="1:19" s="2" customFormat="1" ht="21.75" thickBot="1" x14ac:dyDescent="0.4">
      <c r="A26" s="560" t="s">
        <v>240</v>
      </c>
      <c r="B26" s="561"/>
      <c r="C26" s="562">
        <f>'19 ei felh. terv bevétel'!N11</f>
        <v>10148438</v>
      </c>
      <c r="D26" s="562">
        <f>N11</f>
        <v>10180954</v>
      </c>
      <c r="E26" s="569">
        <f t="shared" si="2"/>
        <v>0</v>
      </c>
      <c r="F26" s="3"/>
      <c r="G26" s="3"/>
      <c r="H26" s="3"/>
      <c r="I26" s="3"/>
      <c r="J26" s="3"/>
      <c r="K26" s="3"/>
      <c r="L26" s="3"/>
      <c r="M26" s="3"/>
    </row>
    <row r="27" spans="1:19" s="2" customFormat="1" ht="21.75" thickBot="1" x14ac:dyDescent="0.4">
      <c r="A27" s="563" t="s">
        <v>186</v>
      </c>
      <c r="B27" s="564"/>
      <c r="C27" s="565">
        <f>SUM(C15:C26)</f>
        <v>51331176</v>
      </c>
      <c r="D27" s="565">
        <f>SUM(D15:D26)</f>
        <v>51331176</v>
      </c>
      <c r="E27" s="566">
        <f>+C27-D27</f>
        <v>0</v>
      </c>
      <c r="G27" s="3"/>
      <c r="H27" s="3"/>
      <c r="I27" s="3"/>
      <c r="J27" s="3"/>
      <c r="K27" s="3"/>
      <c r="L27" s="3"/>
      <c r="M27" s="3"/>
    </row>
    <row r="30" spans="1:19" x14ac:dyDescent="0.35">
      <c r="B30" s="525"/>
      <c r="C30" s="567"/>
      <c r="D30" s="567"/>
      <c r="E30" s="567"/>
      <c r="F30" s="567"/>
      <c r="G30" s="567"/>
      <c r="H30" s="567"/>
      <c r="I30" s="567"/>
      <c r="J30" s="567"/>
      <c r="K30" s="567"/>
      <c r="L30" s="567"/>
      <c r="M30" s="567"/>
      <c r="N30" s="567"/>
    </row>
    <row r="31" spans="1:19" x14ac:dyDescent="0.35">
      <c r="C31" s="567"/>
      <c r="D31" s="567"/>
      <c r="E31" s="567"/>
      <c r="F31" s="567"/>
      <c r="G31" s="567"/>
      <c r="H31" s="567"/>
      <c r="I31" s="567"/>
      <c r="J31" s="567"/>
      <c r="K31" s="567"/>
      <c r="L31" s="567"/>
      <c r="M31" s="567"/>
      <c r="N31" s="567"/>
    </row>
  </sheetData>
  <mergeCells count="1">
    <mergeCell ref="A2:B2"/>
  </mergeCells>
  <printOptions horizontalCentered="1" verticalCentered="1"/>
  <pageMargins left="0.19685039370078741" right="0.19685039370078741" top="0.15748031496062992" bottom="0" header="0.15748031496062992" footer="0.15748031496062992"/>
  <pageSetup paperSize="9" scale="43" orientation="landscape" r:id="rId1"/>
  <headerFooter alignWithMargins="0">
    <oddHeader xml:space="preserve">&amp;R&amp;"-,Félkövér"&amp;12 19. melléklet a ..../2026. (......) önkormányzati rendelethez
"19. melléklet a 3/2026.(II.27.) önkormányzati rendelethez"
 &amp;"Times New Roman CE,Félkövér"
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31"/>
  <dimension ref="A1:L279"/>
  <sheetViews>
    <sheetView topLeftCell="C1" zoomScale="93" zoomScaleNormal="93" workbookViewId="0">
      <selection activeCell="D19" sqref="D19"/>
    </sheetView>
  </sheetViews>
  <sheetFormatPr defaultColWidth="9.33203125" defaultRowHeight="21" customHeight="1" x14ac:dyDescent="0.35"/>
  <cols>
    <col min="1" max="1" width="5" style="2" customWidth="1"/>
    <col min="2" max="4" width="2.33203125" style="2" customWidth="1"/>
    <col min="5" max="5" width="179.5" style="2" customWidth="1"/>
    <col min="6" max="6" width="35.1640625" style="2" customWidth="1"/>
    <col min="7" max="7" width="32.5" style="2" customWidth="1"/>
    <col min="8" max="8" width="39.1640625" style="2" customWidth="1"/>
    <col min="9" max="9" width="44.5" style="3" customWidth="1"/>
    <col min="10" max="10" width="17" style="2" bestFit="1" customWidth="1"/>
    <col min="11" max="11" width="9.33203125" style="2"/>
    <col min="12" max="12" width="22" style="3" bestFit="1" customWidth="1"/>
    <col min="13" max="16384" width="9.33203125" style="2"/>
  </cols>
  <sheetData>
    <row r="1" spans="1:12" ht="21" customHeight="1" x14ac:dyDescent="0.35">
      <c r="A1" s="882"/>
      <c r="B1" s="882"/>
      <c r="C1" s="882"/>
      <c r="D1" s="882"/>
      <c r="E1" s="882"/>
      <c r="F1" s="182"/>
      <c r="G1" s="182"/>
      <c r="H1" s="182"/>
      <c r="I1" s="181"/>
    </row>
    <row r="2" spans="1:12" ht="21" customHeight="1" x14ac:dyDescent="0.35">
      <c r="A2" s="882" t="s">
        <v>104</v>
      </c>
      <c r="B2" s="882"/>
      <c r="C2" s="882"/>
      <c r="D2" s="882"/>
      <c r="E2" s="882"/>
      <c r="F2" s="882"/>
      <c r="G2" s="882"/>
      <c r="H2" s="882"/>
      <c r="I2" s="882"/>
    </row>
    <row r="3" spans="1:12" ht="21" customHeight="1" x14ac:dyDescent="0.35">
      <c r="A3" s="182"/>
      <c r="B3" s="182"/>
      <c r="C3" s="182"/>
      <c r="D3" s="182"/>
      <c r="E3" s="182"/>
      <c r="F3" s="182"/>
      <c r="G3" s="182"/>
      <c r="H3" s="182"/>
      <c r="I3" s="181"/>
    </row>
    <row r="4" spans="1:12" ht="21" customHeight="1" thickBot="1" x14ac:dyDescent="0.4">
      <c r="B4" s="306"/>
      <c r="C4" s="306"/>
      <c r="D4" s="306"/>
      <c r="E4" s="307"/>
      <c r="F4" s="45"/>
      <c r="G4" s="45"/>
      <c r="I4" s="308" t="s">
        <v>201</v>
      </c>
    </row>
    <row r="5" spans="1:12" ht="43.5" customHeight="1" x14ac:dyDescent="0.35">
      <c r="A5" s="115"/>
      <c r="B5" s="309"/>
      <c r="C5" s="309"/>
      <c r="D5" s="309"/>
      <c r="E5" s="156" t="s">
        <v>155</v>
      </c>
      <c r="F5" s="185" t="s">
        <v>418</v>
      </c>
      <c r="G5" s="185" t="s">
        <v>439</v>
      </c>
      <c r="H5" s="185" t="s">
        <v>672</v>
      </c>
      <c r="I5" s="185" t="s">
        <v>671</v>
      </c>
    </row>
    <row r="6" spans="1:12" ht="21" customHeight="1" thickBot="1" x14ac:dyDescent="0.4">
      <c r="A6" s="310"/>
      <c r="B6" s="311"/>
      <c r="C6" s="311"/>
      <c r="D6" s="311"/>
      <c r="E6" s="312"/>
      <c r="F6" s="188" t="s">
        <v>674</v>
      </c>
      <c r="G6" s="188" t="s">
        <v>331</v>
      </c>
      <c r="H6" s="188" t="s">
        <v>673</v>
      </c>
      <c r="I6" s="188" t="s">
        <v>344</v>
      </c>
    </row>
    <row r="7" spans="1:12" ht="21" customHeight="1" x14ac:dyDescent="0.35">
      <c r="A7" s="313" t="s">
        <v>98</v>
      </c>
      <c r="B7" s="314"/>
      <c r="C7" s="314"/>
      <c r="D7" s="314"/>
      <c r="E7" s="314"/>
      <c r="F7" s="20"/>
      <c r="G7" s="20"/>
      <c r="H7" s="20"/>
      <c r="I7" s="20"/>
    </row>
    <row r="8" spans="1:12" s="316" customFormat="1" ht="21" customHeight="1" x14ac:dyDescent="0.35">
      <c r="A8" s="315"/>
      <c r="B8" s="316" t="s">
        <v>267</v>
      </c>
      <c r="E8" s="317"/>
      <c r="F8" s="21">
        <v>1759844</v>
      </c>
      <c r="G8" s="21">
        <f>1706599+64813+76691</f>
        <v>1848103</v>
      </c>
      <c r="H8" s="21"/>
      <c r="I8" s="21">
        <f>SUM(G8:H8)</f>
        <v>1848103</v>
      </c>
      <c r="L8" s="19"/>
    </row>
    <row r="9" spans="1:12" s="316" customFormat="1" ht="24.75" customHeight="1" x14ac:dyDescent="0.35">
      <c r="A9" s="315"/>
      <c r="B9" s="322" t="s">
        <v>269</v>
      </c>
      <c r="C9" s="322"/>
      <c r="D9" s="322"/>
      <c r="E9" s="336"/>
      <c r="F9" s="23">
        <v>3354379</v>
      </c>
      <c r="G9" s="23">
        <f>3333839+220531+61686+41561</f>
        <v>3657617</v>
      </c>
      <c r="H9" s="23">
        <v>35645</v>
      </c>
      <c r="I9" s="23">
        <f>SUM(G9:H9)</f>
        <v>3693262</v>
      </c>
      <c r="L9" s="19"/>
    </row>
    <row r="10" spans="1:12" s="316" customFormat="1" ht="21" customHeight="1" x14ac:dyDescent="0.35">
      <c r="A10" s="315"/>
      <c r="B10" s="316" t="s">
        <v>387</v>
      </c>
      <c r="E10" s="321" t="s">
        <v>398</v>
      </c>
      <c r="F10" s="21">
        <v>2130512</v>
      </c>
      <c r="G10" s="21">
        <f>2145681+31918+144277</f>
        <v>2321876</v>
      </c>
      <c r="H10" s="21">
        <v>10849</v>
      </c>
      <c r="I10" s="23">
        <f>SUM(G10:H10)</f>
        <v>2332725</v>
      </c>
      <c r="L10" s="19"/>
    </row>
    <row r="11" spans="1:12" s="316" customFormat="1" ht="21" customHeight="1" x14ac:dyDescent="0.35">
      <c r="A11" s="315"/>
      <c r="B11" s="322" t="s">
        <v>388</v>
      </c>
      <c r="C11" s="322"/>
      <c r="D11" s="322"/>
      <c r="E11" s="323" t="s">
        <v>389</v>
      </c>
      <c r="F11" s="23">
        <v>946949</v>
      </c>
      <c r="G11" s="23">
        <f>878065+92235+45120</f>
        <v>1015420</v>
      </c>
      <c r="H11" s="23"/>
      <c r="I11" s="21">
        <f>SUM(G11:H11)</f>
        <v>1015420</v>
      </c>
      <c r="L11" s="19"/>
    </row>
    <row r="12" spans="1:12" s="316" customFormat="1" ht="21" customHeight="1" x14ac:dyDescent="0.35">
      <c r="A12" s="315"/>
      <c r="B12" s="318" t="s">
        <v>390</v>
      </c>
      <c r="C12" s="318"/>
      <c r="D12" s="318"/>
      <c r="E12" s="324"/>
      <c r="F12" s="22">
        <f>SUM(F13:F14)</f>
        <v>214194</v>
      </c>
      <c r="G12" s="22">
        <f>SUM(G13:G14)</f>
        <v>213472</v>
      </c>
      <c r="H12" s="22">
        <f>SUM(H13:H14)</f>
        <v>0</v>
      </c>
      <c r="I12" s="22">
        <f>SUM(I13:I14)</f>
        <v>213472</v>
      </c>
      <c r="L12" s="19"/>
    </row>
    <row r="13" spans="1:12" s="316" customFormat="1" ht="21" customHeight="1" x14ac:dyDescent="0.35">
      <c r="A13" s="315"/>
      <c r="B13" s="2"/>
      <c r="C13" s="139" t="s">
        <v>545</v>
      </c>
      <c r="D13" s="139"/>
      <c r="E13" s="325"/>
      <c r="F13" s="24">
        <v>71480</v>
      </c>
      <c r="G13" s="24">
        <f>71479-328</f>
        <v>71151</v>
      </c>
      <c r="H13" s="24"/>
      <c r="I13" s="24">
        <f>SUM(G13:H13)</f>
        <v>71151</v>
      </c>
      <c r="L13" s="19"/>
    </row>
    <row r="14" spans="1:12" s="316" customFormat="1" ht="21" customHeight="1" x14ac:dyDescent="0.35">
      <c r="A14" s="315"/>
      <c r="B14" s="326"/>
      <c r="C14" s="327" t="s">
        <v>546</v>
      </c>
      <c r="D14" s="327"/>
      <c r="E14" s="328"/>
      <c r="F14" s="24">
        <v>142714</v>
      </c>
      <c r="G14" s="24">
        <f>142713-392</f>
        <v>142321</v>
      </c>
      <c r="H14" s="24"/>
      <c r="I14" s="24">
        <f>SUM(G14:H14)</f>
        <v>142321</v>
      </c>
      <c r="L14" s="19"/>
    </row>
    <row r="15" spans="1:12" s="316" customFormat="1" ht="21" customHeight="1" x14ac:dyDescent="0.35">
      <c r="A15" s="315"/>
      <c r="B15" s="322" t="s">
        <v>391</v>
      </c>
      <c r="C15" s="322"/>
      <c r="D15" s="322"/>
      <c r="E15" s="323"/>
      <c r="F15" s="23">
        <f>F8+F9+F10+F11+F12</f>
        <v>8405878</v>
      </c>
      <c r="G15" s="23">
        <f>G8+G9+G10+G11+G12</f>
        <v>9056488</v>
      </c>
      <c r="H15" s="23">
        <f>H8+H9+H10+H11+H12</f>
        <v>46494</v>
      </c>
      <c r="I15" s="23">
        <f>I8+I9+I10+I11+I12</f>
        <v>9102982</v>
      </c>
      <c r="L15" s="19"/>
    </row>
    <row r="16" spans="1:12" s="316" customFormat="1" ht="21" customHeight="1" x14ac:dyDescent="0.35">
      <c r="A16" s="315"/>
      <c r="B16" s="316" t="s">
        <v>395</v>
      </c>
      <c r="C16" s="573"/>
      <c r="F16" s="22"/>
      <c r="G16" s="22"/>
      <c r="H16" s="22"/>
      <c r="I16" s="22"/>
      <c r="L16" s="19"/>
    </row>
    <row r="17" spans="1:12" s="316" customFormat="1" ht="21" customHeight="1" x14ac:dyDescent="0.35">
      <c r="A17" s="152"/>
      <c r="B17" s="2"/>
      <c r="C17" s="139" t="s">
        <v>399</v>
      </c>
      <c r="D17" s="139"/>
      <c r="E17" s="325"/>
      <c r="F17" s="24">
        <v>5539</v>
      </c>
      <c r="G17" s="24"/>
      <c r="H17" s="24"/>
      <c r="I17" s="24">
        <f>SUM(G17:H17)</f>
        <v>0</v>
      </c>
      <c r="L17" s="19"/>
    </row>
    <row r="18" spans="1:12" s="316" customFormat="1" ht="21" customHeight="1" x14ac:dyDescent="0.35">
      <c r="A18" s="152"/>
      <c r="B18" s="2"/>
      <c r="C18" s="151" t="s">
        <v>400</v>
      </c>
      <c r="D18" s="151"/>
      <c r="E18" s="329"/>
      <c r="F18" s="24">
        <v>251154</v>
      </c>
      <c r="G18" s="24"/>
      <c r="H18" s="24">
        <v>104947</v>
      </c>
      <c r="I18" s="24">
        <f>SUM(G18:H18)</f>
        <v>104947</v>
      </c>
      <c r="L18" s="19"/>
    </row>
    <row r="19" spans="1:12" s="316" customFormat="1" ht="21" customHeight="1" x14ac:dyDescent="0.35">
      <c r="A19" s="152"/>
      <c r="B19" s="2"/>
      <c r="C19" s="2" t="s">
        <v>692</v>
      </c>
      <c r="D19" s="2"/>
      <c r="E19" s="657"/>
      <c r="F19" s="27"/>
      <c r="G19" s="27"/>
      <c r="H19" s="27">
        <v>37713</v>
      </c>
      <c r="I19" s="24">
        <f>SUM(G19:H19)</f>
        <v>37713</v>
      </c>
      <c r="L19" s="19"/>
    </row>
    <row r="20" spans="1:12" s="316" customFormat="1" ht="21" customHeight="1" x14ac:dyDescent="0.35">
      <c r="A20" s="315"/>
      <c r="B20" s="322"/>
      <c r="C20" s="322" t="s">
        <v>393</v>
      </c>
      <c r="D20" s="322"/>
      <c r="E20" s="330"/>
      <c r="F20" s="28">
        <f>SUM(F17:F19)</f>
        <v>256693</v>
      </c>
      <c r="G20" s="28">
        <f t="shared" ref="G20:I20" si="0">SUM(G17:G19)</f>
        <v>0</v>
      </c>
      <c r="H20" s="28">
        <f t="shared" si="0"/>
        <v>142660</v>
      </c>
      <c r="I20" s="28">
        <f t="shared" si="0"/>
        <v>142660</v>
      </c>
      <c r="L20" s="19"/>
    </row>
    <row r="21" spans="1:12" s="316" customFormat="1" ht="21" customHeight="1" x14ac:dyDescent="0.35">
      <c r="A21" s="315"/>
      <c r="B21" s="318" t="s">
        <v>397</v>
      </c>
      <c r="C21" s="318"/>
      <c r="D21" s="318"/>
      <c r="E21" s="331"/>
      <c r="F21" s="26"/>
      <c r="G21" s="26"/>
      <c r="H21" s="26"/>
      <c r="I21" s="26"/>
      <c r="L21" s="19"/>
    </row>
    <row r="22" spans="1:12" s="316" customFormat="1" ht="21" customHeight="1" x14ac:dyDescent="0.35">
      <c r="A22" s="315"/>
      <c r="B22" s="2"/>
      <c r="C22" s="139" t="s">
        <v>542</v>
      </c>
      <c r="D22" s="139"/>
      <c r="E22" s="325"/>
      <c r="F22" s="24">
        <v>230670</v>
      </c>
      <c r="G22" s="24">
        <v>230670</v>
      </c>
      <c r="H22" s="24"/>
      <c r="I22" s="24">
        <f>SUM(G22:H22)</f>
        <v>230670</v>
      </c>
      <c r="L22" s="19"/>
    </row>
    <row r="23" spans="1:12" s="316" customFormat="1" ht="45.75" customHeight="1" x14ac:dyDescent="0.35">
      <c r="A23" s="315"/>
      <c r="B23" s="2"/>
      <c r="C23" s="880" t="s">
        <v>543</v>
      </c>
      <c r="D23" s="880"/>
      <c r="E23" s="881"/>
      <c r="F23" s="25">
        <v>188000</v>
      </c>
      <c r="G23" s="25">
        <v>188000</v>
      </c>
      <c r="H23" s="24"/>
      <c r="I23" s="24">
        <f t="shared" ref="I23:I27" si="1">SUM(G23:H23)</f>
        <v>188000</v>
      </c>
      <c r="L23" s="19"/>
    </row>
    <row r="24" spans="1:12" ht="21" customHeight="1" x14ac:dyDescent="0.35">
      <c r="A24" s="152"/>
      <c r="C24" s="151" t="s">
        <v>392</v>
      </c>
      <c r="D24" s="151"/>
      <c r="E24" s="329"/>
      <c r="F24" s="24">
        <v>318266</v>
      </c>
      <c r="G24" s="24">
        <v>318266</v>
      </c>
      <c r="H24" s="25"/>
      <c r="I24" s="24">
        <f t="shared" si="1"/>
        <v>318266</v>
      </c>
    </row>
    <row r="25" spans="1:12" ht="40.5" customHeight="1" x14ac:dyDescent="0.35">
      <c r="A25" s="152"/>
      <c r="C25" s="880" t="s">
        <v>563</v>
      </c>
      <c r="D25" s="880"/>
      <c r="E25" s="881"/>
      <c r="F25" s="24">
        <v>157338</v>
      </c>
      <c r="G25" s="24">
        <v>157338</v>
      </c>
      <c r="H25" s="24"/>
      <c r="I25" s="24">
        <f t="shared" si="1"/>
        <v>157338</v>
      </c>
    </row>
    <row r="26" spans="1:12" ht="21" customHeight="1" x14ac:dyDescent="0.35">
      <c r="A26" s="152"/>
      <c r="C26" s="151" t="s">
        <v>658</v>
      </c>
      <c r="D26" s="151"/>
      <c r="E26" s="329"/>
      <c r="F26" s="24"/>
      <c r="G26" s="24">
        <v>236016</v>
      </c>
      <c r="H26" s="24"/>
      <c r="I26" s="24">
        <f t="shared" si="1"/>
        <v>236016</v>
      </c>
    </row>
    <row r="27" spans="1:12" x14ac:dyDescent="0.35">
      <c r="A27" s="152"/>
      <c r="C27" s="151" t="s">
        <v>659</v>
      </c>
      <c r="F27" s="27"/>
      <c r="G27" s="27">
        <v>139829</v>
      </c>
      <c r="H27" s="27"/>
      <c r="I27" s="24">
        <f t="shared" si="1"/>
        <v>139829</v>
      </c>
    </row>
    <row r="28" spans="1:12" s="316" customFormat="1" ht="21" customHeight="1" x14ac:dyDescent="0.35">
      <c r="A28" s="315"/>
      <c r="B28" s="322" t="s">
        <v>396</v>
      </c>
      <c r="C28" s="322"/>
      <c r="D28" s="322"/>
      <c r="E28" s="330"/>
      <c r="F28" s="28">
        <f>SUM(F21:F27)</f>
        <v>894274</v>
      </c>
      <c r="G28" s="28">
        <f>SUM(G21:G27)</f>
        <v>1270119</v>
      </c>
      <c r="H28" s="28">
        <f>SUM(H21:H27)</f>
        <v>0</v>
      </c>
      <c r="I28" s="28">
        <f>SUM(I21:I27)</f>
        <v>1270119</v>
      </c>
      <c r="L28" s="19"/>
    </row>
    <row r="29" spans="1:12" s="316" customFormat="1" ht="21" customHeight="1" x14ac:dyDescent="0.35">
      <c r="A29" s="315"/>
      <c r="B29" s="318" t="s">
        <v>48</v>
      </c>
      <c r="C29" s="318"/>
      <c r="D29" s="318"/>
      <c r="E29" s="319"/>
      <c r="F29" s="26"/>
      <c r="G29" s="26"/>
      <c r="H29" s="26"/>
      <c r="I29" s="26"/>
      <c r="L29" s="19"/>
    </row>
    <row r="30" spans="1:12" s="316" customFormat="1" ht="42" customHeight="1" x14ac:dyDescent="0.35">
      <c r="A30" s="332"/>
      <c r="B30" s="55"/>
      <c r="C30" s="333"/>
      <c r="D30" s="333"/>
      <c r="E30" s="334" t="s">
        <v>421</v>
      </c>
      <c r="F30" s="4">
        <v>7300</v>
      </c>
      <c r="G30" s="4"/>
      <c r="H30" s="4">
        <v>2420</v>
      </c>
      <c r="I30" s="4">
        <f>SUM(G30:H30)</f>
        <v>2420</v>
      </c>
      <c r="L30" s="19"/>
    </row>
    <row r="31" spans="1:12" s="316" customFormat="1" ht="21" customHeight="1" x14ac:dyDescent="0.35">
      <c r="A31" s="315"/>
      <c r="B31" s="320"/>
      <c r="E31" s="55" t="s">
        <v>350</v>
      </c>
      <c r="F31" s="8">
        <v>3137</v>
      </c>
      <c r="G31" s="8"/>
      <c r="H31" s="8"/>
      <c r="I31" s="4">
        <f>SUM(G31:H31)</f>
        <v>0</v>
      </c>
      <c r="L31" s="19"/>
    </row>
    <row r="32" spans="1:12" s="316" customFormat="1" ht="21" customHeight="1" x14ac:dyDescent="0.35">
      <c r="A32" s="315"/>
      <c r="B32" s="335" t="s">
        <v>258</v>
      </c>
      <c r="C32" s="322"/>
      <c r="D32" s="322"/>
      <c r="E32" s="336"/>
      <c r="F32" s="28">
        <f>SUM(F30:F31)</f>
        <v>10437</v>
      </c>
      <c r="G32" s="28">
        <f>SUM(G30:G31)</f>
        <v>0</v>
      </c>
      <c r="H32" s="28">
        <f>SUM(H30:H31)</f>
        <v>2420</v>
      </c>
      <c r="I32" s="28">
        <f>SUM(I30:I31)</f>
        <v>2420</v>
      </c>
      <c r="L32" s="19"/>
    </row>
    <row r="33" spans="1:12" s="316" customFormat="1" ht="21" customHeight="1" x14ac:dyDescent="0.35">
      <c r="A33" s="337" t="s">
        <v>341</v>
      </c>
      <c r="C33" s="318"/>
      <c r="D33" s="318"/>
      <c r="E33" s="319"/>
      <c r="F33" s="26">
        <f>F15+F20+F28+F32</f>
        <v>9567282</v>
      </c>
      <c r="G33" s="26">
        <f>G15+G20+G28+G32</f>
        <v>10326607</v>
      </c>
      <c r="H33" s="26">
        <f>H15+H20+H28+H32</f>
        <v>191574</v>
      </c>
      <c r="I33" s="26">
        <f>I15+I20+I28+I32</f>
        <v>10518181</v>
      </c>
      <c r="L33" s="19"/>
    </row>
    <row r="34" spans="1:12" ht="21" customHeight="1" x14ac:dyDescent="0.35">
      <c r="A34" s="315"/>
      <c r="B34" s="318" t="s">
        <v>260</v>
      </c>
      <c r="C34" s="318"/>
      <c r="D34" s="318"/>
      <c r="E34" s="319"/>
      <c r="F34" s="29"/>
      <c r="G34" s="29"/>
      <c r="H34" s="29"/>
      <c r="I34" s="29"/>
    </row>
    <row r="35" spans="1:12" ht="21" customHeight="1" x14ac:dyDescent="0.35">
      <c r="A35" s="152"/>
      <c r="C35" s="3" t="s">
        <v>678</v>
      </c>
      <c r="D35" s="3"/>
      <c r="E35" s="338"/>
      <c r="F35" s="8"/>
      <c r="G35" s="8"/>
      <c r="H35" s="8"/>
      <c r="I35" s="24">
        <f>SUM(G35:H35)</f>
        <v>0</v>
      </c>
    </row>
    <row r="36" spans="1:12" ht="21" customHeight="1" thickBot="1" x14ac:dyDescent="0.4">
      <c r="A36" s="315"/>
      <c r="B36" s="339" t="s">
        <v>259</v>
      </c>
      <c r="C36" s="339"/>
      <c r="D36" s="339"/>
      <c r="E36" s="340"/>
      <c r="F36" s="30">
        <f>SUM(F35)</f>
        <v>0</v>
      </c>
      <c r="G36" s="30">
        <f>SUM(G35)</f>
        <v>0</v>
      </c>
      <c r="H36" s="30">
        <f>SUM(H35)</f>
        <v>0</v>
      </c>
      <c r="I36" s="30">
        <f>SUM(I35)</f>
        <v>0</v>
      </c>
    </row>
    <row r="37" spans="1:12" ht="21" customHeight="1" thickBot="1" x14ac:dyDescent="0.4">
      <c r="A37" s="313" t="s">
        <v>261</v>
      </c>
      <c r="B37" s="341" t="s">
        <v>25</v>
      </c>
      <c r="C37" s="311"/>
      <c r="D37" s="311"/>
      <c r="E37" s="311"/>
      <c r="F37" s="31">
        <f>F33+F36</f>
        <v>9567282</v>
      </c>
      <c r="G37" s="31">
        <f>G33+G36</f>
        <v>10326607</v>
      </c>
      <c r="H37" s="31">
        <f>H33+H36</f>
        <v>191574</v>
      </c>
      <c r="I37" s="31">
        <f>I33+I36</f>
        <v>10518181</v>
      </c>
    </row>
    <row r="38" spans="1:12" ht="21" customHeight="1" x14ac:dyDescent="0.35">
      <c r="A38" s="313"/>
      <c r="B38" s="647"/>
      <c r="C38" s="647" t="s">
        <v>257</v>
      </c>
      <c r="D38" s="647"/>
      <c r="E38" s="647"/>
      <c r="F38" s="648"/>
      <c r="G38" s="648"/>
      <c r="H38" s="648"/>
      <c r="I38" s="648">
        <f>SUM(G38:H38)</f>
        <v>0</v>
      </c>
      <c r="L38" s="19"/>
    </row>
    <row r="39" spans="1:12" ht="21" customHeight="1" thickBot="1" x14ac:dyDescent="0.4">
      <c r="A39" s="313"/>
      <c r="B39" s="341"/>
      <c r="C39" s="139" t="s">
        <v>685</v>
      </c>
      <c r="D39" s="311"/>
      <c r="E39" s="311"/>
      <c r="F39" s="31"/>
      <c r="G39" s="31"/>
      <c r="H39" s="31">
        <v>40279</v>
      </c>
      <c r="I39" s="649">
        <f>SUM(G39:H39)</f>
        <v>40279</v>
      </c>
      <c r="L39" s="19"/>
    </row>
    <row r="40" spans="1:12" ht="21.75" thickBot="1" x14ac:dyDescent="0.4">
      <c r="A40" s="313" t="s">
        <v>262</v>
      </c>
      <c r="B40" s="157" t="s">
        <v>45</v>
      </c>
      <c r="C40" s="342"/>
      <c r="D40" s="342"/>
      <c r="E40" s="342"/>
      <c r="F40" s="11">
        <f>SUM(F38:F39)</f>
        <v>0</v>
      </c>
      <c r="G40" s="11">
        <f t="shared" ref="G40:I40" si="2">SUM(G38:G39)</f>
        <v>0</v>
      </c>
      <c r="H40" s="11">
        <f t="shared" si="2"/>
        <v>40279</v>
      </c>
      <c r="I40" s="11">
        <f t="shared" si="2"/>
        <v>40279</v>
      </c>
    </row>
    <row r="41" spans="1:12" x14ac:dyDescent="0.35">
      <c r="A41" s="152"/>
      <c r="C41" s="139" t="s">
        <v>367</v>
      </c>
      <c r="D41" s="151"/>
      <c r="E41" s="329"/>
      <c r="F41" s="4">
        <v>75519</v>
      </c>
      <c r="G41" s="4">
        <f>302075+55733</f>
        <v>357808</v>
      </c>
      <c r="H41" s="4">
        <v>-357808</v>
      </c>
      <c r="I41" s="4">
        <f>SUM(G41:H41)</f>
        <v>0</v>
      </c>
    </row>
    <row r="42" spans="1:12" x14ac:dyDescent="0.35">
      <c r="A42" s="152"/>
      <c r="C42" s="139" t="s">
        <v>368</v>
      </c>
      <c r="D42" s="151"/>
      <c r="E42" s="329"/>
      <c r="F42" s="6">
        <v>13250</v>
      </c>
      <c r="G42" s="6">
        <f>53000+30487</f>
        <v>83487</v>
      </c>
      <c r="H42" s="6">
        <v>-83487</v>
      </c>
      <c r="I42" s="4">
        <f t="shared" ref="I42:I56" si="3">SUM(G42:H42)</f>
        <v>0</v>
      </c>
    </row>
    <row r="43" spans="1:12" x14ac:dyDescent="0.35">
      <c r="A43" s="152"/>
      <c r="C43" s="139" t="s">
        <v>693</v>
      </c>
      <c r="D43" s="151"/>
      <c r="E43" s="329"/>
      <c r="F43" s="4"/>
      <c r="G43" s="4"/>
      <c r="H43" s="4">
        <f>485825+6400</f>
        <v>492225</v>
      </c>
      <c r="I43" s="4">
        <f t="shared" si="3"/>
        <v>492225</v>
      </c>
    </row>
    <row r="44" spans="1:12" x14ac:dyDescent="0.35">
      <c r="A44" s="315"/>
      <c r="B44" s="139"/>
      <c r="C44" s="151" t="s">
        <v>570</v>
      </c>
      <c r="D44" s="329"/>
      <c r="E44" s="343"/>
      <c r="F44" s="4">
        <v>25</v>
      </c>
      <c r="G44" s="4"/>
      <c r="H44" s="4"/>
      <c r="I44" s="4">
        <f t="shared" si="3"/>
        <v>0</v>
      </c>
    </row>
    <row r="45" spans="1:12" x14ac:dyDescent="0.35">
      <c r="A45" s="152"/>
      <c r="B45" s="316"/>
      <c r="C45" s="139" t="s">
        <v>571</v>
      </c>
      <c r="D45" s="151"/>
      <c r="E45" s="344"/>
      <c r="F45" s="4">
        <v>1000</v>
      </c>
      <c r="G45" s="4"/>
      <c r="H45" s="4"/>
      <c r="I45" s="4">
        <f t="shared" si="3"/>
        <v>0</v>
      </c>
    </row>
    <row r="46" spans="1:12" ht="44.25" customHeight="1" x14ac:dyDescent="0.35">
      <c r="A46" s="152"/>
      <c r="B46" s="316"/>
      <c r="C46" s="880" t="s">
        <v>572</v>
      </c>
      <c r="D46" s="880"/>
      <c r="E46" s="881"/>
      <c r="F46" s="4">
        <v>19144</v>
      </c>
      <c r="G46" s="4"/>
      <c r="H46" s="4"/>
      <c r="I46" s="4">
        <f t="shared" si="3"/>
        <v>0</v>
      </c>
    </row>
    <row r="47" spans="1:12" x14ac:dyDescent="0.35">
      <c r="A47" s="152"/>
      <c r="B47" s="316"/>
      <c r="C47" s="139" t="s">
        <v>377</v>
      </c>
      <c r="D47" s="174"/>
      <c r="E47" s="139"/>
      <c r="F47" s="4">
        <v>13406</v>
      </c>
      <c r="G47" s="4"/>
      <c r="H47" s="4">
        <v>5480</v>
      </c>
      <c r="I47" s="4">
        <f t="shared" si="3"/>
        <v>5480</v>
      </c>
    </row>
    <row r="48" spans="1:12" x14ac:dyDescent="0.35">
      <c r="A48" s="152"/>
      <c r="B48" s="316"/>
      <c r="C48" s="139" t="s">
        <v>492</v>
      </c>
      <c r="D48" s="174"/>
      <c r="E48" s="139"/>
      <c r="F48" s="4">
        <v>23860</v>
      </c>
      <c r="G48" s="4">
        <v>23860</v>
      </c>
      <c r="H48" s="4"/>
      <c r="I48" s="4">
        <f t="shared" si="3"/>
        <v>23860</v>
      </c>
    </row>
    <row r="49" spans="1:12" x14ac:dyDescent="0.35">
      <c r="A49" s="152"/>
      <c r="B49" s="316"/>
      <c r="C49" s="139" t="s">
        <v>569</v>
      </c>
      <c r="D49" s="174"/>
      <c r="E49" s="139"/>
      <c r="F49" s="4"/>
      <c r="G49" s="4">
        <v>40279</v>
      </c>
      <c r="H49" s="4">
        <v>-40279</v>
      </c>
      <c r="I49" s="4">
        <f t="shared" si="3"/>
        <v>0</v>
      </c>
      <c r="J49" s="3"/>
    </row>
    <row r="50" spans="1:12" x14ac:dyDescent="0.35">
      <c r="A50" s="152"/>
      <c r="B50" s="316"/>
      <c r="C50" s="139" t="s">
        <v>647</v>
      </c>
      <c r="D50" s="174"/>
      <c r="E50" s="139"/>
      <c r="F50" s="4"/>
      <c r="G50" s="4">
        <v>700000</v>
      </c>
      <c r="H50" s="4"/>
      <c r="I50" s="4">
        <f t="shared" si="3"/>
        <v>700000</v>
      </c>
    </row>
    <row r="51" spans="1:12" x14ac:dyDescent="0.35">
      <c r="A51" s="152"/>
      <c r="B51" s="316"/>
      <c r="C51" s="329" t="s">
        <v>565</v>
      </c>
      <c r="D51" s="665"/>
      <c r="E51" s="158"/>
      <c r="F51" s="6"/>
      <c r="G51" s="6">
        <v>250000</v>
      </c>
      <c r="H51" s="6">
        <v>-250000</v>
      </c>
      <c r="I51" s="6">
        <f t="shared" si="3"/>
        <v>0</v>
      </c>
    </row>
    <row r="52" spans="1:12" x14ac:dyDescent="0.35">
      <c r="A52" s="152"/>
      <c r="B52" s="316"/>
      <c r="D52" s="325" t="s">
        <v>681</v>
      </c>
      <c r="E52" s="333"/>
      <c r="F52" s="4">
        <v>85612</v>
      </c>
      <c r="G52" s="4"/>
      <c r="H52" s="4">
        <v>100000</v>
      </c>
      <c r="I52" s="4">
        <f t="shared" si="3"/>
        <v>100000</v>
      </c>
    </row>
    <row r="53" spans="1:12" x14ac:dyDescent="0.35">
      <c r="A53" s="152"/>
      <c r="B53" s="316"/>
      <c r="D53" s="325" t="s">
        <v>682</v>
      </c>
      <c r="E53" s="333"/>
      <c r="F53" s="4">
        <v>64388</v>
      </c>
      <c r="G53" s="4"/>
      <c r="H53" s="4">
        <v>78650</v>
      </c>
      <c r="I53" s="4">
        <f t="shared" si="3"/>
        <v>78650</v>
      </c>
    </row>
    <row r="54" spans="1:12" x14ac:dyDescent="0.35">
      <c r="A54" s="152"/>
      <c r="B54" s="316"/>
      <c r="D54" s="325" t="s">
        <v>683</v>
      </c>
      <c r="E54" s="333"/>
      <c r="F54" s="4"/>
      <c r="G54" s="4"/>
      <c r="H54" s="4">
        <v>67000</v>
      </c>
      <c r="I54" s="4">
        <f t="shared" si="3"/>
        <v>67000</v>
      </c>
    </row>
    <row r="55" spans="1:12" x14ac:dyDescent="0.35">
      <c r="A55" s="152"/>
      <c r="B55" s="316"/>
      <c r="D55" s="325" t="s">
        <v>684</v>
      </c>
      <c r="E55" s="333"/>
      <c r="F55" s="4"/>
      <c r="G55" s="4"/>
      <c r="H55" s="4">
        <v>5000</v>
      </c>
      <c r="I55" s="4">
        <f t="shared" si="3"/>
        <v>5000</v>
      </c>
    </row>
    <row r="56" spans="1:12" ht="21.75" thickBot="1" x14ac:dyDescent="0.4">
      <c r="A56" s="152"/>
      <c r="B56" s="316"/>
      <c r="C56" s="139"/>
      <c r="D56" s="174" t="s">
        <v>573</v>
      </c>
      <c r="E56" s="333"/>
      <c r="F56" s="8">
        <v>100000</v>
      </c>
      <c r="G56" s="8"/>
      <c r="H56" s="8"/>
      <c r="I56" s="4">
        <f t="shared" si="3"/>
        <v>0</v>
      </c>
    </row>
    <row r="57" spans="1:12" ht="21" customHeight="1" thickBot="1" x14ac:dyDescent="0.4">
      <c r="A57" s="313" t="s">
        <v>263</v>
      </c>
      <c r="B57" s="346" t="s">
        <v>44</v>
      </c>
      <c r="C57" s="346"/>
      <c r="D57" s="346"/>
      <c r="E57" s="346"/>
      <c r="F57" s="15">
        <f>SUM(F41:F56)</f>
        <v>396204</v>
      </c>
      <c r="G57" s="15">
        <f>SUM(G41:G56)</f>
        <v>1455434</v>
      </c>
      <c r="H57" s="15">
        <f>SUM(H41:H56)</f>
        <v>16781</v>
      </c>
      <c r="I57" s="15">
        <f>SUM(I41:I56)</f>
        <v>1472215</v>
      </c>
    </row>
    <row r="58" spans="1:12" s="45" customFormat="1" ht="21" customHeight="1" thickBot="1" x14ac:dyDescent="0.4">
      <c r="A58" s="347" t="s">
        <v>264</v>
      </c>
      <c r="B58" s="348"/>
      <c r="C58" s="349"/>
      <c r="D58" s="349"/>
      <c r="E58" s="349"/>
      <c r="F58" s="32">
        <f>F37+F40+F57</f>
        <v>9963486</v>
      </c>
      <c r="G58" s="32">
        <f>G37+G40+G57</f>
        <v>11782041</v>
      </c>
      <c r="H58" s="32">
        <f>H37+H40+H57</f>
        <v>248634</v>
      </c>
      <c r="I58" s="32">
        <f>I37+I40+I57</f>
        <v>12030675</v>
      </c>
      <c r="L58" s="17"/>
    </row>
    <row r="59" spans="1:12" ht="21" customHeight="1" x14ac:dyDescent="0.35">
      <c r="A59" s="350" t="s">
        <v>100</v>
      </c>
      <c r="B59" s="351"/>
      <c r="C59" s="351"/>
      <c r="D59" s="351"/>
      <c r="E59" s="352"/>
      <c r="F59" s="33"/>
      <c r="G59" s="33"/>
      <c r="H59" s="33"/>
      <c r="I59" s="33"/>
    </row>
    <row r="60" spans="1:12" ht="21" customHeight="1" x14ac:dyDescent="0.35">
      <c r="A60" s="313"/>
      <c r="B60" s="316" t="s">
        <v>22</v>
      </c>
      <c r="C60" s="316"/>
      <c r="D60" s="316"/>
      <c r="E60" s="353"/>
      <c r="F60" s="34"/>
      <c r="G60" s="34"/>
      <c r="H60" s="34"/>
      <c r="I60" s="34"/>
    </row>
    <row r="61" spans="1:12" ht="21" customHeight="1" x14ac:dyDescent="0.35">
      <c r="A61" s="152"/>
      <c r="C61" s="139" t="s">
        <v>183</v>
      </c>
      <c r="D61" s="139"/>
      <c r="E61" s="325"/>
      <c r="F61" s="4">
        <v>1070</v>
      </c>
      <c r="G61" s="4"/>
      <c r="H61" s="4"/>
      <c r="I61" s="4">
        <f>SUM(G61:H61)</f>
        <v>0</v>
      </c>
    </row>
    <row r="62" spans="1:12" ht="21" customHeight="1" x14ac:dyDescent="0.35">
      <c r="A62" s="313"/>
      <c r="B62" s="316" t="s">
        <v>23</v>
      </c>
      <c r="C62" s="316"/>
      <c r="D62" s="316"/>
      <c r="E62" s="353"/>
      <c r="F62" s="9"/>
      <c r="G62" s="9"/>
      <c r="H62" s="9"/>
      <c r="I62" s="9"/>
    </row>
    <row r="63" spans="1:12" ht="21" customHeight="1" x14ac:dyDescent="0.35">
      <c r="A63" s="152"/>
      <c r="C63" s="139" t="s">
        <v>156</v>
      </c>
      <c r="D63" s="139"/>
      <c r="E63" s="174"/>
      <c r="F63" s="4">
        <v>2845187</v>
      </c>
      <c r="G63" s="4">
        <f>2535000+200000+50000-50000</f>
        <v>2735000</v>
      </c>
      <c r="H63" s="4"/>
      <c r="I63" s="4">
        <f t="shared" ref="I63:I71" si="4">SUM(G63:H63)</f>
        <v>2735000</v>
      </c>
    </row>
    <row r="64" spans="1:12" ht="21" customHeight="1" x14ac:dyDescent="0.35">
      <c r="A64" s="313"/>
      <c r="B64" s="316" t="s">
        <v>21</v>
      </c>
      <c r="C64" s="316"/>
      <c r="D64" s="316"/>
      <c r="E64" s="353"/>
      <c r="F64" s="9"/>
      <c r="G64" s="9"/>
      <c r="H64" s="9"/>
      <c r="I64" s="9"/>
    </row>
    <row r="65" spans="1:9" ht="21" customHeight="1" x14ac:dyDescent="0.35">
      <c r="A65" s="152"/>
      <c r="C65" s="139" t="s">
        <v>184</v>
      </c>
      <c r="D65" s="139"/>
      <c r="E65" s="174"/>
      <c r="F65" s="4">
        <v>13287493</v>
      </c>
      <c r="G65" s="4">
        <f>11717000+483000</f>
        <v>12200000</v>
      </c>
      <c r="H65" s="4"/>
      <c r="I65" s="4">
        <f t="shared" si="4"/>
        <v>12200000</v>
      </c>
    </row>
    <row r="66" spans="1:9" ht="21" customHeight="1" x14ac:dyDescent="0.35">
      <c r="A66" s="152"/>
      <c r="C66" s="151" t="s">
        <v>3</v>
      </c>
      <c r="D66" s="151"/>
      <c r="E66" s="154"/>
      <c r="F66" s="4">
        <v>32112</v>
      </c>
      <c r="G66" s="4">
        <v>30000</v>
      </c>
      <c r="H66" s="4"/>
      <c r="I66" s="4">
        <f t="shared" si="4"/>
        <v>30000</v>
      </c>
    </row>
    <row r="67" spans="1:9" ht="21" customHeight="1" x14ac:dyDescent="0.35">
      <c r="A67" s="313"/>
      <c r="B67" s="316" t="s">
        <v>24</v>
      </c>
      <c r="C67" s="316"/>
      <c r="D67" s="316"/>
      <c r="E67" s="353"/>
      <c r="F67" s="9"/>
      <c r="G67" s="9"/>
      <c r="H67" s="8"/>
      <c r="I67" s="9"/>
    </row>
    <row r="68" spans="1:9" ht="21" customHeight="1" x14ac:dyDescent="0.35">
      <c r="A68" s="152"/>
      <c r="C68" s="139" t="s">
        <v>17</v>
      </c>
      <c r="D68" s="139"/>
      <c r="E68" s="174"/>
      <c r="F68" s="4">
        <v>28890</v>
      </c>
      <c r="G68" s="4">
        <v>25000</v>
      </c>
      <c r="H68" s="4"/>
      <c r="I68" s="4">
        <f t="shared" si="4"/>
        <v>25000</v>
      </c>
    </row>
    <row r="69" spans="1:9" ht="21" customHeight="1" x14ac:dyDescent="0.35">
      <c r="A69" s="152"/>
      <c r="C69" s="151" t="s">
        <v>10</v>
      </c>
      <c r="D69" s="151"/>
      <c r="E69" s="151"/>
      <c r="F69" s="4">
        <v>1094</v>
      </c>
      <c r="G69" s="4">
        <v>1000</v>
      </c>
      <c r="H69" s="4"/>
      <c r="I69" s="4">
        <f t="shared" si="4"/>
        <v>1000</v>
      </c>
    </row>
    <row r="70" spans="1:9" ht="21" customHeight="1" x14ac:dyDescent="0.35">
      <c r="A70" s="152"/>
      <c r="C70" s="151" t="s">
        <v>574</v>
      </c>
      <c r="D70" s="151"/>
      <c r="E70" s="158"/>
      <c r="F70" s="4">
        <v>200</v>
      </c>
      <c r="G70" s="4"/>
      <c r="H70" s="4"/>
      <c r="I70" s="4">
        <f t="shared" si="4"/>
        <v>0</v>
      </c>
    </row>
    <row r="71" spans="1:9" ht="21" customHeight="1" x14ac:dyDescent="0.35">
      <c r="A71" s="152"/>
      <c r="C71" s="2" t="s">
        <v>49</v>
      </c>
      <c r="E71" s="151"/>
      <c r="F71" s="4">
        <v>8219</v>
      </c>
      <c r="G71" s="4"/>
      <c r="H71" s="4">
        <v>2026</v>
      </c>
      <c r="I71" s="4">
        <f t="shared" si="4"/>
        <v>2026</v>
      </c>
    </row>
    <row r="72" spans="1:9" ht="21" customHeight="1" thickBot="1" x14ac:dyDescent="0.4">
      <c r="A72" s="347" t="s">
        <v>162</v>
      </c>
      <c r="B72" s="348"/>
      <c r="C72" s="349"/>
      <c r="D72" s="349"/>
      <c r="E72" s="349"/>
      <c r="F72" s="32">
        <f>SUM(F61:F71)</f>
        <v>16204265</v>
      </c>
      <c r="G72" s="32">
        <f t="shared" ref="G72:I72" si="5">SUM(G61:G71)</f>
        <v>14991000</v>
      </c>
      <c r="H72" s="32">
        <f t="shared" si="5"/>
        <v>2026</v>
      </c>
      <c r="I72" s="32">
        <f t="shared" si="5"/>
        <v>14993026</v>
      </c>
    </row>
    <row r="73" spans="1:9" ht="21" customHeight="1" x14ac:dyDescent="0.35">
      <c r="A73" s="313" t="s">
        <v>14</v>
      </c>
      <c r="B73" s="353"/>
      <c r="C73" s="353"/>
      <c r="D73" s="353"/>
      <c r="E73" s="354"/>
      <c r="F73" s="34"/>
      <c r="G73" s="34"/>
      <c r="H73" s="34"/>
      <c r="I73" s="34"/>
    </row>
    <row r="74" spans="1:9" ht="21" customHeight="1" x14ac:dyDescent="0.35">
      <c r="A74" s="313"/>
      <c r="B74" s="353" t="s">
        <v>654</v>
      </c>
      <c r="C74" s="353"/>
      <c r="D74" s="353"/>
      <c r="E74" s="353"/>
      <c r="F74" s="34"/>
      <c r="G74" s="34"/>
      <c r="H74" s="34"/>
      <c r="I74" s="34"/>
    </row>
    <row r="75" spans="1:9" ht="21" customHeight="1" x14ac:dyDescent="0.35">
      <c r="A75" s="152"/>
      <c r="E75" s="357" t="s">
        <v>372</v>
      </c>
      <c r="F75" s="572">
        <v>677325</v>
      </c>
      <c r="G75" s="572">
        <f>665000+12000</f>
        <v>677000</v>
      </c>
      <c r="H75" s="572"/>
      <c r="I75" s="572">
        <f>SUM(G75:H75)</f>
        <v>677000</v>
      </c>
    </row>
    <row r="76" spans="1:9" ht="21" customHeight="1" x14ac:dyDescent="0.35">
      <c r="A76" s="152"/>
      <c r="E76" s="356" t="s">
        <v>185</v>
      </c>
      <c r="F76" s="572">
        <v>25261</v>
      </c>
      <c r="G76" s="572">
        <v>9000</v>
      </c>
      <c r="H76" s="572"/>
      <c r="I76" s="572">
        <f t="shared" ref="I76:I108" si="6">SUM(G76:H76)</f>
        <v>9000</v>
      </c>
    </row>
    <row r="77" spans="1:9" ht="21" customHeight="1" x14ac:dyDescent="0.35">
      <c r="A77" s="152"/>
      <c r="E77" s="356" t="s">
        <v>78</v>
      </c>
      <c r="F77" s="572">
        <v>2479</v>
      </c>
      <c r="G77" s="572">
        <v>2700</v>
      </c>
      <c r="H77" s="572"/>
      <c r="I77" s="572">
        <f t="shared" si="6"/>
        <v>2700</v>
      </c>
    </row>
    <row r="78" spans="1:9" ht="21" customHeight="1" x14ac:dyDescent="0.35">
      <c r="A78" s="152"/>
      <c r="E78" s="356" t="s">
        <v>77</v>
      </c>
      <c r="F78" s="572">
        <v>810894</v>
      </c>
      <c r="G78" s="572">
        <v>700000</v>
      </c>
      <c r="H78" s="572"/>
      <c r="I78" s="572">
        <f t="shared" si="6"/>
        <v>700000</v>
      </c>
    </row>
    <row r="79" spans="1:9" ht="21" customHeight="1" x14ac:dyDescent="0.35">
      <c r="A79" s="152"/>
      <c r="E79" s="356" t="s">
        <v>148</v>
      </c>
      <c r="F79" s="572">
        <v>33152</v>
      </c>
      <c r="G79" s="572">
        <v>17000</v>
      </c>
      <c r="H79" s="572"/>
      <c r="I79" s="572">
        <f t="shared" si="6"/>
        <v>17000</v>
      </c>
    </row>
    <row r="80" spans="1:9" ht="21" customHeight="1" x14ac:dyDescent="0.35">
      <c r="A80" s="152"/>
      <c r="E80" s="356" t="s">
        <v>141</v>
      </c>
      <c r="F80" s="572">
        <v>3440</v>
      </c>
      <c r="G80" s="572">
        <v>1700</v>
      </c>
      <c r="H80" s="572"/>
      <c r="I80" s="572">
        <f t="shared" si="6"/>
        <v>1700</v>
      </c>
    </row>
    <row r="81" spans="1:9" ht="21" customHeight="1" x14ac:dyDescent="0.35">
      <c r="A81" s="152"/>
      <c r="E81" s="357" t="s">
        <v>85</v>
      </c>
      <c r="F81" s="572">
        <v>115354</v>
      </c>
      <c r="G81" s="572"/>
      <c r="H81" s="572">
        <v>1189278</v>
      </c>
      <c r="I81" s="572">
        <f t="shared" si="6"/>
        <v>1189278</v>
      </c>
    </row>
    <row r="82" spans="1:9" ht="21" customHeight="1" x14ac:dyDescent="0.35">
      <c r="A82" s="152"/>
      <c r="B82" s="316" t="s">
        <v>670</v>
      </c>
      <c r="E82" s="357"/>
      <c r="F82" s="4"/>
      <c r="G82" s="4"/>
      <c r="H82" s="4"/>
      <c r="I82" s="9"/>
    </row>
    <row r="83" spans="1:9" ht="21.75" customHeight="1" x14ac:dyDescent="0.35">
      <c r="A83" s="152"/>
      <c r="E83" s="139" t="s">
        <v>537</v>
      </c>
      <c r="F83" s="4">
        <v>17950</v>
      </c>
      <c r="G83" s="4">
        <v>17950</v>
      </c>
      <c r="H83" s="4"/>
      <c r="I83" s="4">
        <f t="shared" si="6"/>
        <v>17950</v>
      </c>
    </row>
    <row r="84" spans="1:9" ht="21" customHeight="1" x14ac:dyDescent="0.35">
      <c r="A84" s="152"/>
      <c r="E84" s="355" t="s">
        <v>544</v>
      </c>
      <c r="F84" s="4">
        <v>68400</v>
      </c>
      <c r="G84" s="4">
        <v>68400</v>
      </c>
      <c r="H84" s="4"/>
      <c r="I84" s="4">
        <f t="shared" si="6"/>
        <v>68400</v>
      </c>
    </row>
    <row r="85" spans="1:9" ht="21" customHeight="1" x14ac:dyDescent="0.35">
      <c r="A85" s="152"/>
      <c r="E85" s="151" t="s">
        <v>547</v>
      </c>
      <c r="F85" s="4">
        <v>860</v>
      </c>
      <c r="G85" s="4"/>
      <c r="H85" s="4"/>
      <c r="I85" s="4">
        <f t="shared" si="6"/>
        <v>0</v>
      </c>
    </row>
    <row r="86" spans="1:9" x14ac:dyDescent="0.35">
      <c r="A86" s="152"/>
      <c r="E86" s="151" t="s">
        <v>111</v>
      </c>
      <c r="F86" s="4">
        <v>11837</v>
      </c>
      <c r="G86" s="4">
        <v>9000</v>
      </c>
      <c r="H86" s="4"/>
      <c r="I86" s="4">
        <f t="shared" si="6"/>
        <v>9000</v>
      </c>
    </row>
    <row r="87" spans="1:9" ht="21" customHeight="1" x14ac:dyDescent="0.35">
      <c r="A87" s="152"/>
      <c r="E87" s="139" t="s">
        <v>378</v>
      </c>
      <c r="F87" s="4">
        <v>49563</v>
      </c>
      <c r="G87" s="4"/>
      <c r="H87" s="4">
        <v>20134</v>
      </c>
      <c r="I87" s="4">
        <f t="shared" si="6"/>
        <v>20134</v>
      </c>
    </row>
    <row r="88" spans="1:9" ht="21" customHeight="1" x14ac:dyDescent="0.35">
      <c r="A88" s="152"/>
      <c r="E88" s="139" t="s">
        <v>401</v>
      </c>
      <c r="F88" s="4">
        <v>1056</v>
      </c>
      <c r="G88" s="4"/>
      <c r="H88" s="4">
        <v>1594</v>
      </c>
      <c r="I88" s="4">
        <f t="shared" si="6"/>
        <v>1594</v>
      </c>
    </row>
    <row r="89" spans="1:9" ht="21" customHeight="1" x14ac:dyDescent="0.35">
      <c r="A89" s="152"/>
      <c r="E89" s="139" t="s">
        <v>328</v>
      </c>
      <c r="F89" s="4">
        <v>16675</v>
      </c>
      <c r="G89" s="4"/>
      <c r="H89" s="4">
        <v>2208</v>
      </c>
      <c r="I89" s="4">
        <f t="shared" si="6"/>
        <v>2208</v>
      </c>
    </row>
    <row r="90" spans="1:9" ht="21" customHeight="1" x14ac:dyDescent="0.35">
      <c r="A90" s="152"/>
      <c r="E90" s="139" t="s">
        <v>423</v>
      </c>
      <c r="F90" s="4">
        <v>10377</v>
      </c>
      <c r="G90" s="4"/>
      <c r="H90" s="4"/>
      <c r="I90" s="4">
        <f t="shared" si="6"/>
        <v>0</v>
      </c>
    </row>
    <row r="91" spans="1:9" ht="39.75" customHeight="1" x14ac:dyDescent="0.35">
      <c r="A91" s="152"/>
      <c r="E91" s="333" t="s">
        <v>576</v>
      </c>
      <c r="F91" s="4">
        <v>349075</v>
      </c>
      <c r="G91" s="4"/>
      <c r="H91" s="4">
        <v>32623</v>
      </c>
      <c r="I91" s="4">
        <f t="shared" si="6"/>
        <v>32623</v>
      </c>
    </row>
    <row r="92" spans="1:9" ht="21" customHeight="1" x14ac:dyDescent="0.35">
      <c r="A92" s="152"/>
      <c r="E92" s="333" t="s">
        <v>575</v>
      </c>
      <c r="F92" s="4">
        <v>37165</v>
      </c>
      <c r="G92" s="4"/>
      <c r="H92" s="4"/>
      <c r="I92" s="4">
        <f t="shared" si="6"/>
        <v>0</v>
      </c>
    </row>
    <row r="93" spans="1:9" ht="21" customHeight="1" x14ac:dyDescent="0.35">
      <c r="A93" s="152"/>
      <c r="E93" s="139" t="s">
        <v>441</v>
      </c>
      <c r="F93" s="4">
        <v>40</v>
      </c>
      <c r="G93" s="4"/>
      <c r="H93" s="4">
        <v>80</v>
      </c>
      <c r="I93" s="4">
        <f t="shared" si="6"/>
        <v>80</v>
      </c>
    </row>
    <row r="94" spans="1:9" ht="42" x14ac:dyDescent="0.35">
      <c r="A94" s="152"/>
      <c r="E94" s="333" t="s">
        <v>422</v>
      </c>
      <c r="F94" s="4">
        <v>412</v>
      </c>
      <c r="G94" s="4"/>
      <c r="H94" s="4"/>
      <c r="I94" s="4">
        <f t="shared" si="6"/>
        <v>0</v>
      </c>
    </row>
    <row r="95" spans="1:9" ht="21" customHeight="1" x14ac:dyDescent="0.35">
      <c r="A95" s="152"/>
      <c r="E95" s="139" t="s">
        <v>548</v>
      </c>
      <c r="F95" s="4">
        <v>26</v>
      </c>
      <c r="G95" s="4"/>
      <c r="H95" s="4"/>
      <c r="I95" s="4">
        <f t="shared" si="6"/>
        <v>0</v>
      </c>
    </row>
    <row r="96" spans="1:9" ht="21" customHeight="1" x14ac:dyDescent="0.35">
      <c r="A96" s="152"/>
      <c r="E96" s="139" t="s">
        <v>406</v>
      </c>
      <c r="F96" s="6">
        <v>906</v>
      </c>
      <c r="G96" s="6"/>
      <c r="H96" s="6"/>
      <c r="I96" s="4">
        <f t="shared" si="6"/>
        <v>0</v>
      </c>
    </row>
    <row r="97" spans="1:9" ht="21" customHeight="1" x14ac:dyDescent="0.35">
      <c r="A97" s="152"/>
      <c r="E97" s="139" t="s">
        <v>697</v>
      </c>
      <c r="F97" s="8"/>
      <c r="G97" s="8"/>
      <c r="H97" s="8">
        <v>209</v>
      </c>
      <c r="I97" s="4">
        <f t="shared" si="6"/>
        <v>209</v>
      </c>
    </row>
    <row r="98" spans="1:9" ht="21" customHeight="1" x14ac:dyDescent="0.35">
      <c r="A98" s="152"/>
      <c r="B98" s="353" t="s">
        <v>26</v>
      </c>
      <c r="C98" s="353"/>
      <c r="D98" s="353"/>
      <c r="E98" s="358"/>
      <c r="F98" s="9"/>
      <c r="G98" s="9"/>
      <c r="H98" s="9"/>
      <c r="I98" s="9"/>
    </row>
    <row r="99" spans="1:9" ht="21" customHeight="1" x14ac:dyDescent="0.35">
      <c r="A99" s="152"/>
      <c r="B99" s="359"/>
      <c r="C99" s="359"/>
      <c r="D99" s="359"/>
      <c r="E99" s="139" t="s">
        <v>373</v>
      </c>
      <c r="F99" s="4"/>
      <c r="G99" s="4">
        <v>117936</v>
      </c>
      <c r="H99" s="4"/>
      <c r="I99" s="4">
        <f t="shared" si="6"/>
        <v>117936</v>
      </c>
    </row>
    <row r="100" spans="1:9" ht="21" customHeight="1" x14ac:dyDescent="0.35">
      <c r="A100" s="152"/>
      <c r="B100" s="314"/>
      <c r="C100" s="314"/>
      <c r="D100" s="314"/>
      <c r="E100" s="345" t="s">
        <v>176</v>
      </c>
      <c r="F100" s="4">
        <v>574207</v>
      </c>
      <c r="G100" s="4">
        <v>400000</v>
      </c>
      <c r="H100" s="24"/>
      <c r="I100" s="4">
        <f t="shared" si="6"/>
        <v>400000</v>
      </c>
    </row>
    <row r="101" spans="1:9" ht="21" customHeight="1" x14ac:dyDescent="0.35">
      <c r="A101" s="152"/>
      <c r="B101" s="359"/>
      <c r="C101" s="359"/>
      <c r="D101" s="359"/>
      <c r="E101" s="139" t="s">
        <v>81</v>
      </c>
      <c r="F101" s="4"/>
      <c r="G101" s="4">
        <v>20000</v>
      </c>
      <c r="H101" s="24"/>
      <c r="I101" s="4">
        <f t="shared" si="6"/>
        <v>20000</v>
      </c>
    </row>
    <row r="102" spans="1:9" ht="21" customHeight="1" x14ac:dyDescent="0.35">
      <c r="A102" s="152"/>
      <c r="B102" s="359"/>
      <c r="C102" s="359"/>
      <c r="D102" s="359"/>
      <c r="E102" s="139" t="s">
        <v>47</v>
      </c>
      <c r="F102" s="25"/>
      <c r="G102" s="25"/>
      <c r="H102" s="25">
        <f>204121+118172</f>
        <v>322293</v>
      </c>
      <c r="I102" s="4">
        <f t="shared" si="6"/>
        <v>322293</v>
      </c>
    </row>
    <row r="103" spans="1:9" ht="21" customHeight="1" x14ac:dyDescent="0.35">
      <c r="A103" s="152"/>
      <c r="B103" s="359"/>
      <c r="C103" s="359"/>
      <c r="D103" s="359"/>
      <c r="E103" s="139" t="s">
        <v>506</v>
      </c>
      <c r="F103" s="36">
        <v>10035</v>
      </c>
      <c r="G103" s="36"/>
      <c r="H103" s="36"/>
      <c r="I103" s="4">
        <f t="shared" si="6"/>
        <v>0</v>
      </c>
    </row>
    <row r="104" spans="1:9" ht="21" customHeight="1" x14ac:dyDescent="0.35">
      <c r="A104" s="152"/>
      <c r="B104" s="353" t="s">
        <v>27</v>
      </c>
      <c r="C104" s="353"/>
      <c r="D104" s="353"/>
      <c r="E104" s="358"/>
      <c r="F104" s="9"/>
      <c r="G104" s="9"/>
      <c r="H104" s="9"/>
      <c r="I104" s="9"/>
    </row>
    <row r="105" spans="1:9" x14ac:dyDescent="0.35">
      <c r="A105" s="152"/>
      <c r="B105" s="359"/>
      <c r="C105" s="359"/>
      <c r="D105" s="359"/>
      <c r="E105" s="139" t="s">
        <v>145</v>
      </c>
      <c r="F105" s="4">
        <v>158580</v>
      </c>
      <c r="G105" s="4">
        <f>120000-60000+40000-40000</f>
        <v>60000</v>
      </c>
      <c r="H105" s="4"/>
      <c r="I105" s="4">
        <f t="shared" si="6"/>
        <v>60000</v>
      </c>
    </row>
    <row r="106" spans="1:9" x14ac:dyDescent="0.35">
      <c r="A106" s="152"/>
      <c r="B106" s="359"/>
      <c r="C106" s="359"/>
      <c r="D106" s="359"/>
      <c r="E106" s="333" t="s">
        <v>577</v>
      </c>
      <c r="F106" s="4">
        <v>27171</v>
      </c>
      <c r="G106" s="4"/>
      <c r="H106" s="4">
        <v>17332</v>
      </c>
      <c r="I106" s="4">
        <f t="shared" si="6"/>
        <v>17332</v>
      </c>
    </row>
    <row r="107" spans="1:9" x14ac:dyDescent="0.35">
      <c r="A107" s="152"/>
      <c r="B107" s="359"/>
      <c r="C107" s="359"/>
      <c r="D107" s="359"/>
      <c r="E107" s="333" t="s">
        <v>696</v>
      </c>
      <c r="F107" s="4"/>
      <c r="G107" s="4"/>
      <c r="H107" s="4">
        <v>22</v>
      </c>
      <c r="I107" s="4">
        <f t="shared" si="6"/>
        <v>22</v>
      </c>
    </row>
    <row r="108" spans="1:9" x14ac:dyDescent="0.35">
      <c r="A108" s="152"/>
      <c r="B108" s="359"/>
      <c r="C108" s="359"/>
      <c r="D108" s="359"/>
      <c r="E108" s="139" t="s">
        <v>507</v>
      </c>
      <c r="F108" s="4">
        <v>12821</v>
      </c>
      <c r="G108" s="4"/>
      <c r="H108" s="4"/>
      <c r="I108" s="4">
        <f t="shared" si="6"/>
        <v>0</v>
      </c>
    </row>
    <row r="109" spans="1:9" ht="21" customHeight="1" thickBot="1" x14ac:dyDescent="0.4">
      <c r="A109" s="347" t="s">
        <v>103</v>
      </c>
      <c r="B109" s="349"/>
      <c r="C109" s="349"/>
      <c r="D109" s="349"/>
      <c r="E109" s="349"/>
      <c r="F109" s="14">
        <f>SUM(F73:F108)</f>
        <v>3015061</v>
      </c>
      <c r="G109" s="14">
        <f>SUM(G73:G108)</f>
        <v>2100686</v>
      </c>
      <c r="H109" s="14">
        <f>SUM(H73:H108)</f>
        <v>1585773</v>
      </c>
      <c r="I109" s="14">
        <f>SUM(I73:I108)</f>
        <v>3686459</v>
      </c>
    </row>
    <row r="110" spans="1:9" ht="21" customHeight="1" x14ac:dyDescent="0.35">
      <c r="A110" s="313" t="s">
        <v>99</v>
      </c>
      <c r="B110" s="314"/>
      <c r="C110" s="314"/>
      <c r="D110" s="314"/>
      <c r="E110" s="314"/>
      <c r="F110" s="20"/>
      <c r="G110" s="20"/>
      <c r="H110" s="20"/>
      <c r="I110" s="20"/>
    </row>
    <row r="111" spans="1:9" ht="21" customHeight="1" x14ac:dyDescent="0.35">
      <c r="A111" s="313"/>
      <c r="B111" s="360" t="s">
        <v>31</v>
      </c>
      <c r="C111" s="314"/>
      <c r="D111" s="314"/>
      <c r="E111" s="314"/>
      <c r="F111" s="35"/>
      <c r="G111" s="35"/>
      <c r="H111" s="35"/>
      <c r="I111" s="35"/>
    </row>
    <row r="112" spans="1:9" ht="21" customHeight="1" x14ac:dyDescent="0.35">
      <c r="A112" s="361"/>
      <c r="B112" s="359"/>
      <c r="C112" s="345"/>
      <c r="D112" s="345"/>
      <c r="E112" s="139"/>
      <c r="F112" s="24"/>
      <c r="G112" s="24"/>
      <c r="H112" s="24"/>
      <c r="I112" s="24">
        <f>SUM(G112:H112)</f>
        <v>0</v>
      </c>
    </row>
    <row r="113" spans="1:9" ht="21" customHeight="1" x14ac:dyDescent="0.35">
      <c r="A113" s="152"/>
      <c r="B113" s="353" t="s">
        <v>32</v>
      </c>
      <c r="C113" s="353"/>
      <c r="D113" s="353"/>
      <c r="E113" s="358"/>
      <c r="F113" s="9"/>
      <c r="G113" s="9"/>
      <c r="H113" s="9"/>
      <c r="I113" s="27"/>
    </row>
    <row r="114" spans="1:9" ht="21" customHeight="1" x14ac:dyDescent="0.35">
      <c r="A114" s="361"/>
      <c r="B114" s="359"/>
      <c r="C114" s="345" t="s">
        <v>549</v>
      </c>
      <c r="D114" s="345"/>
      <c r="E114" s="139"/>
      <c r="F114" s="4">
        <v>5161</v>
      </c>
      <c r="G114" s="4"/>
      <c r="H114" s="4">
        <v>4513</v>
      </c>
      <c r="I114" s="24">
        <f t="shared" ref="I114:I133" si="7">SUM(G114:H114)</f>
        <v>4513</v>
      </c>
    </row>
    <row r="115" spans="1:9" ht="21" customHeight="1" x14ac:dyDescent="0.35">
      <c r="A115" s="361"/>
      <c r="B115" s="359"/>
      <c r="C115" s="345" t="s">
        <v>695</v>
      </c>
      <c r="D115" s="345"/>
      <c r="E115" s="139"/>
      <c r="F115" s="4"/>
      <c r="G115" s="4"/>
      <c r="H115" s="4">
        <v>2313</v>
      </c>
      <c r="I115" s="24">
        <f t="shared" si="7"/>
        <v>2313</v>
      </c>
    </row>
    <row r="116" spans="1:9" ht="21" customHeight="1" x14ac:dyDescent="0.35">
      <c r="A116" s="361"/>
      <c r="B116" s="359"/>
      <c r="C116" s="345" t="s">
        <v>402</v>
      </c>
      <c r="D116" s="345"/>
      <c r="E116" s="139"/>
      <c r="F116" s="4">
        <v>432</v>
      </c>
      <c r="G116" s="4"/>
      <c r="H116" s="4">
        <v>654</v>
      </c>
      <c r="I116" s="24">
        <f t="shared" si="7"/>
        <v>654</v>
      </c>
    </row>
    <row r="117" spans="1:9" ht="21" customHeight="1" x14ac:dyDescent="0.35">
      <c r="A117" s="361"/>
      <c r="B117" s="359"/>
      <c r="C117" s="345" t="s">
        <v>578</v>
      </c>
      <c r="D117" s="345"/>
      <c r="E117" s="362"/>
      <c r="F117" s="4">
        <v>161</v>
      </c>
      <c r="G117" s="4"/>
      <c r="H117" s="4"/>
      <c r="I117" s="24">
        <f t="shared" si="7"/>
        <v>0</v>
      </c>
    </row>
    <row r="118" spans="1:9" ht="21" customHeight="1" x14ac:dyDescent="0.35">
      <c r="A118" s="361"/>
      <c r="B118" s="359"/>
      <c r="C118" s="345" t="s">
        <v>579</v>
      </c>
      <c r="D118" s="345"/>
      <c r="E118" s="362"/>
      <c r="F118" s="4">
        <v>3000</v>
      </c>
      <c r="G118" s="4"/>
      <c r="H118" s="4"/>
      <c r="I118" s="24">
        <f t="shared" si="7"/>
        <v>0</v>
      </c>
    </row>
    <row r="119" spans="1:9" ht="21" customHeight="1" x14ac:dyDescent="0.35">
      <c r="A119" s="152"/>
      <c r="B119" s="363"/>
      <c r="C119" s="364" t="s">
        <v>424</v>
      </c>
      <c r="D119" s="4"/>
      <c r="E119" s="4"/>
      <c r="F119" s="4">
        <v>250</v>
      </c>
      <c r="G119" s="4"/>
      <c r="H119" s="4"/>
      <c r="I119" s="24">
        <f t="shared" si="7"/>
        <v>0</v>
      </c>
    </row>
    <row r="120" spans="1:9" ht="21" customHeight="1" x14ac:dyDescent="0.35">
      <c r="A120" s="361"/>
      <c r="B120" s="359"/>
      <c r="C120" s="345" t="s">
        <v>580</v>
      </c>
      <c r="D120" s="345"/>
      <c r="E120" s="362"/>
      <c r="F120" s="4">
        <v>150</v>
      </c>
      <c r="G120" s="4"/>
      <c r="H120" s="4"/>
      <c r="I120" s="24">
        <f t="shared" si="7"/>
        <v>0</v>
      </c>
    </row>
    <row r="121" spans="1:9" ht="21" customHeight="1" x14ac:dyDescent="0.35">
      <c r="A121" s="361"/>
      <c r="B121" s="359"/>
      <c r="C121" s="345" t="s">
        <v>581</v>
      </c>
      <c r="D121" s="345"/>
      <c r="E121" s="362"/>
      <c r="F121" s="4">
        <v>300</v>
      </c>
      <c r="G121" s="4"/>
      <c r="H121" s="4"/>
      <c r="I121" s="24">
        <f t="shared" si="7"/>
        <v>0</v>
      </c>
    </row>
    <row r="122" spans="1:9" ht="21" customHeight="1" x14ac:dyDescent="0.35">
      <c r="A122" s="361"/>
      <c r="B122" s="359"/>
      <c r="C122" s="345" t="s">
        <v>465</v>
      </c>
      <c r="D122" s="345"/>
      <c r="E122" s="362"/>
      <c r="F122" s="4">
        <v>1432</v>
      </c>
      <c r="G122" s="4"/>
      <c r="H122" s="4"/>
      <c r="I122" s="24">
        <f t="shared" si="7"/>
        <v>0</v>
      </c>
    </row>
    <row r="123" spans="1:9" ht="21" customHeight="1" x14ac:dyDescent="0.35">
      <c r="A123" s="361"/>
      <c r="B123" s="359"/>
      <c r="C123" s="345" t="s">
        <v>582</v>
      </c>
      <c r="D123" s="345"/>
      <c r="E123" s="362"/>
      <c r="F123" s="4">
        <v>10954</v>
      </c>
      <c r="G123" s="4"/>
      <c r="H123" s="4">
        <v>33461</v>
      </c>
      <c r="I123" s="24">
        <f t="shared" si="7"/>
        <v>33461</v>
      </c>
    </row>
    <row r="124" spans="1:9" ht="21" customHeight="1" x14ac:dyDescent="0.35">
      <c r="A124" s="152"/>
      <c r="B124" s="363"/>
      <c r="C124" s="345" t="s">
        <v>508</v>
      </c>
      <c r="D124" s="174"/>
      <c r="E124" s="175"/>
      <c r="F124" s="4">
        <v>5288</v>
      </c>
      <c r="G124" s="4"/>
      <c r="H124" s="4"/>
      <c r="I124" s="24">
        <f t="shared" si="7"/>
        <v>0</v>
      </c>
    </row>
    <row r="125" spans="1:9" ht="21" customHeight="1" x14ac:dyDescent="0.35">
      <c r="A125" s="152"/>
      <c r="B125" s="363"/>
      <c r="C125" s="345" t="s">
        <v>509</v>
      </c>
      <c r="D125" s="174"/>
      <c r="E125" s="175"/>
      <c r="F125" s="4">
        <v>1881</v>
      </c>
      <c r="G125" s="4"/>
      <c r="H125" s="4">
        <v>4474</v>
      </c>
      <c r="I125" s="24">
        <f t="shared" si="7"/>
        <v>4474</v>
      </c>
    </row>
    <row r="126" spans="1:9" ht="21" customHeight="1" x14ac:dyDescent="0.35">
      <c r="A126" s="152"/>
      <c r="B126" s="363"/>
      <c r="C126" s="345" t="s">
        <v>442</v>
      </c>
      <c r="D126" s="174"/>
      <c r="E126" s="175"/>
      <c r="F126" s="4">
        <v>8732</v>
      </c>
      <c r="G126" s="4"/>
      <c r="H126" s="4">
        <v>22185</v>
      </c>
      <c r="I126" s="24">
        <f t="shared" si="7"/>
        <v>22185</v>
      </c>
    </row>
    <row r="127" spans="1:9" ht="42.75" customHeight="1" x14ac:dyDescent="0.35">
      <c r="A127" s="152"/>
      <c r="B127" s="363"/>
      <c r="C127" s="880" t="s">
        <v>572</v>
      </c>
      <c r="D127" s="880"/>
      <c r="E127" s="881"/>
      <c r="F127" s="4">
        <v>728</v>
      </c>
      <c r="G127" s="4"/>
      <c r="H127" s="4">
        <v>15863</v>
      </c>
      <c r="I127" s="24">
        <f t="shared" si="7"/>
        <v>15863</v>
      </c>
    </row>
    <row r="128" spans="1:9" ht="21" customHeight="1" x14ac:dyDescent="0.35">
      <c r="A128" s="152"/>
      <c r="B128" s="363"/>
      <c r="C128" s="345" t="s">
        <v>583</v>
      </c>
      <c r="D128" s="345"/>
      <c r="E128" s="175"/>
      <c r="F128" s="4"/>
      <c r="G128" s="4"/>
      <c r="H128" s="4">
        <v>1626</v>
      </c>
      <c r="I128" s="24">
        <f t="shared" si="7"/>
        <v>1626</v>
      </c>
    </row>
    <row r="129" spans="1:12" ht="21" customHeight="1" x14ac:dyDescent="0.35">
      <c r="A129" s="152"/>
      <c r="B129" s="363"/>
      <c r="C129" s="345" t="s">
        <v>584</v>
      </c>
      <c r="D129" s="345"/>
      <c r="E129" s="175"/>
      <c r="F129" s="4"/>
      <c r="G129" s="4"/>
      <c r="H129" s="4">
        <v>59209</v>
      </c>
      <c r="I129" s="24">
        <f t="shared" si="7"/>
        <v>59209</v>
      </c>
    </row>
    <row r="130" spans="1:12" ht="21" customHeight="1" x14ac:dyDescent="0.35">
      <c r="A130" s="152"/>
      <c r="B130" s="363"/>
      <c r="C130" s="345" t="s">
        <v>585</v>
      </c>
      <c r="D130" s="345"/>
      <c r="E130" s="175"/>
      <c r="F130" s="4"/>
      <c r="G130" s="4"/>
      <c r="H130" s="4">
        <v>660352</v>
      </c>
      <c r="I130" s="24">
        <f t="shared" si="7"/>
        <v>660352</v>
      </c>
    </row>
    <row r="131" spans="1:12" ht="21" customHeight="1" x14ac:dyDescent="0.35">
      <c r="A131" s="152"/>
      <c r="B131" s="363"/>
      <c r="C131" s="345" t="s">
        <v>586</v>
      </c>
      <c r="D131" s="345"/>
      <c r="E131" s="175"/>
      <c r="F131" s="4"/>
      <c r="G131" s="4"/>
      <c r="H131" s="4">
        <v>638723</v>
      </c>
      <c r="I131" s="24">
        <f t="shared" si="7"/>
        <v>638723</v>
      </c>
    </row>
    <row r="132" spans="1:12" ht="21" customHeight="1" x14ac:dyDescent="0.35">
      <c r="A132" s="152"/>
      <c r="B132" s="363"/>
      <c r="C132" s="345" t="s">
        <v>587</v>
      </c>
      <c r="D132" s="345"/>
      <c r="E132" s="175"/>
      <c r="F132" s="4"/>
      <c r="G132" s="4"/>
      <c r="H132" s="4">
        <v>500925</v>
      </c>
      <c r="I132" s="24">
        <f t="shared" si="7"/>
        <v>500925</v>
      </c>
    </row>
    <row r="133" spans="1:12" ht="21" customHeight="1" thickBot="1" x14ac:dyDescent="0.4">
      <c r="A133" s="152"/>
      <c r="B133" s="363"/>
      <c r="C133" s="364" t="s">
        <v>602</v>
      </c>
      <c r="D133" s="363"/>
      <c r="F133" s="4"/>
      <c r="G133" s="4"/>
      <c r="H133" s="48">
        <f>300+182</f>
        <v>482</v>
      </c>
      <c r="I133" s="24">
        <f t="shared" si="7"/>
        <v>482</v>
      </c>
    </row>
    <row r="134" spans="1:12" s="45" customFormat="1" ht="21" customHeight="1" thickBot="1" x14ac:dyDescent="0.4">
      <c r="A134" s="347" t="s">
        <v>161</v>
      </c>
      <c r="B134" s="349"/>
      <c r="C134" s="349"/>
      <c r="D134" s="349"/>
      <c r="E134" s="349"/>
      <c r="F134" s="37">
        <f>SUM(F110:F133)</f>
        <v>38469</v>
      </c>
      <c r="G134" s="37">
        <f>SUM(G110:G133)</f>
        <v>0</v>
      </c>
      <c r="H134" s="37">
        <f>SUM(H110:H133)</f>
        <v>1944780</v>
      </c>
      <c r="I134" s="37">
        <f>SUM(I110:I133)</f>
        <v>1944780</v>
      </c>
      <c r="L134" s="17"/>
    </row>
    <row r="135" spans="1:12" ht="21" customHeight="1" x14ac:dyDescent="0.35">
      <c r="A135" s="350" t="s">
        <v>60</v>
      </c>
      <c r="B135" s="309"/>
      <c r="C135" s="309"/>
      <c r="D135" s="309"/>
      <c r="E135" s="309"/>
      <c r="F135" s="38"/>
      <c r="G135" s="38"/>
      <c r="H135" s="38"/>
      <c r="I135" s="38"/>
    </row>
    <row r="136" spans="1:12" s="45" customFormat="1" ht="21" customHeight="1" x14ac:dyDescent="0.35">
      <c r="A136" s="365"/>
      <c r="B136" s="359" t="s">
        <v>179</v>
      </c>
      <c r="C136" s="353"/>
      <c r="D136" s="353"/>
      <c r="E136" s="17"/>
      <c r="F136" s="4">
        <v>41905</v>
      </c>
      <c r="G136" s="4">
        <f>20784+3816</f>
        <v>24600</v>
      </c>
      <c r="H136" s="24">
        <v>701</v>
      </c>
      <c r="I136" s="24">
        <f t="shared" ref="I136:I147" si="8">SUM(G136:H136)</f>
        <v>25301</v>
      </c>
      <c r="L136" s="17"/>
    </row>
    <row r="137" spans="1:12" s="45" customFormat="1" ht="21" customHeight="1" x14ac:dyDescent="0.35">
      <c r="A137" s="365"/>
      <c r="B137" s="366" t="s">
        <v>675</v>
      </c>
      <c r="C137" s="367"/>
      <c r="D137" s="367"/>
      <c r="E137" s="153"/>
      <c r="F137" s="4">
        <v>704665</v>
      </c>
      <c r="G137" s="4">
        <f>658521+35660</f>
        <v>694181</v>
      </c>
      <c r="H137" s="4">
        <v>1539</v>
      </c>
      <c r="I137" s="24">
        <f t="shared" si="8"/>
        <v>695720</v>
      </c>
      <c r="L137" s="17"/>
    </row>
    <row r="138" spans="1:12" s="45" customFormat="1" ht="21" customHeight="1" x14ac:dyDescent="0.35">
      <c r="A138" s="365"/>
      <c r="B138" s="366" t="s">
        <v>96</v>
      </c>
      <c r="C138" s="367"/>
      <c r="D138" s="367"/>
      <c r="E138" s="153"/>
      <c r="F138" s="4">
        <v>138481</v>
      </c>
      <c r="G138" s="4">
        <f>28471+10000</f>
        <v>38471</v>
      </c>
      <c r="H138" s="4">
        <v>88087</v>
      </c>
      <c r="I138" s="24">
        <f t="shared" si="8"/>
        <v>126558</v>
      </c>
      <c r="L138" s="17"/>
    </row>
    <row r="139" spans="1:12" s="45" customFormat="1" ht="21" customHeight="1" x14ac:dyDescent="0.35">
      <c r="A139" s="365"/>
      <c r="B139" s="366" t="s">
        <v>588</v>
      </c>
      <c r="C139" s="367"/>
      <c r="D139" s="367"/>
      <c r="E139" s="153"/>
      <c r="F139" s="4">
        <v>377872</v>
      </c>
      <c r="G139" s="4">
        <f>113344+20000</f>
        <v>133344</v>
      </c>
      <c r="H139" s="4">
        <v>208152</v>
      </c>
      <c r="I139" s="24">
        <f t="shared" si="8"/>
        <v>341496</v>
      </c>
      <c r="L139" s="17"/>
    </row>
    <row r="140" spans="1:12" s="45" customFormat="1" ht="21" customHeight="1" x14ac:dyDescent="0.35">
      <c r="A140" s="365"/>
      <c r="B140" s="366" t="s">
        <v>329</v>
      </c>
      <c r="C140" s="367"/>
      <c r="D140" s="367"/>
      <c r="E140" s="153"/>
      <c r="F140" s="4">
        <v>50672</v>
      </c>
      <c r="G140" s="4">
        <f>32900+1500</f>
        <v>34400</v>
      </c>
      <c r="H140" s="4">
        <v>7000</v>
      </c>
      <c r="I140" s="24">
        <f t="shared" si="8"/>
        <v>41400</v>
      </c>
      <c r="L140" s="17"/>
    </row>
    <row r="141" spans="1:12" s="45" customFormat="1" ht="21" customHeight="1" x14ac:dyDescent="0.35">
      <c r="A141" s="365"/>
      <c r="B141" s="366" t="s">
        <v>108</v>
      </c>
      <c r="C141" s="367"/>
      <c r="D141" s="367"/>
      <c r="E141" s="153"/>
      <c r="F141" s="4">
        <v>169955</v>
      </c>
      <c r="G141" s="4">
        <v>154078</v>
      </c>
      <c r="H141" s="4">
        <v>52707</v>
      </c>
      <c r="I141" s="24">
        <f t="shared" si="8"/>
        <v>206785</v>
      </c>
      <c r="L141" s="17"/>
    </row>
    <row r="142" spans="1:12" s="45" customFormat="1" ht="21" customHeight="1" x14ac:dyDescent="0.35">
      <c r="A142" s="365"/>
      <c r="B142" s="366" t="s">
        <v>71</v>
      </c>
      <c r="C142" s="367"/>
      <c r="D142" s="367"/>
      <c r="E142" s="153"/>
      <c r="F142" s="4">
        <v>265916</v>
      </c>
      <c r="G142" s="4">
        <f>197479+56706</f>
        <v>254185</v>
      </c>
      <c r="H142" s="4"/>
      <c r="I142" s="24">
        <f t="shared" si="8"/>
        <v>254185</v>
      </c>
      <c r="L142" s="17"/>
    </row>
    <row r="143" spans="1:12" s="45" customFormat="1" ht="21" customHeight="1" x14ac:dyDescent="0.35">
      <c r="A143" s="365"/>
      <c r="B143" s="366" t="s">
        <v>188</v>
      </c>
      <c r="C143" s="367"/>
      <c r="D143" s="367"/>
      <c r="E143" s="153"/>
      <c r="F143" s="4">
        <v>518075</v>
      </c>
      <c r="G143" s="4">
        <f>488765+114115</f>
        <v>602880</v>
      </c>
      <c r="H143" s="4"/>
      <c r="I143" s="24">
        <f t="shared" si="8"/>
        <v>602880</v>
      </c>
      <c r="L143" s="17"/>
    </row>
    <row r="144" spans="1:12" s="45" customFormat="1" ht="21" customHeight="1" x14ac:dyDescent="0.35">
      <c r="A144" s="365"/>
      <c r="B144" s="366" t="s">
        <v>13</v>
      </c>
      <c r="C144" s="367"/>
      <c r="D144" s="367"/>
      <c r="E144" s="153"/>
      <c r="F144" s="4">
        <v>124465</v>
      </c>
      <c r="G144" s="4">
        <f>97148-12116</f>
        <v>85032</v>
      </c>
      <c r="H144" s="4">
        <v>13431</v>
      </c>
      <c r="I144" s="24">
        <f t="shared" si="8"/>
        <v>98463</v>
      </c>
      <c r="L144" s="17"/>
    </row>
    <row r="145" spans="1:12" s="45" customFormat="1" ht="21" customHeight="1" x14ac:dyDescent="0.35">
      <c r="A145" s="365"/>
      <c r="B145" s="366" t="s">
        <v>472</v>
      </c>
      <c r="C145" s="367"/>
      <c r="D145" s="367"/>
      <c r="E145" s="153"/>
      <c r="F145" s="4">
        <v>191884</v>
      </c>
      <c r="G145" s="4">
        <f>188823+14477</f>
        <v>203300</v>
      </c>
      <c r="H145" s="4"/>
      <c r="I145" s="24">
        <f t="shared" si="8"/>
        <v>203300</v>
      </c>
      <c r="L145" s="17"/>
    </row>
    <row r="146" spans="1:12" s="45" customFormat="1" ht="21" customHeight="1" x14ac:dyDescent="0.35">
      <c r="A146" s="365"/>
      <c r="B146" s="366" t="s">
        <v>568</v>
      </c>
      <c r="C146" s="367"/>
      <c r="D146" s="367"/>
      <c r="E146" s="153"/>
      <c r="F146" s="4"/>
      <c r="G146" s="4">
        <v>21537</v>
      </c>
      <c r="H146" s="4"/>
      <c r="I146" s="24">
        <f t="shared" si="8"/>
        <v>21537</v>
      </c>
      <c r="L146" s="17"/>
    </row>
    <row r="147" spans="1:12" s="45" customFormat="1" ht="21" customHeight="1" x14ac:dyDescent="0.35">
      <c r="A147" s="365"/>
      <c r="B147" s="366" t="s">
        <v>4</v>
      </c>
      <c r="C147" s="367"/>
      <c r="D147" s="367"/>
      <c r="E147" s="153"/>
      <c r="F147" s="4">
        <v>32813</v>
      </c>
      <c r="G147" s="4">
        <f>19000+4005</f>
        <v>23005</v>
      </c>
      <c r="H147" s="4">
        <v>65645</v>
      </c>
      <c r="I147" s="24">
        <f t="shared" si="8"/>
        <v>88650</v>
      </c>
      <c r="L147" s="17"/>
    </row>
    <row r="148" spans="1:12" ht="21" customHeight="1" thickBot="1" x14ac:dyDescent="0.4">
      <c r="A148" s="347" t="s">
        <v>61</v>
      </c>
      <c r="B148" s="348"/>
      <c r="C148" s="349"/>
      <c r="D148" s="349"/>
      <c r="E148" s="349"/>
      <c r="F148" s="32">
        <f>SUM(F136:F147)</f>
        <v>2616703</v>
      </c>
      <c r="G148" s="32">
        <f>SUM(G136:G147)</f>
        <v>2269013</v>
      </c>
      <c r="H148" s="32">
        <f>SUM(H136:H147)</f>
        <v>437262</v>
      </c>
      <c r="I148" s="32">
        <f>SUM(I136:I147)</f>
        <v>2706275</v>
      </c>
    </row>
    <row r="149" spans="1:12" ht="21" customHeight="1" thickBot="1" x14ac:dyDescent="0.4">
      <c r="A149" s="347" t="s">
        <v>296</v>
      </c>
      <c r="B149" s="348"/>
      <c r="C149" s="349"/>
      <c r="D149" s="349"/>
      <c r="E149" s="349"/>
      <c r="F149" s="32">
        <f>F109+F58+F134+F72+F148</f>
        <v>31837984</v>
      </c>
      <c r="G149" s="32">
        <f>G109+G58+G134+G72+G148</f>
        <v>31142740</v>
      </c>
      <c r="H149" s="32">
        <f>H109+H58+H134+H72+H148</f>
        <v>4218475</v>
      </c>
      <c r="I149" s="32">
        <f>I109+I58+I134+I72+I148</f>
        <v>35361215</v>
      </c>
    </row>
    <row r="151" spans="1:12" s="3" customFormat="1" ht="21" customHeight="1" x14ac:dyDescent="0.35"/>
    <row r="152" spans="1:12" s="3" customFormat="1" ht="21" customHeight="1" x14ac:dyDescent="0.35"/>
    <row r="153" spans="1:12" s="3" customFormat="1" ht="21" customHeight="1" x14ac:dyDescent="0.35"/>
    <row r="154" spans="1:12" s="3" customFormat="1" ht="21" customHeight="1" x14ac:dyDescent="0.35"/>
    <row r="155" spans="1:12" s="3" customFormat="1" ht="21" customHeight="1" x14ac:dyDescent="0.35"/>
    <row r="156" spans="1:12" s="3" customFormat="1" ht="21" customHeight="1" x14ac:dyDescent="0.35"/>
    <row r="157" spans="1:12" s="3" customFormat="1" ht="21" customHeight="1" x14ac:dyDescent="0.35"/>
    <row r="158" spans="1:12" s="3" customFormat="1" ht="21" customHeight="1" x14ac:dyDescent="0.35"/>
    <row r="159" spans="1:12" s="3" customFormat="1" ht="21" customHeight="1" x14ac:dyDescent="0.35"/>
    <row r="160" spans="1:12" s="3" customFormat="1" ht="21" customHeight="1" x14ac:dyDescent="0.35"/>
    <row r="161" s="3" customFormat="1" ht="21" customHeight="1" x14ac:dyDescent="0.35"/>
    <row r="162" s="3" customFormat="1" ht="21" customHeight="1" x14ac:dyDescent="0.35"/>
    <row r="163" s="3" customFormat="1" ht="21" customHeight="1" x14ac:dyDescent="0.35"/>
    <row r="164" s="3" customFormat="1" ht="21" customHeight="1" x14ac:dyDescent="0.35"/>
    <row r="165" s="3" customFormat="1" ht="21" customHeight="1" x14ac:dyDescent="0.35"/>
    <row r="166" s="3" customFormat="1" ht="21" customHeight="1" x14ac:dyDescent="0.35"/>
    <row r="167" s="3" customFormat="1" ht="21" customHeight="1" x14ac:dyDescent="0.35"/>
    <row r="168" s="3" customFormat="1" ht="21" customHeight="1" x14ac:dyDescent="0.35"/>
    <row r="169" s="3" customFormat="1" ht="21" customHeight="1" x14ac:dyDescent="0.35"/>
    <row r="170" s="3" customFormat="1" ht="21" customHeight="1" x14ac:dyDescent="0.35"/>
    <row r="171" s="3" customFormat="1" ht="21" customHeight="1" x14ac:dyDescent="0.35"/>
    <row r="172" s="3" customFormat="1" ht="21" customHeight="1" x14ac:dyDescent="0.35"/>
    <row r="173" s="3" customFormat="1" ht="21" customHeight="1" x14ac:dyDescent="0.35"/>
    <row r="174" s="3" customFormat="1" ht="21" customHeight="1" x14ac:dyDescent="0.35"/>
    <row r="175" s="3" customFormat="1" ht="21" customHeight="1" x14ac:dyDescent="0.35"/>
    <row r="176" s="3" customFormat="1" ht="21" customHeight="1" x14ac:dyDescent="0.35"/>
    <row r="177" s="3" customFormat="1" ht="21" customHeight="1" x14ac:dyDescent="0.35"/>
    <row r="178" s="3" customFormat="1" ht="21" customHeight="1" x14ac:dyDescent="0.35"/>
    <row r="179" s="3" customFormat="1" ht="21" customHeight="1" x14ac:dyDescent="0.35"/>
    <row r="180" s="3" customFormat="1" ht="21" customHeight="1" x14ac:dyDescent="0.35"/>
    <row r="181" s="3" customFormat="1" ht="21" customHeight="1" x14ac:dyDescent="0.35"/>
    <row r="182" s="3" customFormat="1" ht="21" customHeight="1" x14ac:dyDescent="0.35"/>
    <row r="183" s="3" customFormat="1" ht="21" customHeight="1" x14ac:dyDescent="0.35"/>
    <row r="184" s="3" customFormat="1" ht="21" customHeight="1" x14ac:dyDescent="0.35"/>
    <row r="185" s="3" customFormat="1" ht="21" customHeight="1" x14ac:dyDescent="0.35"/>
    <row r="186" s="3" customFormat="1" ht="21" customHeight="1" x14ac:dyDescent="0.35"/>
    <row r="187" s="3" customFormat="1" ht="21" customHeight="1" x14ac:dyDescent="0.35"/>
    <row r="188" s="3" customFormat="1" ht="21" customHeight="1" x14ac:dyDescent="0.35"/>
    <row r="189" s="3" customFormat="1" ht="21" customHeight="1" x14ac:dyDescent="0.35"/>
    <row r="190" s="3" customFormat="1" ht="21" customHeight="1" x14ac:dyDescent="0.35"/>
    <row r="191" s="3" customFormat="1" ht="21" customHeight="1" x14ac:dyDescent="0.35"/>
    <row r="192" s="3" customFormat="1" ht="21" customHeight="1" x14ac:dyDescent="0.35"/>
    <row r="193" s="3" customFormat="1" ht="21" customHeight="1" x14ac:dyDescent="0.35"/>
    <row r="194" s="3" customFormat="1" ht="21" customHeight="1" x14ac:dyDescent="0.35"/>
    <row r="195" s="3" customFormat="1" ht="21" customHeight="1" x14ac:dyDescent="0.35"/>
    <row r="196" s="3" customFormat="1" ht="21" customHeight="1" x14ac:dyDescent="0.35"/>
    <row r="197" s="3" customFormat="1" ht="21" customHeight="1" x14ac:dyDescent="0.35"/>
    <row r="198" s="3" customFormat="1" ht="21" customHeight="1" x14ac:dyDescent="0.35"/>
    <row r="199" s="3" customFormat="1" ht="21" customHeight="1" x14ac:dyDescent="0.35"/>
    <row r="200" s="3" customFormat="1" ht="21" customHeight="1" x14ac:dyDescent="0.35"/>
    <row r="201" s="3" customFormat="1" ht="21" customHeight="1" x14ac:dyDescent="0.35"/>
    <row r="202" s="3" customFormat="1" ht="21" customHeight="1" x14ac:dyDescent="0.35"/>
    <row r="203" s="3" customFormat="1" ht="21" customHeight="1" x14ac:dyDescent="0.35"/>
    <row r="204" s="3" customFormat="1" ht="21" customHeight="1" x14ac:dyDescent="0.35"/>
    <row r="205" s="3" customFormat="1" ht="21" customHeight="1" x14ac:dyDescent="0.35"/>
    <row r="206" s="3" customFormat="1" ht="21" customHeight="1" x14ac:dyDescent="0.35"/>
    <row r="207" s="3" customFormat="1" ht="21" customHeight="1" x14ac:dyDescent="0.35"/>
    <row r="208" s="3" customFormat="1" ht="21" customHeight="1" x14ac:dyDescent="0.35"/>
    <row r="209" s="3" customFormat="1" ht="21" customHeight="1" x14ac:dyDescent="0.35"/>
    <row r="210" s="3" customFormat="1" ht="21" customHeight="1" x14ac:dyDescent="0.35"/>
    <row r="211" s="3" customFormat="1" ht="21" customHeight="1" x14ac:dyDescent="0.35"/>
    <row r="212" s="3" customFormat="1" ht="21" customHeight="1" x14ac:dyDescent="0.35"/>
    <row r="213" s="3" customFormat="1" ht="21" customHeight="1" x14ac:dyDescent="0.35"/>
    <row r="214" s="3" customFormat="1" ht="21" customHeight="1" x14ac:dyDescent="0.35"/>
    <row r="215" s="3" customFormat="1" ht="21" customHeight="1" x14ac:dyDescent="0.35"/>
    <row r="216" s="3" customFormat="1" ht="21" customHeight="1" x14ac:dyDescent="0.35"/>
    <row r="217" s="3" customFormat="1" ht="21" customHeight="1" x14ac:dyDescent="0.35"/>
    <row r="218" s="3" customFormat="1" ht="21" customHeight="1" x14ac:dyDescent="0.35"/>
    <row r="219" s="3" customFormat="1" ht="21" customHeight="1" x14ac:dyDescent="0.35"/>
    <row r="220" s="3" customFormat="1" ht="21" customHeight="1" x14ac:dyDescent="0.35"/>
    <row r="221" s="3" customFormat="1" ht="21" customHeight="1" x14ac:dyDescent="0.35"/>
    <row r="222" s="3" customFormat="1" ht="21" customHeight="1" x14ac:dyDescent="0.35"/>
    <row r="223" s="3" customFormat="1" ht="21" customHeight="1" x14ac:dyDescent="0.35"/>
    <row r="224" s="3" customFormat="1" ht="21" customHeight="1" x14ac:dyDescent="0.35"/>
    <row r="225" s="3" customFormat="1" ht="21" customHeight="1" x14ac:dyDescent="0.35"/>
    <row r="226" s="3" customFormat="1" ht="21" customHeight="1" x14ac:dyDescent="0.35"/>
    <row r="227" s="3" customFormat="1" ht="21" customHeight="1" x14ac:dyDescent="0.35"/>
    <row r="228" s="3" customFormat="1" ht="21" customHeight="1" x14ac:dyDescent="0.35"/>
    <row r="229" s="3" customFormat="1" ht="21" customHeight="1" x14ac:dyDescent="0.35"/>
    <row r="230" s="3" customFormat="1" ht="21" customHeight="1" x14ac:dyDescent="0.35"/>
    <row r="231" s="3" customFormat="1" ht="21" customHeight="1" x14ac:dyDescent="0.35"/>
    <row r="232" s="3" customFormat="1" ht="21" customHeight="1" x14ac:dyDescent="0.35"/>
    <row r="233" s="3" customFormat="1" ht="21" customHeight="1" x14ac:dyDescent="0.35"/>
    <row r="234" s="3" customFormat="1" ht="21" customHeight="1" x14ac:dyDescent="0.35"/>
    <row r="235" s="3" customFormat="1" ht="21" customHeight="1" x14ac:dyDescent="0.35"/>
    <row r="236" s="3" customFormat="1" ht="21" customHeight="1" x14ac:dyDescent="0.35"/>
    <row r="237" s="3" customFormat="1" ht="21" customHeight="1" x14ac:dyDescent="0.35"/>
    <row r="238" s="3" customFormat="1" ht="21" customHeight="1" x14ac:dyDescent="0.35"/>
    <row r="239" s="3" customFormat="1" ht="21" customHeight="1" x14ac:dyDescent="0.35"/>
    <row r="240" s="3" customFormat="1" ht="21" customHeight="1" x14ac:dyDescent="0.35"/>
    <row r="241" s="3" customFormat="1" ht="21" customHeight="1" x14ac:dyDescent="0.35"/>
    <row r="242" s="3" customFormat="1" ht="21" customHeight="1" x14ac:dyDescent="0.35"/>
    <row r="243" s="3" customFormat="1" ht="21" customHeight="1" x14ac:dyDescent="0.35"/>
    <row r="244" s="3" customFormat="1" ht="21" customHeight="1" x14ac:dyDescent="0.35"/>
    <row r="245" s="3" customFormat="1" ht="21" customHeight="1" x14ac:dyDescent="0.35"/>
    <row r="246" s="3" customFormat="1" ht="21" customHeight="1" x14ac:dyDescent="0.35"/>
    <row r="247" s="3" customFormat="1" ht="21" customHeight="1" x14ac:dyDescent="0.35"/>
    <row r="248" s="3" customFormat="1" ht="21" customHeight="1" x14ac:dyDescent="0.35"/>
    <row r="249" s="3" customFormat="1" ht="21" customHeight="1" x14ac:dyDescent="0.35"/>
    <row r="250" s="3" customFormat="1" ht="21" customHeight="1" x14ac:dyDescent="0.35"/>
    <row r="251" s="3" customFormat="1" ht="21" customHeight="1" x14ac:dyDescent="0.35"/>
    <row r="252" s="3" customFormat="1" ht="21" customHeight="1" x14ac:dyDescent="0.35"/>
    <row r="253" s="3" customFormat="1" ht="21" customHeight="1" x14ac:dyDescent="0.35"/>
    <row r="254" s="3" customFormat="1" ht="21" customHeight="1" x14ac:dyDescent="0.35"/>
    <row r="255" s="3" customFormat="1" ht="21" customHeight="1" x14ac:dyDescent="0.35"/>
    <row r="256" s="3" customFormat="1" ht="21" customHeight="1" x14ac:dyDescent="0.35"/>
    <row r="257" s="3" customFormat="1" ht="21" customHeight="1" x14ac:dyDescent="0.35"/>
    <row r="258" s="3" customFormat="1" ht="21" customHeight="1" x14ac:dyDescent="0.35"/>
    <row r="259" s="3" customFormat="1" ht="21" customHeight="1" x14ac:dyDescent="0.35"/>
    <row r="260" s="3" customFormat="1" ht="21" customHeight="1" x14ac:dyDescent="0.35"/>
    <row r="261" s="3" customFormat="1" ht="21" customHeight="1" x14ac:dyDescent="0.35"/>
    <row r="262" s="3" customFormat="1" ht="21" customHeight="1" x14ac:dyDescent="0.35"/>
    <row r="263" s="3" customFormat="1" ht="21" customHeight="1" x14ac:dyDescent="0.35"/>
    <row r="264" s="3" customFormat="1" ht="21" customHeight="1" x14ac:dyDescent="0.35"/>
    <row r="265" s="3" customFormat="1" ht="21" customHeight="1" x14ac:dyDescent="0.35"/>
    <row r="266" s="3" customFormat="1" ht="21" customHeight="1" x14ac:dyDescent="0.35"/>
    <row r="267" s="3" customFormat="1" ht="21" customHeight="1" x14ac:dyDescent="0.35"/>
    <row r="268" s="3" customFormat="1" ht="21" customHeight="1" x14ac:dyDescent="0.35"/>
    <row r="269" s="3" customFormat="1" ht="21" customHeight="1" x14ac:dyDescent="0.35"/>
    <row r="270" s="3" customFormat="1" ht="21" customHeight="1" x14ac:dyDescent="0.35"/>
    <row r="271" s="3" customFormat="1" ht="21" customHeight="1" x14ac:dyDescent="0.35"/>
    <row r="272" s="3" customFormat="1" ht="21" customHeight="1" x14ac:dyDescent="0.35"/>
    <row r="273" s="3" customFormat="1" ht="21" customHeight="1" x14ac:dyDescent="0.35"/>
    <row r="274" s="3" customFormat="1" ht="21" customHeight="1" x14ac:dyDescent="0.35"/>
    <row r="275" s="3" customFormat="1" ht="21" customHeight="1" x14ac:dyDescent="0.35"/>
    <row r="276" s="3" customFormat="1" ht="21" customHeight="1" x14ac:dyDescent="0.35"/>
    <row r="277" s="3" customFormat="1" ht="21" customHeight="1" x14ac:dyDescent="0.35"/>
    <row r="278" s="3" customFormat="1" ht="21" customHeight="1" x14ac:dyDescent="0.35"/>
    <row r="279" s="3" customFormat="1" ht="21" customHeight="1" x14ac:dyDescent="0.35"/>
  </sheetData>
  <mergeCells count="6">
    <mergeCell ref="C46:E46"/>
    <mergeCell ref="C127:E127"/>
    <mergeCell ref="A1:E1"/>
    <mergeCell ref="A2:I2"/>
    <mergeCell ref="C25:E25"/>
    <mergeCell ref="C23:E23"/>
  </mergeCells>
  <phoneticPr fontId="0" type="noConversion"/>
  <printOptions horizontalCentered="1" verticalCentered="1"/>
  <pageMargins left="0.59055118110236227" right="0" top="0" bottom="0" header="0.51181102362204722" footer="0.51181102362204722"/>
  <pageSetup paperSize="9" scale="38" orientation="portrait" r:id="rId1"/>
  <headerFooter alignWithMargins="0">
    <oddHeader xml:space="preserve">&amp;R&amp;"Times New Roman CE,Félkövér"&amp;16
&amp;"-,Félkövér"
3. melléklet a ....../2026. (.........) önkormányzati rendelethez
"3. melléklet a 3/2026.(II.27.) önkormányzati rendelethez"
 &amp;"Times New Roman CE,Félkövér"
</oddHeader>
  </headerFooter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0780-B13C-4506-B7B1-AF71E6842570}">
  <sheetPr>
    <tabColor indexed="22"/>
  </sheetPr>
  <dimension ref="A1:DK51"/>
  <sheetViews>
    <sheetView zoomScale="50" zoomScaleNormal="50" zoomScaleSheetLayoutView="50" workbookViewId="0">
      <selection activeCell="BH13" sqref="BH13"/>
    </sheetView>
  </sheetViews>
  <sheetFormatPr defaultRowHeight="26.45" customHeight="1" x14ac:dyDescent="0.6"/>
  <cols>
    <col min="1" max="1" width="186.33203125" style="672" customWidth="1"/>
    <col min="2" max="2" width="44.83203125" style="736" customWidth="1"/>
    <col min="3" max="3" width="38.33203125" style="736" customWidth="1"/>
    <col min="4" max="4" width="50" style="736" customWidth="1"/>
    <col min="5" max="5" width="44.33203125" style="736" customWidth="1"/>
    <col min="6" max="6" width="37.6640625" style="736" customWidth="1"/>
    <col min="7" max="7" width="50" style="736" customWidth="1"/>
    <col min="8" max="8" width="44.6640625" style="736" customWidth="1"/>
    <col min="9" max="9" width="38.1640625" style="736" customWidth="1"/>
    <col min="10" max="10" width="50" style="736" customWidth="1"/>
    <col min="11" max="11" width="45" style="736" customWidth="1"/>
    <col min="12" max="12" width="38.33203125" style="736" customWidth="1"/>
    <col min="13" max="13" width="50" style="736" customWidth="1"/>
    <col min="14" max="14" width="45" style="736" customWidth="1"/>
    <col min="15" max="15" width="38.33203125" style="736" customWidth="1"/>
    <col min="16" max="16" width="50" style="736" customWidth="1"/>
    <col min="17" max="17" width="186.33203125" style="672" customWidth="1"/>
    <col min="18" max="18" width="45" style="736" customWidth="1"/>
    <col min="19" max="19" width="38.33203125" style="736" customWidth="1"/>
    <col min="20" max="20" width="49.83203125" style="736" customWidth="1"/>
    <col min="21" max="21" width="44.83203125" style="736" customWidth="1"/>
    <col min="22" max="22" width="38.1640625" style="736" customWidth="1"/>
    <col min="23" max="23" width="49.83203125" style="736" customWidth="1"/>
    <col min="24" max="24" width="45" style="736" customWidth="1"/>
    <col min="25" max="25" width="38.33203125" style="736" customWidth="1"/>
    <col min="26" max="26" width="49.83203125" style="736" customWidth="1"/>
    <col min="27" max="27" width="44.83203125" style="736" customWidth="1"/>
    <col min="28" max="28" width="38.1640625" style="736" customWidth="1"/>
    <col min="29" max="29" width="50" style="736" customWidth="1"/>
    <col min="30" max="30" width="45" style="736" customWidth="1"/>
    <col min="31" max="31" width="38.33203125" style="736" customWidth="1"/>
    <col min="32" max="32" width="50" style="736" customWidth="1"/>
    <col min="33" max="33" width="186.33203125" style="672" customWidth="1"/>
    <col min="34" max="34" width="45" style="672" customWidth="1"/>
    <col min="35" max="35" width="38.33203125" style="672" customWidth="1"/>
    <col min="36" max="36" width="49.83203125" style="672" customWidth="1"/>
    <col min="37" max="38" width="45" style="672" customWidth="1"/>
    <col min="39" max="39" width="50.33203125" style="687" customWidth="1"/>
    <col min="40" max="41" width="45" style="687" customWidth="1"/>
    <col min="42" max="42" width="50" style="736" customWidth="1"/>
    <col min="43" max="183" width="9.33203125" style="672"/>
    <col min="184" max="184" width="186.33203125" style="672" customWidth="1"/>
    <col min="185" max="185" width="44.83203125" style="672" customWidth="1"/>
    <col min="186" max="186" width="38.33203125" style="672" customWidth="1"/>
    <col min="187" max="187" width="50" style="672" customWidth="1"/>
    <col min="188" max="188" width="44.33203125" style="672" customWidth="1"/>
    <col min="189" max="189" width="37.6640625" style="672" customWidth="1"/>
    <col min="190" max="190" width="50" style="672" customWidth="1"/>
    <col min="191" max="191" width="44.6640625" style="672" customWidth="1"/>
    <col min="192" max="192" width="38.1640625" style="672" customWidth="1"/>
    <col min="193" max="193" width="50" style="672" customWidth="1"/>
    <col min="194" max="194" width="45" style="672" customWidth="1"/>
    <col min="195" max="195" width="38.33203125" style="672" customWidth="1"/>
    <col min="196" max="196" width="50" style="672" customWidth="1"/>
    <col min="197" max="197" width="45" style="672" customWidth="1"/>
    <col min="198" max="198" width="38.33203125" style="672" customWidth="1"/>
    <col min="199" max="199" width="50" style="672" customWidth="1"/>
    <col min="200" max="200" width="186.33203125" style="672" customWidth="1"/>
    <col min="201" max="201" width="45" style="672" customWidth="1"/>
    <col min="202" max="202" width="38.33203125" style="672" customWidth="1"/>
    <col min="203" max="203" width="49.83203125" style="672" customWidth="1"/>
    <col min="204" max="204" width="44.83203125" style="672" customWidth="1"/>
    <col min="205" max="205" width="38.1640625" style="672" customWidth="1"/>
    <col min="206" max="206" width="49.83203125" style="672" customWidth="1"/>
    <col min="207" max="207" width="45" style="672" customWidth="1"/>
    <col min="208" max="208" width="38.33203125" style="672" customWidth="1"/>
    <col min="209" max="209" width="49.83203125" style="672" customWidth="1"/>
    <col min="210" max="210" width="44.83203125" style="672" customWidth="1"/>
    <col min="211" max="211" width="38.1640625" style="672" customWidth="1"/>
    <col min="212" max="212" width="50" style="672" customWidth="1"/>
    <col min="213" max="213" width="45" style="672" customWidth="1"/>
    <col min="214" max="214" width="38.33203125" style="672" customWidth="1"/>
    <col min="215" max="215" width="50" style="672" customWidth="1"/>
    <col min="216" max="216" width="186.33203125" style="672" customWidth="1"/>
    <col min="217" max="217" width="45" style="672" customWidth="1"/>
    <col min="218" max="218" width="38.33203125" style="672" customWidth="1"/>
    <col min="219" max="219" width="49.83203125" style="672" customWidth="1"/>
    <col min="220" max="221" width="45" style="672" customWidth="1"/>
    <col min="222" max="222" width="50.33203125" style="672" customWidth="1"/>
    <col min="223" max="224" width="45" style="672" customWidth="1"/>
    <col min="225" max="225" width="50" style="672" customWidth="1"/>
    <col min="226" max="226" width="51" style="672" customWidth="1"/>
    <col min="227" max="439" width="9.33203125" style="672"/>
    <col min="440" max="440" width="186.33203125" style="672" customWidth="1"/>
    <col min="441" max="441" width="44.83203125" style="672" customWidth="1"/>
    <col min="442" max="442" width="38.33203125" style="672" customWidth="1"/>
    <col min="443" max="443" width="50" style="672" customWidth="1"/>
    <col min="444" max="444" width="44.33203125" style="672" customWidth="1"/>
    <col min="445" max="445" width="37.6640625" style="672" customWidth="1"/>
    <col min="446" max="446" width="50" style="672" customWidth="1"/>
    <col min="447" max="447" width="44.6640625" style="672" customWidth="1"/>
    <col min="448" max="448" width="38.1640625" style="672" customWidth="1"/>
    <col min="449" max="449" width="50" style="672" customWidth="1"/>
    <col min="450" max="450" width="45" style="672" customWidth="1"/>
    <col min="451" max="451" width="38.33203125" style="672" customWidth="1"/>
    <col min="452" max="452" width="50" style="672" customWidth="1"/>
    <col min="453" max="453" width="45" style="672" customWidth="1"/>
    <col min="454" max="454" width="38.33203125" style="672" customWidth="1"/>
    <col min="455" max="455" width="50" style="672" customWidth="1"/>
    <col min="456" max="456" width="186.33203125" style="672" customWidth="1"/>
    <col min="457" max="457" width="45" style="672" customWidth="1"/>
    <col min="458" max="458" width="38.33203125" style="672" customWidth="1"/>
    <col min="459" max="459" width="49.83203125" style="672" customWidth="1"/>
    <col min="460" max="460" width="44.83203125" style="672" customWidth="1"/>
    <col min="461" max="461" width="38.1640625" style="672" customWidth="1"/>
    <col min="462" max="462" width="49.83203125" style="672" customWidth="1"/>
    <col min="463" max="463" width="45" style="672" customWidth="1"/>
    <col min="464" max="464" width="38.33203125" style="672" customWidth="1"/>
    <col min="465" max="465" width="49.83203125" style="672" customWidth="1"/>
    <col min="466" max="466" width="44.83203125" style="672" customWidth="1"/>
    <col min="467" max="467" width="38.1640625" style="672" customWidth="1"/>
    <col min="468" max="468" width="50" style="672" customWidth="1"/>
    <col min="469" max="469" width="45" style="672" customWidth="1"/>
    <col min="470" max="470" width="38.33203125" style="672" customWidth="1"/>
    <col min="471" max="471" width="50" style="672" customWidth="1"/>
    <col min="472" max="472" width="186.33203125" style="672" customWidth="1"/>
    <col min="473" max="473" width="45" style="672" customWidth="1"/>
    <col min="474" max="474" width="38.33203125" style="672" customWidth="1"/>
    <col min="475" max="475" width="49.83203125" style="672" customWidth="1"/>
    <col min="476" max="477" width="45" style="672" customWidth="1"/>
    <col min="478" max="478" width="50.33203125" style="672" customWidth="1"/>
    <col min="479" max="480" width="45" style="672" customWidth="1"/>
    <col min="481" max="481" width="50" style="672" customWidth="1"/>
    <col min="482" max="482" width="51" style="672" customWidth="1"/>
    <col min="483" max="695" width="9.33203125" style="672"/>
    <col min="696" max="696" width="186.33203125" style="672" customWidth="1"/>
    <col min="697" max="697" width="44.83203125" style="672" customWidth="1"/>
    <col min="698" max="698" width="38.33203125" style="672" customWidth="1"/>
    <col min="699" max="699" width="50" style="672" customWidth="1"/>
    <col min="700" max="700" width="44.33203125" style="672" customWidth="1"/>
    <col min="701" max="701" width="37.6640625" style="672" customWidth="1"/>
    <col min="702" max="702" width="50" style="672" customWidth="1"/>
    <col min="703" max="703" width="44.6640625" style="672" customWidth="1"/>
    <col min="704" max="704" width="38.1640625" style="672" customWidth="1"/>
    <col min="705" max="705" width="50" style="672" customWidth="1"/>
    <col min="706" max="706" width="45" style="672" customWidth="1"/>
    <col min="707" max="707" width="38.33203125" style="672" customWidth="1"/>
    <col min="708" max="708" width="50" style="672" customWidth="1"/>
    <col min="709" max="709" width="45" style="672" customWidth="1"/>
    <col min="710" max="710" width="38.33203125" style="672" customWidth="1"/>
    <col min="711" max="711" width="50" style="672" customWidth="1"/>
    <col min="712" max="712" width="186.33203125" style="672" customWidth="1"/>
    <col min="713" max="713" width="45" style="672" customWidth="1"/>
    <col min="714" max="714" width="38.33203125" style="672" customWidth="1"/>
    <col min="715" max="715" width="49.83203125" style="672" customWidth="1"/>
    <col min="716" max="716" width="44.83203125" style="672" customWidth="1"/>
    <col min="717" max="717" width="38.1640625" style="672" customWidth="1"/>
    <col min="718" max="718" width="49.83203125" style="672" customWidth="1"/>
    <col min="719" max="719" width="45" style="672" customWidth="1"/>
    <col min="720" max="720" width="38.33203125" style="672" customWidth="1"/>
    <col min="721" max="721" width="49.83203125" style="672" customWidth="1"/>
    <col min="722" max="722" width="44.83203125" style="672" customWidth="1"/>
    <col min="723" max="723" width="38.1640625" style="672" customWidth="1"/>
    <col min="724" max="724" width="50" style="672" customWidth="1"/>
    <col min="725" max="725" width="45" style="672" customWidth="1"/>
    <col min="726" max="726" width="38.33203125" style="672" customWidth="1"/>
    <col min="727" max="727" width="50" style="672" customWidth="1"/>
    <col min="728" max="728" width="186.33203125" style="672" customWidth="1"/>
    <col min="729" max="729" width="45" style="672" customWidth="1"/>
    <col min="730" max="730" width="38.33203125" style="672" customWidth="1"/>
    <col min="731" max="731" width="49.83203125" style="672" customWidth="1"/>
    <col min="732" max="733" width="45" style="672" customWidth="1"/>
    <col min="734" max="734" width="50.33203125" style="672" customWidth="1"/>
    <col min="735" max="736" width="45" style="672" customWidth="1"/>
    <col min="737" max="737" width="50" style="672" customWidth="1"/>
    <col min="738" max="738" width="51" style="672" customWidth="1"/>
    <col min="739" max="951" width="9.33203125" style="672"/>
    <col min="952" max="952" width="186.33203125" style="672" customWidth="1"/>
    <col min="953" max="953" width="44.83203125" style="672" customWidth="1"/>
    <col min="954" max="954" width="38.33203125" style="672" customWidth="1"/>
    <col min="955" max="955" width="50" style="672" customWidth="1"/>
    <col min="956" max="956" width="44.33203125" style="672" customWidth="1"/>
    <col min="957" max="957" width="37.6640625" style="672" customWidth="1"/>
    <col min="958" max="958" width="50" style="672" customWidth="1"/>
    <col min="959" max="959" width="44.6640625" style="672" customWidth="1"/>
    <col min="960" max="960" width="38.1640625" style="672" customWidth="1"/>
    <col min="961" max="961" width="50" style="672" customWidth="1"/>
    <col min="962" max="962" width="45" style="672" customWidth="1"/>
    <col min="963" max="963" width="38.33203125" style="672" customWidth="1"/>
    <col min="964" max="964" width="50" style="672" customWidth="1"/>
    <col min="965" max="965" width="45" style="672" customWidth="1"/>
    <col min="966" max="966" width="38.33203125" style="672" customWidth="1"/>
    <col min="967" max="967" width="50" style="672" customWidth="1"/>
    <col min="968" max="968" width="186.33203125" style="672" customWidth="1"/>
    <col min="969" max="969" width="45" style="672" customWidth="1"/>
    <col min="970" max="970" width="38.33203125" style="672" customWidth="1"/>
    <col min="971" max="971" width="49.83203125" style="672" customWidth="1"/>
    <col min="972" max="972" width="44.83203125" style="672" customWidth="1"/>
    <col min="973" max="973" width="38.1640625" style="672" customWidth="1"/>
    <col min="974" max="974" width="49.83203125" style="672" customWidth="1"/>
    <col min="975" max="975" width="45" style="672" customWidth="1"/>
    <col min="976" max="976" width="38.33203125" style="672" customWidth="1"/>
    <col min="977" max="977" width="49.83203125" style="672" customWidth="1"/>
    <col min="978" max="978" width="44.83203125" style="672" customWidth="1"/>
    <col min="979" max="979" width="38.1640625" style="672" customWidth="1"/>
    <col min="980" max="980" width="50" style="672" customWidth="1"/>
    <col min="981" max="981" width="45" style="672" customWidth="1"/>
    <col min="982" max="982" width="38.33203125" style="672" customWidth="1"/>
    <col min="983" max="983" width="50" style="672" customWidth="1"/>
    <col min="984" max="984" width="186.33203125" style="672" customWidth="1"/>
    <col min="985" max="985" width="45" style="672" customWidth="1"/>
    <col min="986" max="986" width="38.33203125" style="672" customWidth="1"/>
    <col min="987" max="987" width="49.83203125" style="672" customWidth="1"/>
    <col min="988" max="989" width="45" style="672" customWidth="1"/>
    <col min="990" max="990" width="50.33203125" style="672" customWidth="1"/>
    <col min="991" max="992" width="45" style="672" customWidth="1"/>
    <col min="993" max="993" width="50" style="672" customWidth="1"/>
    <col min="994" max="994" width="51" style="672" customWidth="1"/>
    <col min="995" max="1207" width="9.33203125" style="672"/>
    <col min="1208" max="1208" width="186.33203125" style="672" customWidth="1"/>
    <col min="1209" max="1209" width="44.83203125" style="672" customWidth="1"/>
    <col min="1210" max="1210" width="38.33203125" style="672" customWidth="1"/>
    <col min="1211" max="1211" width="50" style="672" customWidth="1"/>
    <col min="1212" max="1212" width="44.33203125" style="672" customWidth="1"/>
    <col min="1213" max="1213" width="37.6640625" style="672" customWidth="1"/>
    <col min="1214" max="1214" width="50" style="672" customWidth="1"/>
    <col min="1215" max="1215" width="44.6640625" style="672" customWidth="1"/>
    <col min="1216" max="1216" width="38.1640625" style="672" customWidth="1"/>
    <col min="1217" max="1217" width="50" style="672" customWidth="1"/>
    <col min="1218" max="1218" width="45" style="672" customWidth="1"/>
    <col min="1219" max="1219" width="38.33203125" style="672" customWidth="1"/>
    <col min="1220" max="1220" width="50" style="672" customWidth="1"/>
    <col min="1221" max="1221" width="45" style="672" customWidth="1"/>
    <col min="1222" max="1222" width="38.33203125" style="672" customWidth="1"/>
    <col min="1223" max="1223" width="50" style="672" customWidth="1"/>
    <col min="1224" max="1224" width="186.33203125" style="672" customWidth="1"/>
    <col min="1225" max="1225" width="45" style="672" customWidth="1"/>
    <col min="1226" max="1226" width="38.33203125" style="672" customWidth="1"/>
    <col min="1227" max="1227" width="49.83203125" style="672" customWidth="1"/>
    <col min="1228" max="1228" width="44.83203125" style="672" customWidth="1"/>
    <col min="1229" max="1229" width="38.1640625" style="672" customWidth="1"/>
    <col min="1230" max="1230" width="49.83203125" style="672" customWidth="1"/>
    <col min="1231" max="1231" width="45" style="672" customWidth="1"/>
    <col min="1232" max="1232" width="38.33203125" style="672" customWidth="1"/>
    <col min="1233" max="1233" width="49.83203125" style="672" customWidth="1"/>
    <col min="1234" max="1234" width="44.83203125" style="672" customWidth="1"/>
    <col min="1235" max="1235" width="38.1640625" style="672" customWidth="1"/>
    <col min="1236" max="1236" width="50" style="672" customWidth="1"/>
    <col min="1237" max="1237" width="45" style="672" customWidth="1"/>
    <col min="1238" max="1238" width="38.33203125" style="672" customWidth="1"/>
    <col min="1239" max="1239" width="50" style="672" customWidth="1"/>
    <col min="1240" max="1240" width="186.33203125" style="672" customWidth="1"/>
    <col min="1241" max="1241" width="45" style="672" customWidth="1"/>
    <col min="1242" max="1242" width="38.33203125" style="672" customWidth="1"/>
    <col min="1243" max="1243" width="49.83203125" style="672" customWidth="1"/>
    <col min="1244" max="1245" width="45" style="672" customWidth="1"/>
    <col min="1246" max="1246" width="50.33203125" style="672" customWidth="1"/>
    <col min="1247" max="1248" width="45" style="672" customWidth="1"/>
    <col min="1249" max="1249" width="50" style="672" customWidth="1"/>
    <col min="1250" max="1250" width="51" style="672" customWidth="1"/>
    <col min="1251" max="1463" width="9.33203125" style="672"/>
    <col min="1464" max="1464" width="186.33203125" style="672" customWidth="1"/>
    <col min="1465" max="1465" width="44.83203125" style="672" customWidth="1"/>
    <col min="1466" max="1466" width="38.33203125" style="672" customWidth="1"/>
    <col min="1467" max="1467" width="50" style="672" customWidth="1"/>
    <col min="1468" max="1468" width="44.33203125" style="672" customWidth="1"/>
    <col min="1469" max="1469" width="37.6640625" style="672" customWidth="1"/>
    <col min="1470" max="1470" width="50" style="672" customWidth="1"/>
    <col min="1471" max="1471" width="44.6640625" style="672" customWidth="1"/>
    <col min="1472" max="1472" width="38.1640625" style="672" customWidth="1"/>
    <col min="1473" max="1473" width="50" style="672" customWidth="1"/>
    <col min="1474" max="1474" width="45" style="672" customWidth="1"/>
    <col min="1475" max="1475" width="38.33203125" style="672" customWidth="1"/>
    <col min="1476" max="1476" width="50" style="672" customWidth="1"/>
    <col min="1477" max="1477" width="45" style="672" customWidth="1"/>
    <col min="1478" max="1478" width="38.33203125" style="672" customWidth="1"/>
    <col min="1479" max="1479" width="50" style="672" customWidth="1"/>
    <col min="1480" max="1480" width="186.33203125" style="672" customWidth="1"/>
    <col min="1481" max="1481" width="45" style="672" customWidth="1"/>
    <col min="1482" max="1482" width="38.33203125" style="672" customWidth="1"/>
    <col min="1483" max="1483" width="49.83203125" style="672" customWidth="1"/>
    <col min="1484" max="1484" width="44.83203125" style="672" customWidth="1"/>
    <col min="1485" max="1485" width="38.1640625" style="672" customWidth="1"/>
    <col min="1486" max="1486" width="49.83203125" style="672" customWidth="1"/>
    <col min="1487" max="1487" width="45" style="672" customWidth="1"/>
    <col min="1488" max="1488" width="38.33203125" style="672" customWidth="1"/>
    <col min="1489" max="1489" width="49.83203125" style="672" customWidth="1"/>
    <col min="1490" max="1490" width="44.83203125" style="672" customWidth="1"/>
    <col min="1491" max="1491" width="38.1640625" style="672" customWidth="1"/>
    <col min="1492" max="1492" width="50" style="672" customWidth="1"/>
    <col min="1493" max="1493" width="45" style="672" customWidth="1"/>
    <col min="1494" max="1494" width="38.33203125" style="672" customWidth="1"/>
    <col min="1495" max="1495" width="50" style="672" customWidth="1"/>
    <col min="1496" max="1496" width="186.33203125" style="672" customWidth="1"/>
    <col min="1497" max="1497" width="45" style="672" customWidth="1"/>
    <col min="1498" max="1498" width="38.33203125" style="672" customWidth="1"/>
    <col min="1499" max="1499" width="49.83203125" style="672" customWidth="1"/>
    <col min="1500" max="1501" width="45" style="672" customWidth="1"/>
    <col min="1502" max="1502" width="50.33203125" style="672" customWidth="1"/>
    <col min="1503" max="1504" width="45" style="672" customWidth="1"/>
    <col min="1505" max="1505" width="50" style="672" customWidth="1"/>
    <col min="1506" max="1506" width="51" style="672" customWidth="1"/>
    <col min="1507" max="1719" width="9.33203125" style="672"/>
    <col min="1720" max="1720" width="186.33203125" style="672" customWidth="1"/>
    <col min="1721" max="1721" width="44.83203125" style="672" customWidth="1"/>
    <col min="1722" max="1722" width="38.33203125" style="672" customWidth="1"/>
    <col min="1723" max="1723" width="50" style="672" customWidth="1"/>
    <col min="1724" max="1724" width="44.33203125" style="672" customWidth="1"/>
    <col min="1725" max="1725" width="37.6640625" style="672" customWidth="1"/>
    <col min="1726" max="1726" width="50" style="672" customWidth="1"/>
    <col min="1727" max="1727" width="44.6640625" style="672" customWidth="1"/>
    <col min="1728" max="1728" width="38.1640625" style="672" customWidth="1"/>
    <col min="1729" max="1729" width="50" style="672" customWidth="1"/>
    <col min="1730" max="1730" width="45" style="672" customWidth="1"/>
    <col min="1731" max="1731" width="38.33203125" style="672" customWidth="1"/>
    <col min="1732" max="1732" width="50" style="672" customWidth="1"/>
    <col min="1733" max="1733" width="45" style="672" customWidth="1"/>
    <col min="1734" max="1734" width="38.33203125" style="672" customWidth="1"/>
    <col min="1735" max="1735" width="50" style="672" customWidth="1"/>
    <col min="1736" max="1736" width="186.33203125" style="672" customWidth="1"/>
    <col min="1737" max="1737" width="45" style="672" customWidth="1"/>
    <col min="1738" max="1738" width="38.33203125" style="672" customWidth="1"/>
    <col min="1739" max="1739" width="49.83203125" style="672" customWidth="1"/>
    <col min="1740" max="1740" width="44.83203125" style="672" customWidth="1"/>
    <col min="1741" max="1741" width="38.1640625" style="672" customWidth="1"/>
    <col min="1742" max="1742" width="49.83203125" style="672" customWidth="1"/>
    <col min="1743" max="1743" width="45" style="672" customWidth="1"/>
    <col min="1744" max="1744" width="38.33203125" style="672" customWidth="1"/>
    <col min="1745" max="1745" width="49.83203125" style="672" customWidth="1"/>
    <col min="1746" max="1746" width="44.83203125" style="672" customWidth="1"/>
    <col min="1747" max="1747" width="38.1640625" style="672" customWidth="1"/>
    <col min="1748" max="1748" width="50" style="672" customWidth="1"/>
    <col min="1749" max="1749" width="45" style="672" customWidth="1"/>
    <col min="1750" max="1750" width="38.33203125" style="672" customWidth="1"/>
    <col min="1751" max="1751" width="50" style="672" customWidth="1"/>
    <col min="1752" max="1752" width="186.33203125" style="672" customWidth="1"/>
    <col min="1753" max="1753" width="45" style="672" customWidth="1"/>
    <col min="1754" max="1754" width="38.33203125" style="672" customWidth="1"/>
    <col min="1755" max="1755" width="49.83203125" style="672" customWidth="1"/>
    <col min="1756" max="1757" width="45" style="672" customWidth="1"/>
    <col min="1758" max="1758" width="50.33203125" style="672" customWidth="1"/>
    <col min="1759" max="1760" width="45" style="672" customWidth="1"/>
    <col min="1761" max="1761" width="50" style="672" customWidth="1"/>
    <col min="1762" max="1762" width="51" style="672" customWidth="1"/>
    <col min="1763" max="1975" width="9.33203125" style="672"/>
    <col min="1976" max="1976" width="186.33203125" style="672" customWidth="1"/>
    <col min="1977" max="1977" width="44.83203125" style="672" customWidth="1"/>
    <col min="1978" max="1978" width="38.33203125" style="672" customWidth="1"/>
    <col min="1979" max="1979" width="50" style="672" customWidth="1"/>
    <col min="1980" max="1980" width="44.33203125" style="672" customWidth="1"/>
    <col min="1981" max="1981" width="37.6640625" style="672" customWidth="1"/>
    <col min="1982" max="1982" width="50" style="672" customWidth="1"/>
    <col min="1983" max="1983" width="44.6640625" style="672" customWidth="1"/>
    <col min="1984" max="1984" width="38.1640625" style="672" customWidth="1"/>
    <col min="1985" max="1985" width="50" style="672" customWidth="1"/>
    <col min="1986" max="1986" width="45" style="672" customWidth="1"/>
    <col min="1987" max="1987" width="38.33203125" style="672" customWidth="1"/>
    <col min="1988" max="1988" width="50" style="672" customWidth="1"/>
    <col min="1989" max="1989" width="45" style="672" customWidth="1"/>
    <col min="1990" max="1990" width="38.33203125" style="672" customWidth="1"/>
    <col min="1991" max="1991" width="50" style="672" customWidth="1"/>
    <col min="1992" max="1992" width="186.33203125" style="672" customWidth="1"/>
    <col min="1993" max="1993" width="45" style="672" customWidth="1"/>
    <col min="1994" max="1994" width="38.33203125" style="672" customWidth="1"/>
    <col min="1995" max="1995" width="49.83203125" style="672" customWidth="1"/>
    <col min="1996" max="1996" width="44.83203125" style="672" customWidth="1"/>
    <col min="1997" max="1997" width="38.1640625" style="672" customWidth="1"/>
    <col min="1998" max="1998" width="49.83203125" style="672" customWidth="1"/>
    <col min="1999" max="1999" width="45" style="672" customWidth="1"/>
    <col min="2000" max="2000" width="38.33203125" style="672" customWidth="1"/>
    <col min="2001" max="2001" width="49.83203125" style="672" customWidth="1"/>
    <col min="2002" max="2002" width="44.83203125" style="672" customWidth="1"/>
    <col min="2003" max="2003" width="38.1640625" style="672" customWidth="1"/>
    <col min="2004" max="2004" width="50" style="672" customWidth="1"/>
    <col min="2005" max="2005" width="45" style="672" customWidth="1"/>
    <col min="2006" max="2006" width="38.33203125" style="672" customWidth="1"/>
    <col min="2007" max="2007" width="50" style="672" customWidth="1"/>
    <col min="2008" max="2008" width="186.33203125" style="672" customWidth="1"/>
    <col min="2009" max="2009" width="45" style="672" customWidth="1"/>
    <col min="2010" max="2010" width="38.33203125" style="672" customWidth="1"/>
    <col min="2011" max="2011" width="49.83203125" style="672" customWidth="1"/>
    <col min="2012" max="2013" width="45" style="672" customWidth="1"/>
    <col min="2014" max="2014" width="50.33203125" style="672" customWidth="1"/>
    <col min="2015" max="2016" width="45" style="672" customWidth="1"/>
    <col min="2017" max="2017" width="50" style="672" customWidth="1"/>
    <col min="2018" max="2018" width="51" style="672" customWidth="1"/>
    <col min="2019" max="2231" width="9.33203125" style="672"/>
    <col min="2232" max="2232" width="186.33203125" style="672" customWidth="1"/>
    <col min="2233" max="2233" width="44.83203125" style="672" customWidth="1"/>
    <col min="2234" max="2234" width="38.33203125" style="672" customWidth="1"/>
    <col min="2235" max="2235" width="50" style="672" customWidth="1"/>
    <col min="2236" max="2236" width="44.33203125" style="672" customWidth="1"/>
    <col min="2237" max="2237" width="37.6640625" style="672" customWidth="1"/>
    <col min="2238" max="2238" width="50" style="672" customWidth="1"/>
    <col min="2239" max="2239" width="44.6640625" style="672" customWidth="1"/>
    <col min="2240" max="2240" width="38.1640625" style="672" customWidth="1"/>
    <col min="2241" max="2241" width="50" style="672" customWidth="1"/>
    <col min="2242" max="2242" width="45" style="672" customWidth="1"/>
    <col min="2243" max="2243" width="38.33203125" style="672" customWidth="1"/>
    <col min="2244" max="2244" width="50" style="672" customWidth="1"/>
    <col min="2245" max="2245" width="45" style="672" customWidth="1"/>
    <col min="2246" max="2246" width="38.33203125" style="672" customWidth="1"/>
    <col min="2247" max="2247" width="50" style="672" customWidth="1"/>
    <col min="2248" max="2248" width="186.33203125" style="672" customWidth="1"/>
    <col min="2249" max="2249" width="45" style="672" customWidth="1"/>
    <col min="2250" max="2250" width="38.33203125" style="672" customWidth="1"/>
    <col min="2251" max="2251" width="49.83203125" style="672" customWidth="1"/>
    <col min="2252" max="2252" width="44.83203125" style="672" customWidth="1"/>
    <col min="2253" max="2253" width="38.1640625" style="672" customWidth="1"/>
    <col min="2254" max="2254" width="49.83203125" style="672" customWidth="1"/>
    <col min="2255" max="2255" width="45" style="672" customWidth="1"/>
    <col min="2256" max="2256" width="38.33203125" style="672" customWidth="1"/>
    <col min="2257" max="2257" width="49.83203125" style="672" customWidth="1"/>
    <col min="2258" max="2258" width="44.83203125" style="672" customWidth="1"/>
    <col min="2259" max="2259" width="38.1640625" style="672" customWidth="1"/>
    <col min="2260" max="2260" width="50" style="672" customWidth="1"/>
    <col min="2261" max="2261" width="45" style="672" customWidth="1"/>
    <col min="2262" max="2262" width="38.33203125" style="672" customWidth="1"/>
    <col min="2263" max="2263" width="50" style="672" customWidth="1"/>
    <col min="2264" max="2264" width="186.33203125" style="672" customWidth="1"/>
    <col min="2265" max="2265" width="45" style="672" customWidth="1"/>
    <col min="2266" max="2266" width="38.33203125" style="672" customWidth="1"/>
    <col min="2267" max="2267" width="49.83203125" style="672" customWidth="1"/>
    <col min="2268" max="2269" width="45" style="672" customWidth="1"/>
    <col min="2270" max="2270" width="50.33203125" style="672" customWidth="1"/>
    <col min="2271" max="2272" width="45" style="672" customWidth="1"/>
    <col min="2273" max="2273" width="50" style="672" customWidth="1"/>
    <col min="2274" max="2274" width="51" style="672" customWidth="1"/>
    <col min="2275" max="2487" width="9.33203125" style="672"/>
    <col min="2488" max="2488" width="186.33203125" style="672" customWidth="1"/>
    <col min="2489" max="2489" width="44.83203125" style="672" customWidth="1"/>
    <col min="2490" max="2490" width="38.33203125" style="672" customWidth="1"/>
    <col min="2491" max="2491" width="50" style="672" customWidth="1"/>
    <col min="2492" max="2492" width="44.33203125" style="672" customWidth="1"/>
    <col min="2493" max="2493" width="37.6640625" style="672" customWidth="1"/>
    <col min="2494" max="2494" width="50" style="672" customWidth="1"/>
    <col min="2495" max="2495" width="44.6640625" style="672" customWidth="1"/>
    <col min="2496" max="2496" width="38.1640625" style="672" customWidth="1"/>
    <col min="2497" max="2497" width="50" style="672" customWidth="1"/>
    <col min="2498" max="2498" width="45" style="672" customWidth="1"/>
    <col min="2499" max="2499" width="38.33203125" style="672" customWidth="1"/>
    <col min="2500" max="2500" width="50" style="672" customWidth="1"/>
    <col min="2501" max="2501" width="45" style="672" customWidth="1"/>
    <col min="2502" max="2502" width="38.33203125" style="672" customWidth="1"/>
    <col min="2503" max="2503" width="50" style="672" customWidth="1"/>
    <col min="2504" max="2504" width="186.33203125" style="672" customWidth="1"/>
    <col min="2505" max="2505" width="45" style="672" customWidth="1"/>
    <col min="2506" max="2506" width="38.33203125" style="672" customWidth="1"/>
    <col min="2507" max="2507" width="49.83203125" style="672" customWidth="1"/>
    <col min="2508" max="2508" width="44.83203125" style="672" customWidth="1"/>
    <col min="2509" max="2509" width="38.1640625" style="672" customWidth="1"/>
    <col min="2510" max="2510" width="49.83203125" style="672" customWidth="1"/>
    <col min="2511" max="2511" width="45" style="672" customWidth="1"/>
    <col min="2512" max="2512" width="38.33203125" style="672" customWidth="1"/>
    <col min="2513" max="2513" width="49.83203125" style="672" customWidth="1"/>
    <col min="2514" max="2514" width="44.83203125" style="672" customWidth="1"/>
    <col min="2515" max="2515" width="38.1640625" style="672" customWidth="1"/>
    <col min="2516" max="2516" width="50" style="672" customWidth="1"/>
    <col min="2517" max="2517" width="45" style="672" customWidth="1"/>
    <col min="2518" max="2518" width="38.33203125" style="672" customWidth="1"/>
    <col min="2519" max="2519" width="50" style="672" customWidth="1"/>
    <col min="2520" max="2520" width="186.33203125" style="672" customWidth="1"/>
    <col min="2521" max="2521" width="45" style="672" customWidth="1"/>
    <col min="2522" max="2522" width="38.33203125" style="672" customWidth="1"/>
    <col min="2523" max="2523" width="49.83203125" style="672" customWidth="1"/>
    <col min="2524" max="2525" width="45" style="672" customWidth="1"/>
    <col min="2526" max="2526" width="50.33203125" style="672" customWidth="1"/>
    <col min="2527" max="2528" width="45" style="672" customWidth="1"/>
    <col min="2529" max="2529" width="50" style="672" customWidth="1"/>
    <col min="2530" max="2530" width="51" style="672" customWidth="1"/>
    <col min="2531" max="2743" width="9.33203125" style="672"/>
    <col min="2744" max="2744" width="186.33203125" style="672" customWidth="1"/>
    <col min="2745" max="2745" width="44.83203125" style="672" customWidth="1"/>
    <col min="2746" max="2746" width="38.33203125" style="672" customWidth="1"/>
    <col min="2747" max="2747" width="50" style="672" customWidth="1"/>
    <col min="2748" max="2748" width="44.33203125" style="672" customWidth="1"/>
    <col min="2749" max="2749" width="37.6640625" style="672" customWidth="1"/>
    <col min="2750" max="2750" width="50" style="672" customWidth="1"/>
    <col min="2751" max="2751" width="44.6640625" style="672" customWidth="1"/>
    <col min="2752" max="2752" width="38.1640625" style="672" customWidth="1"/>
    <col min="2753" max="2753" width="50" style="672" customWidth="1"/>
    <col min="2754" max="2754" width="45" style="672" customWidth="1"/>
    <col min="2755" max="2755" width="38.33203125" style="672" customWidth="1"/>
    <col min="2756" max="2756" width="50" style="672" customWidth="1"/>
    <col min="2757" max="2757" width="45" style="672" customWidth="1"/>
    <col min="2758" max="2758" width="38.33203125" style="672" customWidth="1"/>
    <col min="2759" max="2759" width="50" style="672" customWidth="1"/>
    <col min="2760" max="2760" width="186.33203125" style="672" customWidth="1"/>
    <col min="2761" max="2761" width="45" style="672" customWidth="1"/>
    <col min="2762" max="2762" width="38.33203125" style="672" customWidth="1"/>
    <col min="2763" max="2763" width="49.83203125" style="672" customWidth="1"/>
    <col min="2764" max="2764" width="44.83203125" style="672" customWidth="1"/>
    <col min="2765" max="2765" width="38.1640625" style="672" customWidth="1"/>
    <col min="2766" max="2766" width="49.83203125" style="672" customWidth="1"/>
    <col min="2767" max="2767" width="45" style="672" customWidth="1"/>
    <col min="2768" max="2768" width="38.33203125" style="672" customWidth="1"/>
    <col min="2769" max="2769" width="49.83203125" style="672" customWidth="1"/>
    <col min="2770" max="2770" width="44.83203125" style="672" customWidth="1"/>
    <col min="2771" max="2771" width="38.1640625" style="672" customWidth="1"/>
    <col min="2772" max="2772" width="50" style="672" customWidth="1"/>
    <col min="2773" max="2773" width="45" style="672" customWidth="1"/>
    <col min="2774" max="2774" width="38.33203125" style="672" customWidth="1"/>
    <col min="2775" max="2775" width="50" style="672" customWidth="1"/>
    <col min="2776" max="2776" width="186.33203125" style="672" customWidth="1"/>
    <col min="2777" max="2777" width="45" style="672" customWidth="1"/>
    <col min="2778" max="2778" width="38.33203125" style="672" customWidth="1"/>
    <col min="2779" max="2779" width="49.83203125" style="672" customWidth="1"/>
    <col min="2780" max="2781" width="45" style="672" customWidth="1"/>
    <col min="2782" max="2782" width="50.33203125" style="672" customWidth="1"/>
    <col min="2783" max="2784" width="45" style="672" customWidth="1"/>
    <col min="2785" max="2785" width="50" style="672" customWidth="1"/>
    <col min="2786" max="2786" width="51" style="672" customWidth="1"/>
    <col min="2787" max="2999" width="9.33203125" style="672"/>
    <col min="3000" max="3000" width="186.33203125" style="672" customWidth="1"/>
    <col min="3001" max="3001" width="44.83203125" style="672" customWidth="1"/>
    <col min="3002" max="3002" width="38.33203125" style="672" customWidth="1"/>
    <col min="3003" max="3003" width="50" style="672" customWidth="1"/>
    <col min="3004" max="3004" width="44.33203125" style="672" customWidth="1"/>
    <col min="3005" max="3005" width="37.6640625" style="672" customWidth="1"/>
    <col min="3006" max="3006" width="50" style="672" customWidth="1"/>
    <col min="3007" max="3007" width="44.6640625" style="672" customWidth="1"/>
    <col min="3008" max="3008" width="38.1640625" style="672" customWidth="1"/>
    <col min="3009" max="3009" width="50" style="672" customWidth="1"/>
    <col min="3010" max="3010" width="45" style="672" customWidth="1"/>
    <col min="3011" max="3011" width="38.33203125" style="672" customWidth="1"/>
    <col min="3012" max="3012" width="50" style="672" customWidth="1"/>
    <col min="3013" max="3013" width="45" style="672" customWidth="1"/>
    <col min="3014" max="3014" width="38.33203125" style="672" customWidth="1"/>
    <col min="3015" max="3015" width="50" style="672" customWidth="1"/>
    <col min="3016" max="3016" width="186.33203125" style="672" customWidth="1"/>
    <col min="3017" max="3017" width="45" style="672" customWidth="1"/>
    <col min="3018" max="3018" width="38.33203125" style="672" customWidth="1"/>
    <col min="3019" max="3019" width="49.83203125" style="672" customWidth="1"/>
    <col min="3020" max="3020" width="44.83203125" style="672" customWidth="1"/>
    <col min="3021" max="3021" width="38.1640625" style="672" customWidth="1"/>
    <col min="3022" max="3022" width="49.83203125" style="672" customWidth="1"/>
    <col min="3023" max="3023" width="45" style="672" customWidth="1"/>
    <col min="3024" max="3024" width="38.33203125" style="672" customWidth="1"/>
    <col min="3025" max="3025" width="49.83203125" style="672" customWidth="1"/>
    <col min="3026" max="3026" width="44.83203125" style="672" customWidth="1"/>
    <col min="3027" max="3027" width="38.1640625" style="672" customWidth="1"/>
    <col min="3028" max="3028" width="50" style="672" customWidth="1"/>
    <col min="3029" max="3029" width="45" style="672" customWidth="1"/>
    <col min="3030" max="3030" width="38.33203125" style="672" customWidth="1"/>
    <col min="3031" max="3031" width="50" style="672" customWidth="1"/>
    <col min="3032" max="3032" width="186.33203125" style="672" customWidth="1"/>
    <col min="3033" max="3033" width="45" style="672" customWidth="1"/>
    <col min="3034" max="3034" width="38.33203125" style="672" customWidth="1"/>
    <col min="3035" max="3035" width="49.83203125" style="672" customWidth="1"/>
    <col min="3036" max="3037" width="45" style="672" customWidth="1"/>
    <col min="3038" max="3038" width="50.33203125" style="672" customWidth="1"/>
    <col min="3039" max="3040" width="45" style="672" customWidth="1"/>
    <col min="3041" max="3041" width="50" style="672" customWidth="1"/>
    <col min="3042" max="3042" width="51" style="672" customWidth="1"/>
    <col min="3043" max="3255" width="9.33203125" style="672"/>
    <col min="3256" max="3256" width="186.33203125" style="672" customWidth="1"/>
    <col min="3257" max="3257" width="44.83203125" style="672" customWidth="1"/>
    <col min="3258" max="3258" width="38.33203125" style="672" customWidth="1"/>
    <col min="3259" max="3259" width="50" style="672" customWidth="1"/>
    <col min="3260" max="3260" width="44.33203125" style="672" customWidth="1"/>
    <col min="3261" max="3261" width="37.6640625" style="672" customWidth="1"/>
    <col min="3262" max="3262" width="50" style="672" customWidth="1"/>
    <col min="3263" max="3263" width="44.6640625" style="672" customWidth="1"/>
    <col min="3264" max="3264" width="38.1640625" style="672" customWidth="1"/>
    <col min="3265" max="3265" width="50" style="672" customWidth="1"/>
    <col min="3266" max="3266" width="45" style="672" customWidth="1"/>
    <col min="3267" max="3267" width="38.33203125" style="672" customWidth="1"/>
    <col min="3268" max="3268" width="50" style="672" customWidth="1"/>
    <col min="3269" max="3269" width="45" style="672" customWidth="1"/>
    <col min="3270" max="3270" width="38.33203125" style="672" customWidth="1"/>
    <col min="3271" max="3271" width="50" style="672" customWidth="1"/>
    <col min="3272" max="3272" width="186.33203125" style="672" customWidth="1"/>
    <col min="3273" max="3273" width="45" style="672" customWidth="1"/>
    <col min="3274" max="3274" width="38.33203125" style="672" customWidth="1"/>
    <col min="3275" max="3275" width="49.83203125" style="672" customWidth="1"/>
    <col min="3276" max="3276" width="44.83203125" style="672" customWidth="1"/>
    <col min="3277" max="3277" width="38.1640625" style="672" customWidth="1"/>
    <col min="3278" max="3278" width="49.83203125" style="672" customWidth="1"/>
    <col min="3279" max="3279" width="45" style="672" customWidth="1"/>
    <col min="3280" max="3280" width="38.33203125" style="672" customWidth="1"/>
    <col min="3281" max="3281" width="49.83203125" style="672" customWidth="1"/>
    <col min="3282" max="3282" width="44.83203125" style="672" customWidth="1"/>
    <col min="3283" max="3283" width="38.1640625" style="672" customWidth="1"/>
    <col min="3284" max="3284" width="50" style="672" customWidth="1"/>
    <col min="3285" max="3285" width="45" style="672" customWidth="1"/>
    <col min="3286" max="3286" width="38.33203125" style="672" customWidth="1"/>
    <col min="3287" max="3287" width="50" style="672" customWidth="1"/>
    <col min="3288" max="3288" width="186.33203125" style="672" customWidth="1"/>
    <col min="3289" max="3289" width="45" style="672" customWidth="1"/>
    <col min="3290" max="3290" width="38.33203125" style="672" customWidth="1"/>
    <col min="3291" max="3291" width="49.83203125" style="672" customWidth="1"/>
    <col min="3292" max="3293" width="45" style="672" customWidth="1"/>
    <col min="3294" max="3294" width="50.33203125" style="672" customWidth="1"/>
    <col min="3295" max="3296" width="45" style="672" customWidth="1"/>
    <col min="3297" max="3297" width="50" style="672" customWidth="1"/>
    <col min="3298" max="3298" width="51" style="672" customWidth="1"/>
    <col min="3299" max="3511" width="9.33203125" style="672"/>
    <col min="3512" max="3512" width="186.33203125" style="672" customWidth="1"/>
    <col min="3513" max="3513" width="44.83203125" style="672" customWidth="1"/>
    <col min="3514" max="3514" width="38.33203125" style="672" customWidth="1"/>
    <col min="3515" max="3515" width="50" style="672" customWidth="1"/>
    <col min="3516" max="3516" width="44.33203125" style="672" customWidth="1"/>
    <col min="3517" max="3517" width="37.6640625" style="672" customWidth="1"/>
    <col min="3518" max="3518" width="50" style="672" customWidth="1"/>
    <col min="3519" max="3519" width="44.6640625" style="672" customWidth="1"/>
    <col min="3520" max="3520" width="38.1640625" style="672" customWidth="1"/>
    <col min="3521" max="3521" width="50" style="672" customWidth="1"/>
    <col min="3522" max="3522" width="45" style="672" customWidth="1"/>
    <col min="3523" max="3523" width="38.33203125" style="672" customWidth="1"/>
    <col min="3524" max="3524" width="50" style="672" customWidth="1"/>
    <col min="3525" max="3525" width="45" style="672" customWidth="1"/>
    <col min="3526" max="3526" width="38.33203125" style="672" customWidth="1"/>
    <col min="3527" max="3527" width="50" style="672" customWidth="1"/>
    <col min="3528" max="3528" width="186.33203125" style="672" customWidth="1"/>
    <col min="3529" max="3529" width="45" style="672" customWidth="1"/>
    <col min="3530" max="3530" width="38.33203125" style="672" customWidth="1"/>
    <col min="3531" max="3531" width="49.83203125" style="672" customWidth="1"/>
    <col min="3532" max="3532" width="44.83203125" style="672" customWidth="1"/>
    <col min="3533" max="3533" width="38.1640625" style="672" customWidth="1"/>
    <col min="3534" max="3534" width="49.83203125" style="672" customWidth="1"/>
    <col min="3535" max="3535" width="45" style="672" customWidth="1"/>
    <col min="3536" max="3536" width="38.33203125" style="672" customWidth="1"/>
    <col min="3537" max="3537" width="49.83203125" style="672" customWidth="1"/>
    <col min="3538" max="3538" width="44.83203125" style="672" customWidth="1"/>
    <col min="3539" max="3539" width="38.1640625" style="672" customWidth="1"/>
    <col min="3540" max="3540" width="50" style="672" customWidth="1"/>
    <col min="3541" max="3541" width="45" style="672" customWidth="1"/>
    <col min="3542" max="3542" width="38.33203125" style="672" customWidth="1"/>
    <col min="3543" max="3543" width="50" style="672" customWidth="1"/>
    <col min="3544" max="3544" width="186.33203125" style="672" customWidth="1"/>
    <col min="3545" max="3545" width="45" style="672" customWidth="1"/>
    <col min="3546" max="3546" width="38.33203125" style="672" customWidth="1"/>
    <col min="3547" max="3547" width="49.83203125" style="672" customWidth="1"/>
    <col min="3548" max="3549" width="45" style="672" customWidth="1"/>
    <col min="3550" max="3550" width="50.33203125" style="672" customWidth="1"/>
    <col min="3551" max="3552" width="45" style="672" customWidth="1"/>
    <col min="3553" max="3553" width="50" style="672" customWidth="1"/>
    <col min="3554" max="3554" width="51" style="672" customWidth="1"/>
    <col min="3555" max="3767" width="9.33203125" style="672"/>
    <col min="3768" max="3768" width="186.33203125" style="672" customWidth="1"/>
    <col min="3769" max="3769" width="44.83203125" style="672" customWidth="1"/>
    <col min="3770" max="3770" width="38.33203125" style="672" customWidth="1"/>
    <col min="3771" max="3771" width="50" style="672" customWidth="1"/>
    <col min="3772" max="3772" width="44.33203125" style="672" customWidth="1"/>
    <col min="3773" max="3773" width="37.6640625" style="672" customWidth="1"/>
    <col min="3774" max="3774" width="50" style="672" customWidth="1"/>
    <col min="3775" max="3775" width="44.6640625" style="672" customWidth="1"/>
    <col min="3776" max="3776" width="38.1640625" style="672" customWidth="1"/>
    <col min="3777" max="3777" width="50" style="672" customWidth="1"/>
    <col min="3778" max="3778" width="45" style="672" customWidth="1"/>
    <col min="3779" max="3779" width="38.33203125" style="672" customWidth="1"/>
    <col min="3780" max="3780" width="50" style="672" customWidth="1"/>
    <col min="3781" max="3781" width="45" style="672" customWidth="1"/>
    <col min="3782" max="3782" width="38.33203125" style="672" customWidth="1"/>
    <col min="3783" max="3783" width="50" style="672" customWidth="1"/>
    <col min="3784" max="3784" width="186.33203125" style="672" customWidth="1"/>
    <col min="3785" max="3785" width="45" style="672" customWidth="1"/>
    <col min="3786" max="3786" width="38.33203125" style="672" customWidth="1"/>
    <col min="3787" max="3787" width="49.83203125" style="672" customWidth="1"/>
    <col min="3788" max="3788" width="44.83203125" style="672" customWidth="1"/>
    <col min="3789" max="3789" width="38.1640625" style="672" customWidth="1"/>
    <col min="3790" max="3790" width="49.83203125" style="672" customWidth="1"/>
    <col min="3791" max="3791" width="45" style="672" customWidth="1"/>
    <col min="3792" max="3792" width="38.33203125" style="672" customWidth="1"/>
    <col min="3793" max="3793" width="49.83203125" style="672" customWidth="1"/>
    <col min="3794" max="3794" width="44.83203125" style="672" customWidth="1"/>
    <col min="3795" max="3795" width="38.1640625" style="672" customWidth="1"/>
    <col min="3796" max="3796" width="50" style="672" customWidth="1"/>
    <col min="3797" max="3797" width="45" style="672" customWidth="1"/>
    <col min="3798" max="3798" width="38.33203125" style="672" customWidth="1"/>
    <col min="3799" max="3799" width="50" style="672" customWidth="1"/>
    <col min="3800" max="3800" width="186.33203125" style="672" customWidth="1"/>
    <col min="3801" max="3801" width="45" style="672" customWidth="1"/>
    <col min="3802" max="3802" width="38.33203125" style="672" customWidth="1"/>
    <col min="3803" max="3803" width="49.83203125" style="672" customWidth="1"/>
    <col min="3804" max="3805" width="45" style="672" customWidth="1"/>
    <col min="3806" max="3806" width="50.33203125" style="672" customWidth="1"/>
    <col min="3807" max="3808" width="45" style="672" customWidth="1"/>
    <col min="3809" max="3809" width="50" style="672" customWidth="1"/>
    <col min="3810" max="3810" width="51" style="672" customWidth="1"/>
    <col min="3811" max="4023" width="9.33203125" style="672"/>
    <col min="4024" max="4024" width="186.33203125" style="672" customWidth="1"/>
    <col min="4025" max="4025" width="44.83203125" style="672" customWidth="1"/>
    <col min="4026" max="4026" width="38.33203125" style="672" customWidth="1"/>
    <col min="4027" max="4027" width="50" style="672" customWidth="1"/>
    <col min="4028" max="4028" width="44.33203125" style="672" customWidth="1"/>
    <col min="4029" max="4029" width="37.6640625" style="672" customWidth="1"/>
    <col min="4030" max="4030" width="50" style="672" customWidth="1"/>
    <col min="4031" max="4031" width="44.6640625" style="672" customWidth="1"/>
    <col min="4032" max="4032" width="38.1640625" style="672" customWidth="1"/>
    <col min="4033" max="4033" width="50" style="672" customWidth="1"/>
    <col min="4034" max="4034" width="45" style="672" customWidth="1"/>
    <col min="4035" max="4035" width="38.33203125" style="672" customWidth="1"/>
    <col min="4036" max="4036" width="50" style="672" customWidth="1"/>
    <col min="4037" max="4037" width="45" style="672" customWidth="1"/>
    <col min="4038" max="4038" width="38.33203125" style="672" customWidth="1"/>
    <col min="4039" max="4039" width="50" style="672" customWidth="1"/>
    <col min="4040" max="4040" width="186.33203125" style="672" customWidth="1"/>
    <col min="4041" max="4041" width="45" style="672" customWidth="1"/>
    <col min="4042" max="4042" width="38.33203125" style="672" customWidth="1"/>
    <col min="4043" max="4043" width="49.83203125" style="672" customWidth="1"/>
    <col min="4044" max="4044" width="44.83203125" style="672" customWidth="1"/>
    <col min="4045" max="4045" width="38.1640625" style="672" customWidth="1"/>
    <col min="4046" max="4046" width="49.83203125" style="672" customWidth="1"/>
    <col min="4047" max="4047" width="45" style="672" customWidth="1"/>
    <col min="4048" max="4048" width="38.33203125" style="672" customWidth="1"/>
    <col min="4049" max="4049" width="49.83203125" style="672" customWidth="1"/>
    <col min="4050" max="4050" width="44.83203125" style="672" customWidth="1"/>
    <col min="4051" max="4051" width="38.1640625" style="672" customWidth="1"/>
    <col min="4052" max="4052" width="50" style="672" customWidth="1"/>
    <col min="4053" max="4053" width="45" style="672" customWidth="1"/>
    <col min="4054" max="4054" width="38.33203125" style="672" customWidth="1"/>
    <col min="4055" max="4055" width="50" style="672" customWidth="1"/>
    <col min="4056" max="4056" width="186.33203125" style="672" customWidth="1"/>
    <col min="4057" max="4057" width="45" style="672" customWidth="1"/>
    <col min="4058" max="4058" width="38.33203125" style="672" customWidth="1"/>
    <col min="4059" max="4059" width="49.83203125" style="672" customWidth="1"/>
    <col min="4060" max="4061" width="45" style="672" customWidth="1"/>
    <col min="4062" max="4062" width="50.33203125" style="672" customWidth="1"/>
    <col min="4063" max="4064" width="45" style="672" customWidth="1"/>
    <col min="4065" max="4065" width="50" style="672" customWidth="1"/>
    <col min="4066" max="4066" width="51" style="672" customWidth="1"/>
    <col min="4067" max="4279" width="9.33203125" style="672"/>
    <col min="4280" max="4280" width="186.33203125" style="672" customWidth="1"/>
    <col min="4281" max="4281" width="44.83203125" style="672" customWidth="1"/>
    <col min="4282" max="4282" width="38.33203125" style="672" customWidth="1"/>
    <col min="4283" max="4283" width="50" style="672" customWidth="1"/>
    <col min="4284" max="4284" width="44.33203125" style="672" customWidth="1"/>
    <col min="4285" max="4285" width="37.6640625" style="672" customWidth="1"/>
    <col min="4286" max="4286" width="50" style="672" customWidth="1"/>
    <col min="4287" max="4287" width="44.6640625" style="672" customWidth="1"/>
    <col min="4288" max="4288" width="38.1640625" style="672" customWidth="1"/>
    <col min="4289" max="4289" width="50" style="672" customWidth="1"/>
    <col min="4290" max="4290" width="45" style="672" customWidth="1"/>
    <col min="4291" max="4291" width="38.33203125" style="672" customWidth="1"/>
    <col min="4292" max="4292" width="50" style="672" customWidth="1"/>
    <col min="4293" max="4293" width="45" style="672" customWidth="1"/>
    <col min="4294" max="4294" width="38.33203125" style="672" customWidth="1"/>
    <col min="4295" max="4295" width="50" style="672" customWidth="1"/>
    <col min="4296" max="4296" width="186.33203125" style="672" customWidth="1"/>
    <col min="4297" max="4297" width="45" style="672" customWidth="1"/>
    <col min="4298" max="4298" width="38.33203125" style="672" customWidth="1"/>
    <col min="4299" max="4299" width="49.83203125" style="672" customWidth="1"/>
    <col min="4300" max="4300" width="44.83203125" style="672" customWidth="1"/>
    <col min="4301" max="4301" width="38.1640625" style="672" customWidth="1"/>
    <col min="4302" max="4302" width="49.83203125" style="672" customWidth="1"/>
    <col min="4303" max="4303" width="45" style="672" customWidth="1"/>
    <col min="4304" max="4304" width="38.33203125" style="672" customWidth="1"/>
    <col min="4305" max="4305" width="49.83203125" style="672" customWidth="1"/>
    <col min="4306" max="4306" width="44.83203125" style="672" customWidth="1"/>
    <col min="4307" max="4307" width="38.1640625" style="672" customWidth="1"/>
    <col min="4308" max="4308" width="50" style="672" customWidth="1"/>
    <col min="4309" max="4309" width="45" style="672" customWidth="1"/>
    <col min="4310" max="4310" width="38.33203125" style="672" customWidth="1"/>
    <col min="4311" max="4311" width="50" style="672" customWidth="1"/>
    <col min="4312" max="4312" width="186.33203125" style="672" customWidth="1"/>
    <col min="4313" max="4313" width="45" style="672" customWidth="1"/>
    <col min="4314" max="4314" width="38.33203125" style="672" customWidth="1"/>
    <col min="4315" max="4315" width="49.83203125" style="672" customWidth="1"/>
    <col min="4316" max="4317" width="45" style="672" customWidth="1"/>
    <col min="4318" max="4318" width="50.33203125" style="672" customWidth="1"/>
    <col min="4319" max="4320" width="45" style="672" customWidth="1"/>
    <col min="4321" max="4321" width="50" style="672" customWidth="1"/>
    <col min="4322" max="4322" width="51" style="672" customWidth="1"/>
    <col min="4323" max="4535" width="9.33203125" style="672"/>
    <col min="4536" max="4536" width="186.33203125" style="672" customWidth="1"/>
    <col min="4537" max="4537" width="44.83203125" style="672" customWidth="1"/>
    <col min="4538" max="4538" width="38.33203125" style="672" customWidth="1"/>
    <col min="4539" max="4539" width="50" style="672" customWidth="1"/>
    <col min="4540" max="4540" width="44.33203125" style="672" customWidth="1"/>
    <col min="4541" max="4541" width="37.6640625" style="672" customWidth="1"/>
    <col min="4542" max="4542" width="50" style="672" customWidth="1"/>
    <col min="4543" max="4543" width="44.6640625" style="672" customWidth="1"/>
    <col min="4544" max="4544" width="38.1640625" style="672" customWidth="1"/>
    <col min="4545" max="4545" width="50" style="672" customWidth="1"/>
    <col min="4546" max="4546" width="45" style="672" customWidth="1"/>
    <col min="4547" max="4547" width="38.33203125" style="672" customWidth="1"/>
    <col min="4548" max="4548" width="50" style="672" customWidth="1"/>
    <col min="4549" max="4549" width="45" style="672" customWidth="1"/>
    <col min="4550" max="4550" width="38.33203125" style="672" customWidth="1"/>
    <col min="4551" max="4551" width="50" style="672" customWidth="1"/>
    <col min="4552" max="4552" width="186.33203125" style="672" customWidth="1"/>
    <col min="4553" max="4553" width="45" style="672" customWidth="1"/>
    <col min="4554" max="4554" width="38.33203125" style="672" customWidth="1"/>
    <col min="4555" max="4555" width="49.83203125" style="672" customWidth="1"/>
    <col min="4556" max="4556" width="44.83203125" style="672" customWidth="1"/>
    <col min="4557" max="4557" width="38.1640625" style="672" customWidth="1"/>
    <col min="4558" max="4558" width="49.83203125" style="672" customWidth="1"/>
    <col min="4559" max="4559" width="45" style="672" customWidth="1"/>
    <col min="4560" max="4560" width="38.33203125" style="672" customWidth="1"/>
    <col min="4561" max="4561" width="49.83203125" style="672" customWidth="1"/>
    <col min="4562" max="4562" width="44.83203125" style="672" customWidth="1"/>
    <col min="4563" max="4563" width="38.1640625" style="672" customWidth="1"/>
    <col min="4564" max="4564" width="50" style="672" customWidth="1"/>
    <col min="4565" max="4565" width="45" style="672" customWidth="1"/>
    <col min="4566" max="4566" width="38.33203125" style="672" customWidth="1"/>
    <col min="4567" max="4567" width="50" style="672" customWidth="1"/>
    <col min="4568" max="4568" width="186.33203125" style="672" customWidth="1"/>
    <col min="4569" max="4569" width="45" style="672" customWidth="1"/>
    <col min="4570" max="4570" width="38.33203125" style="672" customWidth="1"/>
    <col min="4571" max="4571" width="49.83203125" style="672" customWidth="1"/>
    <col min="4572" max="4573" width="45" style="672" customWidth="1"/>
    <col min="4574" max="4574" width="50.33203125" style="672" customWidth="1"/>
    <col min="4575" max="4576" width="45" style="672" customWidth="1"/>
    <col min="4577" max="4577" width="50" style="672" customWidth="1"/>
    <col min="4578" max="4578" width="51" style="672" customWidth="1"/>
    <col min="4579" max="4791" width="9.33203125" style="672"/>
    <col min="4792" max="4792" width="186.33203125" style="672" customWidth="1"/>
    <col min="4793" max="4793" width="44.83203125" style="672" customWidth="1"/>
    <col min="4794" max="4794" width="38.33203125" style="672" customWidth="1"/>
    <col min="4795" max="4795" width="50" style="672" customWidth="1"/>
    <col min="4796" max="4796" width="44.33203125" style="672" customWidth="1"/>
    <col min="4797" max="4797" width="37.6640625" style="672" customWidth="1"/>
    <col min="4798" max="4798" width="50" style="672" customWidth="1"/>
    <col min="4799" max="4799" width="44.6640625" style="672" customWidth="1"/>
    <col min="4800" max="4800" width="38.1640625" style="672" customWidth="1"/>
    <col min="4801" max="4801" width="50" style="672" customWidth="1"/>
    <col min="4802" max="4802" width="45" style="672" customWidth="1"/>
    <col min="4803" max="4803" width="38.33203125" style="672" customWidth="1"/>
    <col min="4804" max="4804" width="50" style="672" customWidth="1"/>
    <col min="4805" max="4805" width="45" style="672" customWidth="1"/>
    <col min="4806" max="4806" width="38.33203125" style="672" customWidth="1"/>
    <col min="4807" max="4807" width="50" style="672" customWidth="1"/>
    <col min="4808" max="4808" width="186.33203125" style="672" customWidth="1"/>
    <col min="4809" max="4809" width="45" style="672" customWidth="1"/>
    <col min="4810" max="4810" width="38.33203125" style="672" customWidth="1"/>
    <col min="4811" max="4811" width="49.83203125" style="672" customWidth="1"/>
    <col min="4812" max="4812" width="44.83203125" style="672" customWidth="1"/>
    <col min="4813" max="4813" width="38.1640625" style="672" customWidth="1"/>
    <col min="4814" max="4814" width="49.83203125" style="672" customWidth="1"/>
    <col min="4815" max="4815" width="45" style="672" customWidth="1"/>
    <col min="4816" max="4816" width="38.33203125" style="672" customWidth="1"/>
    <col min="4817" max="4817" width="49.83203125" style="672" customWidth="1"/>
    <col min="4818" max="4818" width="44.83203125" style="672" customWidth="1"/>
    <col min="4819" max="4819" width="38.1640625" style="672" customWidth="1"/>
    <col min="4820" max="4820" width="50" style="672" customWidth="1"/>
    <col min="4821" max="4821" width="45" style="672" customWidth="1"/>
    <col min="4822" max="4822" width="38.33203125" style="672" customWidth="1"/>
    <col min="4823" max="4823" width="50" style="672" customWidth="1"/>
    <col min="4824" max="4824" width="186.33203125" style="672" customWidth="1"/>
    <col min="4825" max="4825" width="45" style="672" customWidth="1"/>
    <col min="4826" max="4826" width="38.33203125" style="672" customWidth="1"/>
    <col min="4827" max="4827" width="49.83203125" style="672" customWidth="1"/>
    <col min="4828" max="4829" width="45" style="672" customWidth="1"/>
    <col min="4830" max="4830" width="50.33203125" style="672" customWidth="1"/>
    <col min="4831" max="4832" width="45" style="672" customWidth="1"/>
    <col min="4833" max="4833" width="50" style="672" customWidth="1"/>
    <col min="4834" max="4834" width="51" style="672" customWidth="1"/>
    <col min="4835" max="5047" width="9.33203125" style="672"/>
    <col min="5048" max="5048" width="186.33203125" style="672" customWidth="1"/>
    <col min="5049" max="5049" width="44.83203125" style="672" customWidth="1"/>
    <col min="5050" max="5050" width="38.33203125" style="672" customWidth="1"/>
    <col min="5051" max="5051" width="50" style="672" customWidth="1"/>
    <col min="5052" max="5052" width="44.33203125" style="672" customWidth="1"/>
    <col min="5053" max="5053" width="37.6640625" style="672" customWidth="1"/>
    <col min="5054" max="5054" width="50" style="672" customWidth="1"/>
    <col min="5055" max="5055" width="44.6640625" style="672" customWidth="1"/>
    <col min="5056" max="5056" width="38.1640625" style="672" customWidth="1"/>
    <col min="5057" max="5057" width="50" style="672" customWidth="1"/>
    <col min="5058" max="5058" width="45" style="672" customWidth="1"/>
    <col min="5059" max="5059" width="38.33203125" style="672" customWidth="1"/>
    <col min="5060" max="5060" width="50" style="672" customWidth="1"/>
    <col min="5061" max="5061" width="45" style="672" customWidth="1"/>
    <col min="5062" max="5062" width="38.33203125" style="672" customWidth="1"/>
    <col min="5063" max="5063" width="50" style="672" customWidth="1"/>
    <col min="5064" max="5064" width="186.33203125" style="672" customWidth="1"/>
    <col min="5065" max="5065" width="45" style="672" customWidth="1"/>
    <col min="5066" max="5066" width="38.33203125" style="672" customWidth="1"/>
    <col min="5067" max="5067" width="49.83203125" style="672" customWidth="1"/>
    <col min="5068" max="5068" width="44.83203125" style="672" customWidth="1"/>
    <col min="5069" max="5069" width="38.1640625" style="672" customWidth="1"/>
    <col min="5070" max="5070" width="49.83203125" style="672" customWidth="1"/>
    <col min="5071" max="5071" width="45" style="672" customWidth="1"/>
    <col min="5072" max="5072" width="38.33203125" style="672" customWidth="1"/>
    <col min="5073" max="5073" width="49.83203125" style="672" customWidth="1"/>
    <col min="5074" max="5074" width="44.83203125" style="672" customWidth="1"/>
    <col min="5075" max="5075" width="38.1640625" style="672" customWidth="1"/>
    <col min="5076" max="5076" width="50" style="672" customWidth="1"/>
    <col min="5077" max="5077" width="45" style="672" customWidth="1"/>
    <col min="5078" max="5078" width="38.33203125" style="672" customWidth="1"/>
    <col min="5079" max="5079" width="50" style="672" customWidth="1"/>
    <col min="5080" max="5080" width="186.33203125" style="672" customWidth="1"/>
    <col min="5081" max="5081" width="45" style="672" customWidth="1"/>
    <col min="5082" max="5082" width="38.33203125" style="672" customWidth="1"/>
    <col min="5083" max="5083" width="49.83203125" style="672" customWidth="1"/>
    <col min="5084" max="5085" width="45" style="672" customWidth="1"/>
    <col min="5086" max="5086" width="50.33203125" style="672" customWidth="1"/>
    <col min="5087" max="5088" width="45" style="672" customWidth="1"/>
    <col min="5089" max="5089" width="50" style="672" customWidth="1"/>
    <col min="5090" max="5090" width="51" style="672" customWidth="1"/>
    <col min="5091" max="5303" width="9.33203125" style="672"/>
    <col min="5304" max="5304" width="186.33203125" style="672" customWidth="1"/>
    <col min="5305" max="5305" width="44.83203125" style="672" customWidth="1"/>
    <col min="5306" max="5306" width="38.33203125" style="672" customWidth="1"/>
    <col min="5307" max="5307" width="50" style="672" customWidth="1"/>
    <col min="5308" max="5308" width="44.33203125" style="672" customWidth="1"/>
    <col min="5309" max="5309" width="37.6640625" style="672" customWidth="1"/>
    <col min="5310" max="5310" width="50" style="672" customWidth="1"/>
    <col min="5311" max="5311" width="44.6640625" style="672" customWidth="1"/>
    <col min="5312" max="5312" width="38.1640625" style="672" customWidth="1"/>
    <col min="5313" max="5313" width="50" style="672" customWidth="1"/>
    <col min="5314" max="5314" width="45" style="672" customWidth="1"/>
    <col min="5315" max="5315" width="38.33203125" style="672" customWidth="1"/>
    <col min="5316" max="5316" width="50" style="672" customWidth="1"/>
    <col min="5317" max="5317" width="45" style="672" customWidth="1"/>
    <col min="5318" max="5318" width="38.33203125" style="672" customWidth="1"/>
    <col min="5319" max="5319" width="50" style="672" customWidth="1"/>
    <col min="5320" max="5320" width="186.33203125" style="672" customWidth="1"/>
    <col min="5321" max="5321" width="45" style="672" customWidth="1"/>
    <col min="5322" max="5322" width="38.33203125" style="672" customWidth="1"/>
    <col min="5323" max="5323" width="49.83203125" style="672" customWidth="1"/>
    <col min="5324" max="5324" width="44.83203125" style="672" customWidth="1"/>
    <col min="5325" max="5325" width="38.1640625" style="672" customWidth="1"/>
    <col min="5326" max="5326" width="49.83203125" style="672" customWidth="1"/>
    <col min="5327" max="5327" width="45" style="672" customWidth="1"/>
    <col min="5328" max="5328" width="38.33203125" style="672" customWidth="1"/>
    <col min="5329" max="5329" width="49.83203125" style="672" customWidth="1"/>
    <col min="5330" max="5330" width="44.83203125" style="672" customWidth="1"/>
    <col min="5331" max="5331" width="38.1640625" style="672" customWidth="1"/>
    <col min="5332" max="5332" width="50" style="672" customWidth="1"/>
    <col min="5333" max="5333" width="45" style="672" customWidth="1"/>
    <col min="5334" max="5334" width="38.33203125" style="672" customWidth="1"/>
    <col min="5335" max="5335" width="50" style="672" customWidth="1"/>
    <col min="5336" max="5336" width="186.33203125" style="672" customWidth="1"/>
    <col min="5337" max="5337" width="45" style="672" customWidth="1"/>
    <col min="5338" max="5338" width="38.33203125" style="672" customWidth="1"/>
    <col min="5339" max="5339" width="49.83203125" style="672" customWidth="1"/>
    <col min="5340" max="5341" width="45" style="672" customWidth="1"/>
    <col min="5342" max="5342" width="50.33203125" style="672" customWidth="1"/>
    <col min="5343" max="5344" width="45" style="672" customWidth="1"/>
    <col min="5345" max="5345" width="50" style="672" customWidth="1"/>
    <col min="5346" max="5346" width="51" style="672" customWidth="1"/>
    <col min="5347" max="5559" width="9.33203125" style="672"/>
    <col min="5560" max="5560" width="186.33203125" style="672" customWidth="1"/>
    <col min="5561" max="5561" width="44.83203125" style="672" customWidth="1"/>
    <col min="5562" max="5562" width="38.33203125" style="672" customWidth="1"/>
    <col min="5563" max="5563" width="50" style="672" customWidth="1"/>
    <col min="5564" max="5564" width="44.33203125" style="672" customWidth="1"/>
    <col min="5565" max="5565" width="37.6640625" style="672" customWidth="1"/>
    <col min="5566" max="5566" width="50" style="672" customWidth="1"/>
    <col min="5567" max="5567" width="44.6640625" style="672" customWidth="1"/>
    <col min="5568" max="5568" width="38.1640625" style="672" customWidth="1"/>
    <col min="5569" max="5569" width="50" style="672" customWidth="1"/>
    <col min="5570" max="5570" width="45" style="672" customWidth="1"/>
    <col min="5571" max="5571" width="38.33203125" style="672" customWidth="1"/>
    <col min="5572" max="5572" width="50" style="672" customWidth="1"/>
    <col min="5573" max="5573" width="45" style="672" customWidth="1"/>
    <col min="5574" max="5574" width="38.33203125" style="672" customWidth="1"/>
    <col min="5575" max="5575" width="50" style="672" customWidth="1"/>
    <col min="5576" max="5576" width="186.33203125" style="672" customWidth="1"/>
    <col min="5577" max="5577" width="45" style="672" customWidth="1"/>
    <col min="5578" max="5578" width="38.33203125" style="672" customWidth="1"/>
    <col min="5579" max="5579" width="49.83203125" style="672" customWidth="1"/>
    <col min="5580" max="5580" width="44.83203125" style="672" customWidth="1"/>
    <col min="5581" max="5581" width="38.1640625" style="672" customWidth="1"/>
    <col min="5582" max="5582" width="49.83203125" style="672" customWidth="1"/>
    <col min="5583" max="5583" width="45" style="672" customWidth="1"/>
    <col min="5584" max="5584" width="38.33203125" style="672" customWidth="1"/>
    <col min="5585" max="5585" width="49.83203125" style="672" customWidth="1"/>
    <col min="5586" max="5586" width="44.83203125" style="672" customWidth="1"/>
    <col min="5587" max="5587" width="38.1640625" style="672" customWidth="1"/>
    <col min="5588" max="5588" width="50" style="672" customWidth="1"/>
    <col min="5589" max="5589" width="45" style="672" customWidth="1"/>
    <col min="5590" max="5590" width="38.33203125" style="672" customWidth="1"/>
    <col min="5591" max="5591" width="50" style="672" customWidth="1"/>
    <col min="5592" max="5592" width="186.33203125" style="672" customWidth="1"/>
    <col min="5593" max="5593" width="45" style="672" customWidth="1"/>
    <col min="5594" max="5594" width="38.33203125" style="672" customWidth="1"/>
    <col min="5595" max="5595" width="49.83203125" style="672" customWidth="1"/>
    <col min="5596" max="5597" width="45" style="672" customWidth="1"/>
    <col min="5598" max="5598" width="50.33203125" style="672" customWidth="1"/>
    <col min="5599" max="5600" width="45" style="672" customWidth="1"/>
    <col min="5601" max="5601" width="50" style="672" customWidth="1"/>
    <col min="5602" max="5602" width="51" style="672" customWidth="1"/>
    <col min="5603" max="5815" width="9.33203125" style="672"/>
    <col min="5816" max="5816" width="186.33203125" style="672" customWidth="1"/>
    <col min="5817" max="5817" width="44.83203125" style="672" customWidth="1"/>
    <col min="5818" max="5818" width="38.33203125" style="672" customWidth="1"/>
    <col min="5819" max="5819" width="50" style="672" customWidth="1"/>
    <col min="5820" max="5820" width="44.33203125" style="672" customWidth="1"/>
    <col min="5821" max="5821" width="37.6640625" style="672" customWidth="1"/>
    <col min="5822" max="5822" width="50" style="672" customWidth="1"/>
    <col min="5823" max="5823" width="44.6640625" style="672" customWidth="1"/>
    <col min="5824" max="5824" width="38.1640625" style="672" customWidth="1"/>
    <col min="5825" max="5825" width="50" style="672" customWidth="1"/>
    <col min="5826" max="5826" width="45" style="672" customWidth="1"/>
    <col min="5827" max="5827" width="38.33203125" style="672" customWidth="1"/>
    <col min="5828" max="5828" width="50" style="672" customWidth="1"/>
    <col min="5829" max="5829" width="45" style="672" customWidth="1"/>
    <col min="5830" max="5830" width="38.33203125" style="672" customWidth="1"/>
    <col min="5831" max="5831" width="50" style="672" customWidth="1"/>
    <col min="5832" max="5832" width="186.33203125" style="672" customWidth="1"/>
    <col min="5833" max="5833" width="45" style="672" customWidth="1"/>
    <col min="5834" max="5834" width="38.33203125" style="672" customWidth="1"/>
    <col min="5835" max="5835" width="49.83203125" style="672" customWidth="1"/>
    <col min="5836" max="5836" width="44.83203125" style="672" customWidth="1"/>
    <col min="5837" max="5837" width="38.1640625" style="672" customWidth="1"/>
    <col min="5838" max="5838" width="49.83203125" style="672" customWidth="1"/>
    <col min="5839" max="5839" width="45" style="672" customWidth="1"/>
    <col min="5840" max="5840" width="38.33203125" style="672" customWidth="1"/>
    <col min="5841" max="5841" width="49.83203125" style="672" customWidth="1"/>
    <col min="5842" max="5842" width="44.83203125" style="672" customWidth="1"/>
    <col min="5843" max="5843" width="38.1640625" style="672" customWidth="1"/>
    <col min="5844" max="5844" width="50" style="672" customWidth="1"/>
    <col min="5845" max="5845" width="45" style="672" customWidth="1"/>
    <col min="5846" max="5846" width="38.33203125" style="672" customWidth="1"/>
    <col min="5847" max="5847" width="50" style="672" customWidth="1"/>
    <col min="5848" max="5848" width="186.33203125" style="672" customWidth="1"/>
    <col min="5849" max="5849" width="45" style="672" customWidth="1"/>
    <col min="5850" max="5850" width="38.33203125" style="672" customWidth="1"/>
    <col min="5851" max="5851" width="49.83203125" style="672" customWidth="1"/>
    <col min="5852" max="5853" width="45" style="672" customWidth="1"/>
    <col min="5854" max="5854" width="50.33203125" style="672" customWidth="1"/>
    <col min="5855" max="5856" width="45" style="672" customWidth="1"/>
    <col min="5857" max="5857" width="50" style="672" customWidth="1"/>
    <col min="5858" max="5858" width="51" style="672" customWidth="1"/>
    <col min="5859" max="6071" width="9.33203125" style="672"/>
    <col min="6072" max="6072" width="186.33203125" style="672" customWidth="1"/>
    <col min="6073" max="6073" width="44.83203125" style="672" customWidth="1"/>
    <col min="6074" max="6074" width="38.33203125" style="672" customWidth="1"/>
    <col min="6075" max="6075" width="50" style="672" customWidth="1"/>
    <col min="6076" max="6076" width="44.33203125" style="672" customWidth="1"/>
    <col min="6077" max="6077" width="37.6640625" style="672" customWidth="1"/>
    <col min="6078" max="6078" width="50" style="672" customWidth="1"/>
    <col min="6079" max="6079" width="44.6640625" style="672" customWidth="1"/>
    <col min="6080" max="6080" width="38.1640625" style="672" customWidth="1"/>
    <col min="6081" max="6081" width="50" style="672" customWidth="1"/>
    <col min="6082" max="6082" width="45" style="672" customWidth="1"/>
    <col min="6083" max="6083" width="38.33203125" style="672" customWidth="1"/>
    <col min="6084" max="6084" width="50" style="672" customWidth="1"/>
    <col min="6085" max="6085" width="45" style="672" customWidth="1"/>
    <col min="6086" max="6086" width="38.33203125" style="672" customWidth="1"/>
    <col min="6087" max="6087" width="50" style="672" customWidth="1"/>
    <col min="6088" max="6088" width="186.33203125" style="672" customWidth="1"/>
    <col min="6089" max="6089" width="45" style="672" customWidth="1"/>
    <col min="6090" max="6090" width="38.33203125" style="672" customWidth="1"/>
    <col min="6091" max="6091" width="49.83203125" style="672" customWidth="1"/>
    <col min="6092" max="6092" width="44.83203125" style="672" customWidth="1"/>
    <col min="6093" max="6093" width="38.1640625" style="672" customWidth="1"/>
    <col min="6094" max="6094" width="49.83203125" style="672" customWidth="1"/>
    <col min="6095" max="6095" width="45" style="672" customWidth="1"/>
    <col min="6096" max="6096" width="38.33203125" style="672" customWidth="1"/>
    <col min="6097" max="6097" width="49.83203125" style="672" customWidth="1"/>
    <col min="6098" max="6098" width="44.83203125" style="672" customWidth="1"/>
    <col min="6099" max="6099" width="38.1640625" style="672" customWidth="1"/>
    <col min="6100" max="6100" width="50" style="672" customWidth="1"/>
    <col min="6101" max="6101" width="45" style="672" customWidth="1"/>
    <col min="6102" max="6102" width="38.33203125" style="672" customWidth="1"/>
    <col min="6103" max="6103" width="50" style="672" customWidth="1"/>
    <col min="6104" max="6104" width="186.33203125" style="672" customWidth="1"/>
    <col min="6105" max="6105" width="45" style="672" customWidth="1"/>
    <col min="6106" max="6106" width="38.33203125" style="672" customWidth="1"/>
    <col min="6107" max="6107" width="49.83203125" style="672" customWidth="1"/>
    <col min="6108" max="6109" width="45" style="672" customWidth="1"/>
    <col min="6110" max="6110" width="50.33203125" style="672" customWidth="1"/>
    <col min="6111" max="6112" width="45" style="672" customWidth="1"/>
    <col min="6113" max="6113" width="50" style="672" customWidth="1"/>
    <col min="6114" max="6114" width="51" style="672" customWidth="1"/>
    <col min="6115" max="6327" width="9.33203125" style="672"/>
    <col min="6328" max="6328" width="186.33203125" style="672" customWidth="1"/>
    <col min="6329" max="6329" width="44.83203125" style="672" customWidth="1"/>
    <col min="6330" max="6330" width="38.33203125" style="672" customWidth="1"/>
    <col min="6331" max="6331" width="50" style="672" customWidth="1"/>
    <col min="6332" max="6332" width="44.33203125" style="672" customWidth="1"/>
    <col min="6333" max="6333" width="37.6640625" style="672" customWidth="1"/>
    <col min="6334" max="6334" width="50" style="672" customWidth="1"/>
    <col min="6335" max="6335" width="44.6640625" style="672" customWidth="1"/>
    <col min="6336" max="6336" width="38.1640625" style="672" customWidth="1"/>
    <col min="6337" max="6337" width="50" style="672" customWidth="1"/>
    <col min="6338" max="6338" width="45" style="672" customWidth="1"/>
    <col min="6339" max="6339" width="38.33203125" style="672" customWidth="1"/>
    <col min="6340" max="6340" width="50" style="672" customWidth="1"/>
    <col min="6341" max="6341" width="45" style="672" customWidth="1"/>
    <col min="6342" max="6342" width="38.33203125" style="672" customWidth="1"/>
    <col min="6343" max="6343" width="50" style="672" customWidth="1"/>
    <col min="6344" max="6344" width="186.33203125" style="672" customWidth="1"/>
    <col min="6345" max="6345" width="45" style="672" customWidth="1"/>
    <col min="6346" max="6346" width="38.33203125" style="672" customWidth="1"/>
    <col min="6347" max="6347" width="49.83203125" style="672" customWidth="1"/>
    <col min="6348" max="6348" width="44.83203125" style="672" customWidth="1"/>
    <col min="6349" max="6349" width="38.1640625" style="672" customWidth="1"/>
    <col min="6350" max="6350" width="49.83203125" style="672" customWidth="1"/>
    <col min="6351" max="6351" width="45" style="672" customWidth="1"/>
    <col min="6352" max="6352" width="38.33203125" style="672" customWidth="1"/>
    <col min="6353" max="6353" width="49.83203125" style="672" customWidth="1"/>
    <col min="6354" max="6354" width="44.83203125" style="672" customWidth="1"/>
    <col min="6355" max="6355" width="38.1640625" style="672" customWidth="1"/>
    <col min="6356" max="6356" width="50" style="672" customWidth="1"/>
    <col min="6357" max="6357" width="45" style="672" customWidth="1"/>
    <col min="6358" max="6358" width="38.33203125" style="672" customWidth="1"/>
    <col min="6359" max="6359" width="50" style="672" customWidth="1"/>
    <col min="6360" max="6360" width="186.33203125" style="672" customWidth="1"/>
    <col min="6361" max="6361" width="45" style="672" customWidth="1"/>
    <col min="6362" max="6362" width="38.33203125" style="672" customWidth="1"/>
    <col min="6363" max="6363" width="49.83203125" style="672" customWidth="1"/>
    <col min="6364" max="6365" width="45" style="672" customWidth="1"/>
    <col min="6366" max="6366" width="50.33203125" style="672" customWidth="1"/>
    <col min="6367" max="6368" width="45" style="672" customWidth="1"/>
    <col min="6369" max="6369" width="50" style="672" customWidth="1"/>
    <col min="6370" max="6370" width="51" style="672" customWidth="1"/>
    <col min="6371" max="6583" width="9.33203125" style="672"/>
    <col min="6584" max="6584" width="186.33203125" style="672" customWidth="1"/>
    <col min="6585" max="6585" width="44.83203125" style="672" customWidth="1"/>
    <col min="6586" max="6586" width="38.33203125" style="672" customWidth="1"/>
    <col min="6587" max="6587" width="50" style="672" customWidth="1"/>
    <col min="6588" max="6588" width="44.33203125" style="672" customWidth="1"/>
    <col min="6589" max="6589" width="37.6640625" style="672" customWidth="1"/>
    <col min="6590" max="6590" width="50" style="672" customWidth="1"/>
    <col min="6591" max="6591" width="44.6640625" style="672" customWidth="1"/>
    <col min="6592" max="6592" width="38.1640625" style="672" customWidth="1"/>
    <col min="6593" max="6593" width="50" style="672" customWidth="1"/>
    <col min="6594" max="6594" width="45" style="672" customWidth="1"/>
    <col min="6595" max="6595" width="38.33203125" style="672" customWidth="1"/>
    <col min="6596" max="6596" width="50" style="672" customWidth="1"/>
    <col min="6597" max="6597" width="45" style="672" customWidth="1"/>
    <col min="6598" max="6598" width="38.33203125" style="672" customWidth="1"/>
    <col min="6599" max="6599" width="50" style="672" customWidth="1"/>
    <col min="6600" max="6600" width="186.33203125" style="672" customWidth="1"/>
    <col min="6601" max="6601" width="45" style="672" customWidth="1"/>
    <col min="6602" max="6602" width="38.33203125" style="672" customWidth="1"/>
    <col min="6603" max="6603" width="49.83203125" style="672" customWidth="1"/>
    <col min="6604" max="6604" width="44.83203125" style="672" customWidth="1"/>
    <col min="6605" max="6605" width="38.1640625" style="672" customWidth="1"/>
    <col min="6606" max="6606" width="49.83203125" style="672" customWidth="1"/>
    <col min="6607" max="6607" width="45" style="672" customWidth="1"/>
    <col min="6608" max="6608" width="38.33203125" style="672" customWidth="1"/>
    <col min="6609" max="6609" width="49.83203125" style="672" customWidth="1"/>
    <col min="6610" max="6610" width="44.83203125" style="672" customWidth="1"/>
    <col min="6611" max="6611" width="38.1640625" style="672" customWidth="1"/>
    <col min="6612" max="6612" width="50" style="672" customWidth="1"/>
    <col min="6613" max="6613" width="45" style="672" customWidth="1"/>
    <col min="6614" max="6614" width="38.33203125" style="672" customWidth="1"/>
    <col min="6615" max="6615" width="50" style="672" customWidth="1"/>
    <col min="6616" max="6616" width="186.33203125" style="672" customWidth="1"/>
    <col min="6617" max="6617" width="45" style="672" customWidth="1"/>
    <col min="6618" max="6618" width="38.33203125" style="672" customWidth="1"/>
    <col min="6619" max="6619" width="49.83203125" style="672" customWidth="1"/>
    <col min="6620" max="6621" width="45" style="672" customWidth="1"/>
    <col min="6622" max="6622" width="50.33203125" style="672" customWidth="1"/>
    <col min="6623" max="6624" width="45" style="672" customWidth="1"/>
    <col min="6625" max="6625" width="50" style="672" customWidth="1"/>
    <col min="6626" max="6626" width="51" style="672" customWidth="1"/>
    <col min="6627" max="6839" width="9.33203125" style="672"/>
    <col min="6840" max="6840" width="186.33203125" style="672" customWidth="1"/>
    <col min="6841" max="6841" width="44.83203125" style="672" customWidth="1"/>
    <col min="6842" max="6842" width="38.33203125" style="672" customWidth="1"/>
    <col min="6843" max="6843" width="50" style="672" customWidth="1"/>
    <col min="6844" max="6844" width="44.33203125" style="672" customWidth="1"/>
    <col min="6845" max="6845" width="37.6640625" style="672" customWidth="1"/>
    <col min="6846" max="6846" width="50" style="672" customWidth="1"/>
    <col min="6847" max="6847" width="44.6640625" style="672" customWidth="1"/>
    <col min="6848" max="6848" width="38.1640625" style="672" customWidth="1"/>
    <col min="6849" max="6849" width="50" style="672" customWidth="1"/>
    <col min="6850" max="6850" width="45" style="672" customWidth="1"/>
    <col min="6851" max="6851" width="38.33203125" style="672" customWidth="1"/>
    <col min="6852" max="6852" width="50" style="672" customWidth="1"/>
    <col min="6853" max="6853" width="45" style="672" customWidth="1"/>
    <col min="6854" max="6854" width="38.33203125" style="672" customWidth="1"/>
    <col min="6855" max="6855" width="50" style="672" customWidth="1"/>
    <col min="6856" max="6856" width="186.33203125" style="672" customWidth="1"/>
    <col min="6857" max="6857" width="45" style="672" customWidth="1"/>
    <col min="6858" max="6858" width="38.33203125" style="672" customWidth="1"/>
    <col min="6859" max="6859" width="49.83203125" style="672" customWidth="1"/>
    <col min="6860" max="6860" width="44.83203125" style="672" customWidth="1"/>
    <col min="6861" max="6861" width="38.1640625" style="672" customWidth="1"/>
    <col min="6862" max="6862" width="49.83203125" style="672" customWidth="1"/>
    <col min="6863" max="6863" width="45" style="672" customWidth="1"/>
    <col min="6864" max="6864" width="38.33203125" style="672" customWidth="1"/>
    <col min="6865" max="6865" width="49.83203125" style="672" customWidth="1"/>
    <col min="6866" max="6866" width="44.83203125" style="672" customWidth="1"/>
    <col min="6867" max="6867" width="38.1640625" style="672" customWidth="1"/>
    <col min="6868" max="6868" width="50" style="672" customWidth="1"/>
    <col min="6869" max="6869" width="45" style="672" customWidth="1"/>
    <col min="6870" max="6870" width="38.33203125" style="672" customWidth="1"/>
    <col min="6871" max="6871" width="50" style="672" customWidth="1"/>
    <col min="6872" max="6872" width="186.33203125" style="672" customWidth="1"/>
    <col min="6873" max="6873" width="45" style="672" customWidth="1"/>
    <col min="6874" max="6874" width="38.33203125" style="672" customWidth="1"/>
    <col min="6875" max="6875" width="49.83203125" style="672" customWidth="1"/>
    <col min="6876" max="6877" width="45" style="672" customWidth="1"/>
    <col min="6878" max="6878" width="50.33203125" style="672" customWidth="1"/>
    <col min="6879" max="6880" width="45" style="672" customWidth="1"/>
    <col min="6881" max="6881" width="50" style="672" customWidth="1"/>
    <col min="6882" max="6882" width="51" style="672" customWidth="1"/>
    <col min="6883" max="7095" width="9.33203125" style="672"/>
    <col min="7096" max="7096" width="186.33203125" style="672" customWidth="1"/>
    <col min="7097" max="7097" width="44.83203125" style="672" customWidth="1"/>
    <col min="7098" max="7098" width="38.33203125" style="672" customWidth="1"/>
    <col min="7099" max="7099" width="50" style="672" customWidth="1"/>
    <col min="7100" max="7100" width="44.33203125" style="672" customWidth="1"/>
    <col min="7101" max="7101" width="37.6640625" style="672" customWidth="1"/>
    <col min="7102" max="7102" width="50" style="672" customWidth="1"/>
    <col min="7103" max="7103" width="44.6640625" style="672" customWidth="1"/>
    <col min="7104" max="7104" width="38.1640625" style="672" customWidth="1"/>
    <col min="7105" max="7105" width="50" style="672" customWidth="1"/>
    <col min="7106" max="7106" width="45" style="672" customWidth="1"/>
    <col min="7107" max="7107" width="38.33203125" style="672" customWidth="1"/>
    <col min="7108" max="7108" width="50" style="672" customWidth="1"/>
    <col min="7109" max="7109" width="45" style="672" customWidth="1"/>
    <col min="7110" max="7110" width="38.33203125" style="672" customWidth="1"/>
    <col min="7111" max="7111" width="50" style="672" customWidth="1"/>
    <col min="7112" max="7112" width="186.33203125" style="672" customWidth="1"/>
    <col min="7113" max="7113" width="45" style="672" customWidth="1"/>
    <col min="7114" max="7114" width="38.33203125" style="672" customWidth="1"/>
    <col min="7115" max="7115" width="49.83203125" style="672" customWidth="1"/>
    <col min="7116" max="7116" width="44.83203125" style="672" customWidth="1"/>
    <col min="7117" max="7117" width="38.1640625" style="672" customWidth="1"/>
    <col min="7118" max="7118" width="49.83203125" style="672" customWidth="1"/>
    <col min="7119" max="7119" width="45" style="672" customWidth="1"/>
    <col min="7120" max="7120" width="38.33203125" style="672" customWidth="1"/>
    <col min="7121" max="7121" width="49.83203125" style="672" customWidth="1"/>
    <col min="7122" max="7122" width="44.83203125" style="672" customWidth="1"/>
    <col min="7123" max="7123" width="38.1640625" style="672" customWidth="1"/>
    <col min="7124" max="7124" width="50" style="672" customWidth="1"/>
    <col min="7125" max="7125" width="45" style="672" customWidth="1"/>
    <col min="7126" max="7126" width="38.33203125" style="672" customWidth="1"/>
    <col min="7127" max="7127" width="50" style="672" customWidth="1"/>
    <col min="7128" max="7128" width="186.33203125" style="672" customWidth="1"/>
    <col min="7129" max="7129" width="45" style="672" customWidth="1"/>
    <col min="7130" max="7130" width="38.33203125" style="672" customWidth="1"/>
    <col min="7131" max="7131" width="49.83203125" style="672" customWidth="1"/>
    <col min="7132" max="7133" width="45" style="672" customWidth="1"/>
    <col min="7134" max="7134" width="50.33203125" style="672" customWidth="1"/>
    <col min="7135" max="7136" width="45" style="672" customWidth="1"/>
    <col min="7137" max="7137" width="50" style="672" customWidth="1"/>
    <col min="7138" max="7138" width="51" style="672" customWidth="1"/>
    <col min="7139" max="7351" width="9.33203125" style="672"/>
    <col min="7352" max="7352" width="186.33203125" style="672" customWidth="1"/>
    <col min="7353" max="7353" width="44.83203125" style="672" customWidth="1"/>
    <col min="7354" max="7354" width="38.33203125" style="672" customWidth="1"/>
    <col min="7355" max="7355" width="50" style="672" customWidth="1"/>
    <col min="7356" max="7356" width="44.33203125" style="672" customWidth="1"/>
    <col min="7357" max="7357" width="37.6640625" style="672" customWidth="1"/>
    <col min="7358" max="7358" width="50" style="672" customWidth="1"/>
    <col min="7359" max="7359" width="44.6640625" style="672" customWidth="1"/>
    <col min="7360" max="7360" width="38.1640625" style="672" customWidth="1"/>
    <col min="7361" max="7361" width="50" style="672" customWidth="1"/>
    <col min="7362" max="7362" width="45" style="672" customWidth="1"/>
    <col min="7363" max="7363" width="38.33203125" style="672" customWidth="1"/>
    <col min="7364" max="7364" width="50" style="672" customWidth="1"/>
    <col min="7365" max="7365" width="45" style="672" customWidth="1"/>
    <col min="7366" max="7366" width="38.33203125" style="672" customWidth="1"/>
    <col min="7367" max="7367" width="50" style="672" customWidth="1"/>
    <col min="7368" max="7368" width="186.33203125" style="672" customWidth="1"/>
    <col min="7369" max="7369" width="45" style="672" customWidth="1"/>
    <col min="7370" max="7370" width="38.33203125" style="672" customWidth="1"/>
    <col min="7371" max="7371" width="49.83203125" style="672" customWidth="1"/>
    <col min="7372" max="7372" width="44.83203125" style="672" customWidth="1"/>
    <col min="7373" max="7373" width="38.1640625" style="672" customWidth="1"/>
    <col min="7374" max="7374" width="49.83203125" style="672" customWidth="1"/>
    <col min="7375" max="7375" width="45" style="672" customWidth="1"/>
    <col min="7376" max="7376" width="38.33203125" style="672" customWidth="1"/>
    <col min="7377" max="7377" width="49.83203125" style="672" customWidth="1"/>
    <col min="7378" max="7378" width="44.83203125" style="672" customWidth="1"/>
    <col min="7379" max="7379" width="38.1640625" style="672" customWidth="1"/>
    <col min="7380" max="7380" width="50" style="672" customWidth="1"/>
    <col min="7381" max="7381" width="45" style="672" customWidth="1"/>
    <col min="7382" max="7382" width="38.33203125" style="672" customWidth="1"/>
    <col min="7383" max="7383" width="50" style="672" customWidth="1"/>
    <col min="7384" max="7384" width="186.33203125" style="672" customWidth="1"/>
    <col min="7385" max="7385" width="45" style="672" customWidth="1"/>
    <col min="7386" max="7386" width="38.33203125" style="672" customWidth="1"/>
    <col min="7387" max="7387" width="49.83203125" style="672" customWidth="1"/>
    <col min="7388" max="7389" width="45" style="672" customWidth="1"/>
    <col min="7390" max="7390" width="50.33203125" style="672" customWidth="1"/>
    <col min="7391" max="7392" width="45" style="672" customWidth="1"/>
    <col min="7393" max="7393" width="50" style="672" customWidth="1"/>
    <col min="7394" max="7394" width="51" style="672" customWidth="1"/>
    <col min="7395" max="7607" width="9.33203125" style="672"/>
    <col min="7608" max="7608" width="186.33203125" style="672" customWidth="1"/>
    <col min="7609" max="7609" width="44.83203125" style="672" customWidth="1"/>
    <col min="7610" max="7610" width="38.33203125" style="672" customWidth="1"/>
    <col min="7611" max="7611" width="50" style="672" customWidth="1"/>
    <col min="7612" max="7612" width="44.33203125" style="672" customWidth="1"/>
    <col min="7613" max="7613" width="37.6640625" style="672" customWidth="1"/>
    <col min="7614" max="7614" width="50" style="672" customWidth="1"/>
    <col min="7615" max="7615" width="44.6640625" style="672" customWidth="1"/>
    <col min="7616" max="7616" width="38.1640625" style="672" customWidth="1"/>
    <col min="7617" max="7617" width="50" style="672" customWidth="1"/>
    <col min="7618" max="7618" width="45" style="672" customWidth="1"/>
    <col min="7619" max="7619" width="38.33203125" style="672" customWidth="1"/>
    <col min="7620" max="7620" width="50" style="672" customWidth="1"/>
    <col min="7621" max="7621" width="45" style="672" customWidth="1"/>
    <col min="7622" max="7622" width="38.33203125" style="672" customWidth="1"/>
    <col min="7623" max="7623" width="50" style="672" customWidth="1"/>
    <col min="7624" max="7624" width="186.33203125" style="672" customWidth="1"/>
    <col min="7625" max="7625" width="45" style="672" customWidth="1"/>
    <col min="7626" max="7626" width="38.33203125" style="672" customWidth="1"/>
    <col min="7627" max="7627" width="49.83203125" style="672" customWidth="1"/>
    <col min="7628" max="7628" width="44.83203125" style="672" customWidth="1"/>
    <col min="7629" max="7629" width="38.1640625" style="672" customWidth="1"/>
    <col min="7630" max="7630" width="49.83203125" style="672" customWidth="1"/>
    <col min="7631" max="7631" width="45" style="672" customWidth="1"/>
    <col min="7632" max="7632" width="38.33203125" style="672" customWidth="1"/>
    <col min="7633" max="7633" width="49.83203125" style="672" customWidth="1"/>
    <col min="7634" max="7634" width="44.83203125" style="672" customWidth="1"/>
    <col min="7635" max="7635" width="38.1640625" style="672" customWidth="1"/>
    <col min="7636" max="7636" width="50" style="672" customWidth="1"/>
    <col min="7637" max="7637" width="45" style="672" customWidth="1"/>
    <col min="7638" max="7638" width="38.33203125" style="672" customWidth="1"/>
    <col min="7639" max="7639" width="50" style="672" customWidth="1"/>
    <col min="7640" max="7640" width="186.33203125" style="672" customWidth="1"/>
    <col min="7641" max="7641" width="45" style="672" customWidth="1"/>
    <col min="7642" max="7642" width="38.33203125" style="672" customWidth="1"/>
    <col min="7643" max="7643" width="49.83203125" style="672" customWidth="1"/>
    <col min="7644" max="7645" width="45" style="672" customWidth="1"/>
    <col min="7646" max="7646" width="50.33203125" style="672" customWidth="1"/>
    <col min="7647" max="7648" width="45" style="672" customWidth="1"/>
    <col min="7649" max="7649" width="50" style="672" customWidth="1"/>
    <col min="7650" max="7650" width="51" style="672" customWidth="1"/>
    <col min="7651" max="7863" width="9.33203125" style="672"/>
    <col min="7864" max="7864" width="186.33203125" style="672" customWidth="1"/>
    <col min="7865" max="7865" width="44.83203125" style="672" customWidth="1"/>
    <col min="7866" max="7866" width="38.33203125" style="672" customWidth="1"/>
    <col min="7867" max="7867" width="50" style="672" customWidth="1"/>
    <col min="7868" max="7868" width="44.33203125" style="672" customWidth="1"/>
    <col min="7869" max="7869" width="37.6640625" style="672" customWidth="1"/>
    <col min="7870" max="7870" width="50" style="672" customWidth="1"/>
    <col min="7871" max="7871" width="44.6640625" style="672" customWidth="1"/>
    <col min="7872" max="7872" width="38.1640625" style="672" customWidth="1"/>
    <col min="7873" max="7873" width="50" style="672" customWidth="1"/>
    <col min="7874" max="7874" width="45" style="672" customWidth="1"/>
    <col min="7875" max="7875" width="38.33203125" style="672" customWidth="1"/>
    <col min="7876" max="7876" width="50" style="672" customWidth="1"/>
    <col min="7877" max="7877" width="45" style="672" customWidth="1"/>
    <col min="7878" max="7878" width="38.33203125" style="672" customWidth="1"/>
    <col min="7879" max="7879" width="50" style="672" customWidth="1"/>
    <col min="7880" max="7880" width="186.33203125" style="672" customWidth="1"/>
    <col min="7881" max="7881" width="45" style="672" customWidth="1"/>
    <col min="7882" max="7882" width="38.33203125" style="672" customWidth="1"/>
    <col min="7883" max="7883" width="49.83203125" style="672" customWidth="1"/>
    <col min="7884" max="7884" width="44.83203125" style="672" customWidth="1"/>
    <col min="7885" max="7885" width="38.1640625" style="672" customWidth="1"/>
    <col min="7886" max="7886" width="49.83203125" style="672" customWidth="1"/>
    <col min="7887" max="7887" width="45" style="672" customWidth="1"/>
    <col min="7888" max="7888" width="38.33203125" style="672" customWidth="1"/>
    <col min="7889" max="7889" width="49.83203125" style="672" customWidth="1"/>
    <col min="7890" max="7890" width="44.83203125" style="672" customWidth="1"/>
    <col min="7891" max="7891" width="38.1640625" style="672" customWidth="1"/>
    <col min="7892" max="7892" width="50" style="672" customWidth="1"/>
    <col min="7893" max="7893" width="45" style="672" customWidth="1"/>
    <col min="7894" max="7894" width="38.33203125" style="672" customWidth="1"/>
    <col min="7895" max="7895" width="50" style="672" customWidth="1"/>
    <col min="7896" max="7896" width="186.33203125" style="672" customWidth="1"/>
    <col min="7897" max="7897" width="45" style="672" customWidth="1"/>
    <col min="7898" max="7898" width="38.33203125" style="672" customWidth="1"/>
    <col min="7899" max="7899" width="49.83203125" style="672" customWidth="1"/>
    <col min="7900" max="7901" width="45" style="672" customWidth="1"/>
    <col min="7902" max="7902" width="50.33203125" style="672" customWidth="1"/>
    <col min="7903" max="7904" width="45" style="672" customWidth="1"/>
    <col min="7905" max="7905" width="50" style="672" customWidth="1"/>
    <col min="7906" max="7906" width="51" style="672" customWidth="1"/>
    <col min="7907" max="8119" width="9.33203125" style="672"/>
    <col min="8120" max="8120" width="186.33203125" style="672" customWidth="1"/>
    <col min="8121" max="8121" width="44.83203125" style="672" customWidth="1"/>
    <col min="8122" max="8122" width="38.33203125" style="672" customWidth="1"/>
    <col min="8123" max="8123" width="50" style="672" customWidth="1"/>
    <col min="8124" max="8124" width="44.33203125" style="672" customWidth="1"/>
    <col min="8125" max="8125" width="37.6640625" style="672" customWidth="1"/>
    <col min="8126" max="8126" width="50" style="672" customWidth="1"/>
    <col min="8127" max="8127" width="44.6640625" style="672" customWidth="1"/>
    <col min="8128" max="8128" width="38.1640625" style="672" customWidth="1"/>
    <col min="8129" max="8129" width="50" style="672" customWidth="1"/>
    <col min="8130" max="8130" width="45" style="672" customWidth="1"/>
    <col min="8131" max="8131" width="38.33203125" style="672" customWidth="1"/>
    <col min="8132" max="8132" width="50" style="672" customWidth="1"/>
    <col min="8133" max="8133" width="45" style="672" customWidth="1"/>
    <col min="8134" max="8134" width="38.33203125" style="672" customWidth="1"/>
    <col min="8135" max="8135" width="50" style="672" customWidth="1"/>
    <col min="8136" max="8136" width="186.33203125" style="672" customWidth="1"/>
    <col min="8137" max="8137" width="45" style="672" customWidth="1"/>
    <col min="8138" max="8138" width="38.33203125" style="672" customWidth="1"/>
    <col min="8139" max="8139" width="49.83203125" style="672" customWidth="1"/>
    <col min="8140" max="8140" width="44.83203125" style="672" customWidth="1"/>
    <col min="8141" max="8141" width="38.1640625" style="672" customWidth="1"/>
    <col min="8142" max="8142" width="49.83203125" style="672" customWidth="1"/>
    <col min="8143" max="8143" width="45" style="672" customWidth="1"/>
    <col min="8144" max="8144" width="38.33203125" style="672" customWidth="1"/>
    <col min="8145" max="8145" width="49.83203125" style="672" customWidth="1"/>
    <col min="8146" max="8146" width="44.83203125" style="672" customWidth="1"/>
    <col min="8147" max="8147" width="38.1640625" style="672" customWidth="1"/>
    <col min="8148" max="8148" width="50" style="672" customWidth="1"/>
    <col min="8149" max="8149" width="45" style="672" customWidth="1"/>
    <col min="8150" max="8150" width="38.33203125" style="672" customWidth="1"/>
    <col min="8151" max="8151" width="50" style="672" customWidth="1"/>
    <col min="8152" max="8152" width="186.33203125" style="672" customWidth="1"/>
    <col min="8153" max="8153" width="45" style="672" customWidth="1"/>
    <col min="8154" max="8154" width="38.33203125" style="672" customWidth="1"/>
    <col min="8155" max="8155" width="49.83203125" style="672" customWidth="1"/>
    <col min="8156" max="8157" width="45" style="672" customWidth="1"/>
    <col min="8158" max="8158" width="50.33203125" style="672" customWidth="1"/>
    <col min="8159" max="8160" width="45" style="672" customWidth="1"/>
    <col min="8161" max="8161" width="50" style="672" customWidth="1"/>
    <col min="8162" max="8162" width="51" style="672" customWidth="1"/>
    <col min="8163" max="8375" width="9.33203125" style="672"/>
    <col min="8376" max="8376" width="186.33203125" style="672" customWidth="1"/>
    <col min="8377" max="8377" width="44.83203125" style="672" customWidth="1"/>
    <col min="8378" max="8378" width="38.33203125" style="672" customWidth="1"/>
    <col min="8379" max="8379" width="50" style="672" customWidth="1"/>
    <col min="8380" max="8380" width="44.33203125" style="672" customWidth="1"/>
    <col min="8381" max="8381" width="37.6640625" style="672" customWidth="1"/>
    <col min="8382" max="8382" width="50" style="672" customWidth="1"/>
    <col min="8383" max="8383" width="44.6640625" style="672" customWidth="1"/>
    <col min="8384" max="8384" width="38.1640625" style="672" customWidth="1"/>
    <col min="8385" max="8385" width="50" style="672" customWidth="1"/>
    <col min="8386" max="8386" width="45" style="672" customWidth="1"/>
    <col min="8387" max="8387" width="38.33203125" style="672" customWidth="1"/>
    <col min="8388" max="8388" width="50" style="672" customWidth="1"/>
    <col min="8389" max="8389" width="45" style="672" customWidth="1"/>
    <col min="8390" max="8390" width="38.33203125" style="672" customWidth="1"/>
    <col min="8391" max="8391" width="50" style="672" customWidth="1"/>
    <col min="8392" max="8392" width="186.33203125" style="672" customWidth="1"/>
    <col min="8393" max="8393" width="45" style="672" customWidth="1"/>
    <col min="8394" max="8394" width="38.33203125" style="672" customWidth="1"/>
    <col min="8395" max="8395" width="49.83203125" style="672" customWidth="1"/>
    <col min="8396" max="8396" width="44.83203125" style="672" customWidth="1"/>
    <col min="8397" max="8397" width="38.1640625" style="672" customWidth="1"/>
    <col min="8398" max="8398" width="49.83203125" style="672" customWidth="1"/>
    <col min="8399" max="8399" width="45" style="672" customWidth="1"/>
    <col min="8400" max="8400" width="38.33203125" style="672" customWidth="1"/>
    <col min="8401" max="8401" width="49.83203125" style="672" customWidth="1"/>
    <col min="8402" max="8402" width="44.83203125" style="672" customWidth="1"/>
    <col min="8403" max="8403" width="38.1640625" style="672" customWidth="1"/>
    <col min="8404" max="8404" width="50" style="672" customWidth="1"/>
    <col min="8405" max="8405" width="45" style="672" customWidth="1"/>
    <col min="8406" max="8406" width="38.33203125" style="672" customWidth="1"/>
    <col min="8407" max="8407" width="50" style="672" customWidth="1"/>
    <col min="8408" max="8408" width="186.33203125" style="672" customWidth="1"/>
    <col min="8409" max="8409" width="45" style="672" customWidth="1"/>
    <col min="8410" max="8410" width="38.33203125" style="672" customWidth="1"/>
    <col min="8411" max="8411" width="49.83203125" style="672" customWidth="1"/>
    <col min="8412" max="8413" width="45" style="672" customWidth="1"/>
    <col min="8414" max="8414" width="50.33203125" style="672" customWidth="1"/>
    <col min="8415" max="8416" width="45" style="672" customWidth="1"/>
    <col min="8417" max="8417" width="50" style="672" customWidth="1"/>
    <col min="8418" max="8418" width="51" style="672" customWidth="1"/>
    <col min="8419" max="8631" width="9.33203125" style="672"/>
    <col min="8632" max="8632" width="186.33203125" style="672" customWidth="1"/>
    <col min="8633" max="8633" width="44.83203125" style="672" customWidth="1"/>
    <col min="8634" max="8634" width="38.33203125" style="672" customWidth="1"/>
    <col min="8635" max="8635" width="50" style="672" customWidth="1"/>
    <col min="8636" max="8636" width="44.33203125" style="672" customWidth="1"/>
    <col min="8637" max="8637" width="37.6640625" style="672" customWidth="1"/>
    <col min="8638" max="8638" width="50" style="672" customWidth="1"/>
    <col min="8639" max="8639" width="44.6640625" style="672" customWidth="1"/>
    <col min="8640" max="8640" width="38.1640625" style="672" customWidth="1"/>
    <col min="8641" max="8641" width="50" style="672" customWidth="1"/>
    <col min="8642" max="8642" width="45" style="672" customWidth="1"/>
    <col min="8643" max="8643" width="38.33203125" style="672" customWidth="1"/>
    <col min="8644" max="8644" width="50" style="672" customWidth="1"/>
    <col min="8645" max="8645" width="45" style="672" customWidth="1"/>
    <col min="8646" max="8646" width="38.33203125" style="672" customWidth="1"/>
    <col min="8647" max="8647" width="50" style="672" customWidth="1"/>
    <col min="8648" max="8648" width="186.33203125" style="672" customWidth="1"/>
    <col min="8649" max="8649" width="45" style="672" customWidth="1"/>
    <col min="8650" max="8650" width="38.33203125" style="672" customWidth="1"/>
    <col min="8651" max="8651" width="49.83203125" style="672" customWidth="1"/>
    <col min="8652" max="8652" width="44.83203125" style="672" customWidth="1"/>
    <col min="8653" max="8653" width="38.1640625" style="672" customWidth="1"/>
    <col min="8654" max="8654" width="49.83203125" style="672" customWidth="1"/>
    <col min="8655" max="8655" width="45" style="672" customWidth="1"/>
    <col min="8656" max="8656" width="38.33203125" style="672" customWidth="1"/>
    <col min="8657" max="8657" width="49.83203125" style="672" customWidth="1"/>
    <col min="8658" max="8658" width="44.83203125" style="672" customWidth="1"/>
    <col min="8659" max="8659" width="38.1640625" style="672" customWidth="1"/>
    <col min="8660" max="8660" width="50" style="672" customWidth="1"/>
    <col min="8661" max="8661" width="45" style="672" customWidth="1"/>
    <col min="8662" max="8662" width="38.33203125" style="672" customWidth="1"/>
    <col min="8663" max="8663" width="50" style="672" customWidth="1"/>
    <col min="8664" max="8664" width="186.33203125" style="672" customWidth="1"/>
    <col min="8665" max="8665" width="45" style="672" customWidth="1"/>
    <col min="8666" max="8666" width="38.33203125" style="672" customWidth="1"/>
    <col min="8667" max="8667" width="49.83203125" style="672" customWidth="1"/>
    <col min="8668" max="8669" width="45" style="672" customWidth="1"/>
    <col min="8670" max="8670" width="50.33203125" style="672" customWidth="1"/>
    <col min="8671" max="8672" width="45" style="672" customWidth="1"/>
    <col min="8673" max="8673" width="50" style="672" customWidth="1"/>
    <col min="8674" max="8674" width="51" style="672" customWidth="1"/>
    <col min="8675" max="8887" width="9.33203125" style="672"/>
    <col min="8888" max="8888" width="186.33203125" style="672" customWidth="1"/>
    <col min="8889" max="8889" width="44.83203125" style="672" customWidth="1"/>
    <col min="8890" max="8890" width="38.33203125" style="672" customWidth="1"/>
    <col min="8891" max="8891" width="50" style="672" customWidth="1"/>
    <col min="8892" max="8892" width="44.33203125" style="672" customWidth="1"/>
    <col min="8893" max="8893" width="37.6640625" style="672" customWidth="1"/>
    <col min="8894" max="8894" width="50" style="672" customWidth="1"/>
    <col min="8895" max="8895" width="44.6640625" style="672" customWidth="1"/>
    <col min="8896" max="8896" width="38.1640625" style="672" customWidth="1"/>
    <col min="8897" max="8897" width="50" style="672" customWidth="1"/>
    <col min="8898" max="8898" width="45" style="672" customWidth="1"/>
    <col min="8899" max="8899" width="38.33203125" style="672" customWidth="1"/>
    <col min="8900" max="8900" width="50" style="672" customWidth="1"/>
    <col min="8901" max="8901" width="45" style="672" customWidth="1"/>
    <col min="8902" max="8902" width="38.33203125" style="672" customWidth="1"/>
    <col min="8903" max="8903" width="50" style="672" customWidth="1"/>
    <col min="8904" max="8904" width="186.33203125" style="672" customWidth="1"/>
    <col min="8905" max="8905" width="45" style="672" customWidth="1"/>
    <col min="8906" max="8906" width="38.33203125" style="672" customWidth="1"/>
    <col min="8907" max="8907" width="49.83203125" style="672" customWidth="1"/>
    <col min="8908" max="8908" width="44.83203125" style="672" customWidth="1"/>
    <col min="8909" max="8909" width="38.1640625" style="672" customWidth="1"/>
    <col min="8910" max="8910" width="49.83203125" style="672" customWidth="1"/>
    <col min="8911" max="8911" width="45" style="672" customWidth="1"/>
    <col min="8912" max="8912" width="38.33203125" style="672" customWidth="1"/>
    <col min="8913" max="8913" width="49.83203125" style="672" customWidth="1"/>
    <col min="8914" max="8914" width="44.83203125" style="672" customWidth="1"/>
    <col min="8915" max="8915" width="38.1640625" style="672" customWidth="1"/>
    <col min="8916" max="8916" width="50" style="672" customWidth="1"/>
    <col min="8917" max="8917" width="45" style="672" customWidth="1"/>
    <col min="8918" max="8918" width="38.33203125" style="672" customWidth="1"/>
    <col min="8919" max="8919" width="50" style="672" customWidth="1"/>
    <col min="8920" max="8920" width="186.33203125" style="672" customWidth="1"/>
    <col min="8921" max="8921" width="45" style="672" customWidth="1"/>
    <col min="8922" max="8922" width="38.33203125" style="672" customWidth="1"/>
    <col min="8923" max="8923" width="49.83203125" style="672" customWidth="1"/>
    <col min="8924" max="8925" width="45" style="672" customWidth="1"/>
    <col min="8926" max="8926" width="50.33203125" style="672" customWidth="1"/>
    <col min="8927" max="8928" width="45" style="672" customWidth="1"/>
    <col min="8929" max="8929" width="50" style="672" customWidth="1"/>
    <col min="8930" max="8930" width="51" style="672" customWidth="1"/>
    <col min="8931" max="9143" width="9.33203125" style="672"/>
    <col min="9144" max="9144" width="186.33203125" style="672" customWidth="1"/>
    <col min="9145" max="9145" width="44.83203125" style="672" customWidth="1"/>
    <col min="9146" max="9146" width="38.33203125" style="672" customWidth="1"/>
    <col min="9147" max="9147" width="50" style="672" customWidth="1"/>
    <col min="9148" max="9148" width="44.33203125" style="672" customWidth="1"/>
    <col min="9149" max="9149" width="37.6640625" style="672" customWidth="1"/>
    <col min="9150" max="9150" width="50" style="672" customWidth="1"/>
    <col min="9151" max="9151" width="44.6640625" style="672" customWidth="1"/>
    <col min="9152" max="9152" width="38.1640625" style="672" customWidth="1"/>
    <col min="9153" max="9153" width="50" style="672" customWidth="1"/>
    <col min="9154" max="9154" width="45" style="672" customWidth="1"/>
    <col min="9155" max="9155" width="38.33203125" style="672" customWidth="1"/>
    <col min="9156" max="9156" width="50" style="672" customWidth="1"/>
    <col min="9157" max="9157" width="45" style="672" customWidth="1"/>
    <col min="9158" max="9158" width="38.33203125" style="672" customWidth="1"/>
    <col min="9159" max="9159" width="50" style="672" customWidth="1"/>
    <col min="9160" max="9160" width="186.33203125" style="672" customWidth="1"/>
    <col min="9161" max="9161" width="45" style="672" customWidth="1"/>
    <col min="9162" max="9162" width="38.33203125" style="672" customWidth="1"/>
    <col min="9163" max="9163" width="49.83203125" style="672" customWidth="1"/>
    <col min="9164" max="9164" width="44.83203125" style="672" customWidth="1"/>
    <col min="9165" max="9165" width="38.1640625" style="672" customWidth="1"/>
    <col min="9166" max="9166" width="49.83203125" style="672" customWidth="1"/>
    <col min="9167" max="9167" width="45" style="672" customWidth="1"/>
    <col min="9168" max="9168" width="38.33203125" style="672" customWidth="1"/>
    <col min="9169" max="9169" width="49.83203125" style="672" customWidth="1"/>
    <col min="9170" max="9170" width="44.83203125" style="672" customWidth="1"/>
    <col min="9171" max="9171" width="38.1640625" style="672" customWidth="1"/>
    <col min="9172" max="9172" width="50" style="672" customWidth="1"/>
    <col min="9173" max="9173" width="45" style="672" customWidth="1"/>
    <col min="9174" max="9174" width="38.33203125" style="672" customWidth="1"/>
    <col min="9175" max="9175" width="50" style="672" customWidth="1"/>
    <col min="9176" max="9176" width="186.33203125" style="672" customWidth="1"/>
    <col min="9177" max="9177" width="45" style="672" customWidth="1"/>
    <col min="9178" max="9178" width="38.33203125" style="672" customWidth="1"/>
    <col min="9179" max="9179" width="49.83203125" style="672" customWidth="1"/>
    <col min="9180" max="9181" width="45" style="672" customWidth="1"/>
    <col min="9182" max="9182" width="50.33203125" style="672" customWidth="1"/>
    <col min="9183" max="9184" width="45" style="672" customWidth="1"/>
    <col min="9185" max="9185" width="50" style="672" customWidth="1"/>
    <col min="9186" max="9186" width="51" style="672" customWidth="1"/>
    <col min="9187" max="9399" width="9.33203125" style="672"/>
    <col min="9400" max="9400" width="186.33203125" style="672" customWidth="1"/>
    <col min="9401" max="9401" width="44.83203125" style="672" customWidth="1"/>
    <col min="9402" max="9402" width="38.33203125" style="672" customWidth="1"/>
    <col min="9403" max="9403" width="50" style="672" customWidth="1"/>
    <col min="9404" max="9404" width="44.33203125" style="672" customWidth="1"/>
    <col min="9405" max="9405" width="37.6640625" style="672" customWidth="1"/>
    <col min="9406" max="9406" width="50" style="672" customWidth="1"/>
    <col min="9407" max="9407" width="44.6640625" style="672" customWidth="1"/>
    <col min="9408" max="9408" width="38.1640625" style="672" customWidth="1"/>
    <col min="9409" max="9409" width="50" style="672" customWidth="1"/>
    <col min="9410" max="9410" width="45" style="672" customWidth="1"/>
    <col min="9411" max="9411" width="38.33203125" style="672" customWidth="1"/>
    <col min="9412" max="9412" width="50" style="672" customWidth="1"/>
    <col min="9413" max="9413" width="45" style="672" customWidth="1"/>
    <col min="9414" max="9414" width="38.33203125" style="672" customWidth="1"/>
    <col min="9415" max="9415" width="50" style="672" customWidth="1"/>
    <col min="9416" max="9416" width="186.33203125" style="672" customWidth="1"/>
    <col min="9417" max="9417" width="45" style="672" customWidth="1"/>
    <col min="9418" max="9418" width="38.33203125" style="672" customWidth="1"/>
    <col min="9419" max="9419" width="49.83203125" style="672" customWidth="1"/>
    <col min="9420" max="9420" width="44.83203125" style="672" customWidth="1"/>
    <col min="9421" max="9421" width="38.1640625" style="672" customWidth="1"/>
    <col min="9422" max="9422" width="49.83203125" style="672" customWidth="1"/>
    <col min="9423" max="9423" width="45" style="672" customWidth="1"/>
    <col min="9424" max="9424" width="38.33203125" style="672" customWidth="1"/>
    <col min="9425" max="9425" width="49.83203125" style="672" customWidth="1"/>
    <col min="9426" max="9426" width="44.83203125" style="672" customWidth="1"/>
    <col min="9427" max="9427" width="38.1640625" style="672" customWidth="1"/>
    <col min="9428" max="9428" width="50" style="672" customWidth="1"/>
    <col min="9429" max="9429" width="45" style="672" customWidth="1"/>
    <col min="9430" max="9430" width="38.33203125" style="672" customWidth="1"/>
    <col min="9431" max="9431" width="50" style="672" customWidth="1"/>
    <col min="9432" max="9432" width="186.33203125" style="672" customWidth="1"/>
    <col min="9433" max="9433" width="45" style="672" customWidth="1"/>
    <col min="9434" max="9434" width="38.33203125" style="672" customWidth="1"/>
    <col min="9435" max="9435" width="49.83203125" style="672" customWidth="1"/>
    <col min="9436" max="9437" width="45" style="672" customWidth="1"/>
    <col min="9438" max="9438" width="50.33203125" style="672" customWidth="1"/>
    <col min="9439" max="9440" width="45" style="672" customWidth="1"/>
    <col min="9441" max="9441" width="50" style="672" customWidth="1"/>
    <col min="9442" max="9442" width="51" style="672" customWidth="1"/>
    <col min="9443" max="9655" width="9.33203125" style="672"/>
    <col min="9656" max="9656" width="186.33203125" style="672" customWidth="1"/>
    <col min="9657" max="9657" width="44.83203125" style="672" customWidth="1"/>
    <col min="9658" max="9658" width="38.33203125" style="672" customWidth="1"/>
    <col min="9659" max="9659" width="50" style="672" customWidth="1"/>
    <col min="9660" max="9660" width="44.33203125" style="672" customWidth="1"/>
    <col min="9661" max="9661" width="37.6640625" style="672" customWidth="1"/>
    <col min="9662" max="9662" width="50" style="672" customWidth="1"/>
    <col min="9663" max="9663" width="44.6640625" style="672" customWidth="1"/>
    <col min="9664" max="9664" width="38.1640625" style="672" customWidth="1"/>
    <col min="9665" max="9665" width="50" style="672" customWidth="1"/>
    <col min="9666" max="9666" width="45" style="672" customWidth="1"/>
    <col min="9667" max="9667" width="38.33203125" style="672" customWidth="1"/>
    <col min="9668" max="9668" width="50" style="672" customWidth="1"/>
    <col min="9669" max="9669" width="45" style="672" customWidth="1"/>
    <col min="9670" max="9670" width="38.33203125" style="672" customWidth="1"/>
    <col min="9671" max="9671" width="50" style="672" customWidth="1"/>
    <col min="9672" max="9672" width="186.33203125" style="672" customWidth="1"/>
    <col min="9673" max="9673" width="45" style="672" customWidth="1"/>
    <col min="9674" max="9674" width="38.33203125" style="672" customWidth="1"/>
    <col min="9675" max="9675" width="49.83203125" style="672" customWidth="1"/>
    <col min="9676" max="9676" width="44.83203125" style="672" customWidth="1"/>
    <col min="9677" max="9677" width="38.1640625" style="672" customWidth="1"/>
    <col min="9678" max="9678" width="49.83203125" style="672" customWidth="1"/>
    <col min="9679" max="9679" width="45" style="672" customWidth="1"/>
    <col min="9680" max="9680" width="38.33203125" style="672" customWidth="1"/>
    <col min="9681" max="9681" width="49.83203125" style="672" customWidth="1"/>
    <col min="9682" max="9682" width="44.83203125" style="672" customWidth="1"/>
    <col min="9683" max="9683" width="38.1640625" style="672" customWidth="1"/>
    <col min="9684" max="9684" width="50" style="672" customWidth="1"/>
    <col min="9685" max="9685" width="45" style="672" customWidth="1"/>
    <col min="9686" max="9686" width="38.33203125" style="672" customWidth="1"/>
    <col min="9687" max="9687" width="50" style="672" customWidth="1"/>
    <col min="9688" max="9688" width="186.33203125" style="672" customWidth="1"/>
    <col min="9689" max="9689" width="45" style="672" customWidth="1"/>
    <col min="9690" max="9690" width="38.33203125" style="672" customWidth="1"/>
    <col min="9691" max="9691" width="49.83203125" style="672" customWidth="1"/>
    <col min="9692" max="9693" width="45" style="672" customWidth="1"/>
    <col min="9694" max="9694" width="50.33203125" style="672" customWidth="1"/>
    <col min="9695" max="9696" width="45" style="672" customWidth="1"/>
    <col min="9697" max="9697" width="50" style="672" customWidth="1"/>
    <col min="9698" max="9698" width="51" style="672" customWidth="1"/>
    <col min="9699" max="9911" width="9.33203125" style="672"/>
    <col min="9912" max="9912" width="186.33203125" style="672" customWidth="1"/>
    <col min="9913" max="9913" width="44.83203125" style="672" customWidth="1"/>
    <col min="9914" max="9914" width="38.33203125" style="672" customWidth="1"/>
    <col min="9915" max="9915" width="50" style="672" customWidth="1"/>
    <col min="9916" max="9916" width="44.33203125" style="672" customWidth="1"/>
    <col min="9917" max="9917" width="37.6640625" style="672" customWidth="1"/>
    <col min="9918" max="9918" width="50" style="672" customWidth="1"/>
    <col min="9919" max="9919" width="44.6640625" style="672" customWidth="1"/>
    <col min="9920" max="9920" width="38.1640625" style="672" customWidth="1"/>
    <col min="9921" max="9921" width="50" style="672" customWidth="1"/>
    <col min="9922" max="9922" width="45" style="672" customWidth="1"/>
    <col min="9923" max="9923" width="38.33203125" style="672" customWidth="1"/>
    <col min="9924" max="9924" width="50" style="672" customWidth="1"/>
    <col min="9925" max="9925" width="45" style="672" customWidth="1"/>
    <col min="9926" max="9926" width="38.33203125" style="672" customWidth="1"/>
    <col min="9927" max="9927" width="50" style="672" customWidth="1"/>
    <col min="9928" max="9928" width="186.33203125" style="672" customWidth="1"/>
    <col min="9929" max="9929" width="45" style="672" customWidth="1"/>
    <col min="9930" max="9930" width="38.33203125" style="672" customWidth="1"/>
    <col min="9931" max="9931" width="49.83203125" style="672" customWidth="1"/>
    <col min="9932" max="9932" width="44.83203125" style="672" customWidth="1"/>
    <col min="9933" max="9933" width="38.1640625" style="672" customWidth="1"/>
    <col min="9934" max="9934" width="49.83203125" style="672" customWidth="1"/>
    <col min="9935" max="9935" width="45" style="672" customWidth="1"/>
    <col min="9936" max="9936" width="38.33203125" style="672" customWidth="1"/>
    <col min="9937" max="9937" width="49.83203125" style="672" customWidth="1"/>
    <col min="9938" max="9938" width="44.83203125" style="672" customWidth="1"/>
    <col min="9939" max="9939" width="38.1640625" style="672" customWidth="1"/>
    <col min="9940" max="9940" width="50" style="672" customWidth="1"/>
    <col min="9941" max="9941" width="45" style="672" customWidth="1"/>
    <col min="9942" max="9942" width="38.33203125" style="672" customWidth="1"/>
    <col min="9943" max="9943" width="50" style="672" customWidth="1"/>
    <col min="9944" max="9944" width="186.33203125" style="672" customWidth="1"/>
    <col min="9945" max="9945" width="45" style="672" customWidth="1"/>
    <col min="9946" max="9946" width="38.33203125" style="672" customWidth="1"/>
    <col min="9947" max="9947" width="49.83203125" style="672" customWidth="1"/>
    <col min="9948" max="9949" width="45" style="672" customWidth="1"/>
    <col min="9950" max="9950" width="50.33203125" style="672" customWidth="1"/>
    <col min="9951" max="9952" width="45" style="672" customWidth="1"/>
    <col min="9953" max="9953" width="50" style="672" customWidth="1"/>
    <col min="9954" max="9954" width="51" style="672" customWidth="1"/>
    <col min="9955" max="10167" width="9.33203125" style="672"/>
    <col min="10168" max="10168" width="186.33203125" style="672" customWidth="1"/>
    <col min="10169" max="10169" width="44.83203125" style="672" customWidth="1"/>
    <col min="10170" max="10170" width="38.33203125" style="672" customWidth="1"/>
    <col min="10171" max="10171" width="50" style="672" customWidth="1"/>
    <col min="10172" max="10172" width="44.33203125" style="672" customWidth="1"/>
    <col min="10173" max="10173" width="37.6640625" style="672" customWidth="1"/>
    <col min="10174" max="10174" width="50" style="672" customWidth="1"/>
    <col min="10175" max="10175" width="44.6640625" style="672" customWidth="1"/>
    <col min="10176" max="10176" width="38.1640625" style="672" customWidth="1"/>
    <col min="10177" max="10177" width="50" style="672" customWidth="1"/>
    <col min="10178" max="10178" width="45" style="672" customWidth="1"/>
    <col min="10179" max="10179" width="38.33203125" style="672" customWidth="1"/>
    <col min="10180" max="10180" width="50" style="672" customWidth="1"/>
    <col min="10181" max="10181" width="45" style="672" customWidth="1"/>
    <col min="10182" max="10182" width="38.33203125" style="672" customWidth="1"/>
    <col min="10183" max="10183" width="50" style="672" customWidth="1"/>
    <col min="10184" max="10184" width="186.33203125" style="672" customWidth="1"/>
    <col min="10185" max="10185" width="45" style="672" customWidth="1"/>
    <col min="10186" max="10186" width="38.33203125" style="672" customWidth="1"/>
    <col min="10187" max="10187" width="49.83203125" style="672" customWidth="1"/>
    <col min="10188" max="10188" width="44.83203125" style="672" customWidth="1"/>
    <col min="10189" max="10189" width="38.1640625" style="672" customWidth="1"/>
    <col min="10190" max="10190" width="49.83203125" style="672" customWidth="1"/>
    <col min="10191" max="10191" width="45" style="672" customWidth="1"/>
    <col min="10192" max="10192" width="38.33203125" style="672" customWidth="1"/>
    <col min="10193" max="10193" width="49.83203125" style="672" customWidth="1"/>
    <col min="10194" max="10194" width="44.83203125" style="672" customWidth="1"/>
    <col min="10195" max="10195" width="38.1640625" style="672" customWidth="1"/>
    <col min="10196" max="10196" width="50" style="672" customWidth="1"/>
    <col min="10197" max="10197" width="45" style="672" customWidth="1"/>
    <col min="10198" max="10198" width="38.33203125" style="672" customWidth="1"/>
    <col min="10199" max="10199" width="50" style="672" customWidth="1"/>
    <col min="10200" max="10200" width="186.33203125" style="672" customWidth="1"/>
    <col min="10201" max="10201" width="45" style="672" customWidth="1"/>
    <col min="10202" max="10202" width="38.33203125" style="672" customWidth="1"/>
    <col min="10203" max="10203" width="49.83203125" style="672" customWidth="1"/>
    <col min="10204" max="10205" width="45" style="672" customWidth="1"/>
    <col min="10206" max="10206" width="50.33203125" style="672" customWidth="1"/>
    <col min="10207" max="10208" width="45" style="672" customWidth="1"/>
    <col min="10209" max="10209" width="50" style="672" customWidth="1"/>
    <col min="10210" max="10210" width="51" style="672" customWidth="1"/>
    <col min="10211" max="10423" width="9.33203125" style="672"/>
    <col min="10424" max="10424" width="186.33203125" style="672" customWidth="1"/>
    <col min="10425" max="10425" width="44.83203125" style="672" customWidth="1"/>
    <col min="10426" max="10426" width="38.33203125" style="672" customWidth="1"/>
    <col min="10427" max="10427" width="50" style="672" customWidth="1"/>
    <col min="10428" max="10428" width="44.33203125" style="672" customWidth="1"/>
    <col min="10429" max="10429" width="37.6640625" style="672" customWidth="1"/>
    <col min="10430" max="10430" width="50" style="672" customWidth="1"/>
    <col min="10431" max="10431" width="44.6640625" style="672" customWidth="1"/>
    <col min="10432" max="10432" width="38.1640625" style="672" customWidth="1"/>
    <col min="10433" max="10433" width="50" style="672" customWidth="1"/>
    <col min="10434" max="10434" width="45" style="672" customWidth="1"/>
    <col min="10435" max="10435" width="38.33203125" style="672" customWidth="1"/>
    <col min="10436" max="10436" width="50" style="672" customWidth="1"/>
    <col min="10437" max="10437" width="45" style="672" customWidth="1"/>
    <col min="10438" max="10438" width="38.33203125" style="672" customWidth="1"/>
    <col min="10439" max="10439" width="50" style="672" customWidth="1"/>
    <col min="10440" max="10440" width="186.33203125" style="672" customWidth="1"/>
    <col min="10441" max="10441" width="45" style="672" customWidth="1"/>
    <col min="10442" max="10442" width="38.33203125" style="672" customWidth="1"/>
    <col min="10443" max="10443" width="49.83203125" style="672" customWidth="1"/>
    <col min="10444" max="10444" width="44.83203125" style="672" customWidth="1"/>
    <col min="10445" max="10445" width="38.1640625" style="672" customWidth="1"/>
    <col min="10446" max="10446" width="49.83203125" style="672" customWidth="1"/>
    <col min="10447" max="10447" width="45" style="672" customWidth="1"/>
    <col min="10448" max="10448" width="38.33203125" style="672" customWidth="1"/>
    <col min="10449" max="10449" width="49.83203125" style="672" customWidth="1"/>
    <col min="10450" max="10450" width="44.83203125" style="672" customWidth="1"/>
    <col min="10451" max="10451" width="38.1640625" style="672" customWidth="1"/>
    <col min="10452" max="10452" width="50" style="672" customWidth="1"/>
    <col min="10453" max="10453" width="45" style="672" customWidth="1"/>
    <col min="10454" max="10454" width="38.33203125" style="672" customWidth="1"/>
    <col min="10455" max="10455" width="50" style="672" customWidth="1"/>
    <col min="10456" max="10456" width="186.33203125" style="672" customWidth="1"/>
    <col min="10457" max="10457" width="45" style="672" customWidth="1"/>
    <col min="10458" max="10458" width="38.33203125" style="672" customWidth="1"/>
    <col min="10459" max="10459" width="49.83203125" style="672" customWidth="1"/>
    <col min="10460" max="10461" width="45" style="672" customWidth="1"/>
    <col min="10462" max="10462" width="50.33203125" style="672" customWidth="1"/>
    <col min="10463" max="10464" width="45" style="672" customWidth="1"/>
    <col min="10465" max="10465" width="50" style="672" customWidth="1"/>
    <col min="10466" max="10466" width="51" style="672" customWidth="1"/>
    <col min="10467" max="10679" width="9.33203125" style="672"/>
    <col min="10680" max="10680" width="186.33203125" style="672" customWidth="1"/>
    <col min="10681" max="10681" width="44.83203125" style="672" customWidth="1"/>
    <col min="10682" max="10682" width="38.33203125" style="672" customWidth="1"/>
    <col min="10683" max="10683" width="50" style="672" customWidth="1"/>
    <col min="10684" max="10684" width="44.33203125" style="672" customWidth="1"/>
    <col min="10685" max="10685" width="37.6640625" style="672" customWidth="1"/>
    <col min="10686" max="10686" width="50" style="672" customWidth="1"/>
    <col min="10687" max="10687" width="44.6640625" style="672" customWidth="1"/>
    <col min="10688" max="10688" width="38.1640625" style="672" customWidth="1"/>
    <col min="10689" max="10689" width="50" style="672" customWidth="1"/>
    <col min="10690" max="10690" width="45" style="672" customWidth="1"/>
    <col min="10691" max="10691" width="38.33203125" style="672" customWidth="1"/>
    <col min="10692" max="10692" width="50" style="672" customWidth="1"/>
    <col min="10693" max="10693" width="45" style="672" customWidth="1"/>
    <col min="10694" max="10694" width="38.33203125" style="672" customWidth="1"/>
    <col min="10695" max="10695" width="50" style="672" customWidth="1"/>
    <col min="10696" max="10696" width="186.33203125" style="672" customWidth="1"/>
    <col min="10697" max="10697" width="45" style="672" customWidth="1"/>
    <col min="10698" max="10698" width="38.33203125" style="672" customWidth="1"/>
    <col min="10699" max="10699" width="49.83203125" style="672" customWidth="1"/>
    <col min="10700" max="10700" width="44.83203125" style="672" customWidth="1"/>
    <col min="10701" max="10701" width="38.1640625" style="672" customWidth="1"/>
    <col min="10702" max="10702" width="49.83203125" style="672" customWidth="1"/>
    <col min="10703" max="10703" width="45" style="672" customWidth="1"/>
    <col min="10704" max="10704" width="38.33203125" style="672" customWidth="1"/>
    <col min="10705" max="10705" width="49.83203125" style="672" customWidth="1"/>
    <col min="10706" max="10706" width="44.83203125" style="672" customWidth="1"/>
    <col min="10707" max="10707" width="38.1640625" style="672" customWidth="1"/>
    <col min="10708" max="10708" width="50" style="672" customWidth="1"/>
    <col min="10709" max="10709" width="45" style="672" customWidth="1"/>
    <col min="10710" max="10710" width="38.33203125" style="672" customWidth="1"/>
    <col min="10711" max="10711" width="50" style="672" customWidth="1"/>
    <col min="10712" max="10712" width="186.33203125" style="672" customWidth="1"/>
    <col min="10713" max="10713" width="45" style="672" customWidth="1"/>
    <col min="10714" max="10714" width="38.33203125" style="672" customWidth="1"/>
    <col min="10715" max="10715" width="49.83203125" style="672" customWidth="1"/>
    <col min="10716" max="10717" width="45" style="672" customWidth="1"/>
    <col min="10718" max="10718" width="50.33203125" style="672" customWidth="1"/>
    <col min="10719" max="10720" width="45" style="672" customWidth="1"/>
    <col min="10721" max="10721" width="50" style="672" customWidth="1"/>
    <col min="10722" max="10722" width="51" style="672" customWidth="1"/>
    <col min="10723" max="10935" width="9.33203125" style="672"/>
    <col min="10936" max="10936" width="186.33203125" style="672" customWidth="1"/>
    <col min="10937" max="10937" width="44.83203125" style="672" customWidth="1"/>
    <col min="10938" max="10938" width="38.33203125" style="672" customWidth="1"/>
    <col min="10939" max="10939" width="50" style="672" customWidth="1"/>
    <col min="10940" max="10940" width="44.33203125" style="672" customWidth="1"/>
    <col min="10941" max="10941" width="37.6640625" style="672" customWidth="1"/>
    <col min="10942" max="10942" width="50" style="672" customWidth="1"/>
    <col min="10943" max="10943" width="44.6640625" style="672" customWidth="1"/>
    <col min="10944" max="10944" width="38.1640625" style="672" customWidth="1"/>
    <col min="10945" max="10945" width="50" style="672" customWidth="1"/>
    <col min="10946" max="10946" width="45" style="672" customWidth="1"/>
    <col min="10947" max="10947" width="38.33203125" style="672" customWidth="1"/>
    <col min="10948" max="10948" width="50" style="672" customWidth="1"/>
    <col min="10949" max="10949" width="45" style="672" customWidth="1"/>
    <col min="10950" max="10950" width="38.33203125" style="672" customWidth="1"/>
    <col min="10951" max="10951" width="50" style="672" customWidth="1"/>
    <col min="10952" max="10952" width="186.33203125" style="672" customWidth="1"/>
    <col min="10953" max="10953" width="45" style="672" customWidth="1"/>
    <col min="10954" max="10954" width="38.33203125" style="672" customWidth="1"/>
    <col min="10955" max="10955" width="49.83203125" style="672" customWidth="1"/>
    <col min="10956" max="10956" width="44.83203125" style="672" customWidth="1"/>
    <col min="10957" max="10957" width="38.1640625" style="672" customWidth="1"/>
    <col min="10958" max="10958" width="49.83203125" style="672" customWidth="1"/>
    <col min="10959" max="10959" width="45" style="672" customWidth="1"/>
    <col min="10960" max="10960" width="38.33203125" style="672" customWidth="1"/>
    <col min="10961" max="10961" width="49.83203125" style="672" customWidth="1"/>
    <col min="10962" max="10962" width="44.83203125" style="672" customWidth="1"/>
    <col min="10963" max="10963" width="38.1640625" style="672" customWidth="1"/>
    <col min="10964" max="10964" width="50" style="672" customWidth="1"/>
    <col min="10965" max="10965" width="45" style="672" customWidth="1"/>
    <col min="10966" max="10966" width="38.33203125" style="672" customWidth="1"/>
    <col min="10967" max="10967" width="50" style="672" customWidth="1"/>
    <col min="10968" max="10968" width="186.33203125" style="672" customWidth="1"/>
    <col min="10969" max="10969" width="45" style="672" customWidth="1"/>
    <col min="10970" max="10970" width="38.33203125" style="672" customWidth="1"/>
    <col min="10971" max="10971" width="49.83203125" style="672" customWidth="1"/>
    <col min="10972" max="10973" width="45" style="672" customWidth="1"/>
    <col min="10974" max="10974" width="50.33203125" style="672" customWidth="1"/>
    <col min="10975" max="10976" width="45" style="672" customWidth="1"/>
    <col min="10977" max="10977" width="50" style="672" customWidth="1"/>
    <col min="10978" max="10978" width="51" style="672" customWidth="1"/>
    <col min="10979" max="11191" width="9.33203125" style="672"/>
    <col min="11192" max="11192" width="186.33203125" style="672" customWidth="1"/>
    <col min="11193" max="11193" width="44.83203125" style="672" customWidth="1"/>
    <col min="11194" max="11194" width="38.33203125" style="672" customWidth="1"/>
    <col min="11195" max="11195" width="50" style="672" customWidth="1"/>
    <col min="11196" max="11196" width="44.33203125" style="672" customWidth="1"/>
    <col min="11197" max="11197" width="37.6640625" style="672" customWidth="1"/>
    <col min="11198" max="11198" width="50" style="672" customWidth="1"/>
    <col min="11199" max="11199" width="44.6640625" style="672" customWidth="1"/>
    <col min="11200" max="11200" width="38.1640625" style="672" customWidth="1"/>
    <col min="11201" max="11201" width="50" style="672" customWidth="1"/>
    <col min="11202" max="11202" width="45" style="672" customWidth="1"/>
    <col min="11203" max="11203" width="38.33203125" style="672" customWidth="1"/>
    <col min="11204" max="11204" width="50" style="672" customWidth="1"/>
    <col min="11205" max="11205" width="45" style="672" customWidth="1"/>
    <col min="11206" max="11206" width="38.33203125" style="672" customWidth="1"/>
    <col min="11207" max="11207" width="50" style="672" customWidth="1"/>
    <col min="11208" max="11208" width="186.33203125" style="672" customWidth="1"/>
    <col min="11209" max="11209" width="45" style="672" customWidth="1"/>
    <col min="11210" max="11210" width="38.33203125" style="672" customWidth="1"/>
    <col min="11211" max="11211" width="49.83203125" style="672" customWidth="1"/>
    <col min="11212" max="11212" width="44.83203125" style="672" customWidth="1"/>
    <col min="11213" max="11213" width="38.1640625" style="672" customWidth="1"/>
    <col min="11214" max="11214" width="49.83203125" style="672" customWidth="1"/>
    <col min="11215" max="11215" width="45" style="672" customWidth="1"/>
    <col min="11216" max="11216" width="38.33203125" style="672" customWidth="1"/>
    <col min="11217" max="11217" width="49.83203125" style="672" customWidth="1"/>
    <col min="11218" max="11218" width="44.83203125" style="672" customWidth="1"/>
    <col min="11219" max="11219" width="38.1640625" style="672" customWidth="1"/>
    <col min="11220" max="11220" width="50" style="672" customWidth="1"/>
    <col min="11221" max="11221" width="45" style="672" customWidth="1"/>
    <col min="11222" max="11222" width="38.33203125" style="672" customWidth="1"/>
    <col min="11223" max="11223" width="50" style="672" customWidth="1"/>
    <col min="11224" max="11224" width="186.33203125" style="672" customWidth="1"/>
    <col min="11225" max="11225" width="45" style="672" customWidth="1"/>
    <col min="11226" max="11226" width="38.33203125" style="672" customWidth="1"/>
    <col min="11227" max="11227" width="49.83203125" style="672" customWidth="1"/>
    <col min="11228" max="11229" width="45" style="672" customWidth="1"/>
    <col min="11230" max="11230" width="50.33203125" style="672" customWidth="1"/>
    <col min="11231" max="11232" width="45" style="672" customWidth="1"/>
    <col min="11233" max="11233" width="50" style="672" customWidth="1"/>
    <col min="11234" max="11234" width="51" style="672" customWidth="1"/>
    <col min="11235" max="11447" width="9.33203125" style="672"/>
    <col min="11448" max="11448" width="186.33203125" style="672" customWidth="1"/>
    <col min="11449" max="11449" width="44.83203125" style="672" customWidth="1"/>
    <col min="11450" max="11450" width="38.33203125" style="672" customWidth="1"/>
    <col min="11451" max="11451" width="50" style="672" customWidth="1"/>
    <col min="11452" max="11452" width="44.33203125" style="672" customWidth="1"/>
    <col min="11453" max="11453" width="37.6640625" style="672" customWidth="1"/>
    <col min="11454" max="11454" width="50" style="672" customWidth="1"/>
    <col min="11455" max="11455" width="44.6640625" style="672" customWidth="1"/>
    <col min="11456" max="11456" width="38.1640625" style="672" customWidth="1"/>
    <col min="11457" max="11457" width="50" style="672" customWidth="1"/>
    <col min="11458" max="11458" width="45" style="672" customWidth="1"/>
    <col min="11459" max="11459" width="38.33203125" style="672" customWidth="1"/>
    <col min="11460" max="11460" width="50" style="672" customWidth="1"/>
    <col min="11461" max="11461" width="45" style="672" customWidth="1"/>
    <col min="11462" max="11462" width="38.33203125" style="672" customWidth="1"/>
    <col min="11463" max="11463" width="50" style="672" customWidth="1"/>
    <col min="11464" max="11464" width="186.33203125" style="672" customWidth="1"/>
    <col min="11465" max="11465" width="45" style="672" customWidth="1"/>
    <col min="11466" max="11466" width="38.33203125" style="672" customWidth="1"/>
    <col min="11467" max="11467" width="49.83203125" style="672" customWidth="1"/>
    <col min="11468" max="11468" width="44.83203125" style="672" customWidth="1"/>
    <col min="11469" max="11469" width="38.1640625" style="672" customWidth="1"/>
    <col min="11470" max="11470" width="49.83203125" style="672" customWidth="1"/>
    <col min="11471" max="11471" width="45" style="672" customWidth="1"/>
    <col min="11472" max="11472" width="38.33203125" style="672" customWidth="1"/>
    <col min="11473" max="11473" width="49.83203125" style="672" customWidth="1"/>
    <col min="11474" max="11474" width="44.83203125" style="672" customWidth="1"/>
    <col min="11475" max="11475" width="38.1640625" style="672" customWidth="1"/>
    <col min="11476" max="11476" width="50" style="672" customWidth="1"/>
    <col min="11477" max="11477" width="45" style="672" customWidth="1"/>
    <col min="11478" max="11478" width="38.33203125" style="672" customWidth="1"/>
    <col min="11479" max="11479" width="50" style="672" customWidth="1"/>
    <col min="11480" max="11480" width="186.33203125" style="672" customWidth="1"/>
    <col min="11481" max="11481" width="45" style="672" customWidth="1"/>
    <col min="11482" max="11482" width="38.33203125" style="672" customWidth="1"/>
    <col min="11483" max="11483" width="49.83203125" style="672" customWidth="1"/>
    <col min="11484" max="11485" width="45" style="672" customWidth="1"/>
    <col min="11486" max="11486" width="50.33203125" style="672" customWidth="1"/>
    <col min="11487" max="11488" width="45" style="672" customWidth="1"/>
    <col min="11489" max="11489" width="50" style="672" customWidth="1"/>
    <col min="11490" max="11490" width="51" style="672" customWidth="1"/>
    <col min="11491" max="11703" width="9.33203125" style="672"/>
    <col min="11704" max="11704" width="186.33203125" style="672" customWidth="1"/>
    <col min="11705" max="11705" width="44.83203125" style="672" customWidth="1"/>
    <col min="11706" max="11706" width="38.33203125" style="672" customWidth="1"/>
    <col min="11707" max="11707" width="50" style="672" customWidth="1"/>
    <col min="11708" max="11708" width="44.33203125" style="672" customWidth="1"/>
    <col min="11709" max="11709" width="37.6640625" style="672" customWidth="1"/>
    <col min="11710" max="11710" width="50" style="672" customWidth="1"/>
    <col min="11711" max="11711" width="44.6640625" style="672" customWidth="1"/>
    <col min="11712" max="11712" width="38.1640625" style="672" customWidth="1"/>
    <col min="11713" max="11713" width="50" style="672" customWidth="1"/>
    <col min="11714" max="11714" width="45" style="672" customWidth="1"/>
    <col min="11715" max="11715" width="38.33203125" style="672" customWidth="1"/>
    <col min="11716" max="11716" width="50" style="672" customWidth="1"/>
    <col min="11717" max="11717" width="45" style="672" customWidth="1"/>
    <col min="11718" max="11718" width="38.33203125" style="672" customWidth="1"/>
    <col min="11719" max="11719" width="50" style="672" customWidth="1"/>
    <col min="11720" max="11720" width="186.33203125" style="672" customWidth="1"/>
    <col min="11721" max="11721" width="45" style="672" customWidth="1"/>
    <col min="11722" max="11722" width="38.33203125" style="672" customWidth="1"/>
    <col min="11723" max="11723" width="49.83203125" style="672" customWidth="1"/>
    <col min="11724" max="11724" width="44.83203125" style="672" customWidth="1"/>
    <col min="11725" max="11725" width="38.1640625" style="672" customWidth="1"/>
    <col min="11726" max="11726" width="49.83203125" style="672" customWidth="1"/>
    <col min="11727" max="11727" width="45" style="672" customWidth="1"/>
    <col min="11728" max="11728" width="38.33203125" style="672" customWidth="1"/>
    <col min="11729" max="11729" width="49.83203125" style="672" customWidth="1"/>
    <col min="11730" max="11730" width="44.83203125" style="672" customWidth="1"/>
    <col min="11731" max="11731" width="38.1640625" style="672" customWidth="1"/>
    <col min="11732" max="11732" width="50" style="672" customWidth="1"/>
    <col min="11733" max="11733" width="45" style="672" customWidth="1"/>
    <col min="11734" max="11734" width="38.33203125" style="672" customWidth="1"/>
    <col min="11735" max="11735" width="50" style="672" customWidth="1"/>
    <col min="11736" max="11736" width="186.33203125" style="672" customWidth="1"/>
    <col min="11737" max="11737" width="45" style="672" customWidth="1"/>
    <col min="11738" max="11738" width="38.33203125" style="672" customWidth="1"/>
    <col min="11739" max="11739" width="49.83203125" style="672" customWidth="1"/>
    <col min="11740" max="11741" width="45" style="672" customWidth="1"/>
    <col min="11742" max="11742" width="50.33203125" style="672" customWidth="1"/>
    <col min="11743" max="11744" width="45" style="672" customWidth="1"/>
    <col min="11745" max="11745" width="50" style="672" customWidth="1"/>
    <col min="11746" max="11746" width="51" style="672" customWidth="1"/>
    <col min="11747" max="11959" width="9.33203125" style="672"/>
    <col min="11960" max="11960" width="186.33203125" style="672" customWidth="1"/>
    <col min="11961" max="11961" width="44.83203125" style="672" customWidth="1"/>
    <col min="11962" max="11962" width="38.33203125" style="672" customWidth="1"/>
    <col min="11963" max="11963" width="50" style="672" customWidth="1"/>
    <col min="11964" max="11964" width="44.33203125" style="672" customWidth="1"/>
    <col min="11965" max="11965" width="37.6640625" style="672" customWidth="1"/>
    <col min="11966" max="11966" width="50" style="672" customWidth="1"/>
    <col min="11967" max="11967" width="44.6640625" style="672" customWidth="1"/>
    <col min="11968" max="11968" width="38.1640625" style="672" customWidth="1"/>
    <col min="11969" max="11969" width="50" style="672" customWidth="1"/>
    <col min="11970" max="11970" width="45" style="672" customWidth="1"/>
    <col min="11971" max="11971" width="38.33203125" style="672" customWidth="1"/>
    <col min="11972" max="11972" width="50" style="672" customWidth="1"/>
    <col min="11973" max="11973" width="45" style="672" customWidth="1"/>
    <col min="11974" max="11974" width="38.33203125" style="672" customWidth="1"/>
    <col min="11975" max="11975" width="50" style="672" customWidth="1"/>
    <col min="11976" max="11976" width="186.33203125" style="672" customWidth="1"/>
    <col min="11977" max="11977" width="45" style="672" customWidth="1"/>
    <col min="11978" max="11978" width="38.33203125" style="672" customWidth="1"/>
    <col min="11979" max="11979" width="49.83203125" style="672" customWidth="1"/>
    <col min="11980" max="11980" width="44.83203125" style="672" customWidth="1"/>
    <col min="11981" max="11981" width="38.1640625" style="672" customWidth="1"/>
    <col min="11982" max="11982" width="49.83203125" style="672" customWidth="1"/>
    <col min="11983" max="11983" width="45" style="672" customWidth="1"/>
    <col min="11984" max="11984" width="38.33203125" style="672" customWidth="1"/>
    <col min="11985" max="11985" width="49.83203125" style="672" customWidth="1"/>
    <col min="11986" max="11986" width="44.83203125" style="672" customWidth="1"/>
    <col min="11987" max="11987" width="38.1640625" style="672" customWidth="1"/>
    <col min="11988" max="11988" width="50" style="672" customWidth="1"/>
    <col min="11989" max="11989" width="45" style="672" customWidth="1"/>
    <col min="11990" max="11990" width="38.33203125" style="672" customWidth="1"/>
    <col min="11991" max="11991" width="50" style="672" customWidth="1"/>
    <col min="11992" max="11992" width="186.33203125" style="672" customWidth="1"/>
    <col min="11993" max="11993" width="45" style="672" customWidth="1"/>
    <col min="11994" max="11994" width="38.33203125" style="672" customWidth="1"/>
    <col min="11995" max="11995" width="49.83203125" style="672" customWidth="1"/>
    <col min="11996" max="11997" width="45" style="672" customWidth="1"/>
    <col min="11998" max="11998" width="50.33203125" style="672" customWidth="1"/>
    <col min="11999" max="12000" width="45" style="672" customWidth="1"/>
    <col min="12001" max="12001" width="50" style="672" customWidth="1"/>
    <col min="12002" max="12002" width="51" style="672" customWidth="1"/>
    <col min="12003" max="12215" width="9.33203125" style="672"/>
    <col min="12216" max="12216" width="186.33203125" style="672" customWidth="1"/>
    <col min="12217" max="12217" width="44.83203125" style="672" customWidth="1"/>
    <col min="12218" max="12218" width="38.33203125" style="672" customWidth="1"/>
    <col min="12219" max="12219" width="50" style="672" customWidth="1"/>
    <col min="12220" max="12220" width="44.33203125" style="672" customWidth="1"/>
    <col min="12221" max="12221" width="37.6640625" style="672" customWidth="1"/>
    <col min="12222" max="12222" width="50" style="672" customWidth="1"/>
    <col min="12223" max="12223" width="44.6640625" style="672" customWidth="1"/>
    <col min="12224" max="12224" width="38.1640625" style="672" customWidth="1"/>
    <col min="12225" max="12225" width="50" style="672" customWidth="1"/>
    <col min="12226" max="12226" width="45" style="672" customWidth="1"/>
    <col min="12227" max="12227" width="38.33203125" style="672" customWidth="1"/>
    <col min="12228" max="12228" width="50" style="672" customWidth="1"/>
    <col min="12229" max="12229" width="45" style="672" customWidth="1"/>
    <col min="12230" max="12230" width="38.33203125" style="672" customWidth="1"/>
    <col min="12231" max="12231" width="50" style="672" customWidth="1"/>
    <col min="12232" max="12232" width="186.33203125" style="672" customWidth="1"/>
    <col min="12233" max="12233" width="45" style="672" customWidth="1"/>
    <col min="12234" max="12234" width="38.33203125" style="672" customWidth="1"/>
    <col min="12235" max="12235" width="49.83203125" style="672" customWidth="1"/>
    <col min="12236" max="12236" width="44.83203125" style="672" customWidth="1"/>
    <col min="12237" max="12237" width="38.1640625" style="672" customWidth="1"/>
    <col min="12238" max="12238" width="49.83203125" style="672" customWidth="1"/>
    <col min="12239" max="12239" width="45" style="672" customWidth="1"/>
    <col min="12240" max="12240" width="38.33203125" style="672" customWidth="1"/>
    <col min="12241" max="12241" width="49.83203125" style="672" customWidth="1"/>
    <col min="12242" max="12242" width="44.83203125" style="672" customWidth="1"/>
    <col min="12243" max="12243" width="38.1640625" style="672" customWidth="1"/>
    <col min="12244" max="12244" width="50" style="672" customWidth="1"/>
    <col min="12245" max="12245" width="45" style="672" customWidth="1"/>
    <col min="12246" max="12246" width="38.33203125" style="672" customWidth="1"/>
    <col min="12247" max="12247" width="50" style="672" customWidth="1"/>
    <col min="12248" max="12248" width="186.33203125" style="672" customWidth="1"/>
    <col min="12249" max="12249" width="45" style="672" customWidth="1"/>
    <col min="12250" max="12250" width="38.33203125" style="672" customWidth="1"/>
    <col min="12251" max="12251" width="49.83203125" style="672" customWidth="1"/>
    <col min="12252" max="12253" width="45" style="672" customWidth="1"/>
    <col min="12254" max="12254" width="50.33203125" style="672" customWidth="1"/>
    <col min="12255" max="12256" width="45" style="672" customWidth="1"/>
    <col min="12257" max="12257" width="50" style="672" customWidth="1"/>
    <col min="12258" max="12258" width="51" style="672" customWidth="1"/>
    <col min="12259" max="12471" width="9.33203125" style="672"/>
    <col min="12472" max="12472" width="186.33203125" style="672" customWidth="1"/>
    <col min="12473" max="12473" width="44.83203125" style="672" customWidth="1"/>
    <col min="12474" max="12474" width="38.33203125" style="672" customWidth="1"/>
    <col min="12475" max="12475" width="50" style="672" customWidth="1"/>
    <col min="12476" max="12476" width="44.33203125" style="672" customWidth="1"/>
    <col min="12477" max="12477" width="37.6640625" style="672" customWidth="1"/>
    <col min="12478" max="12478" width="50" style="672" customWidth="1"/>
    <col min="12479" max="12479" width="44.6640625" style="672" customWidth="1"/>
    <col min="12480" max="12480" width="38.1640625" style="672" customWidth="1"/>
    <col min="12481" max="12481" width="50" style="672" customWidth="1"/>
    <col min="12482" max="12482" width="45" style="672" customWidth="1"/>
    <col min="12483" max="12483" width="38.33203125" style="672" customWidth="1"/>
    <col min="12484" max="12484" width="50" style="672" customWidth="1"/>
    <col min="12485" max="12485" width="45" style="672" customWidth="1"/>
    <col min="12486" max="12486" width="38.33203125" style="672" customWidth="1"/>
    <col min="12487" max="12487" width="50" style="672" customWidth="1"/>
    <col min="12488" max="12488" width="186.33203125" style="672" customWidth="1"/>
    <col min="12489" max="12489" width="45" style="672" customWidth="1"/>
    <col min="12490" max="12490" width="38.33203125" style="672" customWidth="1"/>
    <col min="12491" max="12491" width="49.83203125" style="672" customWidth="1"/>
    <col min="12492" max="12492" width="44.83203125" style="672" customWidth="1"/>
    <col min="12493" max="12493" width="38.1640625" style="672" customWidth="1"/>
    <col min="12494" max="12494" width="49.83203125" style="672" customWidth="1"/>
    <col min="12495" max="12495" width="45" style="672" customWidth="1"/>
    <col min="12496" max="12496" width="38.33203125" style="672" customWidth="1"/>
    <col min="12497" max="12497" width="49.83203125" style="672" customWidth="1"/>
    <col min="12498" max="12498" width="44.83203125" style="672" customWidth="1"/>
    <col min="12499" max="12499" width="38.1640625" style="672" customWidth="1"/>
    <col min="12500" max="12500" width="50" style="672" customWidth="1"/>
    <col min="12501" max="12501" width="45" style="672" customWidth="1"/>
    <col min="12502" max="12502" width="38.33203125" style="672" customWidth="1"/>
    <col min="12503" max="12503" width="50" style="672" customWidth="1"/>
    <col min="12504" max="12504" width="186.33203125" style="672" customWidth="1"/>
    <col min="12505" max="12505" width="45" style="672" customWidth="1"/>
    <col min="12506" max="12506" width="38.33203125" style="672" customWidth="1"/>
    <col min="12507" max="12507" width="49.83203125" style="672" customWidth="1"/>
    <col min="12508" max="12509" width="45" style="672" customWidth="1"/>
    <col min="12510" max="12510" width="50.33203125" style="672" customWidth="1"/>
    <col min="12511" max="12512" width="45" style="672" customWidth="1"/>
    <col min="12513" max="12513" width="50" style="672" customWidth="1"/>
    <col min="12514" max="12514" width="51" style="672" customWidth="1"/>
    <col min="12515" max="12727" width="9.33203125" style="672"/>
    <col min="12728" max="12728" width="186.33203125" style="672" customWidth="1"/>
    <col min="12729" max="12729" width="44.83203125" style="672" customWidth="1"/>
    <col min="12730" max="12730" width="38.33203125" style="672" customWidth="1"/>
    <col min="12731" max="12731" width="50" style="672" customWidth="1"/>
    <col min="12732" max="12732" width="44.33203125" style="672" customWidth="1"/>
    <col min="12733" max="12733" width="37.6640625" style="672" customWidth="1"/>
    <col min="12734" max="12734" width="50" style="672" customWidth="1"/>
    <col min="12735" max="12735" width="44.6640625" style="672" customWidth="1"/>
    <col min="12736" max="12736" width="38.1640625" style="672" customWidth="1"/>
    <col min="12737" max="12737" width="50" style="672" customWidth="1"/>
    <col min="12738" max="12738" width="45" style="672" customWidth="1"/>
    <col min="12739" max="12739" width="38.33203125" style="672" customWidth="1"/>
    <col min="12740" max="12740" width="50" style="672" customWidth="1"/>
    <col min="12741" max="12741" width="45" style="672" customWidth="1"/>
    <col min="12742" max="12742" width="38.33203125" style="672" customWidth="1"/>
    <col min="12743" max="12743" width="50" style="672" customWidth="1"/>
    <col min="12744" max="12744" width="186.33203125" style="672" customWidth="1"/>
    <col min="12745" max="12745" width="45" style="672" customWidth="1"/>
    <col min="12746" max="12746" width="38.33203125" style="672" customWidth="1"/>
    <col min="12747" max="12747" width="49.83203125" style="672" customWidth="1"/>
    <col min="12748" max="12748" width="44.83203125" style="672" customWidth="1"/>
    <col min="12749" max="12749" width="38.1640625" style="672" customWidth="1"/>
    <col min="12750" max="12750" width="49.83203125" style="672" customWidth="1"/>
    <col min="12751" max="12751" width="45" style="672" customWidth="1"/>
    <col min="12752" max="12752" width="38.33203125" style="672" customWidth="1"/>
    <col min="12753" max="12753" width="49.83203125" style="672" customWidth="1"/>
    <col min="12754" max="12754" width="44.83203125" style="672" customWidth="1"/>
    <col min="12755" max="12755" width="38.1640625" style="672" customWidth="1"/>
    <col min="12756" max="12756" width="50" style="672" customWidth="1"/>
    <col min="12757" max="12757" width="45" style="672" customWidth="1"/>
    <col min="12758" max="12758" width="38.33203125" style="672" customWidth="1"/>
    <col min="12759" max="12759" width="50" style="672" customWidth="1"/>
    <col min="12760" max="12760" width="186.33203125" style="672" customWidth="1"/>
    <col min="12761" max="12761" width="45" style="672" customWidth="1"/>
    <col min="12762" max="12762" width="38.33203125" style="672" customWidth="1"/>
    <col min="12763" max="12763" width="49.83203125" style="672" customWidth="1"/>
    <col min="12764" max="12765" width="45" style="672" customWidth="1"/>
    <col min="12766" max="12766" width="50.33203125" style="672" customWidth="1"/>
    <col min="12767" max="12768" width="45" style="672" customWidth="1"/>
    <col min="12769" max="12769" width="50" style="672" customWidth="1"/>
    <col min="12770" max="12770" width="51" style="672" customWidth="1"/>
    <col min="12771" max="12983" width="9.33203125" style="672"/>
    <col min="12984" max="12984" width="186.33203125" style="672" customWidth="1"/>
    <col min="12985" max="12985" width="44.83203125" style="672" customWidth="1"/>
    <col min="12986" max="12986" width="38.33203125" style="672" customWidth="1"/>
    <col min="12987" max="12987" width="50" style="672" customWidth="1"/>
    <col min="12988" max="12988" width="44.33203125" style="672" customWidth="1"/>
    <col min="12989" max="12989" width="37.6640625" style="672" customWidth="1"/>
    <col min="12990" max="12990" width="50" style="672" customWidth="1"/>
    <col min="12991" max="12991" width="44.6640625" style="672" customWidth="1"/>
    <col min="12992" max="12992" width="38.1640625" style="672" customWidth="1"/>
    <col min="12993" max="12993" width="50" style="672" customWidth="1"/>
    <col min="12994" max="12994" width="45" style="672" customWidth="1"/>
    <col min="12995" max="12995" width="38.33203125" style="672" customWidth="1"/>
    <col min="12996" max="12996" width="50" style="672" customWidth="1"/>
    <col min="12997" max="12997" width="45" style="672" customWidth="1"/>
    <col min="12998" max="12998" width="38.33203125" style="672" customWidth="1"/>
    <col min="12999" max="12999" width="50" style="672" customWidth="1"/>
    <col min="13000" max="13000" width="186.33203125" style="672" customWidth="1"/>
    <col min="13001" max="13001" width="45" style="672" customWidth="1"/>
    <col min="13002" max="13002" width="38.33203125" style="672" customWidth="1"/>
    <col min="13003" max="13003" width="49.83203125" style="672" customWidth="1"/>
    <col min="13004" max="13004" width="44.83203125" style="672" customWidth="1"/>
    <col min="13005" max="13005" width="38.1640625" style="672" customWidth="1"/>
    <col min="13006" max="13006" width="49.83203125" style="672" customWidth="1"/>
    <col min="13007" max="13007" width="45" style="672" customWidth="1"/>
    <col min="13008" max="13008" width="38.33203125" style="672" customWidth="1"/>
    <col min="13009" max="13009" width="49.83203125" style="672" customWidth="1"/>
    <col min="13010" max="13010" width="44.83203125" style="672" customWidth="1"/>
    <col min="13011" max="13011" width="38.1640625" style="672" customWidth="1"/>
    <col min="13012" max="13012" width="50" style="672" customWidth="1"/>
    <col min="13013" max="13013" width="45" style="672" customWidth="1"/>
    <col min="13014" max="13014" width="38.33203125" style="672" customWidth="1"/>
    <col min="13015" max="13015" width="50" style="672" customWidth="1"/>
    <col min="13016" max="13016" width="186.33203125" style="672" customWidth="1"/>
    <col min="13017" max="13017" width="45" style="672" customWidth="1"/>
    <col min="13018" max="13018" width="38.33203125" style="672" customWidth="1"/>
    <col min="13019" max="13019" width="49.83203125" style="672" customWidth="1"/>
    <col min="13020" max="13021" width="45" style="672" customWidth="1"/>
    <col min="13022" max="13022" width="50.33203125" style="672" customWidth="1"/>
    <col min="13023" max="13024" width="45" style="672" customWidth="1"/>
    <col min="13025" max="13025" width="50" style="672" customWidth="1"/>
    <col min="13026" max="13026" width="51" style="672" customWidth="1"/>
    <col min="13027" max="13239" width="9.33203125" style="672"/>
    <col min="13240" max="13240" width="186.33203125" style="672" customWidth="1"/>
    <col min="13241" max="13241" width="44.83203125" style="672" customWidth="1"/>
    <col min="13242" max="13242" width="38.33203125" style="672" customWidth="1"/>
    <col min="13243" max="13243" width="50" style="672" customWidth="1"/>
    <col min="13244" max="13244" width="44.33203125" style="672" customWidth="1"/>
    <col min="13245" max="13245" width="37.6640625" style="672" customWidth="1"/>
    <col min="13246" max="13246" width="50" style="672" customWidth="1"/>
    <col min="13247" max="13247" width="44.6640625" style="672" customWidth="1"/>
    <col min="13248" max="13248" width="38.1640625" style="672" customWidth="1"/>
    <col min="13249" max="13249" width="50" style="672" customWidth="1"/>
    <col min="13250" max="13250" width="45" style="672" customWidth="1"/>
    <col min="13251" max="13251" width="38.33203125" style="672" customWidth="1"/>
    <col min="13252" max="13252" width="50" style="672" customWidth="1"/>
    <col min="13253" max="13253" width="45" style="672" customWidth="1"/>
    <col min="13254" max="13254" width="38.33203125" style="672" customWidth="1"/>
    <col min="13255" max="13255" width="50" style="672" customWidth="1"/>
    <col min="13256" max="13256" width="186.33203125" style="672" customWidth="1"/>
    <col min="13257" max="13257" width="45" style="672" customWidth="1"/>
    <col min="13258" max="13258" width="38.33203125" style="672" customWidth="1"/>
    <col min="13259" max="13259" width="49.83203125" style="672" customWidth="1"/>
    <col min="13260" max="13260" width="44.83203125" style="672" customWidth="1"/>
    <col min="13261" max="13261" width="38.1640625" style="672" customWidth="1"/>
    <col min="13262" max="13262" width="49.83203125" style="672" customWidth="1"/>
    <col min="13263" max="13263" width="45" style="672" customWidth="1"/>
    <col min="13264" max="13264" width="38.33203125" style="672" customWidth="1"/>
    <col min="13265" max="13265" width="49.83203125" style="672" customWidth="1"/>
    <col min="13266" max="13266" width="44.83203125" style="672" customWidth="1"/>
    <col min="13267" max="13267" width="38.1640625" style="672" customWidth="1"/>
    <col min="13268" max="13268" width="50" style="672" customWidth="1"/>
    <col min="13269" max="13269" width="45" style="672" customWidth="1"/>
    <col min="13270" max="13270" width="38.33203125" style="672" customWidth="1"/>
    <col min="13271" max="13271" width="50" style="672" customWidth="1"/>
    <col min="13272" max="13272" width="186.33203125" style="672" customWidth="1"/>
    <col min="13273" max="13273" width="45" style="672" customWidth="1"/>
    <col min="13274" max="13274" width="38.33203125" style="672" customWidth="1"/>
    <col min="13275" max="13275" width="49.83203125" style="672" customWidth="1"/>
    <col min="13276" max="13277" width="45" style="672" customWidth="1"/>
    <col min="13278" max="13278" width="50.33203125" style="672" customWidth="1"/>
    <col min="13279" max="13280" width="45" style="672" customWidth="1"/>
    <col min="13281" max="13281" width="50" style="672" customWidth="1"/>
    <col min="13282" max="13282" width="51" style="672" customWidth="1"/>
    <col min="13283" max="13495" width="9.33203125" style="672"/>
    <col min="13496" max="13496" width="186.33203125" style="672" customWidth="1"/>
    <col min="13497" max="13497" width="44.83203125" style="672" customWidth="1"/>
    <col min="13498" max="13498" width="38.33203125" style="672" customWidth="1"/>
    <col min="13499" max="13499" width="50" style="672" customWidth="1"/>
    <col min="13500" max="13500" width="44.33203125" style="672" customWidth="1"/>
    <col min="13501" max="13501" width="37.6640625" style="672" customWidth="1"/>
    <col min="13502" max="13502" width="50" style="672" customWidth="1"/>
    <col min="13503" max="13503" width="44.6640625" style="672" customWidth="1"/>
    <col min="13504" max="13504" width="38.1640625" style="672" customWidth="1"/>
    <col min="13505" max="13505" width="50" style="672" customWidth="1"/>
    <col min="13506" max="13506" width="45" style="672" customWidth="1"/>
    <col min="13507" max="13507" width="38.33203125" style="672" customWidth="1"/>
    <col min="13508" max="13508" width="50" style="672" customWidth="1"/>
    <col min="13509" max="13509" width="45" style="672" customWidth="1"/>
    <col min="13510" max="13510" width="38.33203125" style="672" customWidth="1"/>
    <col min="13511" max="13511" width="50" style="672" customWidth="1"/>
    <col min="13512" max="13512" width="186.33203125" style="672" customWidth="1"/>
    <col min="13513" max="13513" width="45" style="672" customWidth="1"/>
    <col min="13514" max="13514" width="38.33203125" style="672" customWidth="1"/>
    <col min="13515" max="13515" width="49.83203125" style="672" customWidth="1"/>
    <col min="13516" max="13516" width="44.83203125" style="672" customWidth="1"/>
    <col min="13517" max="13517" width="38.1640625" style="672" customWidth="1"/>
    <col min="13518" max="13518" width="49.83203125" style="672" customWidth="1"/>
    <col min="13519" max="13519" width="45" style="672" customWidth="1"/>
    <col min="13520" max="13520" width="38.33203125" style="672" customWidth="1"/>
    <col min="13521" max="13521" width="49.83203125" style="672" customWidth="1"/>
    <col min="13522" max="13522" width="44.83203125" style="672" customWidth="1"/>
    <col min="13523" max="13523" width="38.1640625" style="672" customWidth="1"/>
    <col min="13524" max="13524" width="50" style="672" customWidth="1"/>
    <col min="13525" max="13525" width="45" style="672" customWidth="1"/>
    <col min="13526" max="13526" width="38.33203125" style="672" customWidth="1"/>
    <col min="13527" max="13527" width="50" style="672" customWidth="1"/>
    <col min="13528" max="13528" width="186.33203125" style="672" customWidth="1"/>
    <col min="13529" max="13529" width="45" style="672" customWidth="1"/>
    <col min="13530" max="13530" width="38.33203125" style="672" customWidth="1"/>
    <col min="13531" max="13531" width="49.83203125" style="672" customWidth="1"/>
    <col min="13532" max="13533" width="45" style="672" customWidth="1"/>
    <col min="13534" max="13534" width="50.33203125" style="672" customWidth="1"/>
    <col min="13535" max="13536" width="45" style="672" customWidth="1"/>
    <col min="13537" max="13537" width="50" style="672" customWidth="1"/>
    <col min="13538" max="13538" width="51" style="672" customWidth="1"/>
    <col min="13539" max="13751" width="9.33203125" style="672"/>
    <col min="13752" max="13752" width="186.33203125" style="672" customWidth="1"/>
    <col min="13753" max="13753" width="44.83203125" style="672" customWidth="1"/>
    <col min="13754" max="13754" width="38.33203125" style="672" customWidth="1"/>
    <col min="13755" max="13755" width="50" style="672" customWidth="1"/>
    <col min="13756" max="13756" width="44.33203125" style="672" customWidth="1"/>
    <col min="13757" max="13757" width="37.6640625" style="672" customWidth="1"/>
    <col min="13758" max="13758" width="50" style="672" customWidth="1"/>
    <col min="13759" max="13759" width="44.6640625" style="672" customWidth="1"/>
    <col min="13760" max="13760" width="38.1640625" style="672" customWidth="1"/>
    <col min="13761" max="13761" width="50" style="672" customWidth="1"/>
    <col min="13762" max="13762" width="45" style="672" customWidth="1"/>
    <col min="13763" max="13763" width="38.33203125" style="672" customWidth="1"/>
    <col min="13764" max="13764" width="50" style="672" customWidth="1"/>
    <col min="13765" max="13765" width="45" style="672" customWidth="1"/>
    <col min="13766" max="13766" width="38.33203125" style="672" customWidth="1"/>
    <col min="13767" max="13767" width="50" style="672" customWidth="1"/>
    <col min="13768" max="13768" width="186.33203125" style="672" customWidth="1"/>
    <col min="13769" max="13769" width="45" style="672" customWidth="1"/>
    <col min="13770" max="13770" width="38.33203125" style="672" customWidth="1"/>
    <col min="13771" max="13771" width="49.83203125" style="672" customWidth="1"/>
    <col min="13772" max="13772" width="44.83203125" style="672" customWidth="1"/>
    <col min="13773" max="13773" width="38.1640625" style="672" customWidth="1"/>
    <col min="13774" max="13774" width="49.83203125" style="672" customWidth="1"/>
    <col min="13775" max="13775" width="45" style="672" customWidth="1"/>
    <col min="13776" max="13776" width="38.33203125" style="672" customWidth="1"/>
    <col min="13777" max="13777" width="49.83203125" style="672" customWidth="1"/>
    <col min="13778" max="13778" width="44.83203125" style="672" customWidth="1"/>
    <col min="13779" max="13779" width="38.1640625" style="672" customWidth="1"/>
    <col min="13780" max="13780" width="50" style="672" customWidth="1"/>
    <col min="13781" max="13781" width="45" style="672" customWidth="1"/>
    <col min="13782" max="13782" width="38.33203125" style="672" customWidth="1"/>
    <col min="13783" max="13783" width="50" style="672" customWidth="1"/>
    <col min="13784" max="13784" width="186.33203125" style="672" customWidth="1"/>
    <col min="13785" max="13785" width="45" style="672" customWidth="1"/>
    <col min="13786" max="13786" width="38.33203125" style="672" customWidth="1"/>
    <col min="13787" max="13787" width="49.83203125" style="672" customWidth="1"/>
    <col min="13788" max="13789" width="45" style="672" customWidth="1"/>
    <col min="13790" max="13790" width="50.33203125" style="672" customWidth="1"/>
    <col min="13791" max="13792" width="45" style="672" customWidth="1"/>
    <col min="13793" max="13793" width="50" style="672" customWidth="1"/>
    <col min="13794" max="13794" width="51" style="672" customWidth="1"/>
    <col min="13795" max="14007" width="9.33203125" style="672"/>
    <col min="14008" max="14008" width="186.33203125" style="672" customWidth="1"/>
    <col min="14009" max="14009" width="44.83203125" style="672" customWidth="1"/>
    <col min="14010" max="14010" width="38.33203125" style="672" customWidth="1"/>
    <col min="14011" max="14011" width="50" style="672" customWidth="1"/>
    <col min="14012" max="14012" width="44.33203125" style="672" customWidth="1"/>
    <col min="14013" max="14013" width="37.6640625" style="672" customWidth="1"/>
    <col min="14014" max="14014" width="50" style="672" customWidth="1"/>
    <col min="14015" max="14015" width="44.6640625" style="672" customWidth="1"/>
    <col min="14016" max="14016" width="38.1640625" style="672" customWidth="1"/>
    <col min="14017" max="14017" width="50" style="672" customWidth="1"/>
    <col min="14018" max="14018" width="45" style="672" customWidth="1"/>
    <col min="14019" max="14019" width="38.33203125" style="672" customWidth="1"/>
    <col min="14020" max="14020" width="50" style="672" customWidth="1"/>
    <col min="14021" max="14021" width="45" style="672" customWidth="1"/>
    <col min="14022" max="14022" width="38.33203125" style="672" customWidth="1"/>
    <col min="14023" max="14023" width="50" style="672" customWidth="1"/>
    <col min="14024" max="14024" width="186.33203125" style="672" customWidth="1"/>
    <col min="14025" max="14025" width="45" style="672" customWidth="1"/>
    <col min="14026" max="14026" width="38.33203125" style="672" customWidth="1"/>
    <col min="14027" max="14027" width="49.83203125" style="672" customWidth="1"/>
    <col min="14028" max="14028" width="44.83203125" style="672" customWidth="1"/>
    <col min="14029" max="14029" width="38.1640625" style="672" customWidth="1"/>
    <col min="14030" max="14030" width="49.83203125" style="672" customWidth="1"/>
    <col min="14031" max="14031" width="45" style="672" customWidth="1"/>
    <col min="14032" max="14032" width="38.33203125" style="672" customWidth="1"/>
    <col min="14033" max="14033" width="49.83203125" style="672" customWidth="1"/>
    <col min="14034" max="14034" width="44.83203125" style="672" customWidth="1"/>
    <col min="14035" max="14035" width="38.1640625" style="672" customWidth="1"/>
    <col min="14036" max="14036" width="50" style="672" customWidth="1"/>
    <col min="14037" max="14037" width="45" style="672" customWidth="1"/>
    <col min="14038" max="14038" width="38.33203125" style="672" customWidth="1"/>
    <col min="14039" max="14039" width="50" style="672" customWidth="1"/>
    <col min="14040" max="14040" width="186.33203125" style="672" customWidth="1"/>
    <col min="14041" max="14041" width="45" style="672" customWidth="1"/>
    <col min="14042" max="14042" width="38.33203125" style="672" customWidth="1"/>
    <col min="14043" max="14043" width="49.83203125" style="672" customWidth="1"/>
    <col min="14044" max="14045" width="45" style="672" customWidth="1"/>
    <col min="14046" max="14046" width="50.33203125" style="672" customWidth="1"/>
    <col min="14047" max="14048" width="45" style="672" customWidth="1"/>
    <col min="14049" max="14049" width="50" style="672" customWidth="1"/>
    <col min="14050" max="14050" width="51" style="672" customWidth="1"/>
    <col min="14051" max="14263" width="9.33203125" style="672"/>
    <col min="14264" max="14264" width="186.33203125" style="672" customWidth="1"/>
    <col min="14265" max="14265" width="44.83203125" style="672" customWidth="1"/>
    <col min="14266" max="14266" width="38.33203125" style="672" customWidth="1"/>
    <col min="14267" max="14267" width="50" style="672" customWidth="1"/>
    <col min="14268" max="14268" width="44.33203125" style="672" customWidth="1"/>
    <col min="14269" max="14269" width="37.6640625" style="672" customWidth="1"/>
    <col min="14270" max="14270" width="50" style="672" customWidth="1"/>
    <col min="14271" max="14271" width="44.6640625" style="672" customWidth="1"/>
    <col min="14272" max="14272" width="38.1640625" style="672" customWidth="1"/>
    <col min="14273" max="14273" width="50" style="672" customWidth="1"/>
    <col min="14274" max="14274" width="45" style="672" customWidth="1"/>
    <col min="14275" max="14275" width="38.33203125" style="672" customWidth="1"/>
    <col min="14276" max="14276" width="50" style="672" customWidth="1"/>
    <col min="14277" max="14277" width="45" style="672" customWidth="1"/>
    <col min="14278" max="14278" width="38.33203125" style="672" customWidth="1"/>
    <col min="14279" max="14279" width="50" style="672" customWidth="1"/>
    <col min="14280" max="14280" width="186.33203125" style="672" customWidth="1"/>
    <col min="14281" max="14281" width="45" style="672" customWidth="1"/>
    <col min="14282" max="14282" width="38.33203125" style="672" customWidth="1"/>
    <col min="14283" max="14283" width="49.83203125" style="672" customWidth="1"/>
    <col min="14284" max="14284" width="44.83203125" style="672" customWidth="1"/>
    <col min="14285" max="14285" width="38.1640625" style="672" customWidth="1"/>
    <col min="14286" max="14286" width="49.83203125" style="672" customWidth="1"/>
    <col min="14287" max="14287" width="45" style="672" customWidth="1"/>
    <col min="14288" max="14288" width="38.33203125" style="672" customWidth="1"/>
    <col min="14289" max="14289" width="49.83203125" style="672" customWidth="1"/>
    <col min="14290" max="14290" width="44.83203125" style="672" customWidth="1"/>
    <col min="14291" max="14291" width="38.1640625" style="672" customWidth="1"/>
    <col min="14292" max="14292" width="50" style="672" customWidth="1"/>
    <col min="14293" max="14293" width="45" style="672" customWidth="1"/>
    <col min="14294" max="14294" width="38.33203125" style="672" customWidth="1"/>
    <col min="14295" max="14295" width="50" style="672" customWidth="1"/>
    <col min="14296" max="14296" width="186.33203125" style="672" customWidth="1"/>
    <col min="14297" max="14297" width="45" style="672" customWidth="1"/>
    <col min="14298" max="14298" width="38.33203125" style="672" customWidth="1"/>
    <col min="14299" max="14299" width="49.83203125" style="672" customWidth="1"/>
    <col min="14300" max="14301" width="45" style="672" customWidth="1"/>
    <col min="14302" max="14302" width="50.33203125" style="672" customWidth="1"/>
    <col min="14303" max="14304" width="45" style="672" customWidth="1"/>
    <col min="14305" max="14305" width="50" style="672" customWidth="1"/>
    <col min="14306" max="14306" width="51" style="672" customWidth="1"/>
    <col min="14307" max="14519" width="9.33203125" style="672"/>
    <col min="14520" max="14520" width="186.33203125" style="672" customWidth="1"/>
    <col min="14521" max="14521" width="44.83203125" style="672" customWidth="1"/>
    <col min="14522" max="14522" width="38.33203125" style="672" customWidth="1"/>
    <col min="14523" max="14523" width="50" style="672" customWidth="1"/>
    <col min="14524" max="14524" width="44.33203125" style="672" customWidth="1"/>
    <col min="14525" max="14525" width="37.6640625" style="672" customWidth="1"/>
    <col min="14526" max="14526" width="50" style="672" customWidth="1"/>
    <col min="14527" max="14527" width="44.6640625" style="672" customWidth="1"/>
    <col min="14528" max="14528" width="38.1640625" style="672" customWidth="1"/>
    <col min="14529" max="14529" width="50" style="672" customWidth="1"/>
    <col min="14530" max="14530" width="45" style="672" customWidth="1"/>
    <col min="14531" max="14531" width="38.33203125" style="672" customWidth="1"/>
    <col min="14532" max="14532" width="50" style="672" customWidth="1"/>
    <col min="14533" max="14533" width="45" style="672" customWidth="1"/>
    <col min="14534" max="14534" width="38.33203125" style="672" customWidth="1"/>
    <col min="14535" max="14535" width="50" style="672" customWidth="1"/>
    <col min="14536" max="14536" width="186.33203125" style="672" customWidth="1"/>
    <col min="14537" max="14537" width="45" style="672" customWidth="1"/>
    <col min="14538" max="14538" width="38.33203125" style="672" customWidth="1"/>
    <col min="14539" max="14539" width="49.83203125" style="672" customWidth="1"/>
    <col min="14540" max="14540" width="44.83203125" style="672" customWidth="1"/>
    <col min="14541" max="14541" width="38.1640625" style="672" customWidth="1"/>
    <col min="14542" max="14542" width="49.83203125" style="672" customWidth="1"/>
    <col min="14543" max="14543" width="45" style="672" customWidth="1"/>
    <col min="14544" max="14544" width="38.33203125" style="672" customWidth="1"/>
    <col min="14545" max="14545" width="49.83203125" style="672" customWidth="1"/>
    <col min="14546" max="14546" width="44.83203125" style="672" customWidth="1"/>
    <col min="14547" max="14547" width="38.1640625" style="672" customWidth="1"/>
    <col min="14548" max="14548" width="50" style="672" customWidth="1"/>
    <col min="14549" max="14549" width="45" style="672" customWidth="1"/>
    <col min="14550" max="14550" width="38.33203125" style="672" customWidth="1"/>
    <col min="14551" max="14551" width="50" style="672" customWidth="1"/>
    <col min="14552" max="14552" width="186.33203125" style="672" customWidth="1"/>
    <col min="14553" max="14553" width="45" style="672" customWidth="1"/>
    <col min="14554" max="14554" width="38.33203125" style="672" customWidth="1"/>
    <col min="14555" max="14555" width="49.83203125" style="672" customWidth="1"/>
    <col min="14556" max="14557" width="45" style="672" customWidth="1"/>
    <col min="14558" max="14558" width="50.33203125" style="672" customWidth="1"/>
    <col min="14559" max="14560" width="45" style="672" customWidth="1"/>
    <col min="14561" max="14561" width="50" style="672" customWidth="1"/>
    <col min="14562" max="14562" width="51" style="672" customWidth="1"/>
    <col min="14563" max="14775" width="9.33203125" style="672"/>
    <col min="14776" max="14776" width="186.33203125" style="672" customWidth="1"/>
    <col min="14777" max="14777" width="44.83203125" style="672" customWidth="1"/>
    <col min="14778" max="14778" width="38.33203125" style="672" customWidth="1"/>
    <col min="14779" max="14779" width="50" style="672" customWidth="1"/>
    <col min="14780" max="14780" width="44.33203125" style="672" customWidth="1"/>
    <col min="14781" max="14781" width="37.6640625" style="672" customWidth="1"/>
    <col min="14782" max="14782" width="50" style="672" customWidth="1"/>
    <col min="14783" max="14783" width="44.6640625" style="672" customWidth="1"/>
    <col min="14784" max="14784" width="38.1640625" style="672" customWidth="1"/>
    <col min="14785" max="14785" width="50" style="672" customWidth="1"/>
    <col min="14786" max="14786" width="45" style="672" customWidth="1"/>
    <col min="14787" max="14787" width="38.33203125" style="672" customWidth="1"/>
    <col min="14788" max="14788" width="50" style="672" customWidth="1"/>
    <col min="14789" max="14789" width="45" style="672" customWidth="1"/>
    <col min="14790" max="14790" width="38.33203125" style="672" customWidth="1"/>
    <col min="14791" max="14791" width="50" style="672" customWidth="1"/>
    <col min="14792" max="14792" width="186.33203125" style="672" customWidth="1"/>
    <col min="14793" max="14793" width="45" style="672" customWidth="1"/>
    <col min="14794" max="14794" width="38.33203125" style="672" customWidth="1"/>
    <col min="14795" max="14795" width="49.83203125" style="672" customWidth="1"/>
    <col min="14796" max="14796" width="44.83203125" style="672" customWidth="1"/>
    <col min="14797" max="14797" width="38.1640625" style="672" customWidth="1"/>
    <col min="14798" max="14798" width="49.83203125" style="672" customWidth="1"/>
    <col min="14799" max="14799" width="45" style="672" customWidth="1"/>
    <col min="14800" max="14800" width="38.33203125" style="672" customWidth="1"/>
    <col min="14801" max="14801" width="49.83203125" style="672" customWidth="1"/>
    <col min="14802" max="14802" width="44.83203125" style="672" customWidth="1"/>
    <col min="14803" max="14803" width="38.1640625" style="672" customWidth="1"/>
    <col min="14804" max="14804" width="50" style="672" customWidth="1"/>
    <col min="14805" max="14805" width="45" style="672" customWidth="1"/>
    <col min="14806" max="14806" width="38.33203125" style="672" customWidth="1"/>
    <col min="14807" max="14807" width="50" style="672" customWidth="1"/>
    <col min="14808" max="14808" width="186.33203125" style="672" customWidth="1"/>
    <col min="14809" max="14809" width="45" style="672" customWidth="1"/>
    <col min="14810" max="14810" width="38.33203125" style="672" customWidth="1"/>
    <col min="14811" max="14811" width="49.83203125" style="672" customWidth="1"/>
    <col min="14812" max="14813" width="45" style="672" customWidth="1"/>
    <col min="14814" max="14814" width="50.33203125" style="672" customWidth="1"/>
    <col min="14815" max="14816" width="45" style="672" customWidth="1"/>
    <col min="14817" max="14817" width="50" style="672" customWidth="1"/>
    <col min="14818" max="14818" width="51" style="672" customWidth="1"/>
    <col min="14819" max="15031" width="9.33203125" style="672"/>
    <col min="15032" max="15032" width="186.33203125" style="672" customWidth="1"/>
    <col min="15033" max="15033" width="44.83203125" style="672" customWidth="1"/>
    <col min="15034" max="15034" width="38.33203125" style="672" customWidth="1"/>
    <col min="15035" max="15035" width="50" style="672" customWidth="1"/>
    <col min="15036" max="15036" width="44.33203125" style="672" customWidth="1"/>
    <col min="15037" max="15037" width="37.6640625" style="672" customWidth="1"/>
    <col min="15038" max="15038" width="50" style="672" customWidth="1"/>
    <col min="15039" max="15039" width="44.6640625" style="672" customWidth="1"/>
    <col min="15040" max="15040" width="38.1640625" style="672" customWidth="1"/>
    <col min="15041" max="15041" width="50" style="672" customWidth="1"/>
    <col min="15042" max="15042" width="45" style="672" customWidth="1"/>
    <col min="15043" max="15043" width="38.33203125" style="672" customWidth="1"/>
    <col min="15044" max="15044" width="50" style="672" customWidth="1"/>
    <col min="15045" max="15045" width="45" style="672" customWidth="1"/>
    <col min="15046" max="15046" width="38.33203125" style="672" customWidth="1"/>
    <col min="15047" max="15047" width="50" style="672" customWidth="1"/>
    <col min="15048" max="15048" width="186.33203125" style="672" customWidth="1"/>
    <col min="15049" max="15049" width="45" style="672" customWidth="1"/>
    <col min="15050" max="15050" width="38.33203125" style="672" customWidth="1"/>
    <col min="15051" max="15051" width="49.83203125" style="672" customWidth="1"/>
    <col min="15052" max="15052" width="44.83203125" style="672" customWidth="1"/>
    <col min="15053" max="15053" width="38.1640625" style="672" customWidth="1"/>
    <col min="15054" max="15054" width="49.83203125" style="672" customWidth="1"/>
    <col min="15055" max="15055" width="45" style="672" customWidth="1"/>
    <col min="15056" max="15056" width="38.33203125" style="672" customWidth="1"/>
    <col min="15057" max="15057" width="49.83203125" style="672" customWidth="1"/>
    <col min="15058" max="15058" width="44.83203125" style="672" customWidth="1"/>
    <col min="15059" max="15059" width="38.1640625" style="672" customWidth="1"/>
    <col min="15060" max="15060" width="50" style="672" customWidth="1"/>
    <col min="15061" max="15061" width="45" style="672" customWidth="1"/>
    <col min="15062" max="15062" width="38.33203125" style="672" customWidth="1"/>
    <col min="15063" max="15063" width="50" style="672" customWidth="1"/>
    <col min="15064" max="15064" width="186.33203125" style="672" customWidth="1"/>
    <col min="15065" max="15065" width="45" style="672" customWidth="1"/>
    <col min="15066" max="15066" width="38.33203125" style="672" customWidth="1"/>
    <col min="15067" max="15067" width="49.83203125" style="672" customWidth="1"/>
    <col min="15068" max="15069" width="45" style="672" customWidth="1"/>
    <col min="15070" max="15070" width="50.33203125" style="672" customWidth="1"/>
    <col min="15071" max="15072" width="45" style="672" customWidth="1"/>
    <col min="15073" max="15073" width="50" style="672" customWidth="1"/>
    <col min="15074" max="15074" width="51" style="672" customWidth="1"/>
    <col min="15075" max="15287" width="9.33203125" style="672"/>
    <col min="15288" max="15288" width="186.33203125" style="672" customWidth="1"/>
    <col min="15289" max="15289" width="44.83203125" style="672" customWidth="1"/>
    <col min="15290" max="15290" width="38.33203125" style="672" customWidth="1"/>
    <col min="15291" max="15291" width="50" style="672" customWidth="1"/>
    <col min="15292" max="15292" width="44.33203125" style="672" customWidth="1"/>
    <col min="15293" max="15293" width="37.6640625" style="672" customWidth="1"/>
    <col min="15294" max="15294" width="50" style="672" customWidth="1"/>
    <col min="15295" max="15295" width="44.6640625" style="672" customWidth="1"/>
    <col min="15296" max="15296" width="38.1640625" style="672" customWidth="1"/>
    <col min="15297" max="15297" width="50" style="672" customWidth="1"/>
    <col min="15298" max="15298" width="45" style="672" customWidth="1"/>
    <col min="15299" max="15299" width="38.33203125" style="672" customWidth="1"/>
    <col min="15300" max="15300" width="50" style="672" customWidth="1"/>
    <col min="15301" max="15301" width="45" style="672" customWidth="1"/>
    <col min="15302" max="15302" width="38.33203125" style="672" customWidth="1"/>
    <col min="15303" max="15303" width="50" style="672" customWidth="1"/>
    <col min="15304" max="15304" width="186.33203125" style="672" customWidth="1"/>
    <col min="15305" max="15305" width="45" style="672" customWidth="1"/>
    <col min="15306" max="15306" width="38.33203125" style="672" customWidth="1"/>
    <col min="15307" max="15307" width="49.83203125" style="672" customWidth="1"/>
    <col min="15308" max="15308" width="44.83203125" style="672" customWidth="1"/>
    <col min="15309" max="15309" width="38.1640625" style="672" customWidth="1"/>
    <col min="15310" max="15310" width="49.83203125" style="672" customWidth="1"/>
    <col min="15311" max="15311" width="45" style="672" customWidth="1"/>
    <col min="15312" max="15312" width="38.33203125" style="672" customWidth="1"/>
    <col min="15313" max="15313" width="49.83203125" style="672" customWidth="1"/>
    <col min="15314" max="15314" width="44.83203125" style="672" customWidth="1"/>
    <col min="15315" max="15315" width="38.1640625" style="672" customWidth="1"/>
    <col min="15316" max="15316" width="50" style="672" customWidth="1"/>
    <col min="15317" max="15317" width="45" style="672" customWidth="1"/>
    <col min="15318" max="15318" width="38.33203125" style="672" customWidth="1"/>
    <col min="15319" max="15319" width="50" style="672" customWidth="1"/>
    <col min="15320" max="15320" width="186.33203125" style="672" customWidth="1"/>
    <col min="15321" max="15321" width="45" style="672" customWidth="1"/>
    <col min="15322" max="15322" width="38.33203125" style="672" customWidth="1"/>
    <col min="15323" max="15323" width="49.83203125" style="672" customWidth="1"/>
    <col min="15324" max="15325" width="45" style="672" customWidth="1"/>
    <col min="15326" max="15326" width="50.33203125" style="672" customWidth="1"/>
    <col min="15327" max="15328" width="45" style="672" customWidth="1"/>
    <col min="15329" max="15329" width="50" style="672" customWidth="1"/>
    <col min="15330" max="15330" width="51" style="672" customWidth="1"/>
    <col min="15331" max="15543" width="9.33203125" style="672"/>
    <col min="15544" max="15544" width="186.33203125" style="672" customWidth="1"/>
    <col min="15545" max="15545" width="44.83203125" style="672" customWidth="1"/>
    <col min="15546" max="15546" width="38.33203125" style="672" customWidth="1"/>
    <col min="15547" max="15547" width="50" style="672" customWidth="1"/>
    <col min="15548" max="15548" width="44.33203125" style="672" customWidth="1"/>
    <col min="15549" max="15549" width="37.6640625" style="672" customWidth="1"/>
    <col min="15550" max="15550" width="50" style="672" customWidth="1"/>
    <col min="15551" max="15551" width="44.6640625" style="672" customWidth="1"/>
    <col min="15552" max="15552" width="38.1640625" style="672" customWidth="1"/>
    <col min="15553" max="15553" width="50" style="672" customWidth="1"/>
    <col min="15554" max="15554" width="45" style="672" customWidth="1"/>
    <col min="15555" max="15555" width="38.33203125" style="672" customWidth="1"/>
    <col min="15556" max="15556" width="50" style="672" customWidth="1"/>
    <col min="15557" max="15557" width="45" style="672" customWidth="1"/>
    <col min="15558" max="15558" width="38.33203125" style="672" customWidth="1"/>
    <col min="15559" max="15559" width="50" style="672" customWidth="1"/>
    <col min="15560" max="15560" width="186.33203125" style="672" customWidth="1"/>
    <col min="15561" max="15561" width="45" style="672" customWidth="1"/>
    <col min="15562" max="15562" width="38.33203125" style="672" customWidth="1"/>
    <col min="15563" max="15563" width="49.83203125" style="672" customWidth="1"/>
    <col min="15564" max="15564" width="44.83203125" style="672" customWidth="1"/>
    <col min="15565" max="15565" width="38.1640625" style="672" customWidth="1"/>
    <col min="15566" max="15566" width="49.83203125" style="672" customWidth="1"/>
    <col min="15567" max="15567" width="45" style="672" customWidth="1"/>
    <col min="15568" max="15568" width="38.33203125" style="672" customWidth="1"/>
    <col min="15569" max="15569" width="49.83203125" style="672" customWidth="1"/>
    <col min="15570" max="15570" width="44.83203125" style="672" customWidth="1"/>
    <col min="15571" max="15571" width="38.1640625" style="672" customWidth="1"/>
    <col min="15572" max="15572" width="50" style="672" customWidth="1"/>
    <col min="15573" max="15573" width="45" style="672" customWidth="1"/>
    <col min="15574" max="15574" width="38.33203125" style="672" customWidth="1"/>
    <col min="15575" max="15575" width="50" style="672" customWidth="1"/>
    <col min="15576" max="15576" width="186.33203125" style="672" customWidth="1"/>
    <col min="15577" max="15577" width="45" style="672" customWidth="1"/>
    <col min="15578" max="15578" width="38.33203125" style="672" customWidth="1"/>
    <col min="15579" max="15579" width="49.83203125" style="672" customWidth="1"/>
    <col min="15580" max="15581" width="45" style="672" customWidth="1"/>
    <col min="15582" max="15582" width="50.33203125" style="672" customWidth="1"/>
    <col min="15583" max="15584" width="45" style="672" customWidth="1"/>
    <col min="15585" max="15585" width="50" style="672" customWidth="1"/>
    <col min="15586" max="15586" width="51" style="672" customWidth="1"/>
    <col min="15587" max="15799" width="9.33203125" style="672"/>
    <col min="15800" max="15800" width="186.33203125" style="672" customWidth="1"/>
    <col min="15801" max="15801" width="44.83203125" style="672" customWidth="1"/>
    <col min="15802" max="15802" width="38.33203125" style="672" customWidth="1"/>
    <col min="15803" max="15803" width="50" style="672" customWidth="1"/>
    <col min="15804" max="15804" width="44.33203125" style="672" customWidth="1"/>
    <col min="15805" max="15805" width="37.6640625" style="672" customWidth="1"/>
    <col min="15806" max="15806" width="50" style="672" customWidth="1"/>
    <col min="15807" max="15807" width="44.6640625" style="672" customWidth="1"/>
    <col min="15808" max="15808" width="38.1640625" style="672" customWidth="1"/>
    <col min="15809" max="15809" width="50" style="672" customWidth="1"/>
    <col min="15810" max="15810" width="45" style="672" customWidth="1"/>
    <col min="15811" max="15811" width="38.33203125" style="672" customWidth="1"/>
    <col min="15812" max="15812" width="50" style="672" customWidth="1"/>
    <col min="15813" max="15813" width="45" style="672" customWidth="1"/>
    <col min="15814" max="15814" width="38.33203125" style="672" customWidth="1"/>
    <col min="15815" max="15815" width="50" style="672" customWidth="1"/>
    <col min="15816" max="15816" width="186.33203125" style="672" customWidth="1"/>
    <col min="15817" max="15817" width="45" style="672" customWidth="1"/>
    <col min="15818" max="15818" width="38.33203125" style="672" customWidth="1"/>
    <col min="15819" max="15819" width="49.83203125" style="672" customWidth="1"/>
    <col min="15820" max="15820" width="44.83203125" style="672" customWidth="1"/>
    <col min="15821" max="15821" width="38.1640625" style="672" customWidth="1"/>
    <col min="15822" max="15822" width="49.83203125" style="672" customWidth="1"/>
    <col min="15823" max="15823" width="45" style="672" customWidth="1"/>
    <col min="15824" max="15824" width="38.33203125" style="672" customWidth="1"/>
    <col min="15825" max="15825" width="49.83203125" style="672" customWidth="1"/>
    <col min="15826" max="15826" width="44.83203125" style="672" customWidth="1"/>
    <col min="15827" max="15827" width="38.1640625" style="672" customWidth="1"/>
    <col min="15828" max="15828" width="50" style="672" customWidth="1"/>
    <col min="15829" max="15829" width="45" style="672" customWidth="1"/>
    <col min="15830" max="15830" width="38.33203125" style="672" customWidth="1"/>
    <col min="15831" max="15831" width="50" style="672" customWidth="1"/>
    <col min="15832" max="15832" width="186.33203125" style="672" customWidth="1"/>
    <col min="15833" max="15833" width="45" style="672" customWidth="1"/>
    <col min="15834" max="15834" width="38.33203125" style="672" customWidth="1"/>
    <col min="15835" max="15835" width="49.83203125" style="672" customWidth="1"/>
    <col min="15836" max="15837" width="45" style="672" customWidth="1"/>
    <col min="15838" max="15838" width="50.33203125" style="672" customWidth="1"/>
    <col min="15839" max="15840" width="45" style="672" customWidth="1"/>
    <col min="15841" max="15841" width="50" style="672" customWidth="1"/>
    <col min="15842" max="15842" width="51" style="672" customWidth="1"/>
    <col min="15843" max="16055" width="9.33203125" style="672"/>
    <col min="16056" max="16056" width="186.33203125" style="672" customWidth="1"/>
    <col min="16057" max="16057" width="44.83203125" style="672" customWidth="1"/>
    <col min="16058" max="16058" width="38.33203125" style="672" customWidth="1"/>
    <col min="16059" max="16059" width="50" style="672" customWidth="1"/>
    <col min="16060" max="16060" width="44.33203125" style="672" customWidth="1"/>
    <col min="16061" max="16061" width="37.6640625" style="672" customWidth="1"/>
    <col min="16062" max="16062" width="50" style="672" customWidth="1"/>
    <col min="16063" max="16063" width="44.6640625" style="672" customWidth="1"/>
    <col min="16064" max="16064" width="38.1640625" style="672" customWidth="1"/>
    <col min="16065" max="16065" width="50" style="672" customWidth="1"/>
    <col min="16066" max="16066" width="45" style="672" customWidth="1"/>
    <col min="16067" max="16067" width="38.33203125" style="672" customWidth="1"/>
    <col min="16068" max="16068" width="50" style="672" customWidth="1"/>
    <col min="16069" max="16069" width="45" style="672" customWidth="1"/>
    <col min="16070" max="16070" width="38.33203125" style="672" customWidth="1"/>
    <col min="16071" max="16071" width="50" style="672" customWidth="1"/>
    <col min="16072" max="16072" width="186.33203125" style="672" customWidth="1"/>
    <col min="16073" max="16073" width="45" style="672" customWidth="1"/>
    <col min="16074" max="16074" width="38.33203125" style="672" customWidth="1"/>
    <col min="16075" max="16075" width="49.83203125" style="672" customWidth="1"/>
    <col min="16076" max="16076" width="44.83203125" style="672" customWidth="1"/>
    <col min="16077" max="16077" width="38.1640625" style="672" customWidth="1"/>
    <col min="16078" max="16078" width="49.83203125" style="672" customWidth="1"/>
    <col min="16079" max="16079" width="45" style="672" customWidth="1"/>
    <col min="16080" max="16080" width="38.33203125" style="672" customWidth="1"/>
    <col min="16081" max="16081" width="49.83203125" style="672" customWidth="1"/>
    <col min="16082" max="16082" width="44.83203125" style="672" customWidth="1"/>
    <col min="16083" max="16083" width="38.1640625" style="672" customWidth="1"/>
    <col min="16084" max="16084" width="50" style="672" customWidth="1"/>
    <col min="16085" max="16085" width="45" style="672" customWidth="1"/>
    <col min="16086" max="16086" width="38.33203125" style="672" customWidth="1"/>
    <col min="16087" max="16087" width="50" style="672" customWidth="1"/>
    <col min="16088" max="16088" width="186.33203125" style="672" customWidth="1"/>
    <col min="16089" max="16089" width="45" style="672" customWidth="1"/>
    <col min="16090" max="16090" width="38.33203125" style="672" customWidth="1"/>
    <col min="16091" max="16091" width="49.83203125" style="672" customWidth="1"/>
    <col min="16092" max="16093" width="45" style="672" customWidth="1"/>
    <col min="16094" max="16094" width="50.33203125" style="672" customWidth="1"/>
    <col min="16095" max="16096" width="45" style="672" customWidth="1"/>
    <col min="16097" max="16097" width="50" style="672" customWidth="1"/>
    <col min="16098" max="16098" width="51" style="672" customWidth="1"/>
    <col min="16099" max="16384" width="9.33203125" style="672"/>
  </cols>
  <sheetData>
    <row r="1" spans="1:42" ht="26.45" customHeight="1" x14ac:dyDescent="0.7">
      <c r="A1" s="669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69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69"/>
      <c r="AH1" s="669"/>
      <c r="AI1" s="669"/>
      <c r="AJ1" s="669"/>
      <c r="AK1" s="669"/>
      <c r="AL1" s="669"/>
      <c r="AM1" s="671"/>
      <c r="AN1" s="671"/>
      <c r="AO1" s="671"/>
      <c r="AP1" s="670"/>
    </row>
    <row r="2" spans="1:42" ht="26.45" customHeight="1" x14ac:dyDescent="0.7">
      <c r="A2" s="669"/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69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69"/>
      <c r="AH2" s="669"/>
      <c r="AI2" s="669"/>
      <c r="AJ2" s="669"/>
      <c r="AK2" s="669"/>
      <c r="AL2" s="669"/>
      <c r="AM2" s="671"/>
      <c r="AN2" s="671"/>
      <c r="AO2" s="671"/>
      <c r="AP2" s="670"/>
    </row>
    <row r="3" spans="1:42" ht="54" customHeight="1" x14ac:dyDescent="0.7">
      <c r="A3" s="673"/>
      <c r="B3" s="883" t="s">
        <v>209</v>
      </c>
      <c r="C3" s="883"/>
      <c r="D3" s="883"/>
      <c r="E3" s="883"/>
      <c r="F3" s="883"/>
      <c r="G3" s="883"/>
      <c r="H3" s="883"/>
      <c r="I3" s="883"/>
      <c r="J3" s="883"/>
      <c r="K3" s="883"/>
      <c r="L3" s="883"/>
      <c r="M3" s="883"/>
      <c r="N3" s="883"/>
      <c r="O3" s="883"/>
      <c r="P3" s="883"/>
      <c r="Q3" s="669"/>
      <c r="R3" s="866" t="s">
        <v>209</v>
      </c>
      <c r="S3" s="866"/>
      <c r="T3" s="866"/>
      <c r="U3" s="866"/>
      <c r="V3" s="866"/>
      <c r="W3" s="866"/>
      <c r="X3" s="866"/>
      <c r="Y3" s="866"/>
      <c r="Z3" s="866"/>
      <c r="AA3" s="866"/>
      <c r="AB3" s="866"/>
      <c r="AC3" s="866"/>
      <c r="AD3" s="866"/>
      <c r="AE3" s="866"/>
      <c r="AF3" s="866"/>
      <c r="AG3" s="669"/>
      <c r="AH3" s="866" t="s">
        <v>209</v>
      </c>
      <c r="AI3" s="866"/>
      <c r="AJ3" s="866"/>
      <c r="AK3" s="866"/>
      <c r="AL3" s="866"/>
      <c r="AM3" s="866"/>
      <c r="AN3" s="866"/>
      <c r="AO3" s="866"/>
      <c r="AP3" s="866"/>
    </row>
    <row r="4" spans="1:42" ht="54" customHeight="1" x14ac:dyDescent="0.7">
      <c r="A4" s="673"/>
      <c r="B4" s="883" t="s">
        <v>706</v>
      </c>
      <c r="C4" s="883"/>
      <c r="D4" s="883"/>
      <c r="E4" s="883"/>
      <c r="F4" s="883"/>
      <c r="G4" s="883"/>
      <c r="H4" s="883"/>
      <c r="I4" s="883"/>
      <c r="J4" s="883"/>
      <c r="K4" s="883"/>
      <c r="L4" s="883"/>
      <c r="M4" s="883"/>
      <c r="N4" s="883"/>
      <c r="O4" s="883"/>
      <c r="P4" s="883"/>
      <c r="Q4" s="669"/>
      <c r="R4" s="866" t="s">
        <v>706</v>
      </c>
      <c r="S4" s="866"/>
      <c r="T4" s="866"/>
      <c r="U4" s="866"/>
      <c r="V4" s="866"/>
      <c r="W4" s="866"/>
      <c r="X4" s="866"/>
      <c r="Y4" s="866"/>
      <c r="Z4" s="866"/>
      <c r="AA4" s="866"/>
      <c r="AB4" s="866"/>
      <c r="AC4" s="866"/>
      <c r="AD4" s="866"/>
      <c r="AE4" s="866"/>
      <c r="AF4" s="866"/>
      <c r="AG4" s="669"/>
      <c r="AH4" s="866" t="s">
        <v>706</v>
      </c>
      <c r="AI4" s="866"/>
      <c r="AJ4" s="866"/>
      <c r="AK4" s="866"/>
      <c r="AL4" s="866"/>
      <c r="AM4" s="866"/>
      <c r="AN4" s="866"/>
      <c r="AO4" s="866"/>
      <c r="AP4" s="866"/>
    </row>
    <row r="5" spans="1:42" ht="42.75" customHeight="1" thickBot="1" x14ac:dyDescent="0.75">
      <c r="A5" s="669"/>
      <c r="B5" s="670"/>
      <c r="C5" s="670"/>
      <c r="D5" s="670"/>
      <c r="E5" s="670"/>
      <c r="F5" s="670"/>
      <c r="G5" s="670"/>
      <c r="H5" s="670"/>
      <c r="I5" s="670"/>
      <c r="J5" s="670"/>
      <c r="K5" s="670"/>
      <c r="L5" s="670"/>
      <c r="M5" s="670"/>
      <c r="N5" s="670"/>
      <c r="O5" s="670"/>
      <c r="P5" s="670" t="s">
        <v>201</v>
      </c>
      <c r="Q5" s="669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 t="s">
        <v>201</v>
      </c>
      <c r="AG5" s="669"/>
      <c r="AH5" s="669"/>
      <c r="AI5" s="669"/>
      <c r="AJ5" s="669"/>
      <c r="AK5" s="669"/>
      <c r="AL5" s="669"/>
      <c r="AM5" s="671"/>
      <c r="AN5" s="671"/>
      <c r="AO5" s="671"/>
      <c r="AP5" s="670" t="s">
        <v>201</v>
      </c>
    </row>
    <row r="6" spans="1:42" s="676" customFormat="1" ht="140.25" customHeight="1" x14ac:dyDescent="0.7">
      <c r="A6" s="674" t="s">
        <v>707</v>
      </c>
      <c r="B6" s="887" t="s">
        <v>50</v>
      </c>
      <c r="C6" s="888"/>
      <c r="D6" s="889"/>
      <c r="E6" s="884" t="s">
        <v>241</v>
      </c>
      <c r="F6" s="885"/>
      <c r="G6" s="886"/>
      <c r="H6" s="884" t="s">
        <v>708</v>
      </c>
      <c r="I6" s="885"/>
      <c r="J6" s="886"/>
      <c r="K6" s="887" t="s">
        <v>180</v>
      </c>
      <c r="L6" s="888"/>
      <c r="M6" s="889"/>
      <c r="N6" s="884" t="s">
        <v>219</v>
      </c>
      <c r="O6" s="885"/>
      <c r="P6" s="886"/>
      <c r="Q6" s="674" t="s">
        <v>707</v>
      </c>
      <c r="R6" s="887" t="s">
        <v>66</v>
      </c>
      <c r="S6" s="888"/>
      <c r="T6" s="889"/>
      <c r="U6" s="884" t="s">
        <v>67</v>
      </c>
      <c r="V6" s="885"/>
      <c r="W6" s="886"/>
      <c r="X6" s="884" t="s">
        <v>247</v>
      </c>
      <c r="Y6" s="885"/>
      <c r="Z6" s="886"/>
      <c r="AA6" s="884" t="s">
        <v>220</v>
      </c>
      <c r="AB6" s="885"/>
      <c r="AC6" s="886"/>
      <c r="AD6" s="884" t="s">
        <v>709</v>
      </c>
      <c r="AE6" s="885"/>
      <c r="AF6" s="886"/>
      <c r="AG6" s="674" t="s">
        <v>707</v>
      </c>
      <c r="AH6" s="884" t="s">
        <v>710</v>
      </c>
      <c r="AI6" s="885"/>
      <c r="AJ6" s="886"/>
      <c r="AK6" s="884" t="s">
        <v>711</v>
      </c>
      <c r="AL6" s="885"/>
      <c r="AM6" s="886"/>
      <c r="AN6" s="884" t="s">
        <v>712</v>
      </c>
      <c r="AO6" s="885"/>
      <c r="AP6" s="886"/>
    </row>
    <row r="7" spans="1:42" s="676" customFormat="1" ht="78.75" customHeight="1" thickBot="1" x14ac:dyDescent="0.75">
      <c r="A7" s="677" t="s">
        <v>713</v>
      </c>
      <c r="B7" s="890"/>
      <c r="C7" s="891"/>
      <c r="D7" s="892"/>
      <c r="E7" s="679"/>
      <c r="F7" s="680"/>
      <c r="G7" s="681"/>
      <c r="H7" s="679"/>
      <c r="I7" s="680"/>
      <c r="J7" s="681"/>
      <c r="K7" s="679"/>
      <c r="L7" s="680"/>
      <c r="M7" s="681"/>
      <c r="N7" s="890"/>
      <c r="O7" s="891"/>
      <c r="P7" s="892"/>
      <c r="Q7" s="677" t="s">
        <v>713</v>
      </c>
      <c r="R7" s="890"/>
      <c r="S7" s="891"/>
      <c r="T7" s="892"/>
      <c r="U7" s="678"/>
      <c r="V7" s="678"/>
      <c r="W7" s="678"/>
      <c r="X7" s="890"/>
      <c r="Y7" s="891"/>
      <c r="Z7" s="892"/>
      <c r="AA7" s="890"/>
      <c r="AB7" s="891"/>
      <c r="AC7" s="892"/>
      <c r="AD7" s="890"/>
      <c r="AE7" s="891"/>
      <c r="AF7" s="892"/>
      <c r="AG7" s="677" t="s">
        <v>713</v>
      </c>
      <c r="AH7" s="682"/>
      <c r="AI7" s="683"/>
      <c r="AJ7" s="684"/>
      <c r="AK7" s="890"/>
      <c r="AL7" s="891"/>
      <c r="AM7" s="892"/>
      <c r="AN7" s="890"/>
      <c r="AO7" s="891"/>
      <c r="AP7" s="892"/>
    </row>
    <row r="8" spans="1:42" s="687" customFormat="1" ht="147.75" customHeight="1" thickBot="1" x14ac:dyDescent="0.65">
      <c r="A8" s="685"/>
      <c r="B8" s="686" t="s">
        <v>714</v>
      </c>
      <c r="C8" s="686" t="s">
        <v>715</v>
      </c>
      <c r="D8" s="686" t="s">
        <v>716</v>
      </c>
      <c r="E8" s="686" t="s">
        <v>714</v>
      </c>
      <c r="F8" s="686" t="s">
        <v>715</v>
      </c>
      <c r="G8" s="686" t="s">
        <v>716</v>
      </c>
      <c r="H8" s="686" t="s">
        <v>714</v>
      </c>
      <c r="I8" s="686" t="s">
        <v>715</v>
      </c>
      <c r="J8" s="686" t="s">
        <v>716</v>
      </c>
      <c r="K8" s="686" t="s">
        <v>714</v>
      </c>
      <c r="L8" s="686" t="s">
        <v>715</v>
      </c>
      <c r="M8" s="686" t="s">
        <v>716</v>
      </c>
      <c r="N8" s="686" t="s">
        <v>714</v>
      </c>
      <c r="O8" s="686" t="s">
        <v>715</v>
      </c>
      <c r="P8" s="686" t="s">
        <v>716</v>
      </c>
      <c r="Q8" s="685"/>
      <c r="R8" s="686" t="s">
        <v>714</v>
      </c>
      <c r="S8" s="686" t="s">
        <v>715</v>
      </c>
      <c r="T8" s="686" t="s">
        <v>716</v>
      </c>
      <c r="U8" s="686" t="s">
        <v>714</v>
      </c>
      <c r="V8" s="686" t="s">
        <v>715</v>
      </c>
      <c r="W8" s="686" t="s">
        <v>716</v>
      </c>
      <c r="X8" s="686" t="s">
        <v>714</v>
      </c>
      <c r="Y8" s="686" t="s">
        <v>715</v>
      </c>
      <c r="Z8" s="686" t="s">
        <v>716</v>
      </c>
      <c r="AA8" s="686" t="s">
        <v>714</v>
      </c>
      <c r="AB8" s="686" t="s">
        <v>715</v>
      </c>
      <c r="AC8" s="686" t="s">
        <v>716</v>
      </c>
      <c r="AD8" s="686" t="s">
        <v>714</v>
      </c>
      <c r="AE8" s="686" t="s">
        <v>715</v>
      </c>
      <c r="AF8" s="686" t="s">
        <v>716</v>
      </c>
      <c r="AG8" s="685"/>
      <c r="AH8" s="686" t="s">
        <v>714</v>
      </c>
      <c r="AI8" s="686" t="s">
        <v>715</v>
      </c>
      <c r="AJ8" s="686" t="s">
        <v>716</v>
      </c>
      <c r="AK8" s="686" t="s">
        <v>714</v>
      </c>
      <c r="AL8" s="686" t="s">
        <v>715</v>
      </c>
      <c r="AM8" s="686" t="s">
        <v>716</v>
      </c>
      <c r="AN8" s="686" t="s">
        <v>714</v>
      </c>
      <c r="AO8" s="686" t="s">
        <v>715</v>
      </c>
      <c r="AP8" s="686" t="s">
        <v>716</v>
      </c>
    </row>
    <row r="9" spans="1:42" ht="45.75" customHeight="1" x14ac:dyDescent="0.7">
      <c r="A9" s="688" t="s">
        <v>717</v>
      </c>
      <c r="B9" s="689"/>
      <c r="C9" s="689"/>
      <c r="D9" s="689"/>
      <c r="E9" s="689"/>
      <c r="F9" s="689"/>
      <c r="G9" s="689"/>
      <c r="H9" s="689"/>
      <c r="I9" s="689"/>
      <c r="J9" s="689"/>
      <c r="K9" s="689"/>
      <c r="L9" s="689"/>
      <c r="M9" s="689"/>
      <c r="N9" s="689"/>
      <c r="O9" s="689"/>
      <c r="P9" s="689"/>
      <c r="Q9" s="688" t="s">
        <v>717</v>
      </c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89"/>
      <c r="AF9" s="689"/>
      <c r="AG9" s="688" t="s">
        <v>717</v>
      </c>
      <c r="AH9" s="688"/>
      <c r="AI9" s="688"/>
      <c r="AJ9" s="688"/>
      <c r="AK9" s="688"/>
      <c r="AL9" s="688"/>
      <c r="AM9" s="690"/>
      <c r="AN9" s="690"/>
      <c r="AO9" s="690"/>
      <c r="AP9" s="689"/>
    </row>
    <row r="10" spans="1:42" ht="48.75" customHeight="1" x14ac:dyDescent="0.7">
      <c r="A10" s="691" t="s">
        <v>718</v>
      </c>
      <c r="B10" s="692">
        <f>[3]int.bevételek2026!B9</f>
        <v>2568</v>
      </c>
      <c r="C10" s="692"/>
      <c r="D10" s="692">
        <f t="shared" ref="D10:D27" si="0">SUM(B10:C10)</f>
        <v>2568</v>
      </c>
      <c r="E10" s="692">
        <f>[3]int.bevételek2026!C9</f>
        <v>0</v>
      </c>
      <c r="F10" s="692"/>
      <c r="G10" s="692">
        <f t="shared" ref="G10:G27" si="1">SUM(E10:F10)</f>
        <v>0</v>
      </c>
      <c r="H10" s="692">
        <f>[3]int.bevételek2026!D9</f>
        <v>0</v>
      </c>
      <c r="I10" s="692"/>
      <c r="J10" s="692">
        <f t="shared" ref="J10:J27" si="2">SUM(H10:I10)</f>
        <v>0</v>
      </c>
      <c r="K10" s="692">
        <f>[3]int.bevételek2026!E9</f>
        <v>0</v>
      </c>
      <c r="L10" s="692"/>
      <c r="M10" s="692">
        <f t="shared" ref="M10:M27" si="3">SUM(K10:L10)</f>
        <v>0</v>
      </c>
      <c r="N10" s="693">
        <f t="shared" ref="N10:P27" si="4">B10+E10+H10+K10</f>
        <v>2568</v>
      </c>
      <c r="O10" s="693">
        <f t="shared" si="4"/>
        <v>0</v>
      </c>
      <c r="P10" s="693">
        <f t="shared" si="4"/>
        <v>2568</v>
      </c>
      <c r="Q10" s="691" t="s">
        <v>718</v>
      </c>
      <c r="R10" s="692">
        <f>[3]int.bevételek2026!H9</f>
        <v>0</v>
      </c>
      <c r="S10" s="692"/>
      <c r="T10" s="692">
        <f t="shared" ref="T10:T27" si="5">SUM(R10:S10)</f>
        <v>0</v>
      </c>
      <c r="U10" s="692">
        <f>[3]int.bevételek2026!I9</f>
        <v>0</v>
      </c>
      <c r="V10" s="692"/>
      <c r="W10" s="692">
        <f>SUM(U10:V10)</f>
        <v>0</v>
      </c>
      <c r="X10" s="692">
        <f>[3]int.bevételek2026!J9</f>
        <v>0</v>
      </c>
      <c r="Y10" s="692"/>
      <c r="Z10" s="692">
        <f t="shared" ref="Z10:Z27" si="6">SUM(X10:Y10)</f>
        <v>0</v>
      </c>
      <c r="AA10" s="693">
        <f t="shared" ref="AA10:AC27" si="7">R10+U10+X10</f>
        <v>0</v>
      </c>
      <c r="AB10" s="693">
        <f t="shared" si="7"/>
        <v>0</v>
      </c>
      <c r="AC10" s="693">
        <f t="shared" si="7"/>
        <v>0</v>
      </c>
      <c r="AD10" s="693">
        <f>N10+AA10</f>
        <v>2568</v>
      </c>
      <c r="AE10" s="693">
        <f>O10+AB10</f>
        <v>0</v>
      </c>
      <c r="AF10" s="693">
        <f>P10+AC10</f>
        <v>2568</v>
      </c>
      <c r="AG10" s="691" t="s">
        <v>718</v>
      </c>
      <c r="AH10" s="692"/>
      <c r="AI10" s="692">
        <f>'[4]int.bevételek RM I maradvány'!AO10</f>
        <v>3426</v>
      </c>
      <c r="AJ10" s="692">
        <f t="shared" ref="AJ10:AJ27" si="8">SUM(AH10:AI10)</f>
        <v>3426</v>
      </c>
      <c r="AK10" s="692">
        <f>[3]int.bevételek2026!L9</f>
        <v>306829</v>
      </c>
      <c r="AL10" s="692">
        <f>'[4]int.bevételek RM I maradvány'!AS10+16244</f>
        <v>19176</v>
      </c>
      <c r="AM10" s="692">
        <f>SUM(AK10:AL10)</f>
        <v>326005</v>
      </c>
      <c r="AN10" s="693">
        <f t="shared" ref="AN10:AP27" si="9">N10+AA10+AH10+AK10</f>
        <v>309397</v>
      </c>
      <c r="AO10" s="693">
        <f t="shared" si="9"/>
        <v>22602</v>
      </c>
      <c r="AP10" s="693">
        <f t="shared" si="9"/>
        <v>331999</v>
      </c>
    </row>
    <row r="11" spans="1:42" ht="48.75" customHeight="1" x14ac:dyDescent="0.7">
      <c r="A11" s="694" t="s">
        <v>719</v>
      </c>
      <c r="B11" s="692">
        <f>[3]int.bevételek2026!B10</f>
        <v>1000</v>
      </c>
      <c r="C11" s="692"/>
      <c r="D11" s="692">
        <f t="shared" si="0"/>
        <v>1000</v>
      </c>
      <c r="E11" s="692">
        <f>[3]int.bevételek2026!C10</f>
        <v>0</v>
      </c>
      <c r="F11" s="692"/>
      <c r="G11" s="692">
        <f t="shared" si="1"/>
        <v>0</v>
      </c>
      <c r="H11" s="692">
        <f>[3]int.bevételek2026!D10</f>
        <v>0</v>
      </c>
      <c r="I11" s="692"/>
      <c r="J11" s="692">
        <f t="shared" si="2"/>
        <v>0</v>
      </c>
      <c r="K11" s="692">
        <f>[3]int.bevételek2026!E10</f>
        <v>0</v>
      </c>
      <c r="L11" s="692"/>
      <c r="M11" s="692">
        <f t="shared" si="3"/>
        <v>0</v>
      </c>
      <c r="N11" s="693">
        <f t="shared" si="4"/>
        <v>1000</v>
      </c>
      <c r="O11" s="693">
        <f t="shared" si="4"/>
        <v>0</v>
      </c>
      <c r="P11" s="693">
        <f t="shared" si="4"/>
        <v>1000</v>
      </c>
      <c r="Q11" s="694" t="s">
        <v>719</v>
      </c>
      <c r="R11" s="692">
        <f>[3]int.bevételek2026!H10</f>
        <v>0</v>
      </c>
      <c r="S11" s="692"/>
      <c r="T11" s="692">
        <f t="shared" si="5"/>
        <v>0</v>
      </c>
      <c r="U11" s="692">
        <f>[3]int.bevételek2026!I10</f>
        <v>0</v>
      </c>
      <c r="V11" s="692"/>
      <c r="W11" s="692">
        <f>SUM(U11:V11)</f>
        <v>0</v>
      </c>
      <c r="X11" s="692">
        <f>[3]int.bevételek2026!J10</f>
        <v>0</v>
      </c>
      <c r="Y11" s="692"/>
      <c r="Z11" s="692">
        <f t="shared" si="6"/>
        <v>0</v>
      </c>
      <c r="AA11" s="693">
        <f t="shared" si="7"/>
        <v>0</v>
      </c>
      <c r="AB11" s="693">
        <f t="shared" si="7"/>
        <v>0</v>
      </c>
      <c r="AC11" s="693">
        <f t="shared" si="7"/>
        <v>0</v>
      </c>
      <c r="AD11" s="693">
        <f t="shared" ref="AD11:AF37" si="10">N11+AA11</f>
        <v>1000</v>
      </c>
      <c r="AE11" s="693">
        <f t="shared" si="10"/>
        <v>0</v>
      </c>
      <c r="AF11" s="693">
        <f t="shared" si="10"/>
        <v>1000</v>
      </c>
      <c r="AG11" s="694" t="s">
        <v>719</v>
      </c>
      <c r="AH11" s="692"/>
      <c r="AI11" s="692">
        <f>'[4]int.bevételek RM I maradvány'!AO11</f>
        <v>886</v>
      </c>
      <c r="AJ11" s="692">
        <f t="shared" si="8"/>
        <v>886</v>
      </c>
      <c r="AK11" s="692">
        <f>[3]int.bevételek2026!L10</f>
        <v>210791</v>
      </c>
      <c r="AL11" s="692">
        <f>'[4]int.bevételek RM I maradvány'!AS11+7295</f>
        <v>9157</v>
      </c>
      <c r="AM11" s="692">
        <f t="shared" ref="AM11:AM27" si="11">SUM(AK11:AL11)</f>
        <v>219948</v>
      </c>
      <c r="AN11" s="693">
        <f t="shared" si="9"/>
        <v>211791</v>
      </c>
      <c r="AO11" s="693">
        <f t="shared" si="9"/>
        <v>10043</v>
      </c>
      <c r="AP11" s="693">
        <f t="shared" si="9"/>
        <v>221834</v>
      </c>
    </row>
    <row r="12" spans="1:42" ht="48.75" customHeight="1" x14ac:dyDescent="0.7">
      <c r="A12" s="694" t="s">
        <v>720</v>
      </c>
      <c r="B12" s="692">
        <f>[3]int.bevételek2026!B11</f>
        <v>960</v>
      </c>
      <c r="C12" s="692"/>
      <c r="D12" s="692">
        <f t="shared" si="0"/>
        <v>960</v>
      </c>
      <c r="E12" s="692">
        <f>[3]int.bevételek2026!C11</f>
        <v>0</v>
      </c>
      <c r="F12" s="692">
        <v>64</v>
      </c>
      <c r="G12" s="692">
        <f t="shared" si="1"/>
        <v>64</v>
      </c>
      <c r="H12" s="692">
        <f>[3]int.bevételek2026!D11</f>
        <v>0</v>
      </c>
      <c r="I12" s="692"/>
      <c r="J12" s="692">
        <f t="shared" si="2"/>
        <v>0</v>
      </c>
      <c r="K12" s="692">
        <f>[3]int.bevételek2026!E11</f>
        <v>0</v>
      </c>
      <c r="L12" s="692"/>
      <c r="M12" s="692">
        <f t="shared" si="3"/>
        <v>0</v>
      </c>
      <c r="N12" s="693">
        <f t="shared" si="4"/>
        <v>960</v>
      </c>
      <c r="O12" s="693">
        <f t="shared" si="4"/>
        <v>64</v>
      </c>
      <c r="P12" s="693">
        <f t="shared" si="4"/>
        <v>1024</v>
      </c>
      <c r="Q12" s="694" t="s">
        <v>720</v>
      </c>
      <c r="R12" s="692">
        <f>[3]int.bevételek2026!H11</f>
        <v>0</v>
      </c>
      <c r="S12" s="692"/>
      <c r="T12" s="692">
        <f t="shared" si="5"/>
        <v>0</v>
      </c>
      <c r="U12" s="692">
        <f>[3]int.bevételek2026!I11</f>
        <v>0</v>
      </c>
      <c r="V12" s="692"/>
      <c r="W12" s="692">
        <f t="shared" ref="W12:W23" si="12">SUM(U12:V12)</f>
        <v>0</v>
      </c>
      <c r="X12" s="692">
        <f>[3]int.bevételek2026!J11</f>
        <v>0</v>
      </c>
      <c r="Y12" s="692"/>
      <c r="Z12" s="692">
        <f t="shared" si="6"/>
        <v>0</v>
      </c>
      <c r="AA12" s="693">
        <f t="shared" si="7"/>
        <v>0</v>
      </c>
      <c r="AB12" s="693">
        <f t="shared" si="7"/>
        <v>0</v>
      </c>
      <c r="AC12" s="693">
        <f t="shared" si="7"/>
        <v>0</v>
      </c>
      <c r="AD12" s="693">
        <f t="shared" si="10"/>
        <v>960</v>
      </c>
      <c r="AE12" s="693">
        <f t="shared" si="10"/>
        <v>64</v>
      </c>
      <c r="AF12" s="693">
        <f t="shared" si="10"/>
        <v>1024</v>
      </c>
      <c r="AG12" s="694" t="s">
        <v>720</v>
      </c>
      <c r="AH12" s="692"/>
      <c r="AI12" s="692">
        <f>'[4]int.bevételek RM I maradvány'!AO12</f>
        <v>2589</v>
      </c>
      <c r="AJ12" s="692">
        <f t="shared" si="8"/>
        <v>2589</v>
      </c>
      <c r="AK12" s="692">
        <f>[3]int.bevételek2026!L11</f>
        <v>216073</v>
      </c>
      <c r="AL12" s="692">
        <f>'[4]int.bevételek RM I maradvány'!AS12+10091</f>
        <v>12372</v>
      </c>
      <c r="AM12" s="692">
        <f t="shared" si="11"/>
        <v>228445</v>
      </c>
      <c r="AN12" s="693">
        <f t="shared" si="9"/>
        <v>217033</v>
      </c>
      <c r="AO12" s="693">
        <f t="shared" si="9"/>
        <v>15025</v>
      </c>
      <c r="AP12" s="693">
        <f t="shared" si="9"/>
        <v>232058</v>
      </c>
    </row>
    <row r="13" spans="1:42" ht="48.75" customHeight="1" x14ac:dyDescent="0.7">
      <c r="A13" s="694" t="s">
        <v>721</v>
      </c>
      <c r="B13" s="692">
        <f>[3]int.bevételek2026!B12</f>
        <v>1256</v>
      </c>
      <c r="C13" s="692"/>
      <c r="D13" s="692">
        <f t="shared" si="0"/>
        <v>1256</v>
      </c>
      <c r="E13" s="692">
        <f>[3]int.bevételek2026!C12</f>
        <v>0</v>
      </c>
      <c r="F13" s="692">
        <v>48</v>
      </c>
      <c r="G13" s="692">
        <f t="shared" si="1"/>
        <v>48</v>
      </c>
      <c r="H13" s="692">
        <f>[3]int.bevételek2026!D12</f>
        <v>0</v>
      </c>
      <c r="I13" s="692"/>
      <c r="J13" s="692">
        <f t="shared" si="2"/>
        <v>0</v>
      </c>
      <c r="K13" s="692">
        <f>[3]int.bevételek2026!E12</f>
        <v>0</v>
      </c>
      <c r="L13" s="692"/>
      <c r="M13" s="692">
        <f t="shared" si="3"/>
        <v>0</v>
      </c>
      <c r="N13" s="693">
        <f t="shared" si="4"/>
        <v>1256</v>
      </c>
      <c r="O13" s="693">
        <f t="shared" si="4"/>
        <v>48</v>
      </c>
      <c r="P13" s="693">
        <f t="shared" si="4"/>
        <v>1304</v>
      </c>
      <c r="Q13" s="694" t="s">
        <v>721</v>
      </c>
      <c r="R13" s="692">
        <f>[3]int.bevételek2026!H12</f>
        <v>0</v>
      </c>
      <c r="S13" s="692"/>
      <c r="T13" s="692">
        <f t="shared" si="5"/>
        <v>0</v>
      </c>
      <c r="U13" s="692">
        <f>[3]int.bevételek2026!I12</f>
        <v>0</v>
      </c>
      <c r="V13" s="692"/>
      <c r="W13" s="692">
        <f t="shared" si="12"/>
        <v>0</v>
      </c>
      <c r="X13" s="692">
        <f>[3]int.bevételek2026!J12</f>
        <v>0</v>
      </c>
      <c r="Y13" s="692"/>
      <c r="Z13" s="692">
        <f t="shared" si="6"/>
        <v>0</v>
      </c>
      <c r="AA13" s="693">
        <f t="shared" si="7"/>
        <v>0</v>
      </c>
      <c r="AB13" s="693">
        <f t="shared" si="7"/>
        <v>0</v>
      </c>
      <c r="AC13" s="693">
        <f t="shared" si="7"/>
        <v>0</v>
      </c>
      <c r="AD13" s="693">
        <f t="shared" si="10"/>
        <v>1256</v>
      </c>
      <c r="AE13" s="693">
        <f t="shared" si="10"/>
        <v>48</v>
      </c>
      <c r="AF13" s="693">
        <f t="shared" si="10"/>
        <v>1304</v>
      </c>
      <c r="AG13" s="694" t="s">
        <v>721</v>
      </c>
      <c r="AH13" s="692"/>
      <c r="AI13" s="692">
        <f>'[4]int.bevételek RM I maradvány'!AO13</f>
        <v>1730</v>
      </c>
      <c r="AJ13" s="692">
        <f t="shared" si="8"/>
        <v>1730</v>
      </c>
      <c r="AK13" s="692">
        <f>[3]int.bevételek2026!L12</f>
        <v>260628</v>
      </c>
      <c r="AL13" s="692">
        <f>'[4]int.bevételek RM I maradvány'!AS13+15090</f>
        <v>18980</v>
      </c>
      <c r="AM13" s="692">
        <f t="shared" si="11"/>
        <v>279608</v>
      </c>
      <c r="AN13" s="693">
        <f t="shared" si="9"/>
        <v>261884</v>
      </c>
      <c r="AO13" s="693">
        <f t="shared" si="9"/>
        <v>20758</v>
      </c>
      <c r="AP13" s="693">
        <f t="shared" si="9"/>
        <v>282642</v>
      </c>
    </row>
    <row r="14" spans="1:42" ht="48.75" customHeight="1" x14ac:dyDescent="0.7">
      <c r="A14" s="694" t="s">
        <v>722</v>
      </c>
      <c r="B14" s="692">
        <f>[3]int.bevételek2026!B13</f>
        <v>1328</v>
      </c>
      <c r="C14" s="692"/>
      <c r="D14" s="692">
        <f t="shared" si="0"/>
        <v>1328</v>
      </c>
      <c r="E14" s="692">
        <f>[3]int.bevételek2026!C13</f>
        <v>0</v>
      </c>
      <c r="F14" s="692">
        <v>183</v>
      </c>
      <c r="G14" s="692">
        <f t="shared" si="1"/>
        <v>183</v>
      </c>
      <c r="H14" s="692">
        <f>[3]int.bevételek2026!D13</f>
        <v>0</v>
      </c>
      <c r="I14" s="692"/>
      <c r="J14" s="692">
        <f t="shared" si="2"/>
        <v>0</v>
      </c>
      <c r="K14" s="692">
        <f>[3]int.bevételek2026!E13</f>
        <v>0</v>
      </c>
      <c r="L14" s="692"/>
      <c r="M14" s="692">
        <f t="shared" si="3"/>
        <v>0</v>
      </c>
      <c r="N14" s="693">
        <f t="shared" si="4"/>
        <v>1328</v>
      </c>
      <c r="O14" s="693">
        <f t="shared" si="4"/>
        <v>183</v>
      </c>
      <c r="P14" s="693">
        <f t="shared" si="4"/>
        <v>1511</v>
      </c>
      <c r="Q14" s="694" t="s">
        <v>722</v>
      </c>
      <c r="R14" s="692">
        <f>[3]int.bevételek2026!H13</f>
        <v>0</v>
      </c>
      <c r="S14" s="692"/>
      <c r="T14" s="692">
        <f t="shared" si="5"/>
        <v>0</v>
      </c>
      <c r="U14" s="692">
        <f>[3]int.bevételek2026!I13</f>
        <v>0</v>
      </c>
      <c r="V14" s="692"/>
      <c r="W14" s="692">
        <f t="shared" si="12"/>
        <v>0</v>
      </c>
      <c r="X14" s="692">
        <f>[3]int.bevételek2026!J13</f>
        <v>0</v>
      </c>
      <c r="Y14" s="692"/>
      <c r="Z14" s="692">
        <f t="shared" si="6"/>
        <v>0</v>
      </c>
      <c r="AA14" s="693">
        <f t="shared" si="7"/>
        <v>0</v>
      </c>
      <c r="AB14" s="693">
        <f t="shared" si="7"/>
        <v>0</v>
      </c>
      <c r="AC14" s="693">
        <f t="shared" si="7"/>
        <v>0</v>
      </c>
      <c r="AD14" s="693">
        <f t="shared" si="10"/>
        <v>1328</v>
      </c>
      <c r="AE14" s="693">
        <f t="shared" si="10"/>
        <v>183</v>
      </c>
      <c r="AF14" s="693">
        <f t="shared" si="10"/>
        <v>1511</v>
      </c>
      <c r="AG14" s="694" t="s">
        <v>722</v>
      </c>
      <c r="AH14" s="692"/>
      <c r="AI14" s="692">
        <f>'[4]int.bevételek RM I maradvány'!AO14</f>
        <v>1850</v>
      </c>
      <c r="AJ14" s="692">
        <f t="shared" si="8"/>
        <v>1850</v>
      </c>
      <c r="AK14" s="692">
        <f>[3]int.bevételek2026!L13</f>
        <v>255416</v>
      </c>
      <c r="AL14" s="692">
        <f>'[4]int.bevételek RM I maradvány'!AS14+19258</f>
        <v>21531</v>
      </c>
      <c r="AM14" s="692">
        <f t="shared" si="11"/>
        <v>276947</v>
      </c>
      <c r="AN14" s="693">
        <f t="shared" si="9"/>
        <v>256744</v>
      </c>
      <c r="AO14" s="693">
        <f t="shared" si="9"/>
        <v>23564</v>
      </c>
      <c r="AP14" s="693">
        <f t="shared" si="9"/>
        <v>280308</v>
      </c>
    </row>
    <row r="15" spans="1:42" ht="48.75" customHeight="1" x14ac:dyDescent="0.7">
      <c r="A15" s="694" t="s">
        <v>723</v>
      </c>
      <c r="B15" s="692">
        <f>[3]int.bevételek2026!B14</f>
        <v>1600</v>
      </c>
      <c r="C15" s="692"/>
      <c r="D15" s="692">
        <f t="shared" si="0"/>
        <v>1600</v>
      </c>
      <c r="E15" s="692">
        <f>[3]int.bevételek2026!C14</f>
        <v>0</v>
      </c>
      <c r="F15" s="692">
        <v>60</v>
      </c>
      <c r="G15" s="692">
        <f t="shared" si="1"/>
        <v>60</v>
      </c>
      <c r="H15" s="692">
        <f>[3]int.bevételek2026!D14</f>
        <v>0</v>
      </c>
      <c r="I15" s="692"/>
      <c r="J15" s="692">
        <f t="shared" si="2"/>
        <v>0</v>
      </c>
      <c r="K15" s="692">
        <f>[3]int.bevételek2026!E14</f>
        <v>0</v>
      </c>
      <c r="L15" s="692"/>
      <c r="M15" s="692">
        <f t="shared" si="3"/>
        <v>0</v>
      </c>
      <c r="N15" s="693">
        <f t="shared" si="4"/>
        <v>1600</v>
      </c>
      <c r="O15" s="693">
        <f t="shared" si="4"/>
        <v>60</v>
      </c>
      <c r="P15" s="693">
        <f t="shared" si="4"/>
        <v>1660</v>
      </c>
      <c r="Q15" s="694" t="s">
        <v>723</v>
      </c>
      <c r="R15" s="692">
        <f>[3]int.bevételek2026!H14</f>
        <v>0</v>
      </c>
      <c r="S15" s="692"/>
      <c r="T15" s="692">
        <f t="shared" si="5"/>
        <v>0</v>
      </c>
      <c r="U15" s="692">
        <f>[3]int.bevételek2026!I14</f>
        <v>0</v>
      </c>
      <c r="V15" s="692"/>
      <c r="W15" s="692">
        <f t="shared" si="12"/>
        <v>0</v>
      </c>
      <c r="X15" s="692">
        <f>[3]int.bevételek2026!J14</f>
        <v>0</v>
      </c>
      <c r="Y15" s="692"/>
      <c r="Z15" s="692">
        <f t="shared" si="6"/>
        <v>0</v>
      </c>
      <c r="AA15" s="693">
        <f t="shared" si="7"/>
        <v>0</v>
      </c>
      <c r="AB15" s="693">
        <f t="shared" si="7"/>
        <v>0</v>
      </c>
      <c r="AC15" s="693">
        <f t="shared" si="7"/>
        <v>0</v>
      </c>
      <c r="AD15" s="693">
        <f t="shared" si="10"/>
        <v>1600</v>
      </c>
      <c r="AE15" s="693">
        <f t="shared" si="10"/>
        <v>60</v>
      </c>
      <c r="AF15" s="693">
        <f t="shared" si="10"/>
        <v>1660</v>
      </c>
      <c r="AG15" s="694" t="s">
        <v>723</v>
      </c>
      <c r="AH15" s="692"/>
      <c r="AI15" s="692">
        <f>'[4]int.bevételek RM I maradvány'!AO15</f>
        <v>2051</v>
      </c>
      <c r="AJ15" s="692">
        <f t="shared" si="8"/>
        <v>2051</v>
      </c>
      <c r="AK15" s="692">
        <f>[3]int.bevételek2026!L14</f>
        <v>238167</v>
      </c>
      <c r="AL15" s="692">
        <f>'[4]int.bevételek RM I maradvány'!AS15+12367</f>
        <v>17580</v>
      </c>
      <c r="AM15" s="692">
        <f t="shared" si="11"/>
        <v>255747</v>
      </c>
      <c r="AN15" s="693">
        <f t="shared" si="9"/>
        <v>239767</v>
      </c>
      <c r="AO15" s="693">
        <f t="shared" si="9"/>
        <v>19691</v>
      </c>
      <c r="AP15" s="693">
        <f t="shared" si="9"/>
        <v>259458</v>
      </c>
    </row>
    <row r="16" spans="1:42" ht="48.75" customHeight="1" x14ac:dyDescent="0.7">
      <c r="A16" s="694" t="s">
        <v>724</v>
      </c>
      <c r="B16" s="692">
        <f>[3]int.bevételek2026!B15</f>
        <v>1400</v>
      </c>
      <c r="C16" s="692"/>
      <c r="D16" s="692">
        <f t="shared" si="0"/>
        <v>1400</v>
      </c>
      <c r="E16" s="692">
        <f>[3]int.bevételek2026!C15</f>
        <v>0</v>
      </c>
      <c r="F16" s="692"/>
      <c r="G16" s="692">
        <f t="shared" si="1"/>
        <v>0</v>
      </c>
      <c r="H16" s="692">
        <f>[3]int.bevételek2026!D15</f>
        <v>0</v>
      </c>
      <c r="I16" s="692"/>
      <c r="J16" s="692">
        <f t="shared" si="2"/>
        <v>0</v>
      </c>
      <c r="K16" s="692">
        <f>[3]int.bevételek2026!E15</f>
        <v>0</v>
      </c>
      <c r="L16" s="692"/>
      <c r="M16" s="692">
        <f t="shared" si="3"/>
        <v>0</v>
      </c>
      <c r="N16" s="693">
        <f t="shared" si="4"/>
        <v>1400</v>
      </c>
      <c r="O16" s="693">
        <f t="shared" si="4"/>
        <v>0</v>
      </c>
      <c r="P16" s="693">
        <f t="shared" si="4"/>
        <v>1400</v>
      </c>
      <c r="Q16" s="694" t="s">
        <v>725</v>
      </c>
      <c r="R16" s="692">
        <f>[3]int.bevételek2026!H15</f>
        <v>0</v>
      </c>
      <c r="S16" s="692"/>
      <c r="T16" s="692">
        <f t="shared" si="5"/>
        <v>0</v>
      </c>
      <c r="U16" s="692">
        <f>[3]int.bevételek2026!I15</f>
        <v>0</v>
      </c>
      <c r="V16" s="692"/>
      <c r="W16" s="692">
        <f t="shared" si="12"/>
        <v>0</v>
      </c>
      <c r="X16" s="692">
        <f>[3]int.bevételek2026!J15</f>
        <v>0</v>
      </c>
      <c r="Y16" s="692"/>
      <c r="Z16" s="692">
        <f t="shared" si="6"/>
        <v>0</v>
      </c>
      <c r="AA16" s="693">
        <f t="shared" si="7"/>
        <v>0</v>
      </c>
      <c r="AB16" s="693">
        <f t="shared" si="7"/>
        <v>0</v>
      </c>
      <c r="AC16" s="693">
        <f t="shared" si="7"/>
        <v>0</v>
      </c>
      <c r="AD16" s="693">
        <f t="shared" si="10"/>
        <v>1400</v>
      </c>
      <c r="AE16" s="693">
        <f t="shared" si="10"/>
        <v>0</v>
      </c>
      <c r="AF16" s="693">
        <f t="shared" si="10"/>
        <v>1400</v>
      </c>
      <c r="AG16" s="694" t="s">
        <v>725</v>
      </c>
      <c r="AH16" s="692"/>
      <c r="AI16" s="692">
        <f>'[4]int.bevételek RM I maradvány'!AO16</f>
        <v>1230</v>
      </c>
      <c r="AJ16" s="692">
        <f t="shared" si="8"/>
        <v>1230</v>
      </c>
      <c r="AK16" s="692">
        <f>[3]int.bevételek2026!L15</f>
        <v>171210</v>
      </c>
      <c r="AL16" s="692">
        <f>'[4]int.bevételek RM I maradvány'!AS16+8680</f>
        <v>10229</v>
      </c>
      <c r="AM16" s="692">
        <f t="shared" si="11"/>
        <v>181439</v>
      </c>
      <c r="AN16" s="693">
        <f t="shared" si="9"/>
        <v>172610</v>
      </c>
      <c r="AO16" s="693">
        <f t="shared" si="9"/>
        <v>11459</v>
      </c>
      <c r="AP16" s="693">
        <f t="shared" si="9"/>
        <v>184069</v>
      </c>
    </row>
    <row r="17" spans="1:42" ht="48.75" customHeight="1" x14ac:dyDescent="0.7">
      <c r="A17" s="694" t="s">
        <v>726</v>
      </c>
      <c r="B17" s="692">
        <f>[3]int.bevételek2026!B16</f>
        <v>1568</v>
      </c>
      <c r="C17" s="692"/>
      <c r="D17" s="692">
        <f t="shared" si="0"/>
        <v>1568</v>
      </c>
      <c r="E17" s="692">
        <f>[3]int.bevételek2026!C16</f>
        <v>0</v>
      </c>
      <c r="F17" s="692"/>
      <c r="G17" s="692">
        <f t="shared" si="1"/>
        <v>0</v>
      </c>
      <c r="H17" s="692">
        <f>[3]int.bevételek2026!D16</f>
        <v>0</v>
      </c>
      <c r="I17" s="692"/>
      <c r="J17" s="692">
        <f t="shared" si="2"/>
        <v>0</v>
      </c>
      <c r="K17" s="692">
        <f>[3]int.bevételek2026!E16</f>
        <v>0</v>
      </c>
      <c r="L17" s="692"/>
      <c r="M17" s="692">
        <f t="shared" si="3"/>
        <v>0</v>
      </c>
      <c r="N17" s="693">
        <f t="shared" si="4"/>
        <v>1568</v>
      </c>
      <c r="O17" s="693">
        <f t="shared" si="4"/>
        <v>0</v>
      </c>
      <c r="P17" s="693">
        <f t="shared" si="4"/>
        <v>1568</v>
      </c>
      <c r="Q17" s="694" t="s">
        <v>726</v>
      </c>
      <c r="R17" s="692">
        <f>[3]int.bevételek2026!H16</f>
        <v>0</v>
      </c>
      <c r="S17" s="692"/>
      <c r="T17" s="692">
        <f t="shared" si="5"/>
        <v>0</v>
      </c>
      <c r="U17" s="692">
        <f>[3]int.bevételek2026!I16</f>
        <v>0</v>
      </c>
      <c r="V17" s="692"/>
      <c r="W17" s="692">
        <f t="shared" si="12"/>
        <v>0</v>
      </c>
      <c r="X17" s="692">
        <f>[3]int.bevételek2026!J16</f>
        <v>0</v>
      </c>
      <c r="Y17" s="692"/>
      <c r="Z17" s="692">
        <f t="shared" si="6"/>
        <v>0</v>
      </c>
      <c r="AA17" s="693">
        <f t="shared" si="7"/>
        <v>0</v>
      </c>
      <c r="AB17" s="693">
        <f t="shared" si="7"/>
        <v>0</v>
      </c>
      <c r="AC17" s="693">
        <f t="shared" si="7"/>
        <v>0</v>
      </c>
      <c r="AD17" s="693">
        <f t="shared" si="10"/>
        <v>1568</v>
      </c>
      <c r="AE17" s="693">
        <f t="shared" si="10"/>
        <v>0</v>
      </c>
      <c r="AF17" s="693">
        <f t="shared" si="10"/>
        <v>1568</v>
      </c>
      <c r="AG17" s="694" t="s">
        <v>726</v>
      </c>
      <c r="AH17" s="692"/>
      <c r="AI17" s="692">
        <f>'[4]int.bevételek RM I maradvány'!AO17</f>
        <v>957</v>
      </c>
      <c r="AJ17" s="692">
        <f t="shared" si="8"/>
        <v>957</v>
      </c>
      <c r="AK17" s="692">
        <f>[3]int.bevételek2026!L16</f>
        <v>184002</v>
      </c>
      <c r="AL17" s="692">
        <f>'[4]int.bevételek RM I maradvány'!AS17+9018</f>
        <v>10613</v>
      </c>
      <c r="AM17" s="692">
        <f t="shared" si="11"/>
        <v>194615</v>
      </c>
      <c r="AN17" s="693">
        <f t="shared" si="9"/>
        <v>185570</v>
      </c>
      <c r="AO17" s="693">
        <f t="shared" si="9"/>
        <v>11570</v>
      </c>
      <c r="AP17" s="693">
        <f t="shared" si="9"/>
        <v>197140</v>
      </c>
    </row>
    <row r="18" spans="1:42" ht="48.75" customHeight="1" x14ac:dyDescent="0.7">
      <c r="A18" s="694" t="s">
        <v>727</v>
      </c>
      <c r="B18" s="692">
        <f>[3]int.bevételek2026!B17</f>
        <v>880</v>
      </c>
      <c r="C18" s="692"/>
      <c r="D18" s="692">
        <f t="shared" si="0"/>
        <v>880</v>
      </c>
      <c r="E18" s="692">
        <f>[3]int.bevételek2026!C17</f>
        <v>0</v>
      </c>
      <c r="F18" s="692"/>
      <c r="G18" s="692">
        <f t="shared" si="1"/>
        <v>0</v>
      </c>
      <c r="H18" s="692">
        <f>[3]int.bevételek2026!D17</f>
        <v>0</v>
      </c>
      <c r="I18" s="692"/>
      <c r="J18" s="692">
        <f t="shared" si="2"/>
        <v>0</v>
      </c>
      <c r="K18" s="692">
        <f>[3]int.bevételek2026!E17</f>
        <v>0</v>
      </c>
      <c r="L18" s="692"/>
      <c r="M18" s="692">
        <f t="shared" si="3"/>
        <v>0</v>
      </c>
      <c r="N18" s="693">
        <f t="shared" si="4"/>
        <v>880</v>
      </c>
      <c r="O18" s="693">
        <f t="shared" si="4"/>
        <v>0</v>
      </c>
      <c r="P18" s="693">
        <f t="shared" si="4"/>
        <v>880</v>
      </c>
      <c r="Q18" s="694" t="s">
        <v>727</v>
      </c>
      <c r="R18" s="692">
        <f>[3]int.bevételek2026!H17</f>
        <v>0</v>
      </c>
      <c r="S18" s="692"/>
      <c r="T18" s="692">
        <f t="shared" si="5"/>
        <v>0</v>
      </c>
      <c r="U18" s="692">
        <f>[3]int.bevételek2026!I17</f>
        <v>0</v>
      </c>
      <c r="V18" s="692"/>
      <c r="W18" s="692">
        <f t="shared" si="12"/>
        <v>0</v>
      </c>
      <c r="X18" s="692">
        <f>[3]int.bevételek2026!J17</f>
        <v>0</v>
      </c>
      <c r="Y18" s="692"/>
      <c r="Z18" s="692">
        <f t="shared" si="6"/>
        <v>0</v>
      </c>
      <c r="AA18" s="693">
        <f t="shared" si="7"/>
        <v>0</v>
      </c>
      <c r="AB18" s="693">
        <f t="shared" si="7"/>
        <v>0</v>
      </c>
      <c r="AC18" s="693">
        <f t="shared" si="7"/>
        <v>0</v>
      </c>
      <c r="AD18" s="693">
        <f t="shared" si="10"/>
        <v>880</v>
      </c>
      <c r="AE18" s="693">
        <f t="shared" si="10"/>
        <v>0</v>
      </c>
      <c r="AF18" s="693">
        <f t="shared" si="10"/>
        <v>880</v>
      </c>
      <c r="AG18" s="694" t="s">
        <v>727</v>
      </c>
      <c r="AH18" s="692"/>
      <c r="AI18" s="692">
        <f>'[4]int.bevételek RM I maradvány'!AO18</f>
        <v>1896</v>
      </c>
      <c r="AJ18" s="692">
        <f t="shared" si="8"/>
        <v>1896</v>
      </c>
      <c r="AK18" s="692">
        <f>[3]int.bevételek2026!L17</f>
        <v>257950</v>
      </c>
      <c r="AL18" s="692">
        <f>'[4]int.bevételek RM I maradvány'!AS18+14792</f>
        <v>25041</v>
      </c>
      <c r="AM18" s="692">
        <f t="shared" si="11"/>
        <v>282991</v>
      </c>
      <c r="AN18" s="693">
        <f t="shared" si="9"/>
        <v>258830</v>
      </c>
      <c r="AO18" s="693">
        <f t="shared" si="9"/>
        <v>26937</v>
      </c>
      <c r="AP18" s="693">
        <f t="shared" si="9"/>
        <v>285767</v>
      </c>
    </row>
    <row r="19" spans="1:42" ht="48.75" customHeight="1" x14ac:dyDescent="0.7">
      <c r="A19" s="694" t="s">
        <v>728</v>
      </c>
      <c r="B19" s="692">
        <f>[3]int.bevételek2026!B18</f>
        <v>3384</v>
      </c>
      <c r="C19" s="692"/>
      <c r="D19" s="692">
        <f t="shared" si="0"/>
        <v>3384</v>
      </c>
      <c r="E19" s="692">
        <f>[3]int.bevételek2026!C18</f>
        <v>0</v>
      </c>
      <c r="F19" s="692"/>
      <c r="G19" s="692">
        <f t="shared" si="1"/>
        <v>0</v>
      </c>
      <c r="H19" s="692">
        <f>[3]int.bevételek2026!D18</f>
        <v>0</v>
      </c>
      <c r="I19" s="692"/>
      <c r="J19" s="692">
        <f t="shared" si="2"/>
        <v>0</v>
      </c>
      <c r="K19" s="692">
        <f>[3]int.bevételek2026!E18</f>
        <v>0</v>
      </c>
      <c r="L19" s="692"/>
      <c r="M19" s="692">
        <f t="shared" si="3"/>
        <v>0</v>
      </c>
      <c r="N19" s="693">
        <f t="shared" si="4"/>
        <v>3384</v>
      </c>
      <c r="O19" s="693">
        <f t="shared" si="4"/>
        <v>0</v>
      </c>
      <c r="P19" s="693">
        <f t="shared" si="4"/>
        <v>3384</v>
      </c>
      <c r="Q19" s="694" t="s">
        <v>728</v>
      </c>
      <c r="R19" s="692">
        <f>[3]int.bevételek2026!H18</f>
        <v>0</v>
      </c>
      <c r="S19" s="692"/>
      <c r="T19" s="692">
        <f t="shared" si="5"/>
        <v>0</v>
      </c>
      <c r="U19" s="692">
        <f>[3]int.bevételek2026!I18</f>
        <v>0</v>
      </c>
      <c r="V19" s="692"/>
      <c r="W19" s="692">
        <f t="shared" si="12"/>
        <v>0</v>
      </c>
      <c r="X19" s="692">
        <f>[3]int.bevételek2026!J18</f>
        <v>0</v>
      </c>
      <c r="Y19" s="692"/>
      <c r="Z19" s="692">
        <f t="shared" si="6"/>
        <v>0</v>
      </c>
      <c r="AA19" s="693">
        <f t="shared" si="7"/>
        <v>0</v>
      </c>
      <c r="AB19" s="693">
        <f t="shared" si="7"/>
        <v>0</v>
      </c>
      <c r="AC19" s="693">
        <f t="shared" si="7"/>
        <v>0</v>
      </c>
      <c r="AD19" s="693">
        <f t="shared" si="10"/>
        <v>3384</v>
      </c>
      <c r="AE19" s="693">
        <f t="shared" si="10"/>
        <v>0</v>
      </c>
      <c r="AF19" s="693">
        <f t="shared" si="10"/>
        <v>3384</v>
      </c>
      <c r="AG19" s="694" t="s">
        <v>728</v>
      </c>
      <c r="AH19" s="692"/>
      <c r="AI19" s="692">
        <f>'[4]int.bevételek RM I maradvány'!AO19</f>
        <v>5227</v>
      </c>
      <c r="AJ19" s="692">
        <f t="shared" si="8"/>
        <v>5227</v>
      </c>
      <c r="AK19" s="692">
        <f>[3]int.bevételek2026!L18</f>
        <v>302427</v>
      </c>
      <c r="AL19" s="692">
        <f>'[4]int.bevételek RM I maradvány'!AS19+20601</f>
        <v>21403</v>
      </c>
      <c r="AM19" s="692">
        <f t="shared" si="11"/>
        <v>323830</v>
      </c>
      <c r="AN19" s="693">
        <f t="shared" si="9"/>
        <v>305811</v>
      </c>
      <c r="AO19" s="693">
        <f t="shared" si="9"/>
        <v>26630</v>
      </c>
      <c r="AP19" s="693">
        <f t="shared" si="9"/>
        <v>332441</v>
      </c>
    </row>
    <row r="20" spans="1:42" ht="48.75" customHeight="1" x14ac:dyDescent="0.7">
      <c r="A20" s="694" t="s">
        <v>729</v>
      </c>
      <c r="B20" s="692">
        <f>[3]int.bevételek2026!B19</f>
        <v>0</v>
      </c>
      <c r="C20" s="692">
        <v>124</v>
      </c>
      <c r="D20" s="692">
        <f t="shared" si="0"/>
        <v>124</v>
      </c>
      <c r="E20" s="692">
        <f>[3]int.bevételek2026!C19</f>
        <v>0</v>
      </c>
      <c r="F20" s="692">
        <v>44</v>
      </c>
      <c r="G20" s="692">
        <f t="shared" si="1"/>
        <v>44</v>
      </c>
      <c r="H20" s="692">
        <f>[3]int.bevételek2026!D19</f>
        <v>0</v>
      </c>
      <c r="I20" s="692"/>
      <c r="J20" s="692">
        <f t="shared" si="2"/>
        <v>0</v>
      </c>
      <c r="K20" s="692">
        <f>[3]int.bevételek2026!E19</f>
        <v>0</v>
      </c>
      <c r="L20" s="692"/>
      <c r="M20" s="692">
        <f t="shared" si="3"/>
        <v>0</v>
      </c>
      <c r="N20" s="693">
        <f t="shared" si="4"/>
        <v>0</v>
      </c>
      <c r="O20" s="693">
        <f t="shared" si="4"/>
        <v>168</v>
      </c>
      <c r="P20" s="693">
        <f t="shared" si="4"/>
        <v>168</v>
      </c>
      <c r="Q20" s="694" t="s">
        <v>729</v>
      </c>
      <c r="R20" s="692">
        <f>[3]int.bevételek2026!H19</f>
        <v>0</v>
      </c>
      <c r="S20" s="692"/>
      <c r="T20" s="692">
        <f t="shared" si="5"/>
        <v>0</v>
      </c>
      <c r="U20" s="692">
        <f>[3]int.bevételek2026!I19</f>
        <v>0</v>
      </c>
      <c r="V20" s="692"/>
      <c r="W20" s="692">
        <f t="shared" si="12"/>
        <v>0</v>
      </c>
      <c r="X20" s="692">
        <f>[3]int.bevételek2026!J19</f>
        <v>0</v>
      </c>
      <c r="Y20" s="692"/>
      <c r="Z20" s="692">
        <f t="shared" si="6"/>
        <v>0</v>
      </c>
      <c r="AA20" s="693">
        <f t="shared" si="7"/>
        <v>0</v>
      </c>
      <c r="AB20" s="693">
        <f t="shared" si="7"/>
        <v>0</v>
      </c>
      <c r="AC20" s="693">
        <f t="shared" si="7"/>
        <v>0</v>
      </c>
      <c r="AD20" s="693">
        <f t="shared" si="10"/>
        <v>0</v>
      </c>
      <c r="AE20" s="693">
        <f t="shared" si="10"/>
        <v>168</v>
      </c>
      <c r="AF20" s="693">
        <f t="shared" si="10"/>
        <v>168</v>
      </c>
      <c r="AG20" s="694" t="s">
        <v>729</v>
      </c>
      <c r="AH20" s="692"/>
      <c r="AI20" s="692">
        <f>'[4]int.bevételek RM I maradvány'!AO20</f>
        <v>864</v>
      </c>
      <c r="AJ20" s="692">
        <f t="shared" si="8"/>
        <v>864</v>
      </c>
      <c r="AK20" s="692">
        <f>[3]int.bevételek2026!L19</f>
        <v>138671</v>
      </c>
      <c r="AL20" s="692">
        <f>'[4]int.bevételek RM I maradvány'!AS20+6842</f>
        <v>8299</v>
      </c>
      <c r="AM20" s="692">
        <f t="shared" si="11"/>
        <v>146970</v>
      </c>
      <c r="AN20" s="693">
        <f t="shared" si="9"/>
        <v>138671</v>
      </c>
      <c r="AO20" s="693">
        <f t="shared" si="9"/>
        <v>9331</v>
      </c>
      <c r="AP20" s="693">
        <f t="shared" si="9"/>
        <v>148002</v>
      </c>
    </row>
    <row r="21" spans="1:42" ht="48.75" customHeight="1" x14ac:dyDescent="0.7">
      <c r="A21" s="694" t="s">
        <v>730</v>
      </c>
      <c r="B21" s="692">
        <f>[3]int.bevételek2026!B20</f>
        <v>1160</v>
      </c>
      <c r="C21" s="692"/>
      <c r="D21" s="692">
        <f t="shared" si="0"/>
        <v>1160</v>
      </c>
      <c r="E21" s="692">
        <f>[3]int.bevételek2026!C20</f>
        <v>0</v>
      </c>
      <c r="F21" s="692"/>
      <c r="G21" s="692">
        <f t="shared" si="1"/>
        <v>0</v>
      </c>
      <c r="H21" s="692">
        <f>[3]int.bevételek2026!D20</f>
        <v>0</v>
      </c>
      <c r="I21" s="692"/>
      <c r="J21" s="692">
        <f t="shared" si="2"/>
        <v>0</v>
      </c>
      <c r="K21" s="692">
        <f>[3]int.bevételek2026!E20</f>
        <v>0</v>
      </c>
      <c r="L21" s="692"/>
      <c r="M21" s="692">
        <f t="shared" si="3"/>
        <v>0</v>
      </c>
      <c r="N21" s="693">
        <f t="shared" si="4"/>
        <v>1160</v>
      </c>
      <c r="O21" s="693">
        <f t="shared" si="4"/>
        <v>0</v>
      </c>
      <c r="P21" s="693">
        <f t="shared" si="4"/>
        <v>1160</v>
      </c>
      <c r="Q21" s="694" t="s">
        <v>730</v>
      </c>
      <c r="R21" s="692">
        <f>[3]int.bevételek2026!H20</f>
        <v>0</v>
      </c>
      <c r="S21" s="692"/>
      <c r="T21" s="692">
        <f t="shared" si="5"/>
        <v>0</v>
      </c>
      <c r="U21" s="692">
        <f>[3]int.bevételek2026!I20</f>
        <v>0</v>
      </c>
      <c r="V21" s="692"/>
      <c r="W21" s="692">
        <f t="shared" si="12"/>
        <v>0</v>
      </c>
      <c r="X21" s="692">
        <f>[3]int.bevételek2026!J20</f>
        <v>0</v>
      </c>
      <c r="Y21" s="692"/>
      <c r="Z21" s="692">
        <f t="shared" si="6"/>
        <v>0</v>
      </c>
      <c r="AA21" s="693">
        <f t="shared" si="7"/>
        <v>0</v>
      </c>
      <c r="AB21" s="693">
        <f t="shared" si="7"/>
        <v>0</v>
      </c>
      <c r="AC21" s="693">
        <f t="shared" si="7"/>
        <v>0</v>
      </c>
      <c r="AD21" s="693">
        <f t="shared" si="10"/>
        <v>1160</v>
      </c>
      <c r="AE21" s="693">
        <f t="shared" si="10"/>
        <v>0</v>
      </c>
      <c r="AF21" s="693">
        <f t="shared" si="10"/>
        <v>1160</v>
      </c>
      <c r="AG21" s="694" t="s">
        <v>730</v>
      </c>
      <c r="AH21" s="692"/>
      <c r="AI21" s="692">
        <f>'[4]int.bevételek RM I maradvány'!AO21</f>
        <v>1185</v>
      </c>
      <c r="AJ21" s="692">
        <f t="shared" si="8"/>
        <v>1185</v>
      </c>
      <c r="AK21" s="692">
        <f>[3]int.bevételek2026!L20</f>
        <v>139749</v>
      </c>
      <c r="AL21" s="692">
        <f>'[4]int.bevételek RM I maradvány'!AS21+8294</f>
        <v>11045</v>
      </c>
      <c r="AM21" s="692">
        <f t="shared" si="11"/>
        <v>150794</v>
      </c>
      <c r="AN21" s="693">
        <f t="shared" si="9"/>
        <v>140909</v>
      </c>
      <c r="AO21" s="693">
        <f t="shared" si="9"/>
        <v>12230</v>
      </c>
      <c r="AP21" s="693">
        <f t="shared" si="9"/>
        <v>153139</v>
      </c>
    </row>
    <row r="22" spans="1:42" ht="48.75" customHeight="1" x14ac:dyDescent="0.7">
      <c r="A22" s="694" t="s">
        <v>731</v>
      </c>
      <c r="B22" s="692">
        <f>[3]int.bevételek2026!B21</f>
        <v>2552</v>
      </c>
      <c r="C22" s="692"/>
      <c r="D22" s="692">
        <f t="shared" si="0"/>
        <v>2552</v>
      </c>
      <c r="E22" s="692">
        <f>[3]int.bevételek2026!C21</f>
        <v>0</v>
      </c>
      <c r="F22" s="692">
        <v>24</v>
      </c>
      <c r="G22" s="692">
        <f t="shared" si="1"/>
        <v>24</v>
      </c>
      <c r="H22" s="692">
        <f>[3]int.bevételek2026!D21</f>
        <v>0</v>
      </c>
      <c r="I22" s="692"/>
      <c r="J22" s="692">
        <f t="shared" si="2"/>
        <v>0</v>
      </c>
      <c r="K22" s="692">
        <f>[3]int.bevételek2026!E21</f>
        <v>0</v>
      </c>
      <c r="L22" s="692"/>
      <c r="M22" s="692">
        <f t="shared" si="3"/>
        <v>0</v>
      </c>
      <c r="N22" s="693">
        <f t="shared" si="4"/>
        <v>2552</v>
      </c>
      <c r="O22" s="693">
        <f t="shared" si="4"/>
        <v>24</v>
      </c>
      <c r="P22" s="693">
        <f t="shared" si="4"/>
        <v>2576</v>
      </c>
      <c r="Q22" s="694" t="s">
        <v>731</v>
      </c>
      <c r="R22" s="692">
        <f>[3]int.bevételek2026!H21</f>
        <v>0</v>
      </c>
      <c r="S22" s="692"/>
      <c r="T22" s="692">
        <f t="shared" si="5"/>
        <v>0</v>
      </c>
      <c r="U22" s="692">
        <f>[3]int.bevételek2026!I21</f>
        <v>0</v>
      </c>
      <c r="V22" s="692"/>
      <c r="W22" s="692">
        <f t="shared" si="12"/>
        <v>0</v>
      </c>
      <c r="X22" s="692">
        <f>[3]int.bevételek2026!J21</f>
        <v>0</v>
      </c>
      <c r="Y22" s="692"/>
      <c r="Z22" s="692">
        <f t="shared" si="6"/>
        <v>0</v>
      </c>
      <c r="AA22" s="693">
        <f t="shared" si="7"/>
        <v>0</v>
      </c>
      <c r="AB22" s="693">
        <f t="shared" si="7"/>
        <v>0</v>
      </c>
      <c r="AC22" s="693">
        <f t="shared" si="7"/>
        <v>0</v>
      </c>
      <c r="AD22" s="693">
        <f t="shared" si="10"/>
        <v>2552</v>
      </c>
      <c r="AE22" s="693">
        <f t="shared" si="10"/>
        <v>24</v>
      </c>
      <c r="AF22" s="693">
        <f t="shared" si="10"/>
        <v>2576</v>
      </c>
      <c r="AG22" s="694" t="s">
        <v>731</v>
      </c>
      <c r="AH22" s="692"/>
      <c r="AI22" s="692">
        <f>'[4]int.bevételek RM I maradvány'!AO22</f>
        <v>1195</v>
      </c>
      <c r="AJ22" s="692">
        <f t="shared" si="8"/>
        <v>1195</v>
      </c>
      <c r="AK22" s="692">
        <f>[3]int.bevételek2026!L21</f>
        <v>171255</v>
      </c>
      <c r="AL22" s="692">
        <f>'[4]int.bevételek RM I maradvány'!AS22+8371</f>
        <v>11529</v>
      </c>
      <c r="AM22" s="692">
        <f t="shared" si="11"/>
        <v>182784</v>
      </c>
      <c r="AN22" s="693">
        <f t="shared" si="9"/>
        <v>173807</v>
      </c>
      <c r="AO22" s="693">
        <f t="shared" si="9"/>
        <v>12748</v>
      </c>
      <c r="AP22" s="693">
        <f t="shared" si="9"/>
        <v>186555</v>
      </c>
    </row>
    <row r="23" spans="1:42" ht="48.75" customHeight="1" x14ac:dyDescent="0.7">
      <c r="A23" s="694" t="s">
        <v>732</v>
      </c>
      <c r="B23" s="692">
        <f>[3]int.bevételek2026!B22</f>
        <v>280</v>
      </c>
      <c r="C23" s="692"/>
      <c r="D23" s="692">
        <f t="shared" si="0"/>
        <v>280</v>
      </c>
      <c r="E23" s="692">
        <f>[3]int.bevételek2026!C22</f>
        <v>0</v>
      </c>
      <c r="F23" s="692">
        <v>49</v>
      </c>
      <c r="G23" s="692">
        <f t="shared" si="1"/>
        <v>49</v>
      </c>
      <c r="H23" s="692">
        <f>[3]int.bevételek2026!D22</f>
        <v>0</v>
      </c>
      <c r="I23" s="692"/>
      <c r="J23" s="692">
        <f t="shared" si="2"/>
        <v>0</v>
      </c>
      <c r="K23" s="692">
        <f>[3]int.bevételek2026!E22</f>
        <v>0</v>
      </c>
      <c r="L23" s="692"/>
      <c r="M23" s="692">
        <f t="shared" si="3"/>
        <v>0</v>
      </c>
      <c r="N23" s="693">
        <f t="shared" si="4"/>
        <v>280</v>
      </c>
      <c r="O23" s="693">
        <f t="shared" si="4"/>
        <v>49</v>
      </c>
      <c r="P23" s="693">
        <f t="shared" si="4"/>
        <v>329</v>
      </c>
      <c r="Q23" s="694" t="s">
        <v>732</v>
      </c>
      <c r="R23" s="692">
        <f>[3]int.bevételek2026!H22</f>
        <v>0</v>
      </c>
      <c r="S23" s="692"/>
      <c r="T23" s="692">
        <f t="shared" si="5"/>
        <v>0</v>
      </c>
      <c r="U23" s="692">
        <f>[3]int.bevételek2026!I22</f>
        <v>0</v>
      </c>
      <c r="V23" s="692"/>
      <c r="W23" s="692">
        <f t="shared" si="12"/>
        <v>0</v>
      </c>
      <c r="X23" s="692">
        <f>[3]int.bevételek2026!J22</f>
        <v>0</v>
      </c>
      <c r="Y23" s="692"/>
      <c r="Z23" s="692">
        <f t="shared" si="6"/>
        <v>0</v>
      </c>
      <c r="AA23" s="693">
        <f t="shared" si="7"/>
        <v>0</v>
      </c>
      <c r="AB23" s="693">
        <f t="shared" si="7"/>
        <v>0</v>
      </c>
      <c r="AC23" s="693">
        <f t="shared" si="7"/>
        <v>0</v>
      </c>
      <c r="AD23" s="693">
        <f t="shared" si="10"/>
        <v>280</v>
      </c>
      <c r="AE23" s="693">
        <f t="shared" si="10"/>
        <v>49</v>
      </c>
      <c r="AF23" s="693">
        <f t="shared" si="10"/>
        <v>329</v>
      </c>
      <c r="AG23" s="694" t="s">
        <v>732</v>
      </c>
      <c r="AH23" s="692"/>
      <c r="AI23" s="692">
        <f>'[4]int.bevételek RM I maradvány'!AO23</f>
        <v>2476</v>
      </c>
      <c r="AJ23" s="692">
        <f t="shared" si="8"/>
        <v>2476</v>
      </c>
      <c r="AK23" s="692">
        <f>[3]int.bevételek2026!L22</f>
        <v>205296</v>
      </c>
      <c r="AL23" s="692">
        <f>'[4]int.bevételek RM I maradvány'!AS23+10004</f>
        <v>16824</v>
      </c>
      <c r="AM23" s="692">
        <f t="shared" si="11"/>
        <v>222120</v>
      </c>
      <c r="AN23" s="693">
        <f t="shared" si="9"/>
        <v>205576</v>
      </c>
      <c r="AO23" s="693">
        <f t="shared" si="9"/>
        <v>19349</v>
      </c>
      <c r="AP23" s="693">
        <f t="shared" si="9"/>
        <v>224925</v>
      </c>
    </row>
    <row r="24" spans="1:42" ht="48.75" customHeight="1" x14ac:dyDescent="0.7">
      <c r="A24" s="694" t="s">
        <v>733</v>
      </c>
      <c r="B24" s="692">
        <f>[3]int.bevételek2026!B23</f>
        <v>1640</v>
      </c>
      <c r="C24" s="692"/>
      <c r="D24" s="692">
        <f t="shared" si="0"/>
        <v>1640</v>
      </c>
      <c r="E24" s="692">
        <f>[3]int.bevételek2026!C23</f>
        <v>0</v>
      </c>
      <c r="F24" s="692"/>
      <c r="G24" s="692">
        <f t="shared" si="1"/>
        <v>0</v>
      </c>
      <c r="H24" s="692">
        <f>[3]int.bevételek2026!D23</f>
        <v>0</v>
      </c>
      <c r="I24" s="692"/>
      <c r="J24" s="692">
        <f t="shared" si="2"/>
        <v>0</v>
      </c>
      <c r="K24" s="692">
        <f>[3]int.bevételek2026!E23</f>
        <v>0</v>
      </c>
      <c r="L24" s="692"/>
      <c r="M24" s="692">
        <f t="shared" si="3"/>
        <v>0</v>
      </c>
      <c r="N24" s="693">
        <f t="shared" si="4"/>
        <v>1640</v>
      </c>
      <c r="O24" s="693">
        <f t="shared" si="4"/>
        <v>0</v>
      </c>
      <c r="P24" s="693">
        <f t="shared" si="4"/>
        <v>1640</v>
      </c>
      <c r="Q24" s="694" t="s">
        <v>733</v>
      </c>
      <c r="R24" s="692">
        <f>[3]int.bevételek2026!H23</f>
        <v>0</v>
      </c>
      <c r="S24" s="692"/>
      <c r="T24" s="692">
        <f t="shared" si="5"/>
        <v>0</v>
      </c>
      <c r="U24" s="692">
        <f>[3]int.bevételek2026!I23</f>
        <v>0</v>
      </c>
      <c r="V24" s="692"/>
      <c r="W24" s="692">
        <f>SUM(U24:V24)</f>
        <v>0</v>
      </c>
      <c r="X24" s="692">
        <f>[3]int.bevételek2026!J23</f>
        <v>0</v>
      </c>
      <c r="Y24" s="692"/>
      <c r="Z24" s="692">
        <f t="shared" si="6"/>
        <v>0</v>
      </c>
      <c r="AA24" s="693">
        <f t="shared" si="7"/>
        <v>0</v>
      </c>
      <c r="AB24" s="693">
        <f t="shared" si="7"/>
        <v>0</v>
      </c>
      <c r="AC24" s="693">
        <f t="shared" si="7"/>
        <v>0</v>
      </c>
      <c r="AD24" s="693">
        <f t="shared" si="10"/>
        <v>1640</v>
      </c>
      <c r="AE24" s="693">
        <f t="shared" si="10"/>
        <v>0</v>
      </c>
      <c r="AF24" s="693">
        <f t="shared" si="10"/>
        <v>1640</v>
      </c>
      <c r="AG24" s="694" t="s">
        <v>733</v>
      </c>
      <c r="AH24" s="692"/>
      <c r="AI24" s="692">
        <f>'[4]int.bevételek RM I maradvány'!AO24</f>
        <v>1221</v>
      </c>
      <c r="AJ24" s="692">
        <f t="shared" si="8"/>
        <v>1221</v>
      </c>
      <c r="AK24" s="692">
        <f>[3]int.bevételek2026!L23</f>
        <v>289324</v>
      </c>
      <c r="AL24" s="692">
        <f>'[4]int.bevételek RM I maradvány'!AS24+17052</f>
        <v>25357</v>
      </c>
      <c r="AM24" s="692">
        <f t="shared" si="11"/>
        <v>314681</v>
      </c>
      <c r="AN24" s="693">
        <f t="shared" si="9"/>
        <v>290964</v>
      </c>
      <c r="AO24" s="693">
        <f t="shared" si="9"/>
        <v>26578</v>
      </c>
      <c r="AP24" s="693">
        <f t="shared" si="9"/>
        <v>317542</v>
      </c>
    </row>
    <row r="25" spans="1:42" ht="48.75" customHeight="1" x14ac:dyDescent="0.7">
      <c r="A25" s="694" t="s">
        <v>734</v>
      </c>
      <c r="B25" s="692">
        <f>[3]int.bevételek2026!B24</f>
        <v>320</v>
      </c>
      <c r="C25" s="692">
        <v>9</v>
      </c>
      <c r="D25" s="692">
        <f t="shared" si="0"/>
        <v>329</v>
      </c>
      <c r="E25" s="692">
        <f>[3]int.bevételek2026!C24</f>
        <v>0</v>
      </c>
      <c r="F25" s="692">
        <v>96</v>
      </c>
      <c r="G25" s="692">
        <f t="shared" si="1"/>
        <v>96</v>
      </c>
      <c r="H25" s="692">
        <f>[3]int.bevételek2026!D24</f>
        <v>0</v>
      </c>
      <c r="I25" s="692"/>
      <c r="J25" s="692">
        <f t="shared" si="2"/>
        <v>0</v>
      </c>
      <c r="K25" s="692">
        <f>[3]int.bevételek2026!E24</f>
        <v>0</v>
      </c>
      <c r="L25" s="692"/>
      <c r="M25" s="692">
        <f t="shared" si="3"/>
        <v>0</v>
      </c>
      <c r="N25" s="693">
        <f t="shared" si="4"/>
        <v>320</v>
      </c>
      <c r="O25" s="693">
        <f t="shared" si="4"/>
        <v>105</v>
      </c>
      <c r="P25" s="693">
        <f t="shared" si="4"/>
        <v>425</v>
      </c>
      <c r="Q25" s="694" t="s">
        <v>734</v>
      </c>
      <c r="R25" s="692">
        <f>[3]int.bevételek2026!H24</f>
        <v>0</v>
      </c>
      <c r="S25" s="692"/>
      <c r="T25" s="692">
        <f t="shared" si="5"/>
        <v>0</v>
      </c>
      <c r="U25" s="692">
        <f>[3]int.bevételek2026!I24</f>
        <v>0</v>
      </c>
      <c r="V25" s="692"/>
      <c r="W25" s="692">
        <f>SUM(U25:V25)</f>
        <v>0</v>
      </c>
      <c r="X25" s="692">
        <f>[3]int.bevételek2026!J24</f>
        <v>0</v>
      </c>
      <c r="Y25" s="692"/>
      <c r="Z25" s="692">
        <f t="shared" si="6"/>
        <v>0</v>
      </c>
      <c r="AA25" s="693">
        <f t="shared" si="7"/>
        <v>0</v>
      </c>
      <c r="AB25" s="693">
        <f t="shared" si="7"/>
        <v>0</v>
      </c>
      <c r="AC25" s="693">
        <f t="shared" si="7"/>
        <v>0</v>
      </c>
      <c r="AD25" s="693">
        <f t="shared" si="10"/>
        <v>320</v>
      </c>
      <c r="AE25" s="693">
        <f t="shared" si="10"/>
        <v>105</v>
      </c>
      <c r="AF25" s="693">
        <f t="shared" si="10"/>
        <v>425</v>
      </c>
      <c r="AG25" s="694" t="s">
        <v>734</v>
      </c>
      <c r="AH25" s="692"/>
      <c r="AI25" s="692">
        <f>'[4]int.bevételek RM I maradvány'!AO25</f>
        <v>2113</v>
      </c>
      <c r="AJ25" s="692">
        <f t="shared" si="8"/>
        <v>2113</v>
      </c>
      <c r="AK25" s="692">
        <f>[3]int.bevételek2026!L24</f>
        <v>207353</v>
      </c>
      <c r="AL25" s="692">
        <f>'[4]int.bevételek RM I maradvány'!AS25+6079</f>
        <v>20248</v>
      </c>
      <c r="AM25" s="692">
        <f t="shared" si="11"/>
        <v>227601</v>
      </c>
      <c r="AN25" s="693">
        <f t="shared" si="9"/>
        <v>207673</v>
      </c>
      <c r="AO25" s="693">
        <f t="shared" si="9"/>
        <v>22466</v>
      </c>
      <c r="AP25" s="693">
        <f t="shared" si="9"/>
        <v>230139</v>
      </c>
    </row>
    <row r="26" spans="1:42" ht="48.75" customHeight="1" x14ac:dyDescent="0.7">
      <c r="A26" s="691" t="s">
        <v>735</v>
      </c>
      <c r="B26" s="692">
        <f>[3]int.bevételek2026!B25</f>
        <v>1104</v>
      </c>
      <c r="C26" s="692"/>
      <c r="D26" s="692">
        <f t="shared" si="0"/>
        <v>1104</v>
      </c>
      <c r="E26" s="692">
        <f>[3]int.bevételek2026!C25</f>
        <v>0</v>
      </c>
      <c r="F26" s="692"/>
      <c r="G26" s="692">
        <f t="shared" si="1"/>
        <v>0</v>
      </c>
      <c r="H26" s="692">
        <f>[3]int.bevételek2026!D25</f>
        <v>0</v>
      </c>
      <c r="I26" s="692"/>
      <c r="J26" s="692">
        <f t="shared" si="2"/>
        <v>0</v>
      </c>
      <c r="K26" s="692">
        <f>[3]int.bevételek2026!E25</f>
        <v>0</v>
      </c>
      <c r="L26" s="692"/>
      <c r="M26" s="692">
        <f t="shared" si="3"/>
        <v>0</v>
      </c>
      <c r="N26" s="693">
        <f t="shared" si="4"/>
        <v>1104</v>
      </c>
      <c r="O26" s="693">
        <f t="shared" si="4"/>
        <v>0</v>
      </c>
      <c r="P26" s="693">
        <f t="shared" si="4"/>
        <v>1104</v>
      </c>
      <c r="Q26" s="691" t="s">
        <v>735</v>
      </c>
      <c r="R26" s="692">
        <f>[3]int.bevételek2026!H25</f>
        <v>0</v>
      </c>
      <c r="S26" s="692"/>
      <c r="T26" s="692">
        <f t="shared" si="5"/>
        <v>0</v>
      </c>
      <c r="U26" s="692">
        <f>[3]int.bevételek2026!I25</f>
        <v>0</v>
      </c>
      <c r="V26" s="692"/>
      <c r="W26" s="692">
        <f>SUM(U26:V26)</f>
        <v>0</v>
      </c>
      <c r="X26" s="692">
        <f>[3]int.bevételek2026!J25</f>
        <v>0</v>
      </c>
      <c r="Y26" s="692"/>
      <c r="Z26" s="692">
        <f t="shared" si="6"/>
        <v>0</v>
      </c>
      <c r="AA26" s="693">
        <f t="shared" si="7"/>
        <v>0</v>
      </c>
      <c r="AB26" s="693">
        <f t="shared" si="7"/>
        <v>0</v>
      </c>
      <c r="AC26" s="693">
        <f t="shared" si="7"/>
        <v>0</v>
      </c>
      <c r="AD26" s="693">
        <f t="shared" si="10"/>
        <v>1104</v>
      </c>
      <c r="AE26" s="693">
        <f t="shared" si="10"/>
        <v>0</v>
      </c>
      <c r="AF26" s="693">
        <f t="shared" si="10"/>
        <v>1104</v>
      </c>
      <c r="AG26" s="691" t="s">
        <v>735</v>
      </c>
      <c r="AH26" s="692"/>
      <c r="AI26" s="692">
        <f>'[4]int.bevételek RM I maradvány'!AO26</f>
        <v>799</v>
      </c>
      <c r="AJ26" s="692">
        <f t="shared" si="8"/>
        <v>799</v>
      </c>
      <c r="AK26" s="692">
        <f>[3]int.bevételek2026!L25</f>
        <v>170456</v>
      </c>
      <c r="AL26" s="692">
        <f>'[4]int.bevételek RM I maradvány'!AS26+8294</f>
        <v>10702</v>
      </c>
      <c r="AM26" s="692">
        <f t="shared" si="11"/>
        <v>181158</v>
      </c>
      <c r="AN26" s="693">
        <f t="shared" si="9"/>
        <v>171560</v>
      </c>
      <c r="AO26" s="693">
        <f t="shared" si="9"/>
        <v>11501</v>
      </c>
      <c r="AP26" s="693">
        <f t="shared" si="9"/>
        <v>183061</v>
      </c>
    </row>
    <row r="27" spans="1:42" ht="48.75" customHeight="1" thickBot="1" x14ac:dyDescent="0.75">
      <c r="A27" s="695" t="s">
        <v>736</v>
      </c>
      <c r="B27" s="692">
        <f>[3]int.bevételek2026!B26</f>
        <v>1600</v>
      </c>
      <c r="C27" s="696"/>
      <c r="D27" s="696">
        <f t="shared" si="0"/>
        <v>1600</v>
      </c>
      <c r="E27" s="692">
        <f>[3]int.bevételek2026!C26</f>
        <v>0</v>
      </c>
      <c r="F27" s="696"/>
      <c r="G27" s="696">
        <f t="shared" si="1"/>
        <v>0</v>
      </c>
      <c r="H27" s="696">
        <f>[3]int.bevételek2026!D26</f>
        <v>0</v>
      </c>
      <c r="I27" s="696"/>
      <c r="J27" s="696">
        <f t="shared" si="2"/>
        <v>0</v>
      </c>
      <c r="K27" s="696">
        <f>[3]int.bevételek2026!E26</f>
        <v>0</v>
      </c>
      <c r="L27" s="696"/>
      <c r="M27" s="692">
        <f t="shared" si="3"/>
        <v>0</v>
      </c>
      <c r="N27" s="693">
        <f t="shared" si="4"/>
        <v>1600</v>
      </c>
      <c r="O27" s="693">
        <f t="shared" si="4"/>
        <v>0</v>
      </c>
      <c r="P27" s="693">
        <f t="shared" si="4"/>
        <v>1600</v>
      </c>
      <c r="Q27" s="695" t="s">
        <v>736</v>
      </c>
      <c r="R27" s="696">
        <f>[3]int.bevételek2026!H26</f>
        <v>0</v>
      </c>
      <c r="S27" s="696"/>
      <c r="T27" s="696">
        <f t="shared" si="5"/>
        <v>0</v>
      </c>
      <c r="U27" s="696">
        <f>[3]int.bevételek2026!I26</f>
        <v>0</v>
      </c>
      <c r="V27" s="696"/>
      <c r="W27" s="692">
        <f>SUM(U27:V27)</f>
        <v>0</v>
      </c>
      <c r="X27" s="696">
        <f>[3]int.bevételek2026!J26</f>
        <v>0</v>
      </c>
      <c r="Y27" s="696"/>
      <c r="Z27" s="696">
        <f t="shared" si="6"/>
        <v>0</v>
      </c>
      <c r="AA27" s="693">
        <f t="shared" si="7"/>
        <v>0</v>
      </c>
      <c r="AB27" s="693">
        <f t="shared" si="7"/>
        <v>0</v>
      </c>
      <c r="AC27" s="693">
        <f t="shared" si="7"/>
        <v>0</v>
      </c>
      <c r="AD27" s="697">
        <f t="shared" si="10"/>
        <v>1600</v>
      </c>
      <c r="AE27" s="697">
        <f t="shared" si="10"/>
        <v>0</v>
      </c>
      <c r="AF27" s="697">
        <f t="shared" si="10"/>
        <v>1600</v>
      </c>
      <c r="AG27" s="695" t="s">
        <v>736</v>
      </c>
      <c r="AH27" s="696"/>
      <c r="AI27" s="696">
        <f>'[4]int.bevételek RM I maradvány'!AO27</f>
        <v>1228</v>
      </c>
      <c r="AJ27" s="696">
        <f t="shared" si="8"/>
        <v>1228</v>
      </c>
      <c r="AK27" s="692">
        <f>[3]int.bevételek2026!L26</f>
        <v>115314</v>
      </c>
      <c r="AL27" s="692">
        <f>'[4]int.bevételek RM I maradvány'!AS27+4920</f>
        <v>5827</v>
      </c>
      <c r="AM27" s="692">
        <f t="shared" si="11"/>
        <v>121141</v>
      </c>
      <c r="AN27" s="693">
        <f t="shared" si="9"/>
        <v>116914</v>
      </c>
      <c r="AO27" s="693">
        <f t="shared" si="9"/>
        <v>7055</v>
      </c>
      <c r="AP27" s="693">
        <f t="shared" si="9"/>
        <v>123969</v>
      </c>
    </row>
    <row r="28" spans="1:42" ht="60.75" customHeight="1" thickBot="1" x14ac:dyDescent="0.75">
      <c r="A28" s="698" t="s">
        <v>737</v>
      </c>
      <c r="B28" s="699">
        <f t="shared" ref="B28:P28" si="13">SUM(B10:B27)</f>
        <v>24600</v>
      </c>
      <c r="C28" s="699">
        <f t="shared" si="13"/>
        <v>133</v>
      </c>
      <c r="D28" s="699">
        <f t="shared" si="13"/>
        <v>24733</v>
      </c>
      <c r="E28" s="699">
        <f t="shared" si="13"/>
        <v>0</v>
      </c>
      <c r="F28" s="699">
        <f t="shared" si="13"/>
        <v>568</v>
      </c>
      <c r="G28" s="699">
        <f t="shared" si="13"/>
        <v>568</v>
      </c>
      <c r="H28" s="699">
        <f t="shared" si="13"/>
        <v>0</v>
      </c>
      <c r="I28" s="699">
        <f t="shared" si="13"/>
        <v>0</v>
      </c>
      <c r="J28" s="699">
        <f t="shared" si="13"/>
        <v>0</v>
      </c>
      <c r="K28" s="699">
        <f t="shared" si="13"/>
        <v>0</v>
      </c>
      <c r="L28" s="699">
        <f t="shared" si="13"/>
        <v>0</v>
      </c>
      <c r="M28" s="699">
        <f t="shared" si="13"/>
        <v>0</v>
      </c>
      <c r="N28" s="699">
        <f t="shared" si="13"/>
        <v>24600</v>
      </c>
      <c r="O28" s="699">
        <f t="shared" si="13"/>
        <v>701</v>
      </c>
      <c r="P28" s="699">
        <f t="shared" si="13"/>
        <v>25301</v>
      </c>
      <c r="Q28" s="698" t="s">
        <v>737</v>
      </c>
      <c r="R28" s="699">
        <f t="shared" ref="R28:AC28" si="14">SUM(R10:R27)</f>
        <v>0</v>
      </c>
      <c r="S28" s="699">
        <f t="shared" si="14"/>
        <v>0</v>
      </c>
      <c r="T28" s="699">
        <f t="shared" si="14"/>
        <v>0</v>
      </c>
      <c r="U28" s="699">
        <f t="shared" si="14"/>
        <v>0</v>
      </c>
      <c r="V28" s="699">
        <f t="shared" si="14"/>
        <v>0</v>
      </c>
      <c r="W28" s="699">
        <f t="shared" si="14"/>
        <v>0</v>
      </c>
      <c r="X28" s="699">
        <f t="shared" si="14"/>
        <v>0</v>
      </c>
      <c r="Y28" s="699">
        <f t="shared" si="14"/>
        <v>0</v>
      </c>
      <c r="Z28" s="699">
        <f t="shared" si="14"/>
        <v>0</v>
      </c>
      <c r="AA28" s="699">
        <f t="shared" si="14"/>
        <v>0</v>
      </c>
      <c r="AB28" s="699">
        <f t="shared" si="14"/>
        <v>0</v>
      </c>
      <c r="AC28" s="699">
        <f t="shared" si="14"/>
        <v>0</v>
      </c>
      <c r="AD28" s="700">
        <f t="shared" si="10"/>
        <v>24600</v>
      </c>
      <c r="AE28" s="700">
        <f t="shared" si="10"/>
        <v>701</v>
      </c>
      <c r="AF28" s="699">
        <f t="shared" si="10"/>
        <v>25301</v>
      </c>
      <c r="AG28" s="698" t="s">
        <v>737</v>
      </c>
      <c r="AH28" s="699">
        <f>SUM(AH10:AH27)</f>
        <v>0</v>
      </c>
      <c r="AI28" s="699">
        <f>SUM(AI10:AI27)</f>
        <v>32923</v>
      </c>
      <c r="AJ28" s="699">
        <f>SUM(AJ10:AJ27)</f>
        <v>32923</v>
      </c>
      <c r="AK28" s="699">
        <f t="shared" ref="AK28:AP28" si="15">SUM(AK10:AK27)</f>
        <v>3840911</v>
      </c>
      <c r="AL28" s="699">
        <f t="shared" si="15"/>
        <v>275913</v>
      </c>
      <c r="AM28" s="699">
        <f t="shared" si="15"/>
        <v>4116824</v>
      </c>
      <c r="AN28" s="699">
        <f t="shared" si="15"/>
        <v>3865511</v>
      </c>
      <c r="AO28" s="699">
        <f t="shared" si="15"/>
        <v>309537</v>
      </c>
      <c r="AP28" s="699">
        <f t="shared" si="15"/>
        <v>4175048</v>
      </c>
    </row>
    <row r="29" spans="1:42" ht="48.75" customHeight="1" thickBot="1" x14ac:dyDescent="0.75">
      <c r="A29" s="701" t="s">
        <v>675</v>
      </c>
      <c r="B29" s="692">
        <f>[3]int.bevételek2026!B28</f>
        <v>694181</v>
      </c>
      <c r="C29" s="702"/>
      <c r="D29" s="702">
        <f>SUM(B29:C29)</f>
        <v>694181</v>
      </c>
      <c r="E29" s="692">
        <f>[3]int.bevételek2026!C28</f>
        <v>0</v>
      </c>
      <c r="F29" s="702">
        <v>1539</v>
      </c>
      <c r="G29" s="702">
        <f>SUM(E29:F29)</f>
        <v>1539</v>
      </c>
      <c r="H29" s="702">
        <f>[3]int.bevételek2026!D28</f>
        <v>0</v>
      </c>
      <c r="I29" s="702"/>
      <c r="J29" s="702">
        <f>SUM(H29:I29)</f>
        <v>0</v>
      </c>
      <c r="K29" s="702">
        <f>[3]int.bevételek2026!E28</f>
        <v>0</v>
      </c>
      <c r="L29" s="702"/>
      <c r="M29" s="702">
        <f>SUM(K29:L29)</f>
        <v>0</v>
      </c>
      <c r="N29" s="693">
        <f>B29+E29+H29+K29</f>
        <v>694181</v>
      </c>
      <c r="O29" s="693">
        <f>C29+F29+I29+L29</f>
        <v>1539</v>
      </c>
      <c r="P29" s="693">
        <f>D29+G29+J29+M29</f>
        <v>695720</v>
      </c>
      <c r="Q29" s="701" t="s">
        <v>675</v>
      </c>
      <c r="R29" s="702">
        <f>[3]int.bevételek2026!H28</f>
        <v>0</v>
      </c>
      <c r="S29" s="702"/>
      <c r="T29" s="702">
        <f>SUM(R29:S29)</f>
        <v>0</v>
      </c>
      <c r="U29" s="702">
        <f>[3]int.bevételek2026!I28</f>
        <v>0</v>
      </c>
      <c r="V29" s="702"/>
      <c r="W29" s="702">
        <f>SUM(U29:V29)</f>
        <v>0</v>
      </c>
      <c r="X29" s="702">
        <f>[3]int.bevételek2026!J28</f>
        <v>0</v>
      </c>
      <c r="Y29" s="702"/>
      <c r="Z29" s="702">
        <f>SUM(X29:Y29)</f>
        <v>0</v>
      </c>
      <c r="AA29" s="693">
        <f>R29+U29+X29</f>
        <v>0</v>
      </c>
      <c r="AB29" s="693">
        <f>S29+V29+Y29</f>
        <v>0</v>
      </c>
      <c r="AC29" s="693">
        <f>T29+W29+Z29</f>
        <v>0</v>
      </c>
      <c r="AD29" s="703">
        <f t="shared" si="10"/>
        <v>694181</v>
      </c>
      <c r="AE29" s="703">
        <f t="shared" si="10"/>
        <v>1539</v>
      </c>
      <c r="AF29" s="699">
        <f t="shared" si="10"/>
        <v>695720</v>
      </c>
      <c r="AG29" s="701" t="s">
        <v>675</v>
      </c>
      <c r="AH29" s="702"/>
      <c r="AI29" s="702">
        <f>'[4]int.bevételek RM I maradvány'!AO29</f>
        <v>5542</v>
      </c>
      <c r="AJ29" s="702">
        <f>SUM(AH29:AI29)</f>
        <v>5542</v>
      </c>
      <c r="AK29" s="692">
        <f>[3]int.bevételek2026!L28</f>
        <v>2003033</v>
      </c>
      <c r="AL29" s="692">
        <f>'[4]int.bevételek RM I maradvány'!AS29+41567</f>
        <v>83364</v>
      </c>
      <c r="AM29" s="692">
        <f>SUM(AK29:AL29)</f>
        <v>2086397</v>
      </c>
      <c r="AN29" s="693">
        <f>N29+AA29+AH29+AK29</f>
        <v>2697214</v>
      </c>
      <c r="AO29" s="693">
        <f>O29+AB29+AI29+AL29</f>
        <v>90445</v>
      </c>
      <c r="AP29" s="693">
        <f>P29+AC29+AJ29+AM29</f>
        <v>2787659</v>
      </c>
    </row>
    <row r="30" spans="1:42" ht="61.5" customHeight="1" thickBot="1" x14ac:dyDescent="0.75">
      <c r="A30" s="704" t="s">
        <v>738</v>
      </c>
      <c r="B30" s="699">
        <f t="shared" ref="B30:P30" si="16">B28+B29</f>
        <v>718781</v>
      </c>
      <c r="C30" s="699">
        <f t="shared" si="16"/>
        <v>133</v>
      </c>
      <c r="D30" s="699">
        <f t="shared" si="16"/>
        <v>718914</v>
      </c>
      <c r="E30" s="699">
        <f t="shared" si="16"/>
        <v>0</v>
      </c>
      <c r="F30" s="699">
        <f t="shared" si="16"/>
        <v>2107</v>
      </c>
      <c r="G30" s="699">
        <f t="shared" si="16"/>
        <v>2107</v>
      </c>
      <c r="H30" s="699">
        <f t="shared" si="16"/>
        <v>0</v>
      </c>
      <c r="I30" s="699">
        <f t="shared" si="16"/>
        <v>0</v>
      </c>
      <c r="J30" s="699">
        <f t="shared" si="16"/>
        <v>0</v>
      </c>
      <c r="K30" s="699">
        <f t="shared" si="16"/>
        <v>0</v>
      </c>
      <c r="L30" s="699">
        <f t="shared" si="16"/>
        <v>0</v>
      </c>
      <c r="M30" s="699">
        <f t="shared" si="16"/>
        <v>0</v>
      </c>
      <c r="N30" s="699">
        <f t="shared" si="16"/>
        <v>718781</v>
      </c>
      <c r="O30" s="699">
        <f t="shared" si="16"/>
        <v>2240</v>
      </c>
      <c r="P30" s="699">
        <f t="shared" si="16"/>
        <v>721021</v>
      </c>
      <c r="Q30" s="704" t="s">
        <v>738</v>
      </c>
      <c r="R30" s="699">
        <f t="shared" ref="R30:AC30" si="17">R28+R29</f>
        <v>0</v>
      </c>
      <c r="S30" s="699">
        <f t="shared" si="17"/>
        <v>0</v>
      </c>
      <c r="T30" s="699">
        <f t="shared" si="17"/>
        <v>0</v>
      </c>
      <c r="U30" s="699">
        <f t="shared" si="17"/>
        <v>0</v>
      </c>
      <c r="V30" s="699">
        <f t="shared" si="17"/>
        <v>0</v>
      </c>
      <c r="W30" s="699">
        <f t="shared" si="17"/>
        <v>0</v>
      </c>
      <c r="X30" s="699">
        <f t="shared" si="17"/>
        <v>0</v>
      </c>
      <c r="Y30" s="699">
        <f t="shared" si="17"/>
        <v>0</v>
      </c>
      <c r="Z30" s="699">
        <f t="shared" si="17"/>
        <v>0</v>
      </c>
      <c r="AA30" s="699">
        <f t="shared" si="17"/>
        <v>0</v>
      </c>
      <c r="AB30" s="699">
        <f t="shared" si="17"/>
        <v>0</v>
      </c>
      <c r="AC30" s="699">
        <f t="shared" si="17"/>
        <v>0</v>
      </c>
      <c r="AD30" s="700">
        <f t="shared" si="10"/>
        <v>718781</v>
      </c>
      <c r="AE30" s="700">
        <f t="shared" si="10"/>
        <v>2240</v>
      </c>
      <c r="AF30" s="699">
        <f t="shared" si="10"/>
        <v>721021</v>
      </c>
      <c r="AG30" s="704" t="s">
        <v>738</v>
      </c>
      <c r="AH30" s="699">
        <f>AH28+AH29</f>
        <v>0</v>
      </c>
      <c r="AI30" s="699">
        <f>AI28+AI29</f>
        <v>38465</v>
      </c>
      <c r="AJ30" s="699">
        <f>AJ28+AJ29</f>
        <v>38465</v>
      </c>
      <c r="AK30" s="699">
        <f t="shared" ref="AK30:AP30" si="18">AK28+AK29</f>
        <v>5843944</v>
      </c>
      <c r="AL30" s="699">
        <f t="shared" si="18"/>
        <v>359277</v>
      </c>
      <c r="AM30" s="699">
        <f t="shared" si="18"/>
        <v>6203221</v>
      </c>
      <c r="AN30" s="699">
        <f t="shared" si="18"/>
        <v>6562725</v>
      </c>
      <c r="AO30" s="699">
        <f t="shared" si="18"/>
        <v>399982</v>
      </c>
      <c r="AP30" s="699">
        <f t="shared" si="18"/>
        <v>6962707</v>
      </c>
    </row>
    <row r="31" spans="1:42" ht="48.75" customHeight="1" x14ac:dyDescent="0.7">
      <c r="A31" s="688" t="s">
        <v>739</v>
      </c>
      <c r="B31" s="705"/>
      <c r="C31" s="689"/>
      <c r="D31" s="689"/>
      <c r="E31" s="689"/>
      <c r="F31" s="689"/>
      <c r="G31" s="689"/>
      <c r="H31" s="705"/>
      <c r="I31" s="705"/>
      <c r="J31" s="689"/>
      <c r="K31" s="705"/>
      <c r="L31" s="705"/>
      <c r="M31" s="689"/>
      <c r="N31" s="689"/>
      <c r="O31" s="689"/>
      <c r="P31" s="705"/>
      <c r="Q31" s="688" t="s">
        <v>739</v>
      </c>
      <c r="R31" s="705"/>
      <c r="S31" s="689"/>
      <c r="T31" s="689"/>
      <c r="U31" s="689"/>
      <c r="V31" s="689"/>
      <c r="W31" s="705"/>
      <c r="X31" s="705"/>
      <c r="Y31" s="689"/>
      <c r="Z31" s="689"/>
      <c r="AA31" s="705"/>
      <c r="AB31" s="689"/>
      <c r="AC31" s="705"/>
      <c r="AD31" s="705"/>
      <c r="AE31" s="705"/>
      <c r="AF31" s="705"/>
      <c r="AG31" s="706" t="s">
        <v>739</v>
      </c>
      <c r="AH31" s="689"/>
      <c r="AI31" s="705"/>
      <c r="AJ31" s="689"/>
      <c r="AK31" s="705"/>
      <c r="AL31" s="705"/>
      <c r="AM31" s="705"/>
      <c r="AN31" s="689"/>
      <c r="AO31" s="689"/>
      <c r="AP31" s="705"/>
    </row>
    <row r="32" spans="1:42" ht="48" customHeight="1" x14ac:dyDescent="0.7">
      <c r="A32" s="707" t="s">
        <v>740</v>
      </c>
      <c r="B32" s="705"/>
      <c r="C32" s="705"/>
      <c r="D32" s="708"/>
      <c r="E32" s="705"/>
      <c r="F32" s="705"/>
      <c r="G32" s="705"/>
      <c r="H32" s="705"/>
      <c r="I32" s="705"/>
      <c r="J32" s="705"/>
      <c r="K32" s="705"/>
      <c r="L32" s="705"/>
      <c r="M32" s="705"/>
      <c r="N32" s="705"/>
      <c r="O32" s="705"/>
      <c r="P32" s="705"/>
      <c r="Q32" s="707" t="s">
        <v>740</v>
      </c>
      <c r="R32" s="705"/>
      <c r="S32" s="705"/>
      <c r="T32" s="705"/>
      <c r="U32" s="705"/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7" t="s">
        <v>740</v>
      </c>
      <c r="AH32" s="705"/>
      <c r="AI32" s="705"/>
      <c r="AJ32" s="705"/>
      <c r="AK32" s="705"/>
      <c r="AL32" s="705"/>
      <c r="AM32" s="705"/>
      <c r="AN32" s="705"/>
      <c r="AO32" s="705"/>
      <c r="AP32" s="705"/>
    </row>
    <row r="33" spans="1:115" ht="46.5" x14ac:dyDescent="0.7">
      <c r="A33" s="709" t="s">
        <v>96</v>
      </c>
      <c r="B33" s="692">
        <f>[3]int.bevételek2026!B32</f>
        <v>38471</v>
      </c>
      <c r="C33" s="692"/>
      <c r="D33" s="692">
        <f>SUM(B33:C33)</f>
        <v>38471</v>
      </c>
      <c r="E33" s="692">
        <f>[3]int.bevételek2026!C32</f>
        <v>0</v>
      </c>
      <c r="F33" s="692">
        <v>88087</v>
      </c>
      <c r="G33" s="692">
        <f>SUM(E33:F33)</f>
        <v>88087</v>
      </c>
      <c r="H33" s="692">
        <f>[3]int.bevételek2026!D32</f>
        <v>0</v>
      </c>
      <c r="I33" s="692"/>
      <c r="J33" s="692">
        <f>SUM(H33:I33)</f>
        <v>0</v>
      </c>
      <c r="K33" s="696">
        <f>[3]int.bevételek2026!E32</f>
        <v>0</v>
      </c>
      <c r="L33" s="696"/>
      <c r="M33" s="692">
        <f>SUM(K33:L33)</f>
        <v>0</v>
      </c>
      <c r="N33" s="693">
        <f t="shared" ref="N33:O36" si="19">B33+E33+H33+K33</f>
        <v>38471</v>
      </c>
      <c r="O33" s="693">
        <f t="shared" si="19"/>
        <v>88087</v>
      </c>
      <c r="P33" s="693">
        <f>D33+G33+J33+M33</f>
        <v>126558</v>
      </c>
      <c r="Q33" s="709" t="s">
        <v>96</v>
      </c>
      <c r="R33" s="692">
        <f>[3]int.bevételek2026!H32</f>
        <v>0</v>
      </c>
      <c r="S33" s="692"/>
      <c r="T33" s="692">
        <f>SUM(R33:S33)</f>
        <v>0</v>
      </c>
      <c r="U33" s="692">
        <f>[3]int.bevételek2026!I32</f>
        <v>0</v>
      </c>
      <c r="V33" s="692"/>
      <c r="W33" s="692">
        <f>SUM(U33:V33)</f>
        <v>0</v>
      </c>
      <c r="X33" s="692">
        <f>[3]int.bevételek2026!J32</f>
        <v>0</v>
      </c>
      <c r="Y33" s="692"/>
      <c r="Z33" s="692">
        <f>SUM(X33:Y33)</f>
        <v>0</v>
      </c>
      <c r="AA33" s="693">
        <f t="shared" ref="AA33:AC36" si="20">R33+U33+X33</f>
        <v>0</v>
      </c>
      <c r="AB33" s="693">
        <f t="shared" si="20"/>
        <v>0</v>
      </c>
      <c r="AC33" s="693">
        <f t="shared" si="20"/>
        <v>0</v>
      </c>
      <c r="AD33" s="693">
        <f t="shared" si="10"/>
        <v>38471</v>
      </c>
      <c r="AE33" s="693">
        <f t="shared" si="10"/>
        <v>88087</v>
      </c>
      <c r="AF33" s="693">
        <f t="shared" si="10"/>
        <v>126558</v>
      </c>
      <c r="AG33" s="709" t="s">
        <v>96</v>
      </c>
      <c r="AH33" s="692"/>
      <c r="AI33" s="692">
        <f>'[4]int.bevételek RM I maradvány'!AO33</f>
        <v>53284</v>
      </c>
      <c r="AJ33" s="692">
        <f>SUM(AH33:AI33)</f>
        <v>53284</v>
      </c>
      <c r="AK33" s="692">
        <f>[3]int.bevételek2026!L32</f>
        <v>204103</v>
      </c>
      <c r="AL33" s="692">
        <f>'[4]int.bevételek RM I maradvány'!AS33-78367</f>
        <v>-78367</v>
      </c>
      <c r="AM33" s="692">
        <f>SUM(AK33:AL33)</f>
        <v>125736</v>
      </c>
      <c r="AN33" s="693">
        <f t="shared" ref="AN33:AP36" si="21">N33+AA33+AH33+AK33</f>
        <v>242574</v>
      </c>
      <c r="AO33" s="693">
        <f t="shared" si="21"/>
        <v>63004</v>
      </c>
      <c r="AP33" s="693">
        <f t="shared" si="21"/>
        <v>305578</v>
      </c>
    </row>
    <row r="34" spans="1:115" ht="48.75" customHeight="1" x14ac:dyDescent="0.7">
      <c r="A34" s="694" t="s">
        <v>741</v>
      </c>
      <c r="B34" s="692">
        <f>[3]int.bevételek2026!B33</f>
        <v>133344</v>
      </c>
      <c r="C34" s="711"/>
      <c r="D34" s="711">
        <f>SUM(B34:C34)</f>
        <v>133344</v>
      </c>
      <c r="E34" s="692">
        <f>[3]int.bevételek2026!C33</f>
        <v>0</v>
      </c>
      <c r="F34" s="711">
        <v>208152</v>
      </c>
      <c r="G34" s="711">
        <f>SUM(E34:F34)</f>
        <v>208152</v>
      </c>
      <c r="H34" s="711">
        <f>[3]int.bevételek2026!D33</f>
        <v>0</v>
      </c>
      <c r="I34" s="711"/>
      <c r="J34" s="711">
        <f>SUM(H34:I34)</f>
        <v>0</v>
      </c>
      <c r="K34" s="711">
        <f>[3]int.bevételek2026!E33</f>
        <v>0</v>
      </c>
      <c r="L34" s="711"/>
      <c r="M34" s="692">
        <f>SUM(K34:L34)</f>
        <v>0</v>
      </c>
      <c r="N34" s="693">
        <f t="shared" si="19"/>
        <v>133344</v>
      </c>
      <c r="O34" s="693">
        <f t="shared" si="19"/>
        <v>208152</v>
      </c>
      <c r="P34" s="693">
        <f>D34+G34+J34+M34</f>
        <v>341496</v>
      </c>
      <c r="Q34" s="694" t="s">
        <v>741</v>
      </c>
      <c r="R34" s="711">
        <f>[3]int.bevételek2026!H33</f>
        <v>0</v>
      </c>
      <c r="S34" s="711"/>
      <c r="T34" s="711">
        <f>SUM(R34:S34)</f>
        <v>0</v>
      </c>
      <c r="U34" s="711">
        <f>[3]int.bevételek2026!I33</f>
        <v>0</v>
      </c>
      <c r="V34" s="711">
        <v>12000</v>
      </c>
      <c r="W34" s="711">
        <f>SUM(U34:V34)</f>
        <v>12000</v>
      </c>
      <c r="X34" s="711">
        <f>[3]int.bevételek2026!J33</f>
        <v>0</v>
      </c>
      <c r="Y34" s="711"/>
      <c r="Z34" s="711">
        <f>SUM(X34:Y34)</f>
        <v>0</v>
      </c>
      <c r="AA34" s="693">
        <f t="shared" si="20"/>
        <v>0</v>
      </c>
      <c r="AB34" s="693">
        <f t="shared" si="20"/>
        <v>12000</v>
      </c>
      <c r="AC34" s="693">
        <f t="shared" si="20"/>
        <v>12000</v>
      </c>
      <c r="AD34" s="693">
        <f t="shared" si="10"/>
        <v>133344</v>
      </c>
      <c r="AE34" s="693">
        <f t="shared" si="10"/>
        <v>220152</v>
      </c>
      <c r="AF34" s="693">
        <f t="shared" si="10"/>
        <v>353496</v>
      </c>
      <c r="AG34" s="694" t="s">
        <v>741</v>
      </c>
      <c r="AH34" s="692"/>
      <c r="AI34" s="692">
        <f>'[4]int.bevételek RM I maradvány'!AO34</f>
        <v>304325</v>
      </c>
      <c r="AJ34" s="692">
        <f>SUM(AH34:AI34)</f>
        <v>304325</v>
      </c>
      <c r="AK34" s="692">
        <f>[3]int.bevételek2026!L33</f>
        <v>623956</v>
      </c>
      <c r="AL34" s="692">
        <f>'[4]int.bevételek RM I maradvány'!AS34+23295</f>
        <v>20422</v>
      </c>
      <c r="AM34" s="692">
        <f>SUM(AK34:AL34)</f>
        <v>644378</v>
      </c>
      <c r="AN34" s="693">
        <f t="shared" si="21"/>
        <v>757300</v>
      </c>
      <c r="AO34" s="693">
        <f t="shared" si="21"/>
        <v>544899</v>
      </c>
      <c r="AP34" s="693">
        <f t="shared" si="21"/>
        <v>1302199</v>
      </c>
    </row>
    <row r="35" spans="1:115" ht="48.75" customHeight="1" x14ac:dyDescent="0.7">
      <c r="A35" s="694" t="s">
        <v>742</v>
      </c>
      <c r="B35" s="692">
        <f>[3]int.bevételek2026!B34</f>
        <v>34400</v>
      </c>
      <c r="C35" s="711"/>
      <c r="D35" s="711">
        <f>SUM(B35:C35)</f>
        <v>34400</v>
      </c>
      <c r="E35" s="692">
        <f>[3]int.bevételek2026!C34</f>
        <v>0</v>
      </c>
      <c r="F35" s="711">
        <v>7000</v>
      </c>
      <c r="G35" s="711">
        <f>SUM(E35:F35)</f>
        <v>7000</v>
      </c>
      <c r="H35" s="711">
        <f>[3]int.bevételek2026!D34</f>
        <v>0</v>
      </c>
      <c r="I35" s="711"/>
      <c r="J35" s="711">
        <f>SUM(H35:I35)</f>
        <v>0</v>
      </c>
      <c r="K35" s="711">
        <f>[3]int.bevételek2026!E34</f>
        <v>0</v>
      </c>
      <c r="L35" s="711"/>
      <c r="M35" s="692">
        <f>SUM(K35:L35)</f>
        <v>0</v>
      </c>
      <c r="N35" s="693">
        <f t="shared" si="19"/>
        <v>34400</v>
      </c>
      <c r="O35" s="693">
        <f t="shared" si="19"/>
        <v>7000</v>
      </c>
      <c r="P35" s="693">
        <f>D35+G35+J35+M35</f>
        <v>41400</v>
      </c>
      <c r="Q35" s="694" t="s">
        <v>742</v>
      </c>
      <c r="R35" s="711">
        <f>[3]int.bevételek2026!H34</f>
        <v>0</v>
      </c>
      <c r="S35" s="711"/>
      <c r="T35" s="711">
        <f>SUM(R35:S35)</f>
        <v>0</v>
      </c>
      <c r="U35" s="711">
        <f>[3]int.bevételek2026!I34</f>
        <v>0</v>
      </c>
      <c r="V35" s="711"/>
      <c r="W35" s="711">
        <f>SUM(U35:V35)</f>
        <v>0</v>
      </c>
      <c r="X35" s="711">
        <f>[3]int.bevételek2026!J34</f>
        <v>0</v>
      </c>
      <c r="Y35" s="711"/>
      <c r="Z35" s="711">
        <f>SUM(X35:Y35)</f>
        <v>0</v>
      </c>
      <c r="AA35" s="693">
        <f t="shared" si="20"/>
        <v>0</v>
      </c>
      <c r="AB35" s="693">
        <f t="shared" si="20"/>
        <v>0</v>
      </c>
      <c r="AC35" s="693">
        <f t="shared" si="20"/>
        <v>0</v>
      </c>
      <c r="AD35" s="693">
        <f t="shared" si="10"/>
        <v>34400</v>
      </c>
      <c r="AE35" s="693">
        <f t="shared" si="10"/>
        <v>7000</v>
      </c>
      <c r="AF35" s="693">
        <f t="shared" si="10"/>
        <v>41400</v>
      </c>
      <c r="AG35" s="694" t="s">
        <v>742</v>
      </c>
      <c r="AH35" s="711"/>
      <c r="AI35" s="711">
        <f>'[4]int.bevételek RM I maradvány'!AO35</f>
        <v>32419</v>
      </c>
      <c r="AJ35" s="711">
        <f>SUM(AH35:AI35)</f>
        <v>32419</v>
      </c>
      <c r="AK35" s="692">
        <f>[3]int.bevételek2026!L34</f>
        <v>384957</v>
      </c>
      <c r="AL35" s="692">
        <f>'[4]int.bevételek RM I maradvány'!AS35+148501</f>
        <v>147329</v>
      </c>
      <c r="AM35" s="692">
        <f>SUM(AK35:AL35)</f>
        <v>532286</v>
      </c>
      <c r="AN35" s="693">
        <f t="shared" si="21"/>
        <v>419357</v>
      </c>
      <c r="AO35" s="693">
        <f t="shared" si="21"/>
        <v>186748</v>
      </c>
      <c r="AP35" s="693">
        <f t="shared" si="21"/>
        <v>606105</v>
      </c>
    </row>
    <row r="36" spans="1:115" ht="48.75" customHeight="1" thickBot="1" x14ac:dyDescent="0.75">
      <c r="A36" s="712" t="s">
        <v>454</v>
      </c>
      <c r="B36" s="692">
        <f>[3]int.bevételek2026!B35</f>
        <v>154078</v>
      </c>
      <c r="C36" s="711"/>
      <c r="D36" s="711">
        <f>SUM(B36:C36)</f>
        <v>154078</v>
      </c>
      <c r="E36" s="692">
        <f>[3]int.bevételek2026!C35</f>
        <v>0</v>
      </c>
      <c r="F36" s="711">
        <v>52707</v>
      </c>
      <c r="G36" s="711">
        <f>SUM(E36:F36)</f>
        <v>52707</v>
      </c>
      <c r="H36" s="711">
        <f>[3]int.bevételek2026!D35</f>
        <v>0</v>
      </c>
      <c r="I36" s="711"/>
      <c r="J36" s="711">
        <f>SUM(H36:I36)</f>
        <v>0</v>
      </c>
      <c r="K36" s="713">
        <f>[3]int.bevételek2026!E35</f>
        <v>0</v>
      </c>
      <c r="L36" s="713"/>
      <c r="M36" s="692">
        <f>SUM(K36:L36)</f>
        <v>0</v>
      </c>
      <c r="N36" s="693">
        <f t="shared" si="19"/>
        <v>154078</v>
      </c>
      <c r="O36" s="693">
        <f t="shared" si="19"/>
        <v>52707</v>
      </c>
      <c r="P36" s="693">
        <f>D36+G36+J36+M36</f>
        <v>206785</v>
      </c>
      <c r="Q36" s="714" t="s">
        <v>454</v>
      </c>
      <c r="R36" s="711">
        <f>[3]int.bevételek2026!H35</f>
        <v>0</v>
      </c>
      <c r="S36" s="711"/>
      <c r="T36" s="711">
        <f>SUM(R36:S36)</f>
        <v>0</v>
      </c>
      <c r="U36" s="711">
        <f>[3]int.bevételek2026!I35</f>
        <v>0</v>
      </c>
      <c r="V36" s="711">
        <v>600</v>
      </c>
      <c r="W36" s="711">
        <f>SUM(U36:V36)</f>
        <v>600</v>
      </c>
      <c r="X36" s="711">
        <f>[3]int.bevételek2026!J35</f>
        <v>0</v>
      </c>
      <c r="Y36" s="711"/>
      <c r="Z36" s="711">
        <f>SUM(X36:Y36)</f>
        <v>0</v>
      </c>
      <c r="AA36" s="693">
        <f t="shared" si="20"/>
        <v>0</v>
      </c>
      <c r="AB36" s="693">
        <f t="shared" si="20"/>
        <v>600</v>
      </c>
      <c r="AC36" s="693">
        <f t="shared" si="20"/>
        <v>600</v>
      </c>
      <c r="AD36" s="705">
        <f t="shared" si="10"/>
        <v>154078</v>
      </c>
      <c r="AE36" s="705">
        <f t="shared" si="10"/>
        <v>53307</v>
      </c>
      <c r="AF36" s="705">
        <f t="shared" si="10"/>
        <v>207385</v>
      </c>
      <c r="AG36" s="714" t="s">
        <v>454</v>
      </c>
      <c r="AH36" s="711"/>
      <c r="AI36" s="711">
        <f>'[4]int.bevételek RM I maradvány'!AO36</f>
        <v>71319</v>
      </c>
      <c r="AJ36" s="711">
        <f>SUM(AH36:AI36)</f>
        <v>71319</v>
      </c>
      <c r="AK36" s="692">
        <f>[3]int.bevételek2026!L35</f>
        <v>785529</v>
      </c>
      <c r="AL36" s="692">
        <f>'[4]int.bevételek RM I maradvány'!AS36+22943</f>
        <v>22977</v>
      </c>
      <c r="AM36" s="692">
        <f>SUM(AK36:AL36)</f>
        <v>808506</v>
      </c>
      <c r="AN36" s="693">
        <f t="shared" si="21"/>
        <v>939607</v>
      </c>
      <c r="AO36" s="693">
        <f t="shared" si="21"/>
        <v>147603</v>
      </c>
      <c r="AP36" s="693">
        <f t="shared" si="21"/>
        <v>1087210</v>
      </c>
    </row>
    <row r="37" spans="1:115" ht="61.5" customHeight="1" thickBot="1" x14ac:dyDescent="0.75">
      <c r="A37" s="715" t="s">
        <v>743</v>
      </c>
      <c r="B37" s="699">
        <f t="shared" ref="B37:P37" si="22">SUM(B33:B36)</f>
        <v>360293</v>
      </c>
      <c r="C37" s="699">
        <f t="shared" si="22"/>
        <v>0</v>
      </c>
      <c r="D37" s="699">
        <f t="shared" si="22"/>
        <v>360293</v>
      </c>
      <c r="E37" s="699">
        <f t="shared" si="22"/>
        <v>0</v>
      </c>
      <c r="F37" s="699">
        <f t="shared" si="22"/>
        <v>355946</v>
      </c>
      <c r="G37" s="699">
        <f t="shared" si="22"/>
        <v>355946</v>
      </c>
      <c r="H37" s="699">
        <f t="shared" si="22"/>
        <v>0</v>
      </c>
      <c r="I37" s="699">
        <f t="shared" si="22"/>
        <v>0</v>
      </c>
      <c r="J37" s="699">
        <f t="shared" si="22"/>
        <v>0</v>
      </c>
      <c r="K37" s="699">
        <f t="shared" si="22"/>
        <v>0</v>
      </c>
      <c r="L37" s="699">
        <f t="shared" si="22"/>
        <v>0</v>
      </c>
      <c r="M37" s="699">
        <f t="shared" si="22"/>
        <v>0</v>
      </c>
      <c r="N37" s="699">
        <f t="shared" si="22"/>
        <v>360293</v>
      </c>
      <c r="O37" s="699">
        <f t="shared" si="22"/>
        <v>355946</v>
      </c>
      <c r="P37" s="699">
        <f t="shared" si="22"/>
        <v>716239</v>
      </c>
      <c r="Q37" s="715" t="s">
        <v>743</v>
      </c>
      <c r="R37" s="699">
        <f t="shared" ref="R37:AC37" si="23">SUM(R33:R36)</f>
        <v>0</v>
      </c>
      <c r="S37" s="699">
        <f t="shared" si="23"/>
        <v>0</v>
      </c>
      <c r="T37" s="699">
        <f t="shared" si="23"/>
        <v>0</v>
      </c>
      <c r="U37" s="699">
        <f t="shared" si="23"/>
        <v>0</v>
      </c>
      <c r="V37" s="699">
        <f t="shared" si="23"/>
        <v>12600</v>
      </c>
      <c r="W37" s="699">
        <f t="shared" si="23"/>
        <v>12600</v>
      </c>
      <c r="X37" s="699">
        <f t="shared" si="23"/>
        <v>0</v>
      </c>
      <c r="Y37" s="699">
        <f t="shared" si="23"/>
        <v>0</v>
      </c>
      <c r="Z37" s="699">
        <f t="shared" si="23"/>
        <v>0</v>
      </c>
      <c r="AA37" s="699">
        <f t="shared" si="23"/>
        <v>0</v>
      </c>
      <c r="AB37" s="699">
        <f t="shared" si="23"/>
        <v>12600</v>
      </c>
      <c r="AC37" s="699">
        <f t="shared" si="23"/>
        <v>12600</v>
      </c>
      <c r="AD37" s="699">
        <f t="shared" si="10"/>
        <v>360293</v>
      </c>
      <c r="AE37" s="699">
        <f t="shared" si="10"/>
        <v>368546</v>
      </c>
      <c r="AF37" s="699">
        <f t="shared" si="10"/>
        <v>728839</v>
      </c>
      <c r="AG37" s="715" t="s">
        <v>743</v>
      </c>
      <c r="AH37" s="699">
        <f t="shared" ref="AH37:AP37" si="24">SUM(AH33:AH36)</f>
        <v>0</v>
      </c>
      <c r="AI37" s="699">
        <f t="shared" si="24"/>
        <v>461347</v>
      </c>
      <c r="AJ37" s="699">
        <f t="shared" si="24"/>
        <v>461347</v>
      </c>
      <c r="AK37" s="699">
        <f t="shared" si="24"/>
        <v>1998545</v>
      </c>
      <c r="AL37" s="699">
        <f t="shared" si="24"/>
        <v>112361</v>
      </c>
      <c r="AM37" s="699">
        <f t="shared" si="24"/>
        <v>2110906</v>
      </c>
      <c r="AN37" s="699">
        <f t="shared" si="24"/>
        <v>2358838</v>
      </c>
      <c r="AO37" s="699">
        <f t="shared" si="24"/>
        <v>942254</v>
      </c>
      <c r="AP37" s="699">
        <f t="shared" si="24"/>
        <v>3301092</v>
      </c>
    </row>
    <row r="38" spans="1:115" ht="48" customHeight="1" x14ac:dyDescent="0.7">
      <c r="A38" s="716" t="s">
        <v>744</v>
      </c>
      <c r="B38" s="689"/>
      <c r="C38" s="689"/>
      <c r="D38" s="689"/>
      <c r="E38" s="689"/>
      <c r="F38" s="689"/>
      <c r="G38" s="689"/>
      <c r="H38" s="689"/>
      <c r="I38" s="689"/>
      <c r="J38" s="689"/>
      <c r="K38" s="689"/>
      <c r="L38" s="689"/>
      <c r="M38" s="689"/>
      <c r="N38" s="689"/>
      <c r="O38" s="689"/>
      <c r="P38" s="689"/>
      <c r="Q38" s="716" t="s">
        <v>744</v>
      </c>
      <c r="R38" s="689"/>
      <c r="S38" s="689"/>
      <c r="T38" s="689"/>
      <c r="U38" s="689"/>
      <c r="V38" s="689"/>
      <c r="W38" s="689"/>
      <c r="X38" s="689"/>
      <c r="Y38" s="689"/>
      <c r="Z38" s="689"/>
      <c r="AA38" s="689"/>
      <c r="AB38" s="689"/>
      <c r="AC38" s="689"/>
      <c r="AD38" s="689"/>
      <c r="AE38" s="689"/>
      <c r="AF38" s="689"/>
      <c r="AG38" s="716" t="s">
        <v>744</v>
      </c>
      <c r="AH38" s="689"/>
      <c r="AI38" s="689"/>
      <c r="AJ38" s="689"/>
      <c r="AK38" s="689"/>
      <c r="AL38" s="689"/>
      <c r="AM38" s="689"/>
      <c r="AN38" s="689"/>
      <c r="AO38" s="689"/>
      <c r="AP38" s="689"/>
    </row>
    <row r="39" spans="1:115" ht="93.75" thickBot="1" x14ac:dyDescent="0.75">
      <c r="A39" s="709" t="s">
        <v>470</v>
      </c>
      <c r="B39" s="692">
        <f>[3]int.bevételek2026!B38</f>
        <v>254185</v>
      </c>
      <c r="C39" s="692"/>
      <c r="D39" s="692">
        <f>SUM(B39:C39)</f>
        <v>254185</v>
      </c>
      <c r="E39" s="692">
        <f>[3]int.bevételek2026!C38</f>
        <v>0</v>
      </c>
      <c r="F39" s="692"/>
      <c r="G39" s="692">
        <f>SUM(E39:F39)</f>
        <v>0</v>
      </c>
      <c r="H39" s="692">
        <f>[3]int.bevételek2026!D38</f>
        <v>0</v>
      </c>
      <c r="I39" s="692"/>
      <c r="J39" s="692">
        <f>SUM(H39:I39)</f>
        <v>0</v>
      </c>
      <c r="K39" s="696">
        <f>[3]int.bevételek2026!E38</f>
        <v>0</v>
      </c>
      <c r="L39" s="696"/>
      <c r="M39" s="696">
        <f>SUM(K39:L39)</f>
        <v>0</v>
      </c>
      <c r="N39" s="693">
        <f>B39+E39+H39+K39</f>
        <v>254185</v>
      </c>
      <c r="O39" s="693">
        <f>C39+F39+I39+L39</f>
        <v>0</v>
      </c>
      <c r="P39" s="693">
        <f>D39+G39+J39+M39</f>
        <v>254185</v>
      </c>
      <c r="Q39" s="709" t="s">
        <v>470</v>
      </c>
      <c r="R39" s="692">
        <f>[3]int.bevételek2026!H38</f>
        <v>0</v>
      </c>
      <c r="S39" s="692"/>
      <c r="T39" s="692">
        <f>SUM(R39:S39)</f>
        <v>0</v>
      </c>
      <c r="U39" s="692">
        <f>[3]int.bevételek2026!I38</f>
        <v>0</v>
      </c>
      <c r="V39" s="692"/>
      <c r="W39" s="692">
        <f>SUM(U39:V39)</f>
        <v>0</v>
      </c>
      <c r="X39" s="692">
        <f>[3]int.bevételek2026!J38</f>
        <v>0</v>
      </c>
      <c r="Y39" s="692"/>
      <c r="Z39" s="692">
        <f>SUM(X39:Y39)</f>
        <v>0</v>
      </c>
      <c r="AA39" s="693">
        <f>R39+U39+X39</f>
        <v>0</v>
      </c>
      <c r="AB39" s="693">
        <f>S39+V39+Y39</f>
        <v>0</v>
      </c>
      <c r="AC39" s="693">
        <f>T39+W39+Z39</f>
        <v>0</v>
      </c>
      <c r="AD39" s="705">
        <f>N39+AA39</f>
        <v>254185</v>
      </c>
      <c r="AE39" s="705">
        <f>O39+AB39</f>
        <v>0</v>
      </c>
      <c r="AF39" s="705">
        <f>P39+AC39</f>
        <v>254185</v>
      </c>
      <c r="AG39" s="709" t="s">
        <v>470</v>
      </c>
      <c r="AH39" s="717"/>
      <c r="AI39" s="717">
        <f>'[4]int.bevételek RM I maradvány'!AO39</f>
        <v>2784</v>
      </c>
      <c r="AJ39" s="717">
        <f>SUM(AH39:AI39)</f>
        <v>2784</v>
      </c>
      <c r="AK39" s="692">
        <f>[3]int.bevételek2026!L38</f>
        <v>1549755</v>
      </c>
      <c r="AL39" s="692">
        <f>'[4]int.bevételek RM I maradvány'!AS39+166035</f>
        <v>204748</v>
      </c>
      <c r="AM39" s="692">
        <f>SUM(AK39:AL39)</f>
        <v>1754503</v>
      </c>
      <c r="AN39" s="693">
        <f>N39+AA39+AH39+AK39</f>
        <v>1803940</v>
      </c>
      <c r="AO39" s="693">
        <f>O39+AB39+AI39+AL39</f>
        <v>207532</v>
      </c>
      <c r="AP39" s="693">
        <f>P39+AC39+AJ39+AM39</f>
        <v>2011472</v>
      </c>
    </row>
    <row r="40" spans="1:115" ht="61.5" customHeight="1" x14ac:dyDescent="0.7">
      <c r="A40" s="716" t="s">
        <v>745</v>
      </c>
      <c r="B40" s="689"/>
      <c r="C40" s="689"/>
      <c r="D40" s="718"/>
      <c r="E40" s="689"/>
      <c r="F40" s="719"/>
      <c r="G40" s="689"/>
      <c r="H40" s="689"/>
      <c r="I40" s="689"/>
      <c r="J40" s="689"/>
      <c r="K40" s="689"/>
      <c r="L40" s="689"/>
      <c r="M40" s="689"/>
      <c r="N40" s="689"/>
      <c r="O40" s="689"/>
      <c r="P40" s="689"/>
      <c r="Q40" s="716" t="s">
        <v>745</v>
      </c>
      <c r="R40" s="689"/>
      <c r="S40" s="689"/>
      <c r="T40" s="689"/>
      <c r="U40" s="689"/>
      <c r="V40" s="689"/>
      <c r="W40" s="689"/>
      <c r="X40" s="689"/>
      <c r="Y40" s="689"/>
      <c r="Z40" s="689"/>
      <c r="AA40" s="689"/>
      <c r="AB40" s="689"/>
      <c r="AC40" s="689"/>
      <c r="AD40" s="689"/>
      <c r="AE40" s="689"/>
      <c r="AF40" s="689"/>
      <c r="AG40" s="716" t="s">
        <v>745</v>
      </c>
      <c r="AH40" s="689"/>
      <c r="AI40" s="689"/>
      <c r="AJ40" s="689"/>
      <c r="AK40" s="689"/>
      <c r="AL40" s="689"/>
      <c r="AM40" s="689"/>
      <c r="AN40" s="689"/>
      <c r="AO40" s="689"/>
      <c r="AP40" s="689"/>
    </row>
    <row r="41" spans="1:115" ht="48.75" customHeight="1" thickBot="1" x14ac:dyDescent="0.75">
      <c r="A41" s="720" t="s">
        <v>746</v>
      </c>
      <c r="B41" s="717">
        <f>[3]int.bevételek2026!B40</f>
        <v>70816</v>
      </c>
      <c r="C41" s="717"/>
      <c r="D41" s="721">
        <f>SUM(B41:C41)</f>
        <v>70816</v>
      </c>
      <c r="E41" s="717">
        <f>[3]int.bevételek2026!C40</f>
        <v>532064</v>
      </c>
      <c r="F41" s="722"/>
      <c r="G41" s="717">
        <f>SUM(E41:F41)</f>
        <v>532064</v>
      </c>
      <c r="H41" s="717">
        <f>[3]int.bevételek2026!D40</f>
        <v>0</v>
      </c>
      <c r="I41" s="717"/>
      <c r="J41" s="717">
        <f>SUM(H41:I41)</f>
        <v>0</v>
      </c>
      <c r="K41" s="717">
        <f>[3]int.bevételek2026!E40</f>
        <v>0</v>
      </c>
      <c r="L41" s="717"/>
      <c r="M41" s="717">
        <f>SUM(K41:L41)</f>
        <v>0</v>
      </c>
      <c r="N41" s="710">
        <f>B41+E41+H41+K41</f>
        <v>602880</v>
      </c>
      <c r="O41" s="710">
        <f>C41+F41+I41+L41</f>
        <v>0</v>
      </c>
      <c r="P41" s="710">
        <f>D41+G41+J41+M41</f>
        <v>602880</v>
      </c>
      <c r="Q41" s="712" t="s">
        <v>746</v>
      </c>
      <c r="R41" s="717">
        <f>[3]int.bevételek2026!H40</f>
        <v>0</v>
      </c>
      <c r="S41" s="717"/>
      <c r="T41" s="717">
        <f>SUM(R41:S41)</f>
        <v>0</v>
      </c>
      <c r="U41" s="717">
        <f>[3]int.bevételek2026!I40</f>
        <v>0</v>
      </c>
      <c r="V41" s="717"/>
      <c r="W41" s="717">
        <f>SUM(U41:V41)</f>
        <v>0</v>
      </c>
      <c r="X41" s="717">
        <f>[3]int.bevételek2026!J40</f>
        <v>0</v>
      </c>
      <c r="Y41" s="717"/>
      <c r="Z41" s="717"/>
      <c r="AA41" s="710">
        <f>R41+U41+X41</f>
        <v>0</v>
      </c>
      <c r="AB41" s="710">
        <f>S41+V41+Y41</f>
        <v>0</v>
      </c>
      <c r="AC41" s="710">
        <f>T41+W41+Z41</f>
        <v>0</v>
      </c>
      <c r="AD41" s="710">
        <f>N41+AA41</f>
        <v>602880</v>
      </c>
      <c r="AE41" s="710">
        <f>O41+AB41</f>
        <v>0</v>
      </c>
      <c r="AF41" s="710">
        <f>P41+AC41</f>
        <v>602880</v>
      </c>
      <c r="AG41" s="712" t="s">
        <v>746</v>
      </c>
      <c r="AH41" s="717"/>
      <c r="AI41" s="717">
        <f>'[4]int.bevételek RM I maradvány'!AO41</f>
        <v>154463</v>
      </c>
      <c r="AJ41" s="717">
        <f>SUM(AH41:AI41)</f>
        <v>154463</v>
      </c>
      <c r="AK41" s="717">
        <f>[3]int.bevételek2026!L40</f>
        <v>356299</v>
      </c>
      <c r="AL41" s="717">
        <f>'[4]int.bevételek RM I maradvány'!AS41+45597</f>
        <v>45610</v>
      </c>
      <c r="AM41" s="717">
        <f>SUM(AK41:AL41)</f>
        <v>401909</v>
      </c>
      <c r="AN41" s="710">
        <f>N41+AA41+AH41+AK41</f>
        <v>959179</v>
      </c>
      <c r="AO41" s="710">
        <f>O41+AB41+AI41+AL41</f>
        <v>200073</v>
      </c>
      <c r="AP41" s="710">
        <f>P41+AC41+AJ41+AM41</f>
        <v>1159252</v>
      </c>
    </row>
    <row r="42" spans="1:115" ht="48" customHeight="1" x14ac:dyDescent="0.7">
      <c r="A42" s="716" t="s">
        <v>747</v>
      </c>
      <c r="B42" s="705"/>
      <c r="C42" s="705"/>
      <c r="D42" s="723"/>
      <c r="E42" s="705"/>
      <c r="F42" s="708"/>
      <c r="G42" s="705"/>
      <c r="H42" s="705"/>
      <c r="I42" s="705"/>
      <c r="J42" s="705"/>
      <c r="K42" s="705"/>
      <c r="L42" s="705"/>
      <c r="M42" s="705"/>
      <c r="N42" s="705"/>
      <c r="O42" s="705"/>
      <c r="P42" s="705"/>
      <c r="Q42" s="707" t="s">
        <v>747</v>
      </c>
      <c r="R42" s="705"/>
      <c r="S42" s="705"/>
      <c r="T42" s="705"/>
      <c r="U42" s="705"/>
      <c r="V42" s="705"/>
      <c r="W42" s="705"/>
      <c r="X42" s="705"/>
      <c r="Y42" s="705"/>
      <c r="Z42" s="705"/>
      <c r="AA42" s="705"/>
      <c r="AB42" s="705"/>
      <c r="AC42" s="705"/>
      <c r="AD42" s="705"/>
      <c r="AE42" s="705"/>
      <c r="AF42" s="705"/>
      <c r="AG42" s="707" t="s">
        <v>747</v>
      </c>
      <c r="AH42" s="705"/>
      <c r="AI42" s="705"/>
      <c r="AJ42" s="705"/>
      <c r="AK42" s="705"/>
      <c r="AL42" s="705"/>
      <c r="AM42" s="705"/>
      <c r="AN42" s="705"/>
      <c r="AO42" s="705"/>
      <c r="AP42" s="705"/>
    </row>
    <row r="43" spans="1:115" ht="48.75" customHeight="1" thickBot="1" x14ac:dyDescent="0.75">
      <c r="A43" s="724" t="s">
        <v>518</v>
      </c>
      <c r="B43" s="692">
        <f>[3]int.bevételek2026!B42</f>
        <v>85032</v>
      </c>
      <c r="C43" s="696">
        <v>1250</v>
      </c>
      <c r="D43" s="696">
        <f>SUM(B43:C43)</f>
        <v>86282</v>
      </c>
      <c r="E43" s="692">
        <f>[3]int.bevételek2026!C42</f>
        <v>0</v>
      </c>
      <c r="F43" s="696">
        <v>12181</v>
      </c>
      <c r="G43" s="696">
        <f>SUM(E43:F43)</f>
        <v>12181</v>
      </c>
      <c r="H43" s="696">
        <f>[3]int.bevételek2026!D42</f>
        <v>0</v>
      </c>
      <c r="I43" s="696"/>
      <c r="J43" s="692">
        <f>SUM(H43:I43)</f>
        <v>0</v>
      </c>
      <c r="K43" s="725">
        <f>[3]int.bevételek2026!E42</f>
        <v>0</v>
      </c>
      <c r="L43" s="692"/>
      <c r="M43" s="692">
        <f>SUM(K43:L43)</f>
        <v>0</v>
      </c>
      <c r="N43" s="693">
        <f>B43+E43+H43+K43</f>
        <v>85032</v>
      </c>
      <c r="O43" s="693">
        <f>C43+F43+I43+L43</f>
        <v>13431</v>
      </c>
      <c r="P43" s="693">
        <f>D43+G43+J43+M43</f>
        <v>98463</v>
      </c>
      <c r="Q43" s="724" t="s">
        <v>518</v>
      </c>
      <c r="R43" s="696">
        <f>[3]int.bevételek2026!H42</f>
        <v>0</v>
      </c>
      <c r="S43" s="696"/>
      <c r="T43" s="696">
        <f>SUM(R43:S43)</f>
        <v>0</v>
      </c>
      <c r="U43" s="696">
        <f>[3]int.bevételek2026!I42</f>
        <v>0</v>
      </c>
      <c r="V43" s="696"/>
      <c r="W43" s="696">
        <f>SUM(U43:V43)</f>
        <v>0</v>
      </c>
      <c r="X43" s="696">
        <f>[3]int.bevételek2026!J42</f>
        <v>0</v>
      </c>
      <c r="Y43" s="696"/>
      <c r="Z43" s="717">
        <f>SUM(X43:Y43)</f>
        <v>0</v>
      </c>
      <c r="AA43" s="693">
        <f>R43+U43+X43</f>
        <v>0</v>
      </c>
      <c r="AB43" s="693">
        <f>S43+V43+Y43</f>
        <v>0</v>
      </c>
      <c r="AC43" s="693">
        <f>T43+W43+Z43</f>
        <v>0</v>
      </c>
      <c r="AD43" s="693">
        <f>N43+AA43</f>
        <v>85032</v>
      </c>
      <c r="AE43" s="693">
        <f>O43+AB43</f>
        <v>13431</v>
      </c>
      <c r="AF43" s="693">
        <f>P43+AC43</f>
        <v>98463</v>
      </c>
      <c r="AG43" s="724" t="s">
        <v>518</v>
      </c>
      <c r="AH43" s="696"/>
      <c r="AI43" s="696">
        <f>'[4]int.bevételek RM I maradvány'!AO43</f>
        <v>3629</v>
      </c>
      <c r="AJ43" s="696">
        <f>SUM(AH43:AI43)</f>
        <v>3629</v>
      </c>
      <c r="AK43" s="692">
        <f>[3]int.bevételek2026!L42</f>
        <v>2106968</v>
      </c>
      <c r="AL43" s="692">
        <f>'[4]int.bevételek RM I maradvány'!AS43+111335</f>
        <v>113401</v>
      </c>
      <c r="AM43" s="692">
        <f>SUM(AK43:AL43)</f>
        <v>2220369</v>
      </c>
      <c r="AN43" s="693">
        <f>N43+AA43+AH43+AK43</f>
        <v>2192000</v>
      </c>
      <c r="AO43" s="693">
        <f>O43+AB43+AI43+AL43</f>
        <v>130461</v>
      </c>
      <c r="AP43" s="693">
        <f>P43+AC43+AJ43+AM43</f>
        <v>2322461</v>
      </c>
    </row>
    <row r="44" spans="1:115" ht="48.75" customHeight="1" x14ac:dyDescent="0.7">
      <c r="A44" s="716" t="s">
        <v>748</v>
      </c>
      <c r="B44" s="689"/>
      <c r="C44" s="689"/>
      <c r="D44" s="689"/>
      <c r="E44" s="689"/>
      <c r="F44" s="689"/>
      <c r="G44" s="689"/>
      <c r="H44" s="689"/>
      <c r="I44" s="689"/>
      <c r="J44" s="689"/>
      <c r="K44" s="689"/>
      <c r="L44" s="689"/>
      <c r="M44" s="689"/>
      <c r="N44" s="689"/>
      <c r="O44" s="689"/>
      <c r="P44" s="689"/>
      <c r="Q44" s="716" t="s">
        <v>748</v>
      </c>
      <c r="R44" s="689"/>
      <c r="S44" s="689"/>
      <c r="T44" s="689"/>
      <c r="U44" s="689"/>
      <c r="V44" s="689"/>
      <c r="W44" s="689"/>
      <c r="X44" s="689"/>
      <c r="Y44" s="689"/>
      <c r="Z44" s="705"/>
      <c r="AA44" s="689"/>
      <c r="AB44" s="689"/>
      <c r="AC44" s="689"/>
      <c r="AD44" s="689"/>
      <c r="AE44" s="689"/>
      <c r="AF44" s="689"/>
      <c r="AG44" s="716" t="s">
        <v>748</v>
      </c>
      <c r="AH44" s="689"/>
      <c r="AI44" s="689"/>
      <c r="AJ44" s="689"/>
      <c r="AK44" s="689"/>
      <c r="AL44" s="689"/>
      <c r="AM44" s="689"/>
      <c r="AN44" s="689"/>
      <c r="AO44" s="689"/>
      <c r="AP44" s="689"/>
    </row>
    <row r="45" spans="1:115" ht="48.75" customHeight="1" x14ac:dyDescent="0.7">
      <c r="A45" s="691" t="s">
        <v>472</v>
      </c>
      <c r="B45" s="692">
        <f>[3]int.bevételek2026!B44</f>
        <v>203300</v>
      </c>
      <c r="C45" s="692"/>
      <c r="D45" s="692">
        <f>SUM(B45:C45)</f>
        <v>203300</v>
      </c>
      <c r="E45" s="692">
        <f>[3]int.bevételek2026!C44</f>
        <v>0</v>
      </c>
      <c r="F45" s="692"/>
      <c r="G45" s="692">
        <f>SUM(E45:F45)</f>
        <v>0</v>
      </c>
      <c r="H45" s="692">
        <f>[3]int.bevételek2026!D44</f>
        <v>0</v>
      </c>
      <c r="I45" s="692"/>
      <c r="J45" s="692">
        <f>SUM(H45:I45)</f>
        <v>0</v>
      </c>
      <c r="K45" s="692">
        <f>[3]int.bevételek2026!E44</f>
        <v>0</v>
      </c>
      <c r="L45" s="692"/>
      <c r="M45" s="692">
        <f>SUM(K45:L45)</f>
        <v>0</v>
      </c>
      <c r="N45" s="693">
        <f t="shared" ref="N45:P47" si="25">B45+E45+H45+K45</f>
        <v>203300</v>
      </c>
      <c r="O45" s="693">
        <f t="shared" si="25"/>
        <v>0</v>
      </c>
      <c r="P45" s="693">
        <f t="shared" si="25"/>
        <v>203300</v>
      </c>
      <c r="Q45" s="691" t="s">
        <v>472</v>
      </c>
      <c r="R45" s="692">
        <f>[3]int.bevételek2026!H44</f>
        <v>0</v>
      </c>
      <c r="S45" s="692"/>
      <c r="T45" s="692">
        <f>SUM(R45:S45)</f>
        <v>0</v>
      </c>
      <c r="U45" s="692">
        <f>[3]int.bevételek2026!I44</f>
        <v>0</v>
      </c>
      <c r="V45" s="692"/>
      <c r="W45" s="692">
        <f>SUM(U45:V45)</f>
        <v>0</v>
      </c>
      <c r="X45" s="692">
        <f>[3]int.bevételek2026!J44</f>
        <v>0</v>
      </c>
      <c r="Y45" s="692"/>
      <c r="Z45" s="692">
        <f>SUM(X45:Y45)</f>
        <v>0</v>
      </c>
      <c r="AA45" s="693">
        <f t="shared" ref="AA45:AC47" si="26">R45+U45+X45</f>
        <v>0</v>
      </c>
      <c r="AB45" s="693">
        <f t="shared" si="26"/>
        <v>0</v>
      </c>
      <c r="AC45" s="693">
        <f t="shared" si="26"/>
        <v>0</v>
      </c>
      <c r="AD45" s="693">
        <f t="shared" ref="AD45:AF48" si="27">N45+AA45</f>
        <v>203300</v>
      </c>
      <c r="AE45" s="693">
        <f t="shared" si="27"/>
        <v>0</v>
      </c>
      <c r="AF45" s="693">
        <f t="shared" si="27"/>
        <v>203300</v>
      </c>
      <c r="AG45" s="691" t="s">
        <v>472</v>
      </c>
      <c r="AH45" s="692"/>
      <c r="AI45" s="692">
        <f>'[4]int.bevételek RM I maradvány'!AO45</f>
        <v>15005</v>
      </c>
      <c r="AJ45" s="692">
        <f>SUM(AH45:AI45)</f>
        <v>15005</v>
      </c>
      <c r="AK45" s="692">
        <f>[3]int.bevételek2026!L44</f>
        <v>15274</v>
      </c>
      <c r="AL45" s="692">
        <f>'[4]int.bevételek RM I maradvány'!AS45+6306</f>
        <v>19426</v>
      </c>
      <c r="AM45" s="692">
        <f>SUM(AK45:AL45)</f>
        <v>34700</v>
      </c>
      <c r="AN45" s="693">
        <f t="shared" ref="AN45:AP47" si="28">N45+AA45+AH45+AK45</f>
        <v>218574</v>
      </c>
      <c r="AO45" s="693">
        <f t="shared" si="28"/>
        <v>34431</v>
      </c>
      <c r="AP45" s="693">
        <f t="shared" si="28"/>
        <v>253005</v>
      </c>
    </row>
    <row r="46" spans="1:115" ht="48.75" customHeight="1" x14ac:dyDescent="0.7">
      <c r="A46" s="714" t="s">
        <v>568</v>
      </c>
      <c r="B46" s="696">
        <f>[3]int.bevételek2026!B45</f>
        <v>21537</v>
      </c>
      <c r="C46" s="696"/>
      <c r="D46" s="692">
        <f>SUM(B46:C46)</f>
        <v>21537</v>
      </c>
      <c r="E46" s="696">
        <f>[3]int.bevételek2026!C45</f>
        <v>0</v>
      </c>
      <c r="F46" s="696"/>
      <c r="G46" s="692">
        <f>SUM(E46:F46)</f>
        <v>0</v>
      </c>
      <c r="H46" s="696">
        <f>[3]int.bevételek2026!D45</f>
        <v>0</v>
      </c>
      <c r="I46" s="726"/>
      <c r="J46" s="692">
        <f>SUM(H46:I46)</f>
        <v>0</v>
      </c>
      <c r="K46" s="726">
        <f>[3]int.bevételek2026!E45</f>
        <v>0</v>
      </c>
      <c r="L46" s="696"/>
      <c r="M46" s="692">
        <f>SUM(K46:L46)</f>
        <v>0</v>
      </c>
      <c r="N46" s="693">
        <f>B46+E46+H46+K46</f>
        <v>21537</v>
      </c>
      <c r="O46" s="693">
        <f>C46+F46+I46+L46</f>
        <v>0</v>
      </c>
      <c r="P46" s="693">
        <f>D46+G46+J46+M46</f>
        <v>21537</v>
      </c>
      <c r="Q46" s="714" t="s">
        <v>568</v>
      </c>
      <c r="R46" s="696">
        <f>[3]int.bevételek2026!H45</f>
        <v>0</v>
      </c>
      <c r="S46" s="726">
        <v>14416</v>
      </c>
      <c r="T46" s="692">
        <f>SUM(R46:S46)</f>
        <v>14416</v>
      </c>
      <c r="U46" s="726">
        <f>[3]int.bevételek2026!I45</f>
        <v>0</v>
      </c>
      <c r="V46" s="696"/>
      <c r="W46" s="692">
        <f>SUM(U46:V46)</f>
        <v>0</v>
      </c>
      <c r="X46" s="696">
        <f>[3]int.bevételek2026!J45</f>
        <v>0</v>
      </c>
      <c r="Y46" s="726"/>
      <c r="Z46" s="692">
        <f>SUM(X46:Y46)</f>
        <v>0</v>
      </c>
      <c r="AA46" s="693">
        <f>R46+U46+X46</f>
        <v>0</v>
      </c>
      <c r="AB46" s="693">
        <f>S46+V46+Y46</f>
        <v>14416</v>
      </c>
      <c r="AC46" s="693">
        <f>T46+W46+Z46</f>
        <v>14416</v>
      </c>
      <c r="AD46" s="693">
        <f t="shared" si="27"/>
        <v>21537</v>
      </c>
      <c r="AE46" s="693">
        <f t="shared" si="27"/>
        <v>14416</v>
      </c>
      <c r="AF46" s="693">
        <f t="shared" si="27"/>
        <v>35953</v>
      </c>
      <c r="AG46" s="714" t="s">
        <v>568</v>
      </c>
      <c r="AH46" s="726"/>
      <c r="AI46" s="696">
        <f>'[4]int.bevételek RM I maradvány'!AO46</f>
        <v>0</v>
      </c>
      <c r="AJ46" s="692">
        <f>SUM(AH46:AI46)</f>
        <v>0</v>
      </c>
      <c r="AK46" s="726">
        <f>[3]int.bevételek2026!L45</f>
        <v>491966</v>
      </c>
      <c r="AL46" s="696">
        <f>'[4]int.bevételek RM I maradvány'!AS46+3000</f>
        <v>3000</v>
      </c>
      <c r="AM46" s="692">
        <f>SUM(AK46:AL46)</f>
        <v>494966</v>
      </c>
      <c r="AN46" s="693">
        <f>N46+AA46+AH46+AK46</f>
        <v>513503</v>
      </c>
      <c r="AO46" s="693">
        <f>O46+AB46+AI46+AL46</f>
        <v>17416</v>
      </c>
      <c r="AP46" s="693">
        <f>P46+AC46+AJ46+AM46</f>
        <v>530919</v>
      </c>
    </row>
    <row r="47" spans="1:115" s="731" customFormat="1" ht="49.5" customHeight="1" thickBot="1" x14ac:dyDescent="0.75">
      <c r="A47" s="727" t="s">
        <v>4</v>
      </c>
      <c r="B47" s="728">
        <f>[3]int.bevételek2026!B46</f>
        <v>21655</v>
      </c>
      <c r="C47" s="728"/>
      <c r="D47" s="728">
        <f>SUM(B47:C47)</f>
        <v>21655</v>
      </c>
      <c r="E47" s="728">
        <f>[3]int.bevételek2026!C46</f>
        <v>0</v>
      </c>
      <c r="F47" s="728">
        <v>64645</v>
      </c>
      <c r="G47" s="729">
        <f>SUM(E47:F47)</f>
        <v>64645</v>
      </c>
      <c r="H47" s="728">
        <f>[3]int.bevételek2026!D46</f>
        <v>0</v>
      </c>
      <c r="I47" s="729">
        <v>1000</v>
      </c>
      <c r="J47" s="728">
        <f>SUM(H47:I47)</f>
        <v>1000</v>
      </c>
      <c r="K47" s="729">
        <f>[3]int.bevételek2026!E46</f>
        <v>1350</v>
      </c>
      <c r="L47" s="728"/>
      <c r="M47" s="729">
        <f>SUM(K47:L47)</f>
        <v>1350</v>
      </c>
      <c r="N47" s="697">
        <f t="shared" si="25"/>
        <v>23005</v>
      </c>
      <c r="O47" s="730">
        <f t="shared" si="25"/>
        <v>65645</v>
      </c>
      <c r="P47" s="697">
        <f t="shared" si="25"/>
        <v>88650</v>
      </c>
      <c r="Q47" s="727" t="s">
        <v>4</v>
      </c>
      <c r="R47" s="728">
        <f>[3]int.bevételek2026!H46</f>
        <v>0</v>
      </c>
      <c r="S47" s="729"/>
      <c r="T47" s="728">
        <f>SUM(R47:S47)</f>
        <v>0</v>
      </c>
      <c r="U47" s="729">
        <f>[3]int.bevételek2026!I46</f>
        <v>0</v>
      </c>
      <c r="V47" s="728"/>
      <c r="W47" s="729">
        <f>SUM(U47:V47)</f>
        <v>0</v>
      </c>
      <c r="X47" s="728">
        <f>[3]int.bevételek2026!J46</f>
        <v>0</v>
      </c>
      <c r="Y47" s="729"/>
      <c r="Z47" s="728">
        <f>SUM(X47:Y47)</f>
        <v>0</v>
      </c>
      <c r="AA47" s="730">
        <f t="shared" si="26"/>
        <v>0</v>
      </c>
      <c r="AB47" s="710">
        <f t="shared" si="26"/>
        <v>0</v>
      </c>
      <c r="AC47" s="697">
        <f t="shared" si="26"/>
        <v>0</v>
      </c>
      <c r="AD47" s="697">
        <f t="shared" si="27"/>
        <v>23005</v>
      </c>
      <c r="AE47" s="697">
        <f t="shared" si="27"/>
        <v>65645</v>
      </c>
      <c r="AF47" s="697">
        <f t="shared" si="27"/>
        <v>88650</v>
      </c>
      <c r="AG47" s="727" t="s">
        <v>4</v>
      </c>
      <c r="AH47" s="729"/>
      <c r="AI47" s="728">
        <f>'[4]int.bevételek RM I maradvány'!AO47</f>
        <v>9929</v>
      </c>
      <c r="AJ47" s="717">
        <f>SUM(AH47:AI47)</f>
        <v>9929</v>
      </c>
      <c r="AK47" s="729">
        <f>[3]int.bevételek2026!L46</f>
        <v>3259921</v>
      </c>
      <c r="AL47" s="728">
        <f>'[4]int.bevételek RM I maradvány'!AS47+124087</f>
        <v>340092</v>
      </c>
      <c r="AM47" s="729">
        <f>SUM(AK47:AL47)</f>
        <v>3600013</v>
      </c>
      <c r="AN47" s="697">
        <f t="shared" si="28"/>
        <v>3282926</v>
      </c>
      <c r="AO47" s="730">
        <f t="shared" si="28"/>
        <v>415666</v>
      </c>
      <c r="AP47" s="697">
        <f t="shared" si="28"/>
        <v>3698592</v>
      </c>
      <c r="AQ47" s="676"/>
      <c r="AR47" s="676"/>
      <c r="AS47" s="676"/>
      <c r="AT47" s="676"/>
      <c r="AU47" s="676"/>
      <c r="AV47" s="676"/>
      <c r="AW47" s="676"/>
      <c r="AX47" s="676"/>
      <c r="AY47" s="676"/>
      <c r="AZ47" s="676"/>
      <c r="BA47" s="676"/>
      <c r="BB47" s="676"/>
      <c r="BC47" s="676"/>
      <c r="BD47" s="676"/>
      <c r="BE47" s="676"/>
      <c r="BF47" s="676"/>
      <c r="BG47" s="676"/>
      <c r="BH47" s="676"/>
      <c r="BI47" s="676"/>
      <c r="BJ47" s="676"/>
      <c r="BK47" s="676"/>
      <c r="BL47" s="676"/>
      <c r="BM47" s="676"/>
      <c r="BN47" s="676"/>
      <c r="BO47" s="676"/>
      <c r="BP47" s="676"/>
      <c r="BQ47" s="676"/>
      <c r="BR47" s="676"/>
      <c r="BS47" s="676"/>
      <c r="BT47" s="676"/>
      <c r="BU47" s="676"/>
      <c r="BV47" s="676"/>
      <c r="BW47" s="676"/>
      <c r="BX47" s="676"/>
      <c r="BY47" s="676"/>
      <c r="BZ47" s="676"/>
      <c r="CA47" s="676"/>
      <c r="CB47" s="676"/>
      <c r="CC47" s="676"/>
      <c r="CD47" s="676"/>
      <c r="CE47" s="676"/>
      <c r="CF47" s="676"/>
      <c r="CG47" s="676"/>
      <c r="CH47" s="676"/>
      <c r="CI47" s="676"/>
      <c r="CJ47" s="676"/>
      <c r="CK47" s="676"/>
      <c r="CL47" s="676"/>
      <c r="CM47" s="676"/>
      <c r="CN47" s="676"/>
      <c r="CO47" s="676"/>
      <c r="CP47" s="676"/>
      <c r="CQ47" s="676"/>
      <c r="CR47" s="676"/>
      <c r="CS47" s="676"/>
      <c r="CT47" s="676"/>
      <c r="CU47" s="676"/>
      <c r="CV47" s="676"/>
      <c r="CW47" s="676"/>
      <c r="CX47" s="676"/>
      <c r="CY47" s="676"/>
      <c r="CZ47" s="676"/>
      <c r="DA47" s="676"/>
      <c r="DB47" s="676"/>
      <c r="DC47" s="676"/>
      <c r="DD47" s="676"/>
      <c r="DE47" s="676"/>
      <c r="DF47" s="676"/>
      <c r="DG47" s="676"/>
      <c r="DH47" s="676"/>
      <c r="DI47" s="676"/>
      <c r="DJ47" s="676"/>
      <c r="DK47" s="676"/>
    </row>
    <row r="48" spans="1:115" ht="61.5" customHeight="1" thickBot="1" x14ac:dyDescent="0.75">
      <c r="A48" s="732" t="s">
        <v>749</v>
      </c>
      <c r="B48" s="705">
        <f t="shared" ref="B48:P48" si="29">SUM(B45:B47)</f>
        <v>246492</v>
      </c>
      <c r="C48" s="705">
        <f t="shared" si="29"/>
        <v>0</v>
      </c>
      <c r="D48" s="705">
        <f t="shared" si="29"/>
        <v>246492</v>
      </c>
      <c r="E48" s="705">
        <f t="shared" si="29"/>
        <v>0</v>
      </c>
      <c r="F48" s="705">
        <f t="shared" si="29"/>
        <v>64645</v>
      </c>
      <c r="G48" s="705">
        <f t="shared" si="29"/>
        <v>64645</v>
      </c>
      <c r="H48" s="705">
        <f t="shared" si="29"/>
        <v>0</v>
      </c>
      <c r="I48" s="705">
        <f t="shared" si="29"/>
        <v>1000</v>
      </c>
      <c r="J48" s="705">
        <f t="shared" si="29"/>
        <v>1000</v>
      </c>
      <c r="K48" s="705">
        <f t="shared" si="29"/>
        <v>1350</v>
      </c>
      <c r="L48" s="705">
        <f t="shared" si="29"/>
        <v>0</v>
      </c>
      <c r="M48" s="705">
        <f t="shared" si="29"/>
        <v>1350</v>
      </c>
      <c r="N48" s="705">
        <f t="shared" si="29"/>
        <v>247842</v>
      </c>
      <c r="O48" s="705">
        <f t="shared" si="29"/>
        <v>65645</v>
      </c>
      <c r="P48" s="705">
        <f t="shared" si="29"/>
        <v>313487</v>
      </c>
      <c r="Q48" s="732" t="s">
        <v>749</v>
      </c>
      <c r="R48" s="705">
        <f t="shared" ref="R48:AC48" si="30">SUM(R45:R47)</f>
        <v>0</v>
      </c>
      <c r="S48" s="705">
        <f t="shared" si="30"/>
        <v>14416</v>
      </c>
      <c r="T48" s="705">
        <f t="shared" si="30"/>
        <v>14416</v>
      </c>
      <c r="U48" s="705">
        <f t="shared" si="30"/>
        <v>0</v>
      </c>
      <c r="V48" s="705">
        <f t="shared" si="30"/>
        <v>0</v>
      </c>
      <c r="W48" s="705">
        <f t="shared" si="30"/>
        <v>0</v>
      </c>
      <c r="X48" s="705">
        <f t="shared" si="30"/>
        <v>0</v>
      </c>
      <c r="Y48" s="705">
        <f t="shared" si="30"/>
        <v>0</v>
      </c>
      <c r="Z48" s="705">
        <f t="shared" si="30"/>
        <v>0</v>
      </c>
      <c r="AA48" s="705">
        <f t="shared" si="30"/>
        <v>0</v>
      </c>
      <c r="AB48" s="705">
        <f t="shared" si="30"/>
        <v>14416</v>
      </c>
      <c r="AC48" s="705">
        <f t="shared" si="30"/>
        <v>14416</v>
      </c>
      <c r="AD48" s="705">
        <f t="shared" si="27"/>
        <v>247842</v>
      </c>
      <c r="AE48" s="705">
        <f t="shared" si="27"/>
        <v>80061</v>
      </c>
      <c r="AF48" s="705">
        <f t="shared" si="27"/>
        <v>327903</v>
      </c>
      <c r="AG48" s="732" t="s">
        <v>749</v>
      </c>
      <c r="AH48" s="705">
        <f t="shared" ref="AH48:AP48" si="31">SUM(AH45:AH47)</f>
        <v>0</v>
      </c>
      <c r="AI48" s="705">
        <f t="shared" si="31"/>
        <v>24934</v>
      </c>
      <c r="AJ48" s="705">
        <f t="shared" si="31"/>
        <v>24934</v>
      </c>
      <c r="AK48" s="705">
        <f t="shared" si="31"/>
        <v>3767161</v>
      </c>
      <c r="AL48" s="705">
        <f t="shared" si="31"/>
        <v>362518</v>
      </c>
      <c r="AM48" s="705">
        <f t="shared" si="31"/>
        <v>4129679</v>
      </c>
      <c r="AN48" s="705">
        <f t="shared" si="31"/>
        <v>4015003</v>
      </c>
      <c r="AO48" s="705">
        <f t="shared" si="31"/>
        <v>467513</v>
      </c>
      <c r="AP48" s="705">
        <f t="shared" si="31"/>
        <v>4482516</v>
      </c>
    </row>
    <row r="49" spans="1:42" ht="61.5" customHeight="1" thickBot="1" x14ac:dyDescent="0.75">
      <c r="A49" s="733" t="s">
        <v>750</v>
      </c>
      <c r="B49" s="699">
        <f t="shared" ref="B49:P49" si="32">B37+B39+B41+B43+B48</f>
        <v>1016818</v>
      </c>
      <c r="C49" s="699">
        <f t="shared" si="32"/>
        <v>1250</v>
      </c>
      <c r="D49" s="699">
        <f t="shared" si="32"/>
        <v>1018068</v>
      </c>
      <c r="E49" s="699">
        <f t="shared" si="32"/>
        <v>532064</v>
      </c>
      <c r="F49" s="699">
        <f t="shared" si="32"/>
        <v>432772</v>
      </c>
      <c r="G49" s="699">
        <f t="shared" si="32"/>
        <v>964836</v>
      </c>
      <c r="H49" s="699">
        <f t="shared" si="32"/>
        <v>0</v>
      </c>
      <c r="I49" s="699">
        <f t="shared" si="32"/>
        <v>1000</v>
      </c>
      <c r="J49" s="699">
        <f t="shared" si="32"/>
        <v>1000</v>
      </c>
      <c r="K49" s="699">
        <f t="shared" si="32"/>
        <v>1350</v>
      </c>
      <c r="L49" s="699">
        <f t="shared" si="32"/>
        <v>0</v>
      </c>
      <c r="M49" s="699">
        <f t="shared" si="32"/>
        <v>1350</v>
      </c>
      <c r="N49" s="699">
        <f t="shared" si="32"/>
        <v>1550232</v>
      </c>
      <c r="O49" s="699">
        <f t="shared" si="32"/>
        <v>435022</v>
      </c>
      <c r="P49" s="699">
        <f t="shared" si="32"/>
        <v>1985254</v>
      </c>
      <c r="Q49" s="733" t="s">
        <v>750</v>
      </c>
      <c r="R49" s="699">
        <f t="shared" ref="R49:AF49" si="33">R37+R39+R41+R43+R48</f>
        <v>0</v>
      </c>
      <c r="S49" s="699">
        <f t="shared" si="33"/>
        <v>14416</v>
      </c>
      <c r="T49" s="699">
        <f t="shared" si="33"/>
        <v>14416</v>
      </c>
      <c r="U49" s="699">
        <f t="shared" si="33"/>
        <v>0</v>
      </c>
      <c r="V49" s="699">
        <f t="shared" si="33"/>
        <v>12600</v>
      </c>
      <c r="W49" s="699">
        <f t="shared" si="33"/>
        <v>12600</v>
      </c>
      <c r="X49" s="699">
        <f t="shared" si="33"/>
        <v>0</v>
      </c>
      <c r="Y49" s="699">
        <f t="shared" si="33"/>
        <v>0</v>
      </c>
      <c r="Z49" s="699">
        <f t="shared" si="33"/>
        <v>0</v>
      </c>
      <c r="AA49" s="699">
        <f t="shared" si="33"/>
        <v>0</v>
      </c>
      <c r="AB49" s="699">
        <f t="shared" si="33"/>
        <v>27016</v>
      </c>
      <c r="AC49" s="699">
        <f t="shared" si="33"/>
        <v>27016</v>
      </c>
      <c r="AD49" s="699">
        <f t="shared" si="33"/>
        <v>1550232</v>
      </c>
      <c r="AE49" s="699">
        <f t="shared" si="33"/>
        <v>462038</v>
      </c>
      <c r="AF49" s="699">
        <f t="shared" si="33"/>
        <v>2012270</v>
      </c>
      <c r="AG49" s="733" t="s">
        <v>750</v>
      </c>
      <c r="AH49" s="699">
        <f t="shared" ref="AH49:AP49" si="34">AH37+AH39+AH41+AH43+AH48</f>
        <v>0</v>
      </c>
      <c r="AI49" s="699">
        <f t="shared" si="34"/>
        <v>647157</v>
      </c>
      <c r="AJ49" s="699">
        <f t="shared" si="34"/>
        <v>647157</v>
      </c>
      <c r="AK49" s="699">
        <f t="shared" si="34"/>
        <v>9778728</v>
      </c>
      <c r="AL49" s="699">
        <f t="shared" si="34"/>
        <v>838638</v>
      </c>
      <c r="AM49" s="699">
        <f t="shared" si="34"/>
        <v>10617366</v>
      </c>
      <c r="AN49" s="699">
        <f t="shared" si="34"/>
        <v>11328960</v>
      </c>
      <c r="AO49" s="699">
        <f t="shared" si="34"/>
        <v>1947833</v>
      </c>
      <c r="AP49" s="699">
        <f t="shared" si="34"/>
        <v>13276793</v>
      </c>
    </row>
    <row r="50" spans="1:42" ht="61.5" customHeight="1" thickBot="1" x14ac:dyDescent="0.75">
      <c r="A50" s="734" t="s">
        <v>751</v>
      </c>
      <c r="B50" s="710">
        <f t="shared" ref="B50:P50" si="35">B30+B49</f>
        <v>1735599</v>
      </c>
      <c r="C50" s="710">
        <f t="shared" si="35"/>
        <v>1383</v>
      </c>
      <c r="D50" s="710">
        <f t="shared" si="35"/>
        <v>1736982</v>
      </c>
      <c r="E50" s="710">
        <f t="shared" si="35"/>
        <v>532064</v>
      </c>
      <c r="F50" s="710">
        <f t="shared" si="35"/>
        <v>434879</v>
      </c>
      <c r="G50" s="710">
        <f t="shared" si="35"/>
        <v>966943</v>
      </c>
      <c r="H50" s="710">
        <f t="shared" si="35"/>
        <v>0</v>
      </c>
      <c r="I50" s="710">
        <f t="shared" si="35"/>
        <v>1000</v>
      </c>
      <c r="J50" s="710">
        <f t="shared" si="35"/>
        <v>1000</v>
      </c>
      <c r="K50" s="710">
        <f t="shared" si="35"/>
        <v>1350</v>
      </c>
      <c r="L50" s="710">
        <f t="shared" si="35"/>
        <v>0</v>
      </c>
      <c r="M50" s="710">
        <f t="shared" si="35"/>
        <v>1350</v>
      </c>
      <c r="N50" s="710">
        <f t="shared" si="35"/>
        <v>2269013</v>
      </c>
      <c r="O50" s="710">
        <f t="shared" si="35"/>
        <v>437262</v>
      </c>
      <c r="P50" s="710">
        <f t="shared" si="35"/>
        <v>2706275</v>
      </c>
      <c r="Q50" s="734" t="s">
        <v>751</v>
      </c>
      <c r="R50" s="735">
        <f t="shared" ref="R50:AF50" si="36">R30+R49</f>
        <v>0</v>
      </c>
      <c r="S50" s="710">
        <f t="shared" si="36"/>
        <v>14416</v>
      </c>
      <c r="T50" s="735">
        <f t="shared" si="36"/>
        <v>14416</v>
      </c>
      <c r="U50" s="710">
        <f t="shared" si="36"/>
        <v>0</v>
      </c>
      <c r="V50" s="735">
        <f t="shared" si="36"/>
        <v>12600</v>
      </c>
      <c r="W50" s="710">
        <f t="shared" si="36"/>
        <v>12600</v>
      </c>
      <c r="X50" s="735">
        <f t="shared" si="36"/>
        <v>0</v>
      </c>
      <c r="Y50" s="710">
        <f t="shared" si="36"/>
        <v>0</v>
      </c>
      <c r="Z50" s="735">
        <f t="shared" si="36"/>
        <v>0</v>
      </c>
      <c r="AA50" s="710">
        <f t="shared" si="36"/>
        <v>0</v>
      </c>
      <c r="AB50" s="735">
        <f t="shared" si="36"/>
        <v>27016</v>
      </c>
      <c r="AC50" s="710">
        <f t="shared" si="36"/>
        <v>27016</v>
      </c>
      <c r="AD50" s="710">
        <f t="shared" si="36"/>
        <v>2269013</v>
      </c>
      <c r="AE50" s="735">
        <f t="shared" si="36"/>
        <v>464278</v>
      </c>
      <c r="AF50" s="710">
        <f t="shared" si="36"/>
        <v>2733291</v>
      </c>
      <c r="AG50" s="734" t="s">
        <v>751</v>
      </c>
      <c r="AH50" s="710">
        <f t="shared" ref="AH50:AP50" si="37">AH30+AH49</f>
        <v>0</v>
      </c>
      <c r="AI50" s="735">
        <f t="shared" si="37"/>
        <v>685622</v>
      </c>
      <c r="AJ50" s="710">
        <f t="shared" si="37"/>
        <v>685622</v>
      </c>
      <c r="AK50" s="710">
        <f t="shared" si="37"/>
        <v>15622672</v>
      </c>
      <c r="AL50" s="735">
        <f t="shared" si="37"/>
        <v>1197915</v>
      </c>
      <c r="AM50" s="710">
        <f t="shared" si="37"/>
        <v>16820587</v>
      </c>
      <c r="AN50" s="735">
        <f t="shared" si="37"/>
        <v>17891685</v>
      </c>
      <c r="AO50" s="710">
        <f t="shared" si="37"/>
        <v>2347815</v>
      </c>
      <c r="AP50" s="710">
        <f t="shared" si="37"/>
        <v>20239500</v>
      </c>
    </row>
    <row r="51" spans="1:42" ht="26.45" customHeight="1" x14ac:dyDescent="0.7">
      <c r="A51" s="669"/>
      <c r="B51" s="670"/>
      <c r="C51" s="670"/>
      <c r="D51" s="670"/>
      <c r="E51" s="670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69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69"/>
      <c r="AH51" s="669"/>
      <c r="AI51" s="669"/>
      <c r="AJ51" s="669"/>
      <c r="AK51" s="669"/>
      <c r="AL51" s="669"/>
      <c r="AM51" s="671"/>
      <c r="AN51" s="671"/>
      <c r="AO51" s="671"/>
      <c r="AP51" s="670"/>
    </row>
  </sheetData>
  <mergeCells count="27">
    <mergeCell ref="AN6:AP6"/>
    <mergeCell ref="B7:D7"/>
    <mergeCell ref="N7:P7"/>
    <mergeCell ref="R7:T7"/>
    <mergeCell ref="X7:Z7"/>
    <mergeCell ref="AA7:AC7"/>
    <mergeCell ref="AD7:AF7"/>
    <mergeCell ref="AK7:AM7"/>
    <mergeCell ref="AN7:AP7"/>
    <mergeCell ref="U6:W6"/>
    <mergeCell ref="X6:Z6"/>
    <mergeCell ref="AA6:AC6"/>
    <mergeCell ref="AD6:AF6"/>
    <mergeCell ref="AH6:AJ6"/>
    <mergeCell ref="AK6:AM6"/>
    <mergeCell ref="B6:D6"/>
    <mergeCell ref="E6:G6"/>
    <mergeCell ref="H6:J6"/>
    <mergeCell ref="K6:M6"/>
    <mergeCell ref="N6:P6"/>
    <mergeCell ref="R6:T6"/>
    <mergeCell ref="B3:P3"/>
    <mergeCell ref="R3:AF3"/>
    <mergeCell ref="AH3:AP3"/>
    <mergeCell ref="B4:P4"/>
    <mergeCell ref="R4:AF4"/>
    <mergeCell ref="AH4:AP4"/>
  </mergeCells>
  <printOptions horizontalCentered="1" verticalCentered="1"/>
  <pageMargins left="0" right="0" top="0" bottom="0" header="0" footer="0"/>
  <pageSetup paperSize="9" scale="17" orientation="landscape" r:id="rId1"/>
  <headerFooter alignWithMargins="0">
    <oddHeader>&amp;R&amp;"Arial CE,Félkövér"&amp;36
4. melléklet a     ../2026.(....) önkormányzati rendelethez
"4. melléklet a 3/2026.(II.27.) önkormányzati rendelethez"</oddHeader>
    <oddFooter xml:space="preserve">&amp;C &amp;R
&amp;36 &amp;10
</oddFooter>
  </headerFooter>
  <colBreaks count="2" manualBreakCount="2">
    <brk id="16" max="48" man="1"/>
    <brk id="32" max="4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DC49D-0D56-4D33-8412-187D5645CEED}">
  <dimension ref="A1:E90"/>
  <sheetViews>
    <sheetView zoomScale="59" zoomScaleNormal="59" zoomScaleSheetLayoutView="44" workbookViewId="0">
      <selection activeCell="F44" sqref="F1:BG1048576"/>
    </sheetView>
  </sheetViews>
  <sheetFormatPr defaultColWidth="10.33203125" defaultRowHeight="72" customHeight="1" x14ac:dyDescent="0.3"/>
  <cols>
    <col min="1" max="1" width="162.6640625" style="923" bestFit="1" customWidth="1"/>
    <col min="2" max="2" width="35.83203125" style="923" customWidth="1"/>
    <col min="3" max="3" width="39.33203125" style="1013" bestFit="1" customWidth="1"/>
    <col min="4" max="4" width="42.1640625" style="1013" customWidth="1"/>
    <col min="5" max="5" width="39.33203125" style="1013" bestFit="1" customWidth="1"/>
    <col min="6" max="16384" width="10.33203125" style="922"/>
  </cols>
  <sheetData>
    <row r="1" spans="1:5" s="920" customFormat="1" ht="43.5" customHeight="1" x14ac:dyDescent="0.4">
      <c r="A1" s="919" t="s">
        <v>780</v>
      </c>
      <c r="B1" s="919"/>
      <c r="C1" s="919"/>
      <c r="D1" s="919"/>
      <c r="E1" s="919"/>
    </row>
    <row r="2" spans="1:5" ht="33" customHeight="1" x14ac:dyDescent="0.4">
      <c r="A2" s="921" t="s">
        <v>781</v>
      </c>
      <c r="B2" s="921"/>
      <c r="C2" s="921"/>
      <c r="D2" s="921"/>
      <c r="E2" s="921"/>
    </row>
    <row r="3" spans="1:5" ht="42" customHeight="1" thickBot="1" x14ac:dyDescent="0.4">
      <c r="C3" s="924"/>
      <c r="D3" s="924"/>
      <c r="E3" s="925" t="s">
        <v>782</v>
      </c>
    </row>
    <row r="4" spans="1:5" s="928" customFormat="1" ht="129.75" customHeight="1" x14ac:dyDescent="0.4">
      <c r="A4" s="926" t="s">
        <v>783</v>
      </c>
      <c r="B4" s="927" t="s">
        <v>784</v>
      </c>
      <c r="C4" s="927" t="s">
        <v>785</v>
      </c>
      <c r="D4" s="927" t="s">
        <v>786</v>
      </c>
      <c r="E4" s="927" t="s">
        <v>787</v>
      </c>
    </row>
    <row r="5" spans="1:5" s="931" customFormat="1" ht="77.25" customHeight="1" x14ac:dyDescent="0.4">
      <c r="A5" s="929" t="s">
        <v>788</v>
      </c>
      <c r="B5" s="930"/>
      <c r="C5" s="930"/>
      <c r="D5" s="930"/>
      <c r="E5" s="930"/>
    </row>
    <row r="6" spans="1:5" s="931" customFormat="1" ht="51" customHeight="1" x14ac:dyDescent="0.5">
      <c r="A6" s="932" t="s">
        <v>789</v>
      </c>
      <c r="B6" s="933">
        <v>1118971</v>
      </c>
      <c r="C6" s="933">
        <v>1191814</v>
      </c>
      <c r="D6" s="933"/>
      <c r="E6" s="933">
        <f>SUM(C6:D6)</f>
        <v>1191814</v>
      </c>
    </row>
    <row r="7" spans="1:5" s="931" customFormat="1" ht="54.75" customHeight="1" x14ac:dyDescent="0.5">
      <c r="A7" s="934" t="s">
        <v>790</v>
      </c>
      <c r="B7" s="935">
        <v>83153</v>
      </c>
      <c r="C7" s="935">
        <v>83156</v>
      </c>
      <c r="D7" s="935"/>
      <c r="E7" s="935">
        <f t="shared" ref="E7:E13" si="0">SUM(C7:D7)</f>
        <v>83156</v>
      </c>
    </row>
    <row r="8" spans="1:5" s="931" customFormat="1" ht="54.75" customHeight="1" x14ac:dyDescent="0.5">
      <c r="A8" s="934" t="s">
        <v>791</v>
      </c>
      <c r="B8" s="935">
        <v>218067</v>
      </c>
      <c r="C8" s="935">
        <v>203786</v>
      </c>
      <c r="D8" s="935"/>
      <c r="E8" s="935">
        <f t="shared" si="0"/>
        <v>203786</v>
      </c>
    </row>
    <row r="9" spans="1:5" s="931" customFormat="1" ht="77.25" customHeight="1" x14ac:dyDescent="0.5">
      <c r="A9" s="934" t="s">
        <v>792</v>
      </c>
      <c r="B9" s="936">
        <v>100</v>
      </c>
      <c r="C9" s="936">
        <v>30744</v>
      </c>
      <c r="D9" s="936"/>
      <c r="E9" s="936">
        <f t="shared" si="0"/>
        <v>30744</v>
      </c>
    </row>
    <row r="10" spans="1:5" s="931" customFormat="1" ht="77.25" customHeight="1" x14ac:dyDescent="0.5">
      <c r="A10" s="934" t="s">
        <v>793</v>
      </c>
      <c r="B10" s="935">
        <v>131036</v>
      </c>
      <c r="C10" s="935">
        <v>131036</v>
      </c>
      <c r="D10" s="935"/>
      <c r="E10" s="935">
        <f t="shared" si="0"/>
        <v>131036</v>
      </c>
    </row>
    <row r="11" spans="1:5" s="931" customFormat="1" ht="77.25" customHeight="1" x14ac:dyDescent="0.5">
      <c r="A11" s="934" t="s">
        <v>794</v>
      </c>
      <c r="B11" s="935">
        <v>207617</v>
      </c>
      <c r="C11" s="935">
        <v>206662</v>
      </c>
      <c r="D11" s="935"/>
      <c r="E11" s="935">
        <f t="shared" si="0"/>
        <v>206662</v>
      </c>
    </row>
    <row r="12" spans="1:5" s="931" customFormat="1" ht="77.25" customHeight="1" x14ac:dyDescent="0.5">
      <c r="A12" s="934" t="s">
        <v>795</v>
      </c>
      <c r="B12" s="935">
        <v>224</v>
      </c>
      <c r="C12" s="935">
        <v>230</v>
      </c>
      <c r="D12" s="935"/>
      <c r="E12" s="935">
        <f t="shared" si="0"/>
        <v>230</v>
      </c>
    </row>
    <row r="13" spans="1:5" s="931" customFormat="1" ht="77.25" customHeight="1" thickBot="1" x14ac:dyDescent="0.55000000000000004">
      <c r="A13" s="937" t="s">
        <v>796</v>
      </c>
      <c r="B13" s="935">
        <v>676</v>
      </c>
      <c r="C13" s="935">
        <v>675</v>
      </c>
      <c r="D13" s="935"/>
      <c r="E13" s="935">
        <f t="shared" si="0"/>
        <v>675</v>
      </c>
    </row>
    <row r="14" spans="1:5" s="940" customFormat="1" ht="77.25" customHeight="1" thickTop="1" thickBot="1" x14ac:dyDescent="0.55000000000000004">
      <c r="A14" s="938" t="s">
        <v>797</v>
      </c>
      <c r="B14" s="939">
        <f>SUM(B5:B13)</f>
        <v>1759844</v>
      </c>
      <c r="C14" s="939">
        <f>SUM(C5:C13)</f>
        <v>1848103</v>
      </c>
      <c r="D14" s="939">
        <f>SUM(D5:D13)</f>
        <v>0</v>
      </c>
      <c r="E14" s="939">
        <f>SUM(E5:E13)</f>
        <v>1848103</v>
      </c>
    </row>
    <row r="15" spans="1:5" s="940" customFormat="1" ht="77.25" customHeight="1" thickTop="1" x14ac:dyDescent="0.5">
      <c r="A15" s="941" t="s">
        <v>798</v>
      </c>
      <c r="B15" s="942"/>
      <c r="C15" s="942"/>
      <c r="D15" s="942"/>
      <c r="E15" s="942"/>
    </row>
    <row r="16" spans="1:5" s="931" customFormat="1" ht="77.25" customHeight="1" x14ac:dyDescent="0.5">
      <c r="A16" s="943" t="s">
        <v>799</v>
      </c>
      <c r="B16" s="944"/>
      <c r="C16" s="944"/>
      <c r="D16" s="944"/>
      <c r="E16" s="944"/>
    </row>
    <row r="17" spans="1:5" s="931" customFormat="1" ht="77.25" customHeight="1" x14ac:dyDescent="0.5">
      <c r="A17" s="945" t="s">
        <v>800</v>
      </c>
      <c r="B17" s="933">
        <v>372845</v>
      </c>
      <c r="C17" s="933">
        <v>370380</v>
      </c>
      <c r="D17" s="933"/>
      <c r="E17" s="933">
        <f>SUM(C17:D17)</f>
        <v>370380</v>
      </c>
    </row>
    <row r="18" spans="1:5" s="931" customFormat="1" ht="77.25" customHeight="1" x14ac:dyDescent="0.5">
      <c r="A18" s="946" t="s">
        <v>801</v>
      </c>
      <c r="B18" s="947"/>
      <c r="C18" s="947"/>
      <c r="D18" s="947"/>
      <c r="E18" s="947"/>
    </row>
    <row r="19" spans="1:5" s="931" customFormat="1" ht="77.25" customHeight="1" x14ac:dyDescent="0.5">
      <c r="A19" s="948" t="s">
        <v>802</v>
      </c>
      <c r="B19" s="933">
        <v>2057637</v>
      </c>
      <c r="C19" s="933">
        <v>2292000</v>
      </c>
      <c r="D19" s="933">
        <v>34440</v>
      </c>
      <c r="E19" s="933">
        <f t="shared" ref="E19:E39" si="1">SUM(C19:D19)</f>
        <v>2326440</v>
      </c>
    </row>
    <row r="20" spans="1:5" s="931" customFormat="1" ht="96" customHeight="1" x14ac:dyDescent="0.5">
      <c r="A20" s="949" t="s">
        <v>803</v>
      </c>
      <c r="B20" s="944"/>
      <c r="C20" s="944"/>
      <c r="D20" s="944"/>
      <c r="E20" s="944"/>
    </row>
    <row r="21" spans="1:5" s="931" customFormat="1" ht="61.5" x14ac:dyDescent="0.5">
      <c r="A21" s="950" t="s">
        <v>804</v>
      </c>
      <c r="B21" s="944"/>
      <c r="C21" s="944"/>
      <c r="D21" s="944"/>
      <c r="E21" s="944"/>
    </row>
    <row r="22" spans="1:5" s="931" customFormat="1" ht="33.75" x14ac:dyDescent="0.5">
      <c r="A22" s="951" t="s">
        <v>805</v>
      </c>
      <c r="B22" s="944"/>
      <c r="C22" s="944"/>
      <c r="D22" s="944"/>
      <c r="E22" s="944"/>
    </row>
    <row r="23" spans="1:5" s="931" customFormat="1" ht="96" customHeight="1" x14ac:dyDescent="0.5">
      <c r="A23" s="952" t="s">
        <v>806</v>
      </c>
      <c r="B23" s="933">
        <v>51619</v>
      </c>
      <c r="C23" s="933">
        <v>55448</v>
      </c>
      <c r="D23" s="933"/>
      <c r="E23" s="933">
        <f t="shared" si="1"/>
        <v>55448</v>
      </c>
    </row>
    <row r="24" spans="1:5" s="931" customFormat="1" ht="47.25" customHeight="1" x14ac:dyDescent="0.5">
      <c r="A24" s="953" t="s">
        <v>807</v>
      </c>
      <c r="B24" s="933">
        <v>49707</v>
      </c>
      <c r="C24" s="933">
        <v>52580</v>
      </c>
      <c r="D24" s="933"/>
      <c r="E24" s="933">
        <f t="shared" si="1"/>
        <v>52580</v>
      </c>
    </row>
    <row r="25" spans="1:5" s="931" customFormat="1" ht="47.25" customHeight="1" x14ac:dyDescent="0.5">
      <c r="A25" s="932" t="s">
        <v>808</v>
      </c>
      <c r="B25" s="933">
        <v>1912</v>
      </c>
      <c r="C25" s="933">
        <v>2868</v>
      </c>
      <c r="D25" s="933"/>
      <c r="E25" s="933">
        <f t="shared" si="1"/>
        <v>2868</v>
      </c>
    </row>
    <row r="26" spans="1:5" s="931" customFormat="1" ht="77.25" customHeight="1" x14ac:dyDescent="0.5">
      <c r="A26" s="932" t="s">
        <v>809</v>
      </c>
      <c r="B26" s="935">
        <v>51856</v>
      </c>
      <c r="C26" s="935">
        <v>57040</v>
      </c>
      <c r="D26" s="935"/>
      <c r="E26" s="935">
        <f t="shared" si="1"/>
        <v>57040</v>
      </c>
    </row>
    <row r="27" spans="1:5" s="931" customFormat="1" ht="77.25" customHeight="1" x14ac:dyDescent="0.5">
      <c r="A27" s="949" t="s">
        <v>810</v>
      </c>
      <c r="B27" s="947"/>
      <c r="C27" s="947"/>
      <c r="D27" s="947"/>
      <c r="E27" s="947"/>
    </row>
    <row r="28" spans="1:5" s="931" customFormat="1" ht="90.75" customHeight="1" x14ac:dyDescent="0.5">
      <c r="A28" s="954" t="s">
        <v>811</v>
      </c>
      <c r="B28" s="933">
        <v>3141</v>
      </c>
      <c r="C28" s="933">
        <v>3456</v>
      </c>
      <c r="D28" s="933"/>
      <c r="E28" s="933">
        <f t="shared" si="1"/>
        <v>3456</v>
      </c>
    </row>
    <row r="29" spans="1:5" s="931" customFormat="1" ht="51.75" customHeight="1" x14ac:dyDescent="0.5">
      <c r="A29" s="932" t="s">
        <v>807</v>
      </c>
      <c r="B29" s="933">
        <v>1047</v>
      </c>
      <c r="C29" s="933">
        <v>1152</v>
      </c>
      <c r="D29" s="933"/>
      <c r="E29" s="933">
        <f t="shared" si="1"/>
        <v>1152</v>
      </c>
    </row>
    <row r="30" spans="1:5" s="931" customFormat="1" ht="58.5" customHeight="1" x14ac:dyDescent="0.5">
      <c r="A30" s="932" t="s">
        <v>808</v>
      </c>
      <c r="B30" s="933">
        <v>2094</v>
      </c>
      <c r="C30" s="933">
        <v>2304</v>
      </c>
      <c r="D30" s="933"/>
      <c r="E30" s="933">
        <f t="shared" si="1"/>
        <v>2304</v>
      </c>
    </row>
    <row r="31" spans="1:5" s="931" customFormat="1" ht="77.25" customHeight="1" x14ac:dyDescent="0.5">
      <c r="A31" s="932" t="s">
        <v>812</v>
      </c>
      <c r="B31" s="935">
        <v>3660</v>
      </c>
      <c r="C31" s="935">
        <v>8052</v>
      </c>
      <c r="D31" s="935"/>
      <c r="E31" s="935">
        <f t="shared" si="1"/>
        <v>8052</v>
      </c>
    </row>
    <row r="32" spans="1:5" s="931" customFormat="1" ht="77.25" customHeight="1" x14ac:dyDescent="0.5">
      <c r="A32" s="955" t="s">
        <v>813</v>
      </c>
      <c r="B32" s="947"/>
      <c r="C32" s="947"/>
      <c r="D32" s="947"/>
      <c r="E32" s="947"/>
    </row>
    <row r="33" spans="1:5" s="931" customFormat="1" ht="77.25" customHeight="1" x14ac:dyDescent="0.5">
      <c r="A33" s="950" t="s">
        <v>814</v>
      </c>
      <c r="B33" s="944"/>
      <c r="C33" s="944"/>
      <c r="D33" s="944"/>
      <c r="E33" s="944"/>
    </row>
    <row r="34" spans="1:5" s="931" customFormat="1" ht="87.75" customHeight="1" x14ac:dyDescent="0.5">
      <c r="A34" s="956" t="s">
        <v>815</v>
      </c>
      <c r="B34" s="933">
        <v>13904</v>
      </c>
      <c r="C34" s="933">
        <v>15296</v>
      </c>
      <c r="D34" s="933"/>
      <c r="E34" s="933">
        <f t="shared" si="1"/>
        <v>15296</v>
      </c>
    </row>
    <row r="35" spans="1:5" s="931" customFormat="1" ht="99.75" customHeight="1" x14ac:dyDescent="0.5">
      <c r="A35" s="943" t="s">
        <v>816</v>
      </c>
      <c r="B35" s="944"/>
      <c r="C35" s="944"/>
      <c r="D35" s="944"/>
      <c r="E35" s="944"/>
    </row>
    <row r="36" spans="1:5" s="931" customFormat="1" ht="77.25" customHeight="1" x14ac:dyDescent="0.5">
      <c r="A36" s="950" t="s">
        <v>817</v>
      </c>
      <c r="B36" s="944"/>
      <c r="C36" s="944"/>
      <c r="D36" s="944"/>
      <c r="E36" s="944"/>
    </row>
    <row r="37" spans="1:5" s="931" customFormat="1" ht="77.25" customHeight="1" x14ac:dyDescent="0.5">
      <c r="A37" s="932" t="s">
        <v>818</v>
      </c>
      <c r="B37" s="933">
        <v>723296</v>
      </c>
      <c r="C37" s="933">
        <v>773813</v>
      </c>
      <c r="D37" s="933"/>
      <c r="E37" s="933">
        <f t="shared" si="1"/>
        <v>773813</v>
      </c>
    </row>
    <row r="38" spans="1:5" s="931" customFormat="1" ht="77.25" customHeight="1" thickBot="1" x14ac:dyDescent="0.55000000000000004">
      <c r="A38" s="957" t="s">
        <v>819</v>
      </c>
      <c r="B38" s="958">
        <v>87014</v>
      </c>
      <c r="C38" s="958">
        <v>80220</v>
      </c>
      <c r="D38" s="958">
        <v>1205</v>
      </c>
      <c r="E38" s="958">
        <f t="shared" si="1"/>
        <v>81425</v>
      </c>
    </row>
    <row r="39" spans="1:5" s="931" customFormat="1" ht="77.25" customHeight="1" thickTop="1" thickBot="1" x14ac:dyDescent="0.55000000000000004">
      <c r="A39" s="934" t="s">
        <v>820</v>
      </c>
      <c r="B39" s="935">
        <v>1738</v>
      </c>
      <c r="C39" s="935">
        <v>1912</v>
      </c>
      <c r="D39" s="935"/>
      <c r="E39" s="935">
        <f t="shared" si="1"/>
        <v>1912</v>
      </c>
    </row>
    <row r="40" spans="1:5" s="931" customFormat="1" ht="62.25" customHeight="1" thickTop="1" thickBot="1" x14ac:dyDescent="0.55000000000000004">
      <c r="A40" s="938" t="s">
        <v>821</v>
      </c>
      <c r="B40" s="959">
        <f>SUM(B15:B39)-B24-B25-B29-B30</f>
        <v>3366710</v>
      </c>
      <c r="C40" s="959">
        <f>SUM(C15:C39)-C24-C25-C29-C30</f>
        <v>3657617</v>
      </c>
      <c r="D40" s="959">
        <f>SUM(D15:D39)-D24-D25-D29-D30</f>
        <v>35645</v>
      </c>
      <c r="E40" s="959">
        <f>SUM(E15:E39)-E24-E25-E29-E30</f>
        <v>3693262</v>
      </c>
    </row>
    <row r="41" spans="1:5" s="960" customFormat="1" ht="77.25" customHeight="1" thickTop="1" x14ac:dyDescent="0.5">
      <c r="A41" s="941" t="s">
        <v>822</v>
      </c>
      <c r="B41" s="942"/>
      <c r="C41" s="942"/>
      <c r="D41" s="942"/>
      <c r="E41" s="942"/>
    </row>
    <row r="42" spans="1:5" s="931" customFormat="1" ht="77.25" customHeight="1" x14ac:dyDescent="0.5">
      <c r="A42" s="961" t="s">
        <v>823</v>
      </c>
      <c r="B42" s="933"/>
      <c r="C42" s="933"/>
      <c r="D42" s="933"/>
      <c r="E42" s="933"/>
    </row>
    <row r="43" spans="1:5" s="931" customFormat="1" ht="77.25" customHeight="1" x14ac:dyDescent="0.5">
      <c r="A43" s="934" t="s">
        <v>824</v>
      </c>
      <c r="B43" s="962">
        <v>121380</v>
      </c>
      <c r="C43" s="962">
        <v>120967</v>
      </c>
      <c r="D43" s="962"/>
      <c r="E43" s="962">
        <f t="shared" ref="E43:E50" si="2">SUM(C43:D43)</f>
        <v>120967</v>
      </c>
    </row>
    <row r="44" spans="1:5" s="931" customFormat="1" ht="77.25" customHeight="1" x14ac:dyDescent="0.5">
      <c r="A44" s="934" t="s">
        <v>825</v>
      </c>
      <c r="B44" s="962">
        <v>142276</v>
      </c>
      <c r="C44" s="962">
        <v>152149</v>
      </c>
      <c r="D44" s="962"/>
      <c r="E44" s="962">
        <f t="shared" si="2"/>
        <v>152149</v>
      </c>
    </row>
    <row r="45" spans="1:5" s="931" customFormat="1" ht="77.25" customHeight="1" x14ac:dyDescent="0.5">
      <c r="A45" s="963" t="s">
        <v>826</v>
      </c>
      <c r="B45" s="962">
        <v>96166</v>
      </c>
      <c r="C45" s="962">
        <v>103212</v>
      </c>
      <c r="D45" s="962"/>
      <c r="E45" s="962">
        <f t="shared" si="2"/>
        <v>103212</v>
      </c>
    </row>
    <row r="46" spans="1:5" s="931" customFormat="1" ht="77.25" customHeight="1" x14ac:dyDescent="0.5">
      <c r="A46" s="934" t="s">
        <v>827</v>
      </c>
      <c r="B46" s="962">
        <v>87458</v>
      </c>
      <c r="C46" s="962">
        <v>93366</v>
      </c>
      <c r="D46" s="962"/>
      <c r="E46" s="962">
        <f t="shared" si="2"/>
        <v>93366</v>
      </c>
    </row>
    <row r="47" spans="1:5" s="931" customFormat="1" ht="77.25" customHeight="1" x14ac:dyDescent="0.5">
      <c r="A47" s="964" t="s">
        <v>828</v>
      </c>
      <c r="B47" s="962">
        <v>75</v>
      </c>
      <c r="C47" s="962">
        <v>75</v>
      </c>
      <c r="D47" s="962"/>
      <c r="E47" s="962">
        <f t="shared" si="2"/>
        <v>75</v>
      </c>
    </row>
    <row r="48" spans="1:5" s="931" customFormat="1" ht="77.25" customHeight="1" x14ac:dyDescent="0.5">
      <c r="A48" s="934" t="s">
        <v>829</v>
      </c>
      <c r="B48" s="962">
        <v>68699</v>
      </c>
      <c r="C48" s="962">
        <v>77881</v>
      </c>
      <c r="D48" s="962"/>
      <c r="E48" s="962">
        <f t="shared" si="2"/>
        <v>77881</v>
      </c>
    </row>
    <row r="49" spans="1:5" s="960" customFormat="1" ht="77.25" customHeight="1" x14ac:dyDescent="0.5">
      <c r="A49" s="965" t="s">
        <v>830</v>
      </c>
      <c r="B49" s="962">
        <v>58126</v>
      </c>
      <c r="C49" s="962">
        <v>63071</v>
      </c>
      <c r="D49" s="962"/>
      <c r="E49" s="962">
        <f t="shared" si="2"/>
        <v>63071</v>
      </c>
    </row>
    <row r="50" spans="1:5" s="931" customFormat="1" ht="77.25" customHeight="1" thickBot="1" x14ac:dyDescent="0.55000000000000004">
      <c r="A50" s="934" t="s">
        <v>831</v>
      </c>
      <c r="B50" s="936">
        <v>7127</v>
      </c>
      <c r="C50" s="936">
        <v>7560</v>
      </c>
      <c r="D50" s="936"/>
      <c r="E50" s="936">
        <f t="shared" si="2"/>
        <v>7560</v>
      </c>
    </row>
    <row r="51" spans="1:5" s="931" customFormat="1" ht="60" customHeight="1" thickTop="1" thickBot="1" x14ac:dyDescent="0.55000000000000004">
      <c r="A51" s="966" t="s">
        <v>823</v>
      </c>
      <c r="B51" s="967">
        <f>SUM(B43:B50)</f>
        <v>581307</v>
      </c>
      <c r="C51" s="967">
        <f>SUM(C43:C50)</f>
        <v>618281</v>
      </c>
      <c r="D51" s="967">
        <f>SUM(D43:D50)</f>
        <v>0</v>
      </c>
      <c r="E51" s="967">
        <f>SUM(E43:E50)</f>
        <v>618281</v>
      </c>
    </row>
    <row r="52" spans="1:5" s="931" customFormat="1" ht="77.25" customHeight="1" thickTop="1" x14ac:dyDescent="0.5">
      <c r="A52" s="943" t="s">
        <v>832</v>
      </c>
      <c r="B52" s="944"/>
      <c r="C52" s="944"/>
      <c r="D52" s="944"/>
      <c r="E52" s="944"/>
    </row>
    <row r="53" spans="1:5" s="931" customFormat="1" ht="77.25" customHeight="1" x14ac:dyDescent="0.5">
      <c r="A53" s="943" t="s">
        <v>833</v>
      </c>
      <c r="B53" s="944"/>
      <c r="C53" s="944"/>
      <c r="D53" s="944"/>
      <c r="E53" s="944"/>
    </row>
    <row r="54" spans="1:5" s="931" customFormat="1" ht="77.25" customHeight="1" x14ac:dyDescent="0.5">
      <c r="A54" s="932" t="s">
        <v>834</v>
      </c>
      <c r="B54" s="933">
        <v>607523</v>
      </c>
      <c r="C54" s="933">
        <v>712656</v>
      </c>
      <c r="D54" s="933">
        <v>10849</v>
      </c>
      <c r="E54" s="933">
        <f t="shared" ref="E54:E56" si="3">SUM(C54:D54)</f>
        <v>723505</v>
      </c>
    </row>
    <row r="55" spans="1:5" s="931" customFormat="1" ht="77.25" customHeight="1" x14ac:dyDescent="0.5">
      <c r="A55" s="934" t="s">
        <v>835</v>
      </c>
      <c r="B55" s="933">
        <v>625198</v>
      </c>
      <c r="C55" s="933">
        <v>647180</v>
      </c>
      <c r="D55" s="933"/>
      <c r="E55" s="933">
        <f t="shared" si="3"/>
        <v>647180</v>
      </c>
    </row>
    <row r="56" spans="1:5" s="931" customFormat="1" ht="58.5" customHeight="1" thickBot="1" x14ac:dyDescent="0.55000000000000004">
      <c r="A56" s="968" t="s">
        <v>836</v>
      </c>
      <c r="B56" s="933">
        <v>258889</v>
      </c>
      <c r="C56" s="933">
        <v>266816</v>
      </c>
      <c r="D56" s="933"/>
      <c r="E56" s="933">
        <f t="shared" si="3"/>
        <v>266816</v>
      </c>
    </row>
    <row r="57" spans="1:5" s="931" customFormat="1" ht="60.75" customHeight="1" thickTop="1" thickBot="1" x14ac:dyDescent="0.55000000000000004">
      <c r="A57" s="966" t="s">
        <v>837</v>
      </c>
      <c r="B57" s="967">
        <f>SUM(B54:B56)</f>
        <v>1491610</v>
      </c>
      <c r="C57" s="967">
        <f>SUM(C54:C56)</f>
        <v>1626652</v>
      </c>
      <c r="D57" s="967">
        <f>SUM(D54:D56)</f>
        <v>10849</v>
      </c>
      <c r="E57" s="967">
        <f>SUM(E54:E56)</f>
        <v>1637501</v>
      </c>
    </row>
    <row r="58" spans="1:5" s="931" customFormat="1" ht="92.25" thickTop="1" x14ac:dyDescent="0.5">
      <c r="A58" s="969" t="s">
        <v>838</v>
      </c>
      <c r="B58" s="970"/>
      <c r="C58" s="970"/>
      <c r="D58" s="970"/>
      <c r="E58" s="970"/>
    </row>
    <row r="59" spans="1:5" s="931" customFormat="1" ht="48.75" customHeight="1" x14ac:dyDescent="0.5">
      <c r="A59" s="932" t="s">
        <v>839</v>
      </c>
      <c r="B59" s="933">
        <v>38956</v>
      </c>
      <c r="C59" s="933">
        <v>60725</v>
      </c>
      <c r="D59" s="933"/>
      <c r="E59" s="933">
        <f t="shared" ref="E59:E60" si="4">SUM(C59:D59)</f>
        <v>60725</v>
      </c>
    </row>
    <row r="60" spans="1:5" s="931" customFormat="1" ht="77.25" customHeight="1" thickBot="1" x14ac:dyDescent="0.55000000000000004">
      <c r="A60" s="934" t="s">
        <v>840</v>
      </c>
      <c r="B60" s="933">
        <v>16171</v>
      </c>
      <c r="C60" s="933">
        <v>16218</v>
      </c>
      <c r="D60" s="933"/>
      <c r="E60" s="933">
        <f t="shared" si="4"/>
        <v>16218</v>
      </c>
    </row>
    <row r="61" spans="1:5" s="931" customFormat="1" ht="92.25" customHeight="1" thickTop="1" thickBot="1" x14ac:dyDescent="0.55000000000000004">
      <c r="A61" s="969" t="s">
        <v>841</v>
      </c>
      <c r="B61" s="967">
        <f>SUM(B59:B60)</f>
        <v>55127</v>
      </c>
      <c r="C61" s="967">
        <f>SUM(C59:C60)</f>
        <v>76943</v>
      </c>
      <c r="D61" s="967">
        <f>SUM(D59:D60)</f>
        <v>0</v>
      </c>
      <c r="E61" s="967">
        <f>SUM(E59:E60)</f>
        <v>76943</v>
      </c>
    </row>
    <row r="62" spans="1:5" s="931" customFormat="1" ht="77.25" customHeight="1" thickTop="1" thickBot="1" x14ac:dyDescent="0.55000000000000004">
      <c r="A62" s="938" t="s">
        <v>842</v>
      </c>
      <c r="B62" s="959">
        <f>B51+B57+B61</f>
        <v>2128044</v>
      </c>
      <c r="C62" s="959">
        <f>C51+C57+C61</f>
        <v>2321876</v>
      </c>
      <c r="D62" s="959">
        <f>D51+D57+D61</f>
        <v>10849</v>
      </c>
      <c r="E62" s="959">
        <f>E51+E57+E61</f>
        <v>2332725</v>
      </c>
    </row>
    <row r="63" spans="1:5" s="931" customFormat="1" ht="54.75" customHeight="1" thickTop="1" x14ac:dyDescent="0.5">
      <c r="A63" s="971" t="s">
        <v>843</v>
      </c>
      <c r="B63" s="944"/>
      <c r="C63" s="944"/>
      <c r="D63" s="944"/>
      <c r="E63" s="944"/>
    </row>
    <row r="64" spans="1:5" s="960" customFormat="1" ht="69" customHeight="1" x14ac:dyDescent="0.5">
      <c r="A64" s="972" t="s">
        <v>844</v>
      </c>
      <c r="B64" s="942"/>
      <c r="C64" s="942"/>
      <c r="D64" s="942"/>
      <c r="E64" s="942"/>
    </row>
    <row r="65" spans="1:5" s="931" customFormat="1" ht="42" customHeight="1" x14ac:dyDescent="0.5">
      <c r="A65" s="973" t="s">
        <v>845</v>
      </c>
      <c r="B65" s="933">
        <v>369523</v>
      </c>
      <c r="C65" s="933">
        <v>417076</v>
      </c>
      <c r="D65" s="933"/>
      <c r="E65" s="933">
        <f t="shared" ref="E65:E67" si="5">SUM(C65:D65)</f>
        <v>417076</v>
      </c>
    </row>
    <row r="66" spans="1:5" s="931" customFormat="1" ht="45" customHeight="1" x14ac:dyDescent="0.5">
      <c r="A66" s="974" t="s">
        <v>846</v>
      </c>
      <c r="B66" s="933">
        <v>574968</v>
      </c>
      <c r="C66" s="933">
        <v>596710</v>
      </c>
      <c r="D66" s="933"/>
      <c r="E66" s="933">
        <f t="shared" si="5"/>
        <v>596710</v>
      </c>
    </row>
    <row r="67" spans="1:5" s="931" customFormat="1" ht="38.25" customHeight="1" thickBot="1" x14ac:dyDescent="0.55000000000000004">
      <c r="A67" s="972" t="s">
        <v>847</v>
      </c>
      <c r="B67" s="933">
        <v>1145</v>
      </c>
      <c r="C67" s="933">
        <v>1634</v>
      </c>
      <c r="D67" s="933"/>
      <c r="E67" s="933">
        <f t="shared" si="5"/>
        <v>1634</v>
      </c>
    </row>
    <row r="68" spans="1:5" s="931" customFormat="1" ht="60" customHeight="1" thickTop="1" thickBot="1" x14ac:dyDescent="0.55000000000000004">
      <c r="A68" s="975" t="s">
        <v>848</v>
      </c>
      <c r="B68" s="959">
        <f>SUM(B65:B67)</f>
        <v>945636</v>
      </c>
      <c r="C68" s="959">
        <f>SUM(C65:C67)</f>
        <v>1015420</v>
      </c>
      <c r="D68" s="959">
        <f>SUM(D65:D67)</f>
        <v>0</v>
      </c>
      <c r="E68" s="959">
        <f>SUM(E65:E67)</f>
        <v>1015420</v>
      </c>
    </row>
    <row r="69" spans="1:5" s="931" customFormat="1" ht="56.25" customHeight="1" thickTop="1" x14ac:dyDescent="0.5">
      <c r="A69" s="976" t="s">
        <v>849</v>
      </c>
      <c r="B69" s="970"/>
      <c r="C69" s="970"/>
      <c r="D69" s="970"/>
      <c r="E69" s="970"/>
    </row>
    <row r="70" spans="1:5" s="931" customFormat="1" ht="64.5" customHeight="1" x14ac:dyDescent="0.5">
      <c r="A70" s="977" t="s">
        <v>850</v>
      </c>
      <c r="B70" s="933">
        <v>71480</v>
      </c>
      <c r="C70" s="933">
        <v>71151</v>
      </c>
      <c r="D70" s="933"/>
      <c r="E70" s="933">
        <f t="shared" ref="E70:E71" si="6">SUM(C70:D70)</f>
        <v>71151</v>
      </c>
    </row>
    <row r="71" spans="1:5" s="931" customFormat="1" ht="63.75" customHeight="1" thickBot="1" x14ac:dyDescent="0.55000000000000004">
      <c r="A71" s="978" t="s">
        <v>851</v>
      </c>
      <c r="B71" s="933">
        <v>142714</v>
      </c>
      <c r="C71" s="933">
        <v>142321</v>
      </c>
      <c r="D71" s="933"/>
      <c r="E71" s="933">
        <f t="shared" si="6"/>
        <v>142321</v>
      </c>
    </row>
    <row r="72" spans="1:5" s="931" customFormat="1" ht="63.75" customHeight="1" thickTop="1" thickBot="1" x14ac:dyDescent="0.55000000000000004">
      <c r="A72" s="975" t="s">
        <v>852</v>
      </c>
      <c r="B72" s="959">
        <f>SUM(B70:B71)</f>
        <v>214194</v>
      </c>
      <c r="C72" s="959">
        <f>SUM(C70:C71)</f>
        <v>213472</v>
      </c>
      <c r="D72" s="959">
        <f>SUM(D70:D71)</f>
        <v>0</v>
      </c>
      <c r="E72" s="959">
        <f>SUM(E70:E71)</f>
        <v>213472</v>
      </c>
    </row>
    <row r="73" spans="1:5" s="931" customFormat="1" ht="72" customHeight="1" thickTop="1" thickBot="1" x14ac:dyDescent="0.55000000000000004">
      <c r="A73" s="979" t="s">
        <v>853</v>
      </c>
      <c r="B73" s="980">
        <f>B14+B40+B62+B68+B72</f>
        <v>8414428</v>
      </c>
      <c r="C73" s="980">
        <f>C14+C40+C62+C68+C72</f>
        <v>9056488</v>
      </c>
      <c r="D73" s="980">
        <f>D14+D40+D62+D68+D72</f>
        <v>46494</v>
      </c>
      <c r="E73" s="980">
        <f>E14+E40+E62+E68+E72</f>
        <v>9102982</v>
      </c>
    </row>
    <row r="74" spans="1:5" s="928" customFormat="1" ht="77.25" customHeight="1" x14ac:dyDescent="0.5">
      <c r="A74" s="981" t="s">
        <v>854</v>
      </c>
      <c r="B74" s="982"/>
      <c r="C74" s="982"/>
      <c r="D74" s="982"/>
      <c r="E74" s="982"/>
    </row>
    <row r="75" spans="1:5" s="928" customFormat="1" ht="38.25" customHeight="1" x14ac:dyDescent="0.5">
      <c r="A75" s="983" t="s">
        <v>855</v>
      </c>
      <c r="B75" s="984">
        <v>251154</v>
      </c>
      <c r="C75" s="985"/>
      <c r="D75" s="984">
        <v>104947</v>
      </c>
      <c r="E75" s="933">
        <f t="shared" ref="E75:E76" si="7">SUM(C75:D75)</f>
        <v>104947</v>
      </c>
    </row>
    <row r="76" spans="1:5" s="928" customFormat="1" ht="51.75" customHeight="1" x14ac:dyDescent="0.5">
      <c r="A76" s="986" t="s">
        <v>856</v>
      </c>
      <c r="B76" s="987"/>
      <c r="C76" s="987"/>
      <c r="D76" s="988">
        <v>37713</v>
      </c>
      <c r="E76" s="933">
        <f t="shared" si="7"/>
        <v>37713</v>
      </c>
    </row>
    <row r="77" spans="1:5" s="928" customFormat="1" ht="77.25" customHeight="1" x14ac:dyDescent="0.5">
      <c r="A77" s="989" t="s">
        <v>857</v>
      </c>
      <c r="B77" s="990">
        <f>SUM(B75:B76)</f>
        <v>251154</v>
      </c>
      <c r="C77" s="990"/>
      <c r="D77" s="990">
        <f>SUM(D75:D76)</f>
        <v>142660</v>
      </c>
      <c r="E77" s="990">
        <f>SUM(E75:E76)</f>
        <v>142660</v>
      </c>
    </row>
    <row r="78" spans="1:5" s="931" customFormat="1" ht="60.75" customHeight="1" x14ac:dyDescent="0.5">
      <c r="A78" s="991" t="s">
        <v>858</v>
      </c>
      <c r="B78" s="992">
        <v>230670</v>
      </c>
      <c r="C78" s="992">
        <v>230670</v>
      </c>
      <c r="D78" s="992"/>
      <c r="E78" s="992">
        <f t="shared" ref="E78:E85" si="8">SUM(C78:D78)</f>
        <v>230670</v>
      </c>
    </row>
    <row r="79" spans="1:5" s="931" customFormat="1" ht="48.75" customHeight="1" x14ac:dyDescent="0.5">
      <c r="A79" s="991" t="s">
        <v>859</v>
      </c>
      <c r="B79" s="993">
        <v>188000</v>
      </c>
      <c r="C79" s="993">
        <v>188000</v>
      </c>
      <c r="D79" s="993"/>
      <c r="E79" s="993">
        <f t="shared" si="8"/>
        <v>188000</v>
      </c>
    </row>
    <row r="80" spans="1:5" s="960" customFormat="1" ht="52.5" customHeight="1" x14ac:dyDescent="0.5">
      <c r="A80" s="994" t="s">
        <v>860</v>
      </c>
      <c r="B80" s="993">
        <v>318266</v>
      </c>
      <c r="C80" s="993">
        <v>318266</v>
      </c>
      <c r="D80" s="993"/>
      <c r="E80" s="993">
        <f t="shared" si="8"/>
        <v>318266</v>
      </c>
    </row>
    <row r="81" spans="1:5" s="960" customFormat="1" ht="61.5" x14ac:dyDescent="0.5">
      <c r="A81" s="995" t="s">
        <v>861</v>
      </c>
      <c r="B81" s="993">
        <v>157338</v>
      </c>
      <c r="C81" s="993">
        <v>157338</v>
      </c>
      <c r="D81" s="993"/>
      <c r="E81" s="993">
        <f t="shared" si="8"/>
        <v>157338</v>
      </c>
    </row>
    <row r="82" spans="1:5" s="960" customFormat="1" ht="91.5" x14ac:dyDescent="0.5">
      <c r="A82" s="996" t="s">
        <v>862</v>
      </c>
      <c r="B82" s="997"/>
      <c r="C82" s="997">
        <v>375845</v>
      </c>
      <c r="D82" s="997"/>
      <c r="E82" s="997">
        <f t="shared" si="8"/>
        <v>375845</v>
      </c>
    </row>
    <row r="83" spans="1:5" s="960" customFormat="1" ht="33.75" x14ac:dyDescent="0.5">
      <c r="A83" s="998" t="s">
        <v>863</v>
      </c>
      <c r="B83" s="997">
        <v>5539</v>
      </c>
      <c r="C83" s="997"/>
      <c r="D83" s="997"/>
      <c r="E83" s="997">
        <f t="shared" si="8"/>
        <v>0</v>
      </c>
    </row>
    <row r="84" spans="1:5" s="1001" customFormat="1" ht="47.25" customHeight="1" x14ac:dyDescent="0.45">
      <c r="A84" s="999" t="s">
        <v>864</v>
      </c>
      <c r="B84" s="1000">
        <f>SUM(B78:B83)</f>
        <v>899813</v>
      </c>
      <c r="C84" s="1000">
        <f>SUM(C78:C82)</f>
        <v>1270119</v>
      </c>
      <c r="D84" s="1000">
        <f>SUM(D78:D82)</f>
        <v>0</v>
      </c>
      <c r="E84" s="1000">
        <f>SUM(E78:E83)</f>
        <v>1270119</v>
      </c>
    </row>
    <row r="85" spans="1:5" s="1001" customFormat="1" ht="99.75" customHeight="1" x14ac:dyDescent="0.5">
      <c r="A85" s="1002" t="s">
        <v>421</v>
      </c>
      <c r="B85" s="1003">
        <v>7300</v>
      </c>
      <c r="C85" s="1004"/>
      <c r="D85" s="1004">
        <v>2420</v>
      </c>
      <c r="E85" s="993">
        <f t="shared" si="8"/>
        <v>2420</v>
      </c>
    </row>
    <row r="86" spans="1:5" s="1001" customFormat="1" ht="55.5" customHeight="1" x14ac:dyDescent="0.5">
      <c r="A86" s="1005" t="s">
        <v>865</v>
      </c>
      <c r="B86" s="1006">
        <v>3137</v>
      </c>
      <c r="C86" s="1006"/>
      <c r="D86" s="1006"/>
      <c r="E86" s="1007"/>
    </row>
    <row r="87" spans="1:5" s="960" customFormat="1" ht="60.75" customHeight="1" x14ac:dyDescent="0.45">
      <c r="A87" s="1008" t="s">
        <v>866</v>
      </c>
      <c r="B87" s="1000">
        <f>SUM(B85:B86)</f>
        <v>10437</v>
      </c>
      <c r="C87" s="1000">
        <f t="shared" ref="C87:E87" si="9">C85</f>
        <v>0</v>
      </c>
      <c r="D87" s="1000">
        <f t="shared" si="9"/>
        <v>2420</v>
      </c>
      <c r="E87" s="1000">
        <f t="shared" si="9"/>
        <v>2420</v>
      </c>
    </row>
    <row r="88" spans="1:5" s="940" customFormat="1" ht="49.5" customHeight="1" x14ac:dyDescent="0.5">
      <c r="A88" s="1009" t="s">
        <v>867</v>
      </c>
      <c r="B88" s="1010">
        <f>B77+B84+B87</f>
        <v>1161404</v>
      </c>
      <c r="C88" s="1010">
        <f>C77+C84+C87</f>
        <v>1270119</v>
      </c>
      <c r="D88" s="1010">
        <f>D77+D84+D87</f>
        <v>145080</v>
      </c>
      <c r="E88" s="1010">
        <f>E77+E84+E87</f>
        <v>1415199</v>
      </c>
    </row>
    <row r="89" spans="1:5" s="940" customFormat="1" ht="48.75" customHeight="1" thickBot="1" x14ac:dyDescent="0.55000000000000004">
      <c r="A89" s="1011" t="s">
        <v>868</v>
      </c>
      <c r="B89" s="1012">
        <f>B73+B88</f>
        <v>9575832</v>
      </c>
      <c r="C89" s="1012">
        <f>C73+C88</f>
        <v>10326607</v>
      </c>
      <c r="D89" s="1012">
        <f>D73+D88</f>
        <v>191574</v>
      </c>
      <c r="E89" s="1012">
        <f>E73+E88</f>
        <v>10518181</v>
      </c>
    </row>
    <row r="90" spans="1:5" ht="72" customHeight="1" thickTop="1" x14ac:dyDescent="0.3"/>
  </sheetData>
  <mergeCells count="2">
    <mergeCell ref="A1:E1"/>
    <mergeCell ref="A2:E2"/>
  </mergeCells>
  <printOptions horizontalCentered="1" verticalCentered="1"/>
  <pageMargins left="0" right="0" top="0" bottom="0" header="0.31496062992125984" footer="0.31496062992125984"/>
  <pageSetup paperSize="9" scale="24" orientation="portrait" r:id="rId1"/>
  <headerFooter>
    <oddHeader>&amp;R&amp;14 &amp;16 &amp;18 &amp;"-,Félkövér"&amp;20 5. melléklet a .../2026.(....) önkormányzati rendelethez
"5. melléklet a 3/2026.(II.27.) önkormányzati rendelethez"</oddHeader>
  </headerFooter>
  <rowBreaks count="1" manualBreakCount="1">
    <brk id="40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0780-D458-40E7-B3F1-3EE567B3C50A}">
  <sheetPr>
    <tabColor indexed="22"/>
  </sheetPr>
  <dimension ref="A1:AK50"/>
  <sheetViews>
    <sheetView zoomScale="50" zoomScaleNormal="50" zoomScaleSheetLayoutView="50" workbookViewId="0">
      <selection activeCell="BQ8" sqref="BQ8"/>
    </sheetView>
  </sheetViews>
  <sheetFormatPr defaultRowHeight="26.45" customHeight="1" x14ac:dyDescent="0.6"/>
  <cols>
    <col min="1" max="1" width="186.33203125" style="672" customWidth="1"/>
    <col min="2" max="10" width="50" style="748" customWidth="1"/>
    <col min="11" max="11" width="186.33203125" style="672" customWidth="1"/>
    <col min="12" max="20" width="50" style="748" customWidth="1"/>
    <col min="21" max="21" width="186.33203125" style="672" customWidth="1"/>
    <col min="22" max="23" width="44.83203125" style="742" customWidth="1"/>
    <col min="24" max="24" width="49.83203125" style="742" customWidth="1"/>
    <col min="25" max="26" width="45" style="742" customWidth="1"/>
    <col min="27" max="27" width="50" style="742" customWidth="1"/>
    <col min="28" max="29" width="45" style="742" customWidth="1"/>
    <col min="30" max="30" width="50" style="742" customWidth="1"/>
    <col min="31" max="34" width="49.83203125" style="742" customWidth="1"/>
    <col min="35" max="35" width="53.5" style="742" customWidth="1"/>
    <col min="36" max="36" width="49.83203125" style="742" customWidth="1"/>
    <col min="37" max="244" width="9.33203125" style="738"/>
    <col min="245" max="245" width="186.33203125" style="738" customWidth="1"/>
    <col min="246" max="254" width="50" style="738" customWidth="1"/>
    <col min="255" max="255" width="186.33203125" style="738" customWidth="1"/>
    <col min="256" max="264" width="50" style="738" customWidth="1"/>
    <col min="265" max="265" width="186.33203125" style="738" customWidth="1"/>
    <col min="266" max="267" width="44.83203125" style="738" customWidth="1"/>
    <col min="268" max="268" width="49.83203125" style="738" customWidth="1"/>
    <col min="269" max="270" width="45" style="738" customWidth="1"/>
    <col min="271" max="271" width="50" style="738" customWidth="1"/>
    <col min="272" max="273" width="45" style="738" customWidth="1"/>
    <col min="274" max="274" width="50" style="738" customWidth="1"/>
    <col min="275" max="278" width="49.83203125" style="738" customWidth="1"/>
    <col min="279" max="279" width="53.5" style="738" customWidth="1"/>
    <col min="280" max="280" width="49.83203125" style="738" customWidth="1"/>
    <col min="281" max="281" width="34.1640625" style="738" customWidth="1"/>
    <col min="282" max="282" width="38.1640625" style="738" customWidth="1"/>
    <col min="283" max="283" width="40.83203125" style="738" customWidth="1"/>
    <col min="284" max="284" width="186.33203125" style="738" customWidth="1"/>
    <col min="285" max="500" width="9.33203125" style="738"/>
    <col min="501" max="501" width="186.33203125" style="738" customWidth="1"/>
    <col min="502" max="510" width="50" style="738" customWidth="1"/>
    <col min="511" max="511" width="186.33203125" style="738" customWidth="1"/>
    <col min="512" max="520" width="50" style="738" customWidth="1"/>
    <col min="521" max="521" width="186.33203125" style="738" customWidth="1"/>
    <col min="522" max="523" width="44.83203125" style="738" customWidth="1"/>
    <col min="524" max="524" width="49.83203125" style="738" customWidth="1"/>
    <col min="525" max="526" width="45" style="738" customWidth="1"/>
    <col min="527" max="527" width="50" style="738" customWidth="1"/>
    <col min="528" max="529" width="45" style="738" customWidth="1"/>
    <col min="530" max="530" width="50" style="738" customWidth="1"/>
    <col min="531" max="534" width="49.83203125" style="738" customWidth="1"/>
    <col min="535" max="535" width="53.5" style="738" customWidth="1"/>
    <col min="536" max="536" width="49.83203125" style="738" customWidth="1"/>
    <col min="537" max="537" width="34.1640625" style="738" customWidth="1"/>
    <col min="538" max="538" width="38.1640625" style="738" customWidth="1"/>
    <col min="539" max="539" width="40.83203125" style="738" customWidth="1"/>
    <col min="540" max="540" width="186.33203125" style="738" customWidth="1"/>
    <col min="541" max="756" width="9.33203125" style="738"/>
    <col min="757" max="757" width="186.33203125" style="738" customWidth="1"/>
    <col min="758" max="766" width="50" style="738" customWidth="1"/>
    <col min="767" max="767" width="186.33203125" style="738" customWidth="1"/>
    <col min="768" max="776" width="50" style="738" customWidth="1"/>
    <col min="777" max="777" width="186.33203125" style="738" customWidth="1"/>
    <col min="778" max="779" width="44.83203125" style="738" customWidth="1"/>
    <col min="780" max="780" width="49.83203125" style="738" customWidth="1"/>
    <col min="781" max="782" width="45" style="738" customWidth="1"/>
    <col min="783" max="783" width="50" style="738" customWidth="1"/>
    <col min="784" max="785" width="45" style="738" customWidth="1"/>
    <col min="786" max="786" width="50" style="738" customWidth="1"/>
    <col min="787" max="790" width="49.83203125" style="738" customWidth="1"/>
    <col min="791" max="791" width="53.5" style="738" customWidth="1"/>
    <col min="792" max="792" width="49.83203125" style="738" customWidth="1"/>
    <col min="793" max="793" width="34.1640625" style="738" customWidth="1"/>
    <col min="794" max="794" width="38.1640625" style="738" customWidth="1"/>
    <col min="795" max="795" width="40.83203125" style="738" customWidth="1"/>
    <col min="796" max="796" width="186.33203125" style="738" customWidth="1"/>
    <col min="797" max="1012" width="9.33203125" style="738"/>
    <col min="1013" max="1013" width="186.33203125" style="738" customWidth="1"/>
    <col min="1014" max="1022" width="50" style="738" customWidth="1"/>
    <col min="1023" max="1023" width="186.33203125" style="738" customWidth="1"/>
    <col min="1024" max="1032" width="50" style="738" customWidth="1"/>
    <col min="1033" max="1033" width="186.33203125" style="738" customWidth="1"/>
    <col min="1034" max="1035" width="44.83203125" style="738" customWidth="1"/>
    <col min="1036" max="1036" width="49.83203125" style="738" customWidth="1"/>
    <col min="1037" max="1038" width="45" style="738" customWidth="1"/>
    <col min="1039" max="1039" width="50" style="738" customWidth="1"/>
    <col min="1040" max="1041" width="45" style="738" customWidth="1"/>
    <col min="1042" max="1042" width="50" style="738" customWidth="1"/>
    <col min="1043" max="1046" width="49.83203125" style="738" customWidth="1"/>
    <col min="1047" max="1047" width="53.5" style="738" customWidth="1"/>
    <col min="1048" max="1048" width="49.83203125" style="738" customWidth="1"/>
    <col min="1049" max="1049" width="34.1640625" style="738" customWidth="1"/>
    <col min="1050" max="1050" width="38.1640625" style="738" customWidth="1"/>
    <col min="1051" max="1051" width="40.83203125" style="738" customWidth="1"/>
    <col min="1052" max="1052" width="186.33203125" style="738" customWidth="1"/>
    <col min="1053" max="1268" width="9.33203125" style="738"/>
    <col min="1269" max="1269" width="186.33203125" style="738" customWidth="1"/>
    <col min="1270" max="1278" width="50" style="738" customWidth="1"/>
    <col min="1279" max="1279" width="186.33203125" style="738" customWidth="1"/>
    <col min="1280" max="1288" width="50" style="738" customWidth="1"/>
    <col min="1289" max="1289" width="186.33203125" style="738" customWidth="1"/>
    <col min="1290" max="1291" width="44.83203125" style="738" customWidth="1"/>
    <col min="1292" max="1292" width="49.83203125" style="738" customWidth="1"/>
    <col min="1293" max="1294" width="45" style="738" customWidth="1"/>
    <col min="1295" max="1295" width="50" style="738" customWidth="1"/>
    <col min="1296" max="1297" width="45" style="738" customWidth="1"/>
    <col min="1298" max="1298" width="50" style="738" customWidth="1"/>
    <col min="1299" max="1302" width="49.83203125" style="738" customWidth="1"/>
    <col min="1303" max="1303" width="53.5" style="738" customWidth="1"/>
    <col min="1304" max="1304" width="49.83203125" style="738" customWidth="1"/>
    <col min="1305" max="1305" width="34.1640625" style="738" customWidth="1"/>
    <col min="1306" max="1306" width="38.1640625" style="738" customWidth="1"/>
    <col min="1307" max="1307" width="40.83203125" style="738" customWidth="1"/>
    <col min="1308" max="1308" width="186.33203125" style="738" customWidth="1"/>
    <col min="1309" max="1524" width="9.33203125" style="738"/>
    <col min="1525" max="1525" width="186.33203125" style="738" customWidth="1"/>
    <col min="1526" max="1534" width="50" style="738" customWidth="1"/>
    <col min="1535" max="1535" width="186.33203125" style="738" customWidth="1"/>
    <col min="1536" max="1544" width="50" style="738" customWidth="1"/>
    <col min="1545" max="1545" width="186.33203125" style="738" customWidth="1"/>
    <col min="1546" max="1547" width="44.83203125" style="738" customWidth="1"/>
    <col min="1548" max="1548" width="49.83203125" style="738" customWidth="1"/>
    <col min="1549" max="1550" width="45" style="738" customWidth="1"/>
    <col min="1551" max="1551" width="50" style="738" customWidth="1"/>
    <col min="1552" max="1553" width="45" style="738" customWidth="1"/>
    <col min="1554" max="1554" width="50" style="738" customWidth="1"/>
    <col min="1555" max="1558" width="49.83203125" style="738" customWidth="1"/>
    <col min="1559" max="1559" width="53.5" style="738" customWidth="1"/>
    <col min="1560" max="1560" width="49.83203125" style="738" customWidth="1"/>
    <col min="1561" max="1561" width="34.1640625" style="738" customWidth="1"/>
    <col min="1562" max="1562" width="38.1640625" style="738" customWidth="1"/>
    <col min="1563" max="1563" width="40.83203125" style="738" customWidth="1"/>
    <col min="1564" max="1564" width="186.33203125" style="738" customWidth="1"/>
    <col min="1565" max="1780" width="9.33203125" style="738"/>
    <col min="1781" max="1781" width="186.33203125" style="738" customWidth="1"/>
    <col min="1782" max="1790" width="50" style="738" customWidth="1"/>
    <col min="1791" max="1791" width="186.33203125" style="738" customWidth="1"/>
    <col min="1792" max="1800" width="50" style="738" customWidth="1"/>
    <col min="1801" max="1801" width="186.33203125" style="738" customWidth="1"/>
    <col min="1802" max="1803" width="44.83203125" style="738" customWidth="1"/>
    <col min="1804" max="1804" width="49.83203125" style="738" customWidth="1"/>
    <col min="1805" max="1806" width="45" style="738" customWidth="1"/>
    <col min="1807" max="1807" width="50" style="738" customWidth="1"/>
    <col min="1808" max="1809" width="45" style="738" customWidth="1"/>
    <col min="1810" max="1810" width="50" style="738" customWidth="1"/>
    <col min="1811" max="1814" width="49.83203125" style="738" customWidth="1"/>
    <col min="1815" max="1815" width="53.5" style="738" customWidth="1"/>
    <col min="1816" max="1816" width="49.83203125" style="738" customWidth="1"/>
    <col min="1817" max="1817" width="34.1640625" style="738" customWidth="1"/>
    <col min="1818" max="1818" width="38.1640625" style="738" customWidth="1"/>
    <col min="1819" max="1819" width="40.83203125" style="738" customWidth="1"/>
    <col min="1820" max="1820" width="186.33203125" style="738" customWidth="1"/>
    <col min="1821" max="2036" width="9.33203125" style="738"/>
    <col min="2037" max="2037" width="186.33203125" style="738" customWidth="1"/>
    <col min="2038" max="2046" width="50" style="738" customWidth="1"/>
    <col min="2047" max="2047" width="186.33203125" style="738" customWidth="1"/>
    <col min="2048" max="2056" width="50" style="738" customWidth="1"/>
    <col min="2057" max="2057" width="186.33203125" style="738" customWidth="1"/>
    <col min="2058" max="2059" width="44.83203125" style="738" customWidth="1"/>
    <col min="2060" max="2060" width="49.83203125" style="738" customWidth="1"/>
    <col min="2061" max="2062" width="45" style="738" customWidth="1"/>
    <col min="2063" max="2063" width="50" style="738" customWidth="1"/>
    <col min="2064" max="2065" width="45" style="738" customWidth="1"/>
    <col min="2066" max="2066" width="50" style="738" customWidth="1"/>
    <col min="2067" max="2070" width="49.83203125" style="738" customWidth="1"/>
    <col min="2071" max="2071" width="53.5" style="738" customWidth="1"/>
    <col min="2072" max="2072" width="49.83203125" style="738" customWidth="1"/>
    <col min="2073" max="2073" width="34.1640625" style="738" customWidth="1"/>
    <col min="2074" max="2074" width="38.1640625" style="738" customWidth="1"/>
    <col min="2075" max="2075" width="40.83203125" style="738" customWidth="1"/>
    <col min="2076" max="2076" width="186.33203125" style="738" customWidth="1"/>
    <col min="2077" max="2292" width="9.33203125" style="738"/>
    <col min="2293" max="2293" width="186.33203125" style="738" customWidth="1"/>
    <col min="2294" max="2302" width="50" style="738" customWidth="1"/>
    <col min="2303" max="2303" width="186.33203125" style="738" customWidth="1"/>
    <col min="2304" max="2312" width="50" style="738" customWidth="1"/>
    <col min="2313" max="2313" width="186.33203125" style="738" customWidth="1"/>
    <col min="2314" max="2315" width="44.83203125" style="738" customWidth="1"/>
    <col min="2316" max="2316" width="49.83203125" style="738" customWidth="1"/>
    <col min="2317" max="2318" width="45" style="738" customWidth="1"/>
    <col min="2319" max="2319" width="50" style="738" customWidth="1"/>
    <col min="2320" max="2321" width="45" style="738" customWidth="1"/>
    <col min="2322" max="2322" width="50" style="738" customWidth="1"/>
    <col min="2323" max="2326" width="49.83203125" style="738" customWidth="1"/>
    <col min="2327" max="2327" width="53.5" style="738" customWidth="1"/>
    <col min="2328" max="2328" width="49.83203125" style="738" customWidth="1"/>
    <col min="2329" max="2329" width="34.1640625" style="738" customWidth="1"/>
    <col min="2330" max="2330" width="38.1640625" style="738" customWidth="1"/>
    <col min="2331" max="2331" width="40.83203125" style="738" customWidth="1"/>
    <col min="2332" max="2332" width="186.33203125" style="738" customWidth="1"/>
    <col min="2333" max="2548" width="9.33203125" style="738"/>
    <col min="2549" max="2549" width="186.33203125" style="738" customWidth="1"/>
    <col min="2550" max="2558" width="50" style="738" customWidth="1"/>
    <col min="2559" max="2559" width="186.33203125" style="738" customWidth="1"/>
    <col min="2560" max="2568" width="50" style="738" customWidth="1"/>
    <col min="2569" max="2569" width="186.33203125" style="738" customWidth="1"/>
    <col min="2570" max="2571" width="44.83203125" style="738" customWidth="1"/>
    <col min="2572" max="2572" width="49.83203125" style="738" customWidth="1"/>
    <col min="2573" max="2574" width="45" style="738" customWidth="1"/>
    <col min="2575" max="2575" width="50" style="738" customWidth="1"/>
    <col min="2576" max="2577" width="45" style="738" customWidth="1"/>
    <col min="2578" max="2578" width="50" style="738" customWidth="1"/>
    <col min="2579" max="2582" width="49.83203125" style="738" customWidth="1"/>
    <col min="2583" max="2583" width="53.5" style="738" customWidth="1"/>
    <col min="2584" max="2584" width="49.83203125" style="738" customWidth="1"/>
    <col min="2585" max="2585" width="34.1640625" style="738" customWidth="1"/>
    <col min="2586" max="2586" width="38.1640625" style="738" customWidth="1"/>
    <col min="2587" max="2587" width="40.83203125" style="738" customWidth="1"/>
    <col min="2588" max="2588" width="186.33203125" style="738" customWidth="1"/>
    <col min="2589" max="2804" width="9.33203125" style="738"/>
    <col min="2805" max="2805" width="186.33203125" style="738" customWidth="1"/>
    <col min="2806" max="2814" width="50" style="738" customWidth="1"/>
    <col min="2815" max="2815" width="186.33203125" style="738" customWidth="1"/>
    <col min="2816" max="2824" width="50" style="738" customWidth="1"/>
    <col min="2825" max="2825" width="186.33203125" style="738" customWidth="1"/>
    <col min="2826" max="2827" width="44.83203125" style="738" customWidth="1"/>
    <col min="2828" max="2828" width="49.83203125" style="738" customWidth="1"/>
    <col min="2829" max="2830" width="45" style="738" customWidth="1"/>
    <col min="2831" max="2831" width="50" style="738" customWidth="1"/>
    <col min="2832" max="2833" width="45" style="738" customWidth="1"/>
    <col min="2834" max="2834" width="50" style="738" customWidth="1"/>
    <col min="2835" max="2838" width="49.83203125" style="738" customWidth="1"/>
    <col min="2839" max="2839" width="53.5" style="738" customWidth="1"/>
    <col min="2840" max="2840" width="49.83203125" style="738" customWidth="1"/>
    <col min="2841" max="2841" width="34.1640625" style="738" customWidth="1"/>
    <col min="2842" max="2842" width="38.1640625" style="738" customWidth="1"/>
    <col min="2843" max="2843" width="40.83203125" style="738" customWidth="1"/>
    <col min="2844" max="2844" width="186.33203125" style="738" customWidth="1"/>
    <col min="2845" max="3060" width="9.33203125" style="738"/>
    <col min="3061" max="3061" width="186.33203125" style="738" customWidth="1"/>
    <col min="3062" max="3070" width="50" style="738" customWidth="1"/>
    <col min="3071" max="3071" width="186.33203125" style="738" customWidth="1"/>
    <col min="3072" max="3080" width="50" style="738" customWidth="1"/>
    <col min="3081" max="3081" width="186.33203125" style="738" customWidth="1"/>
    <col min="3082" max="3083" width="44.83203125" style="738" customWidth="1"/>
    <col min="3084" max="3084" width="49.83203125" style="738" customWidth="1"/>
    <col min="3085" max="3086" width="45" style="738" customWidth="1"/>
    <col min="3087" max="3087" width="50" style="738" customWidth="1"/>
    <col min="3088" max="3089" width="45" style="738" customWidth="1"/>
    <col min="3090" max="3090" width="50" style="738" customWidth="1"/>
    <col min="3091" max="3094" width="49.83203125" style="738" customWidth="1"/>
    <col min="3095" max="3095" width="53.5" style="738" customWidth="1"/>
    <col min="3096" max="3096" width="49.83203125" style="738" customWidth="1"/>
    <col min="3097" max="3097" width="34.1640625" style="738" customWidth="1"/>
    <col min="3098" max="3098" width="38.1640625" style="738" customWidth="1"/>
    <col min="3099" max="3099" width="40.83203125" style="738" customWidth="1"/>
    <col min="3100" max="3100" width="186.33203125" style="738" customWidth="1"/>
    <col min="3101" max="3316" width="9.33203125" style="738"/>
    <col min="3317" max="3317" width="186.33203125" style="738" customWidth="1"/>
    <col min="3318" max="3326" width="50" style="738" customWidth="1"/>
    <col min="3327" max="3327" width="186.33203125" style="738" customWidth="1"/>
    <col min="3328" max="3336" width="50" style="738" customWidth="1"/>
    <col min="3337" max="3337" width="186.33203125" style="738" customWidth="1"/>
    <col min="3338" max="3339" width="44.83203125" style="738" customWidth="1"/>
    <col min="3340" max="3340" width="49.83203125" style="738" customWidth="1"/>
    <col min="3341" max="3342" width="45" style="738" customWidth="1"/>
    <col min="3343" max="3343" width="50" style="738" customWidth="1"/>
    <col min="3344" max="3345" width="45" style="738" customWidth="1"/>
    <col min="3346" max="3346" width="50" style="738" customWidth="1"/>
    <col min="3347" max="3350" width="49.83203125" style="738" customWidth="1"/>
    <col min="3351" max="3351" width="53.5" style="738" customWidth="1"/>
    <col min="3352" max="3352" width="49.83203125" style="738" customWidth="1"/>
    <col min="3353" max="3353" width="34.1640625" style="738" customWidth="1"/>
    <col min="3354" max="3354" width="38.1640625" style="738" customWidth="1"/>
    <col min="3355" max="3355" width="40.83203125" style="738" customWidth="1"/>
    <col min="3356" max="3356" width="186.33203125" style="738" customWidth="1"/>
    <col min="3357" max="3572" width="9.33203125" style="738"/>
    <col min="3573" max="3573" width="186.33203125" style="738" customWidth="1"/>
    <col min="3574" max="3582" width="50" style="738" customWidth="1"/>
    <col min="3583" max="3583" width="186.33203125" style="738" customWidth="1"/>
    <col min="3584" max="3592" width="50" style="738" customWidth="1"/>
    <col min="3593" max="3593" width="186.33203125" style="738" customWidth="1"/>
    <col min="3594" max="3595" width="44.83203125" style="738" customWidth="1"/>
    <col min="3596" max="3596" width="49.83203125" style="738" customWidth="1"/>
    <col min="3597" max="3598" width="45" style="738" customWidth="1"/>
    <col min="3599" max="3599" width="50" style="738" customWidth="1"/>
    <col min="3600" max="3601" width="45" style="738" customWidth="1"/>
    <col min="3602" max="3602" width="50" style="738" customWidth="1"/>
    <col min="3603" max="3606" width="49.83203125" style="738" customWidth="1"/>
    <col min="3607" max="3607" width="53.5" style="738" customWidth="1"/>
    <col min="3608" max="3608" width="49.83203125" style="738" customWidth="1"/>
    <col min="3609" max="3609" width="34.1640625" style="738" customWidth="1"/>
    <col min="3610" max="3610" width="38.1640625" style="738" customWidth="1"/>
    <col min="3611" max="3611" width="40.83203125" style="738" customWidth="1"/>
    <col min="3612" max="3612" width="186.33203125" style="738" customWidth="1"/>
    <col min="3613" max="3828" width="9.33203125" style="738"/>
    <col min="3829" max="3829" width="186.33203125" style="738" customWidth="1"/>
    <col min="3830" max="3838" width="50" style="738" customWidth="1"/>
    <col min="3839" max="3839" width="186.33203125" style="738" customWidth="1"/>
    <col min="3840" max="3848" width="50" style="738" customWidth="1"/>
    <col min="3849" max="3849" width="186.33203125" style="738" customWidth="1"/>
    <col min="3850" max="3851" width="44.83203125" style="738" customWidth="1"/>
    <col min="3852" max="3852" width="49.83203125" style="738" customWidth="1"/>
    <col min="3853" max="3854" width="45" style="738" customWidth="1"/>
    <col min="3855" max="3855" width="50" style="738" customWidth="1"/>
    <col min="3856" max="3857" width="45" style="738" customWidth="1"/>
    <col min="3858" max="3858" width="50" style="738" customWidth="1"/>
    <col min="3859" max="3862" width="49.83203125" style="738" customWidth="1"/>
    <col min="3863" max="3863" width="53.5" style="738" customWidth="1"/>
    <col min="3864" max="3864" width="49.83203125" style="738" customWidth="1"/>
    <col min="3865" max="3865" width="34.1640625" style="738" customWidth="1"/>
    <col min="3866" max="3866" width="38.1640625" style="738" customWidth="1"/>
    <col min="3867" max="3867" width="40.83203125" style="738" customWidth="1"/>
    <col min="3868" max="3868" width="186.33203125" style="738" customWidth="1"/>
    <col min="3869" max="4084" width="9.33203125" style="738"/>
    <col min="4085" max="4085" width="186.33203125" style="738" customWidth="1"/>
    <col min="4086" max="4094" width="50" style="738" customWidth="1"/>
    <col min="4095" max="4095" width="186.33203125" style="738" customWidth="1"/>
    <col min="4096" max="4104" width="50" style="738" customWidth="1"/>
    <col min="4105" max="4105" width="186.33203125" style="738" customWidth="1"/>
    <col min="4106" max="4107" width="44.83203125" style="738" customWidth="1"/>
    <col min="4108" max="4108" width="49.83203125" style="738" customWidth="1"/>
    <col min="4109" max="4110" width="45" style="738" customWidth="1"/>
    <col min="4111" max="4111" width="50" style="738" customWidth="1"/>
    <col min="4112" max="4113" width="45" style="738" customWidth="1"/>
    <col min="4114" max="4114" width="50" style="738" customWidth="1"/>
    <col min="4115" max="4118" width="49.83203125" style="738" customWidth="1"/>
    <col min="4119" max="4119" width="53.5" style="738" customWidth="1"/>
    <col min="4120" max="4120" width="49.83203125" style="738" customWidth="1"/>
    <col min="4121" max="4121" width="34.1640625" style="738" customWidth="1"/>
    <col min="4122" max="4122" width="38.1640625" style="738" customWidth="1"/>
    <col min="4123" max="4123" width="40.83203125" style="738" customWidth="1"/>
    <col min="4124" max="4124" width="186.33203125" style="738" customWidth="1"/>
    <col min="4125" max="4340" width="9.33203125" style="738"/>
    <col min="4341" max="4341" width="186.33203125" style="738" customWidth="1"/>
    <col min="4342" max="4350" width="50" style="738" customWidth="1"/>
    <col min="4351" max="4351" width="186.33203125" style="738" customWidth="1"/>
    <col min="4352" max="4360" width="50" style="738" customWidth="1"/>
    <col min="4361" max="4361" width="186.33203125" style="738" customWidth="1"/>
    <col min="4362" max="4363" width="44.83203125" style="738" customWidth="1"/>
    <col min="4364" max="4364" width="49.83203125" style="738" customWidth="1"/>
    <col min="4365" max="4366" width="45" style="738" customWidth="1"/>
    <col min="4367" max="4367" width="50" style="738" customWidth="1"/>
    <col min="4368" max="4369" width="45" style="738" customWidth="1"/>
    <col min="4370" max="4370" width="50" style="738" customWidth="1"/>
    <col min="4371" max="4374" width="49.83203125" style="738" customWidth="1"/>
    <col min="4375" max="4375" width="53.5" style="738" customWidth="1"/>
    <col min="4376" max="4376" width="49.83203125" style="738" customWidth="1"/>
    <col min="4377" max="4377" width="34.1640625" style="738" customWidth="1"/>
    <col min="4378" max="4378" width="38.1640625" style="738" customWidth="1"/>
    <col min="4379" max="4379" width="40.83203125" style="738" customWidth="1"/>
    <col min="4380" max="4380" width="186.33203125" style="738" customWidth="1"/>
    <col min="4381" max="4596" width="9.33203125" style="738"/>
    <col min="4597" max="4597" width="186.33203125" style="738" customWidth="1"/>
    <col min="4598" max="4606" width="50" style="738" customWidth="1"/>
    <col min="4607" max="4607" width="186.33203125" style="738" customWidth="1"/>
    <col min="4608" max="4616" width="50" style="738" customWidth="1"/>
    <col min="4617" max="4617" width="186.33203125" style="738" customWidth="1"/>
    <col min="4618" max="4619" width="44.83203125" style="738" customWidth="1"/>
    <col min="4620" max="4620" width="49.83203125" style="738" customWidth="1"/>
    <col min="4621" max="4622" width="45" style="738" customWidth="1"/>
    <col min="4623" max="4623" width="50" style="738" customWidth="1"/>
    <col min="4624" max="4625" width="45" style="738" customWidth="1"/>
    <col min="4626" max="4626" width="50" style="738" customWidth="1"/>
    <col min="4627" max="4630" width="49.83203125" style="738" customWidth="1"/>
    <col min="4631" max="4631" width="53.5" style="738" customWidth="1"/>
    <col min="4632" max="4632" width="49.83203125" style="738" customWidth="1"/>
    <col min="4633" max="4633" width="34.1640625" style="738" customWidth="1"/>
    <col min="4634" max="4634" width="38.1640625" style="738" customWidth="1"/>
    <col min="4635" max="4635" width="40.83203125" style="738" customWidth="1"/>
    <col min="4636" max="4636" width="186.33203125" style="738" customWidth="1"/>
    <col min="4637" max="4852" width="9.33203125" style="738"/>
    <col min="4853" max="4853" width="186.33203125" style="738" customWidth="1"/>
    <col min="4854" max="4862" width="50" style="738" customWidth="1"/>
    <col min="4863" max="4863" width="186.33203125" style="738" customWidth="1"/>
    <col min="4864" max="4872" width="50" style="738" customWidth="1"/>
    <col min="4873" max="4873" width="186.33203125" style="738" customWidth="1"/>
    <col min="4874" max="4875" width="44.83203125" style="738" customWidth="1"/>
    <col min="4876" max="4876" width="49.83203125" style="738" customWidth="1"/>
    <col min="4877" max="4878" width="45" style="738" customWidth="1"/>
    <col min="4879" max="4879" width="50" style="738" customWidth="1"/>
    <col min="4880" max="4881" width="45" style="738" customWidth="1"/>
    <col min="4882" max="4882" width="50" style="738" customWidth="1"/>
    <col min="4883" max="4886" width="49.83203125" style="738" customWidth="1"/>
    <col min="4887" max="4887" width="53.5" style="738" customWidth="1"/>
    <col min="4888" max="4888" width="49.83203125" style="738" customWidth="1"/>
    <col min="4889" max="4889" width="34.1640625" style="738" customWidth="1"/>
    <col min="4890" max="4890" width="38.1640625" style="738" customWidth="1"/>
    <col min="4891" max="4891" width="40.83203125" style="738" customWidth="1"/>
    <col min="4892" max="4892" width="186.33203125" style="738" customWidth="1"/>
    <col min="4893" max="5108" width="9.33203125" style="738"/>
    <col min="5109" max="5109" width="186.33203125" style="738" customWidth="1"/>
    <col min="5110" max="5118" width="50" style="738" customWidth="1"/>
    <col min="5119" max="5119" width="186.33203125" style="738" customWidth="1"/>
    <col min="5120" max="5128" width="50" style="738" customWidth="1"/>
    <col min="5129" max="5129" width="186.33203125" style="738" customWidth="1"/>
    <col min="5130" max="5131" width="44.83203125" style="738" customWidth="1"/>
    <col min="5132" max="5132" width="49.83203125" style="738" customWidth="1"/>
    <col min="5133" max="5134" width="45" style="738" customWidth="1"/>
    <col min="5135" max="5135" width="50" style="738" customWidth="1"/>
    <col min="5136" max="5137" width="45" style="738" customWidth="1"/>
    <col min="5138" max="5138" width="50" style="738" customWidth="1"/>
    <col min="5139" max="5142" width="49.83203125" style="738" customWidth="1"/>
    <col min="5143" max="5143" width="53.5" style="738" customWidth="1"/>
    <col min="5144" max="5144" width="49.83203125" style="738" customWidth="1"/>
    <col min="5145" max="5145" width="34.1640625" style="738" customWidth="1"/>
    <col min="5146" max="5146" width="38.1640625" style="738" customWidth="1"/>
    <col min="5147" max="5147" width="40.83203125" style="738" customWidth="1"/>
    <col min="5148" max="5148" width="186.33203125" style="738" customWidth="1"/>
    <col min="5149" max="5364" width="9.33203125" style="738"/>
    <col min="5365" max="5365" width="186.33203125" style="738" customWidth="1"/>
    <col min="5366" max="5374" width="50" style="738" customWidth="1"/>
    <col min="5375" max="5375" width="186.33203125" style="738" customWidth="1"/>
    <col min="5376" max="5384" width="50" style="738" customWidth="1"/>
    <col min="5385" max="5385" width="186.33203125" style="738" customWidth="1"/>
    <col min="5386" max="5387" width="44.83203125" style="738" customWidth="1"/>
    <col min="5388" max="5388" width="49.83203125" style="738" customWidth="1"/>
    <col min="5389" max="5390" width="45" style="738" customWidth="1"/>
    <col min="5391" max="5391" width="50" style="738" customWidth="1"/>
    <col min="5392" max="5393" width="45" style="738" customWidth="1"/>
    <col min="5394" max="5394" width="50" style="738" customWidth="1"/>
    <col min="5395" max="5398" width="49.83203125" style="738" customWidth="1"/>
    <col min="5399" max="5399" width="53.5" style="738" customWidth="1"/>
    <col min="5400" max="5400" width="49.83203125" style="738" customWidth="1"/>
    <col min="5401" max="5401" width="34.1640625" style="738" customWidth="1"/>
    <col min="5402" max="5402" width="38.1640625" style="738" customWidth="1"/>
    <col min="5403" max="5403" width="40.83203125" style="738" customWidth="1"/>
    <col min="5404" max="5404" width="186.33203125" style="738" customWidth="1"/>
    <col min="5405" max="5620" width="9.33203125" style="738"/>
    <col min="5621" max="5621" width="186.33203125" style="738" customWidth="1"/>
    <col min="5622" max="5630" width="50" style="738" customWidth="1"/>
    <col min="5631" max="5631" width="186.33203125" style="738" customWidth="1"/>
    <col min="5632" max="5640" width="50" style="738" customWidth="1"/>
    <col min="5641" max="5641" width="186.33203125" style="738" customWidth="1"/>
    <col min="5642" max="5643" width="44.83203125" style="738" customWidth="1"/>
    <col min="5644" max="5644" width="49.83203125" style="738" customWidth="1"/>
    <col min="5645" max="5646" width="45" style="738" customWidth="1"/>
    <col min="5647" max="5647" width="50" style="738" customWidth="1"/>
    <col min="5648" max="5649" width="45" style="738" customWidth="1"/>
    <col min="5650" max="5650" width="50" style="738" customWidth="1"/>
    <col min="5651" max="5654" width="49.83203125" style="738" customWidth="1"/>
    <col min="5655" max="5655" width="53.5" style="738" customWidth="1"/>
    <col min="5656" max="5656" width="49.83203125" style="738" customWidth="1"/>
    <col min="5657" max="5657" width="34.1640625" style="738" customWidth="1"/>
    <col min="5658" max="5658" width="38.1640625" style="738" customWidth="1"/>
    <col min="5659" max="5659" width="40.83203125" style="738" customWidth="1"/>
    <col min="5660" max="5660" width="186.33203125" style="738" customWidth="1"/>
    <col min="5661" max="5876" width="9.33203125" style="738"/>
    <col min="5877" max="5877" width="186.33203125" style="738" customWidth="1"/>
    <col min="5878" max="5886" width="50" style="738" customWidth="1"/>
    <col min="5887" max="5887" width="186.33203125" style="738" customWidth="1"/>
    <col min="5888" max="5896" width="50" style="738" customWidth="1"/>
    <col min="5897" max="5897" width="186.33203125" style="738" customWidth="1"/>
    <col min="5898" max="5899" width="44.83203125" style="738" customWidth="1"/>
    <col min="5900" max="5900" width="49.83203125" style="738" customWidth="1"/>
    <col min="5901" max="5902" width="45" style="738" customWidth="1"/>
    <col min="5903" max="5903" width="50" style="738" customWidth="1"/>
    <col min="5904" max="5905" width="45" style="738" customWidth="1"/>
    <col min="5906" max="5906" width="50" style="738" customWidth="1"/>
    <col min="5907" max="5910" width="49.83203125" style="738" customWidth="1"/>
    <col min="5911" max="5911" width="53.5" style="738" customWidth="1"/>
    <col min="5912" max="5912" width="49.83203125" style="738" customWidth="1"/>
    <col min="5913" max="5913" width="34.1640625" style="738" customWidth="1"/>
    <col min="5914" max="5914" width="38.1640625" style="738" customWidth="1"/>
    <col min="5915" max="5915" width="40.83203125" style="738" customWidth="1"/>
    <col min="5916" max="5916" width="186.33203125" style="738" customWidth="1"/>
    <col min="5917" max="6132" width="9.33203125" style="738"/>
    <col min="6133" max="6133" width="186.33203125" style="738" customWidth="1"/>
    <col min="6134" max="6142" width="50" style="738" customWidth="1"/>
    <col min="6143" max="6143" width="186.33203125" style="738" customWidth="1"/>
    <col min="6144" max="6152" width="50" style="738" customWidth="1"/>
    <col min="6153" max="6153" width="186.33203125" style="738" customWidth="1"/>
    <col min="6154" max="6155" width="44.83203125" style="738" customWidth="1"/>
    <col min="6156" max="6156" width="49.83203125" style="738" customWidth="1"/>
    <col min="6157" max="6158" width="45" style="738" customWidth="1"/>
    <col min="6159" max="6159" width="50" style="738" customWidth="1"/>
    <col min="6160" max="6161" width="45" style="738" customWidth="1"/>
    <col min="6162" max="6162" width="50" style="738" customWidth="1"/>
    <col min="6163" max="6166" width="49.83203125" style="738" customWidth="1"/>
    <col min="6167" max="6167" width="53.5" style="738" customWidth="1"/>
    <col min="6168" max="6168" width="49.83203125" style="738" customWidth="1"/>
    <col min="6169" max="6169" width="34.1640625" style="738" customWidth="1"/>
    <col min="6170" max="6170" width="38.1640625" style="738" customWidth="1"/>
    <col min="6171" max="6171" width="40.83203125" style="738" customWidth="1"/>
    <col min="6172" max="6172" width="186.33203125" style="738" customWidth="1"/>
    <col min="6173" max="6388" width="9.33203125" style="738"/>
    <col min="6389" max="6389" width="186.33203125" style="738" customWidth="1"/>
    <col min="6390" max="6398" width="50" style="738" customWidth="1"/>
    <col min="6399" max="6399" width="186.33203125" style="738" customWidth="1"/>
    <col min="6400" max="6408" width="50" style="738" customWidth="1"/>
    <col min="6409" max="6409" width="186.33203125" style="738" customWidth="1"/>
    <col min="6410" max="6411" width="44.83203125" style="738" customWidth="1"/>
    <col min="6412" max="6412" width="49.83203125" style="738" customWidth="1"/>
    <col min="6413" max="6414" width="45" style="738" customWidth="1"/>
    <col min="6415" max="6415" width="50" style="738" customWidth="1"/>
    <col min="6416" max="6417" width="45" style="738" customWidth="1"/>
    <col min="6418" max="6418" width="50" style="738" customWidth="1"/>
    <col min="6419" max="6422" width="49.83203125" style="738" customWidth="1"/>
    <col min="6423" max="6423" width="53.5" style="738" customWidth="1"/>
    <col min="6424" max="6424" width="49.83203125" style="738" customWidth="1"/>
    <col min="6425" max="6425" width="34.1640625" style="738" customWidth="1"/>
    <col min="6426" max="6426" width="38.1640625" style="738" customWidth="1"/>
    <col min="6427" max="6427" width="40.83203125" style="738" customWidth="1"/>
    <col min="6428" max="6428" width="186.33203125" style="738" customWidth="1"/>
    <col min="6429" max="6644" width="9.33203125" style="738"/>
    <col min="6645" max="6645" width="186.33203125" style="738" customWidth="1"/>
    <col min="6646" max="6654" width="50" style="738" customWidth="1"/>
    <col min="6655" max="6655" width="186.33203125" style="738" customWidth="1"/>
    <col min="6656" max="6664" width="50" style="738" customWidth="1"/>
    <col min="6665" max="6665" width="186.33203125" style="738" customWidth="1"/>
    <col min="6666" max="6667" width="44.83203125" style="738" customWidth="1"/>
    <col min="6668" max="6668" width="49.83203125" style="738" customWidth="1"/>
    <col min="6669" max="6670" width="45" style="738" customWidth="1"/>
    <col min="6671" max="6671" width="50" style="738" customWidth="1"/>
    <col min="6672" max="6673" width="45" style="738" customWidth="1"/>
    <col min="6674" max="6674" width="50" style="738" customWidth="1"/>
    <col min="6675" max="6678" width="49.83203125" style="738" customWidth="1"/>
    <col min="6679" max="6679" width="53.5" style="738" customWidth="1"/>
    <col min="6680" max="6680" width="49.83203125" style="738" customWidth="1"/>
    <col min="6681" max="6681" width="34.1640625" style="738" customWidth="1"/>
    <col min="6682" max="6682" width="38.1640625" style="738" customWidth="1"/>
    <col min="6683" max="6683" width="40.83203125" style="738" customWidth="1"/>
    <col min="6684" max="6684" width="186.33203125" style="738" customWidth="1"/>
    <col min="6685" max="6900" width="9.33203125" style="738"/>
    <col min="6901" max="6901" width="186.33203125" style="738" customWidth="1"/>
    <col min="6902" max="6910" width="50" style="738" customWidth="1"/>
    <col min="6911" max="6911" width="186.33203125" style="738" customWidth="1"/>
    <col min="6912" max="6920" width="50" style="738" customWidth="1"/>
    <col min="6921" max="6921" width="186.33203125" style="738" customWidth="1"/>
    <col min="6922" max="6923" width="44.83203125" style="738" customWidth="1"/>
    <col min="6924" max="6924" width="49.83203125" style="738" customWidth="1"/>
    <col min="6925" max="6926" width="45" style="738" customWidth="1"/>
    <col min="6927" max="6927" width="50" style="738" customWidth="1"/>
    <col min="6928" max="6929" width="45" style="738" customWidth="1"/>
    <col min="6930" max="6930" width="50" style="738" customWidth="1"/>
    <col min="6931" max="6934" width="49.83203125" style="738" customWidth="1"/>
    <col min="6935" max="6935" width="53.5" style="738" customWidth="1"/>
    <col min="6936" max="6936" width="49.83203125" style="738" customWidth="1"/>
    <col min="6937" max="6937" width="34.1640625" style="738" customWidth="1"/>
    <col min="6938" max="6938" width="38.1640625" style="738" customWidth="1"/>
    <col min="6939" max="6939" width="40.83203125" style="738" customWidth="1"/>
    <col min="6940" max="6940" width="186.33203125" style="738" customWidth="1"/>
    <col min="6941" max="7156" width="9.33203125" style="738"/>
    <col min="7157" max="7157" width="186.33203125" style="738" customWidth="1"/>
    <col min="7158" max="7166" width="50" style="738" customWidth="1"/>
    <col min="7167" max="7167" width="186.33203125" style="738" customWidth="1"/>
    <col min="7168" max="7176" width="50" style="738" customWidth="1"/>
    <col min="7177" max="7177" width="186.33203125" style="738" customWidth="1"/>
    <col min="7178" max="7179" width="44.83203125" style="738" customWidth="1"/>
    <col min="7180" max="7180" width="49.83203125" style="738" customWidth="1"/>
    <col min="7181" max="7182" width="45" style="738" customWidth="1"/>
    <col min="7183" max="7183" width="50" style="738" customWidth="1"/>
    <col min="7184" max="7185" width="45" style="738" customWidth="1"/>
    <col min="7186" max="7186" width="50" style="738" customWidth="1"/>
    <col min="7187" max="7190" width="49.83203125" style="738" customWidth="1"/>
    <col min="7191" max="7191" width="53.5" style="738" customWidth="1"/>
    <col min="7192" max="7192" width="49.83203125" style="738" customWidth="1"/>
    <col min="7193" max="7193" width="34.1640625" style="738" customWidth="1"/>
    <col min="7194" max="7194" width="38.1640625" style="738" customWidth="1"/>
    <col min="7195" max="7195" width="40.83203125" style="738" customWidth="1"/>
    <col min="7196" max="7196" width="186.33203125" style="738" customWidth="1"/>
    <col min="7197" max="7412" width="9.33203125" style="738"/>
    <col min="7413" max="7413" width="186.33203125" style="738" customWidth="1"/>
    <col min="7414" max="7422" width="50" style="738" customWidth="1"/>
    <col min="7423" max="7423" width="186.33203125" style="738" customWidth="1"/>
    <col min="7424" max="7432" width="50" style="738" customWidth="1"/>
    <col min="7433" max="7433" width="186.33203125" style="738" customWidth="1"/>
    <col min="7434" max="7435" width="44.83203125" style="738" customWidth="1"/>
    <col min="7436" max="7436" width="49.83203125" style="738" customWidth="1"/>
    <col min="7437" max="7438" width="45" style="738" customWidth="1"/>
    <col min="7439" max="7439" width="50" style="738" customWidth="1"/>
    <col min="7440" max="7441" width="45" style="738" customWidth="1"/>
    <col min="7442" max="7442" width="50" style="738" customWidth="1"/>
    <col min="7443" max="7446" width="49.83203125" style="738" customWidth="1"/>
    <col min="7447" max="7447" width="53.5" style="738" customWidth="1"/>
    <col min="7448" max="7448" width="49.83203125" style="738" customWidth="1"/>
    <col min="7449" max="7449" width="34.1640625" style="738" customWidth="1"/>
    <col min="7450" max="7450" width="38.1640625" style="738" customWidth="1"/>
    <col min="7451" max="7451" width="40.83203125" style="738" customWidth="1"/>
    <col min="7452" max="7452" width="186.33203125" style="738" customWidth="1"/>
    <col min="7453" max="7668" width="9.33203125" style="738"/>
    <col min="7669" max="7669" width="186.33203125" style="738" customWidth="1"/>
    <col min="7670" max="7678" width="50" style="738" customWidth="1"/>
    <col min="7679" max="7679" width="186.33203125" style="738" customWidth="1"/>
    <col min="7680" max="7688" width="50" style="738" customWidth="1"/>
    <col min="7689" max="7689" width="186.33203125" style="738" customWidth="1"/>
    <col min="7690" max="7691" width="44.83203125" style="738" customWidth="1"/>
    <col min="7692" max="7692" width="49.83203125" style="738" customWidth="1"/>
    <col min="7693" max="7694" width="45" style="738" customWidth="1"/>
    <col min="7695" max="7695" width="50" style="738" customWidth="1"/>
    <col min="7696" max="7697" width="45" style="738" customWidth="1"/>
    <col min="7698" max="7698" width="50" style="738" customWidth="1"/>
    <col min="7699" max="7702" width="49.83203125" style="738" customWidth="1"/>
    <col min="7703" max="7703" width="53.5" style="738" customWidth="1"/>
    <col min="7704" max="7704" width="49.83203125" style="738" customWidth="1"/>
    <col min="7705" max="7705" width="34.1640625" style="738" customWidth="1"/>
    <col min="7706" max="7706" width="38.1640625" style="738" customWidth="1"/>
    <col min="7707" max="7707" width="40.83203125" style="738" customWidth="1"/>
    <col min="7708" max="7708" width="186.33203125" style="738" customWidth="1"/>
    <col min="7709" max="7924" width="9.33203125" style="738"/>
    <col min="7925" max="7925" width="186.33203125" style="738" customWidth="1"/>
    <col min="7926" max="7934" width="50" style="738" customWidth="1"/>
    <col min="7935" max="7935" width="186.33203125" style="738" customWidth="1"/>
    <col min="7936" max="7944" width="50" style="738" customWidth="1"/>
    <col min="7945" max="7945" width="186.33203125" style="738" customWidth="1"/>
    <col min="7946" max="7947" width="44.83203125" style="738" customWidth="1"/>
    <col min="7948" max="7948" width="49.83203125" style="738" customWidth="1"/>
    <col min="7949" max="7950" width="45" style="738" customWidth="1"/>
    <col min="7951" max="7951" width="50" style="738" customWidth="1"/>
    <col min="7952" max="7953" width="45" style="738" customWidth="1"/>
    <col min="7954" max="7954" width="50" style="738" customWidth="1"/>
    <col min="7955" max="7958" width="49.83203125" style="738" customWidth="1"/>
    <col min="7959" max="7959" width="53.5" style="738" customWidth="1"/>
    <col min="7960" max="7960" width="49.83203125" style="738" customWidth="1"/>
    <col min="7961" max="7961" width="34.1640625" style="738" customWidth="1"/>
    <col min="7962" max="7962" width="38.1640625" style="738" customWidth="1"/>
    <col min="7963" max="7963" width="40.83203125" style="738" customWidth="1"/>
    <col min="7964" max="7964" width="186.33203125" style="738" customWidth="1"/>
    <col min="7965" max="8180" width="9.33203125" style="738"/>
    <col min="8181" max="8181" width="186.33203125" style="738" customWidth="1"/>
    <col min="8182" max="8190" width="50" style="738" customWidth="1"/>
    <col min="8191" max="8191" width="186.33203125" style="738" customWidth="1"/>
    <col min="8192" max="8200" width="50" style="738" customWidth="1"/>
    <col min="8201" max="8201" width="186.33203125" style="738" customWidth="1"/>
    <col min="8202" max="8203" width="44.83203125" style="738" customWidth="1"/>
    <col min="8204" max="8204" width="49.83203125" style="738" customWidth="1"/>
    <col min="8205" max="8206" width="45" style="738" customWidth="1"/>
    <col min="8207" max="8207" width="50" style="738" customWidth="1"/>
    <col min="8208" max="8209" width="45" style="738" customWidth="1"/>
    <col min="8210" max="8210" width="50" style="738" customWidth="1"/>
    <col min="8211" max="8214" width="49.83203125" style="738" customWidth="1"/>
    <col min="8215" max="8215" width="53.5" style="738" customWidth="1"/>
    <col min="8216" max="8216" width="49.83203125" style="738" customWidth="1"/>
    <col min="8217" max="8217" width="34.1640625" style="738" customWidth="1"/>
    <col min="8218" max="8218" width="38.1640625" style="738" customWidth="1"/>
    <col min="8219" max="8219" width="40.83203125" style="738" customWidth="1"/>
    <col min="8220" max="8220" width="186.33203125" style="738" customWidth="1"/>
    <col min="8221" max="8436" width="9.33203125" style="738"/>
    <col min="8437" max="8437" width="186.33203125" style="738" customWidth="1"/>
    <col min="8438" max="8446" width="50" style="738" customWidth="1"/>
    <col min="8447" max="8447" width="186.33203125" style="738" customWidth="1"/>
    <col min="8448" max="8456" width="50" style="738" customWidth="1"/>
    <col min="8457" max="8457" width="186.33203125" style="738" customWidth="1"/>
    <col min="8458" max="8459" width="44.83203125" style="738" customWidth="1"/>
    <col min="8460" max="8460" width="49.83203125" style="738" customWidth="1"/>
    <col min="8461" max="8462" width="45" style="738" customWidth="1"/>
    <col min="8463" max="8463" width="50" style="738" customWidth="1"/>
    <col min="8464" max="8465" width="45" style="738" customWidth="1"/>
    <col min="8466" max="8466" width="50" style="738" customWidth="1"/>
    <col min="8467" max="8470" width="49.83203125" style="738" customWidth="1"/>
    <col min="8471" max="8471" width="53.5" style="738" customWidth="1"/>
    <col min="8472" max="8472" width="49.83203125" style="738" customWidth="1"/>
    <col min="8473" max="8473" width="34.1640625" style="738" customWidth="1"/>
    <col min="8474" max="8474" width="38.1640625" style="738" customWidth="1"/>
    <col min="8475" max="8475" width="40.83203125" style="738" customWidth="1"/>
    <col min="8476" max="8476" width="186.33203125" style="738" customWidth="1"/>
    <col min="8477" max="8692" width="9.33203125" style="738"/>
    <col min="8693" max="8693" width="186.33203125" style="738" customWidth="1"/>
    <col min="8694" max="8702" width="50" style="738" customWidth="1"/>
    <col min="8703" max="8703" width="186.33203125" style="738" customWidth="1"/>
    <col min="8704" max="8712" width="50" style="738" customWidth="1"/>
    <col min="8713" max="8713" width="186.33203125" style="738" customWidth="1"/>
    <col min="8714" max="8715" width="44.83203125" style="738" customWidth="1"/>
    <col min="8716" max="8716" width="49.83203125" style="738" customWidth="1"/>
    <col min="8717" max="8718" width="45" style="738" customWidth="1"/>
    <col min="8719" max="8719" width="50" style="738" customWidth="1"/>
    <col min="8720" max="8721" width="45" style="738" customWidth="1"/>
    <col min="8722" max="8722" width="50" style="738" customWidth="1"/>
    <col min="8723" max="8726" width="49.83203125" style="738" customWidth="1"/>
    <col min="8727" max="8727" width="53.5" style="738" customWidth="1"/>
    <col min="8728" max="8728" width="49.83203125" style="738" customWidth="1"/>
    <col min="8729" max="8729" width="34.1640625" style="738" customWidth="1"/>
    <col min="8730" max="8730" width="38.1640625" style="738" customWidth="1"/>
    <col min="8731" max="8731" width="40.83203125" style="738" customWidth="1"/>
    <col min="8732" max="8732" width="186.33203125" style="738" customWidth="1"/>
    <col min="8733" max="8948" width="9.33203125" style="738"/>
    <col min="8949" max="8949" width="186.33203125" style="738" customWidth="1"/>
    <col min="8950" max="8958" width="50" style="738" customWidth="1"/>
    <col min="8959" max="8959" width="186.33203125" style="738" customWidth="1"/>
    <col min="8960" max="8968" width="50" style="738" customWidth="1"/>
    <col min="8969" max="8969" width="186.33203125" style="738" customWidth="1"/>
    <col min="8970" max="8971" width="44.83203125" style="738" customWidth="1"/>
    <col min="8972" max="8972" width="49.83203125" style="738" customWidth="1"/>
    <col min="8973" max="8974" width="45" style="738" customWidth="1"/>
    <col min="8975" max="8975" width="50" style="738" customWidth="1"/>
    <col min="8976" max="8977" width="45" style="738" customWidth="1"/>
    <col min="8978" max="8978" width="50" style="738" customWidth="1"/>
    <col min="8979" max="8982" width="49.83203125" style="738" customWidth="1"/>
    <col min="8983" max="8983" width="53.5" style="738" customWidth="1"/>
    <col min="8984" max="8984" width="49.83203125" style="738" customWidth="1"/>
    <col min="8985" max="8985" width="34.1640625" style="738" customWidth="1"/>
    <col min="8986" max="8986" width="38.1640625" style="738" customWidth="1"/>
    <col min="8987" max="8987" width="40.83203125" style="738" customWidth="1"/>
    <col min="8988" max="8988" width="186.33203125" style="738" customWidth="1"/>
    <col min="8989" max="9204" width="9.33203125" style="738"/>
    <col min="9205" max="9205" width="186.33203125" style="738" customWidth="1"/>
    <col min="9206" max="9214" width="50" style="738" customWidth="1"/>
    <col min="9215" max="9215" width="186.33203125" style="738" customWidth="1"/>
    <col min="9216" max="9224" width="50" style="738" customWidth="1"/>
    <col min="9225" max="9225" width="186.33203125" style="738" customWidth="1"/>
    <col min="9226" max="9227" width="44.83203125" style="738" customWidth="1"/>
    <col min="9228" max="9228" width="49.83203125" style="738" customWidth="1"/>
    <col min="9229" max="9230" width="45" style="738" customWidth="1"/>
    <col min="9231" max="9231" width="50" style="738" customWidth="1"/>
    <col min="9232" max="9233" width="45" style="738" customWidth="1"/>
    <col min="9234" max="9234" width="50" style="738" customWidth="1"/>
    <col min="9235" max="9238" width="49.83203125" style="738" customWidth="1"/>
    <col min="9239" max="9239" width="53.5" style="738" customWidth="1"/>
    <col min="9240" max="9240" width="49.83203125" style="738" customWidth="1"/>
    <col min="9241" max="9241" width="34.1640625" style="738" customWidth="1"/>
    <col min="9242" max="9242" width="38.1640625" style="738" customWidth="1"/>
    <col min="9243" max="9243" width="40.83203125" style="738" customWidth="1"/>
    <col min="9244" max="9244" width="186.33203125" style="738" customWidth="1"/>
    <col min="9245" max="9460" width="9.33203125" style="738"/>
    <col min="9461" max="9461" width="186.33203125" style="738" customWidth="1"/>
    <col min="9462" max="9470" width="50" style="738" customWidth="1"/>
    <col min="9471" max="9471" width="186.33203125" style="738" customWidth="1"/>
    <col min="9472" max="9480" width="50" style="738" customWidth="1"/>
    <col min="9481" max="9481" width="186.33203125" style="738" customWidth="1"/>
    <col min="9482" max="9483" width="44.83203125" style="738" customWidth="1"/>
    <col min="9484" max="9484" width="49.83203125" style="738" customWidth="1"/>
    <col min="9485" max="9486" width="45" style="738" customWidth="1"/>
    <col min="9487" max="9487" width="50" style="738" customWidth="1"/>
    <col min="9488" max="9489" width="45" style="738" customWidth="1"/>
    <col min="9490" max="9490" width="50" style="738" customWidth="1"/>
    <col min="9491" max="9494" width="49.83203125" style="738" customWidth="1"/>
    <col min="9495" max="9495" width="53.5" style="738" customWidth="1"/>
    <col min="9496" max="9496" width="49.83203125" style="738" customWidth="1"/>
    <col min="9497" max="9497" width="34.1640625" style="738" customWidth="1"/>
    <col min="9498" max="9498" width="38.1640625" style="738" customWidth="1"/>
    <col min="9499" max="9499" width="40.83203125" style="738" customWidth="1"/>
    <col min="9500" max="9500" width="186.33203125" style="738" customWidth="1"/>
    <col min="9501" max="9716" width="9.33203125" style="738"/>
    <col min="9717" max="9717" width="186.33203125" style="738" customWidth="1"/>
    <col min="9718" max="9726" width="50" style="738" customWidth="1"/>
    <col min="9727" max="9727" width="186.33203125" style="738" customWidth="1"/>
    <col min="9728" max="9736" width="50" style="738" customWidth="1"/>
    <col min="9737" max="9737" width="186.33203125" style="738" customWidth="1"/>
    <col min="9738" max="9739" width="44.83203125" style="738" customWidth="1"/>
    <col min="9740" max="9740" width="49.83203125" style="738" customWidth="1"/>
    <col min="9741" max="9742" width="45" style="738" customWidth="1"/>
    <col min="9743" max="9743" width="50" style="738" customWidth="1"/>
    <col min="9744" max="9745" width="45" style="738" customWidth="1"/>
    <col min="9746" max="9746" width="50" style="738" customWidth="1"/>
    <col min="9747" max="9750" width="49.83203125" style="738" customWidth="1"/>
    <col min="9751" max="9751" width="53.5" style="738" customWidth="1"/>
    <col min="9752" max="9752" width="49.83203125" style="738" customWidth="1"/>
    <col min="9753" max="9753" width="34.1640625" style="738" customWidth="1"/>
    <col min="9754" max="9754" width="38.1640625" style="738" customWidth="1"/>
    <col min="9755" max="9755" width="40.83203125" style="738" customWidth="1"/>
    <col min="9756" max="9756" width="186.33203125" style="738" customWidth="1"/>
    <col min="9757" max="9972" width="9.33203125" style="738"/>
    <col min="9973" max="9973" width="186.33203125" style="738" customWidth="1"/>
    <col min="9974" max="9982" width="50" style="738" customWidth="1"/>
    <col min="9983" max="9983" width="186.33203125" style="738" customWidth="1"/>
    <col min="9984" max="9992" width="50" style="738" customWidth="1"/>
    <col min="9993" max="9993" width="186.33203125" style="738" customWidth="1"/>
    <col min="9994" max="9995" width="44.83203125" style="738" customWidth="1"/>
    <col min="9996" max="9996" width="49.83203125" style="738" customWidth="1"/>
    <col min="9997" max="9998" width="45" style="738" customWidth="1"/>
    <col min="9999" max="9999" width="50" style="738" customWidth="1"/>
    <col min="10000" max="10001" width="45" style="738" customWidth="1"/>
    <col min="10002" max="10002" width="50" style="738" customWidth="1"/>
    <col min="10003" max="10006" width="49.83203125" style="738" customWidth="1"/>
    <col min="10007" max="10007" width="53.5" style="738" customWidth="1"/>
    <col min="10008" max="10008" width="49.83203125" style="738" customWidth="1"/>
    <col min="10009" max="10009" width="34.1640625" style="738" customWidth="1"/>
    <col min="10010" max="10010" width="38.1640625" style="738" customWidth="1"/>
    <col min="10011" max="10011" width="40.83203125" style="738" customWidth="1"/>
    <col min="10012" max="10012" width="186.33203125" style="738" customWidth="1"/>
    <col min="10013" max="10228" width="9.33203125" style="738"/>
    <col min="10229" max="10229" width="186.33203125" style="738" customWidth="1"/>
    <col min="10230" max="10238" width="50" style="738" customWidth="1"/>
    <col min="10239" max="10239" width="186.33203125" style="738" customWidth="1"/>
    <col min="10240" max="10248" width="50" style="738" customWidth="1"/>
    <col min="10249" max="10249" width="186.33203125" style="738" customWidth="1"/>
    <col min="10250" max="10251" width="44.83203125" style="738" customWidth="1"/>
    <col min="10252" max="10252" width="49.83203125" style="738" customWidth="1"/>
    <col min="10253" max="10254" width="45" style="738" customWidth="1"/>
    <col min="10255" max="10255" width="50" style="738" customWidth="1"/>
    <col min="10256" max="10257" width="45" style="738" customWidth="1"/>
    <col min="10258" max="10258" width="50" style="738" customWidth="1"/>
    <col min="10259" max="10262" width="49.83203125" style="738" customWidth="1"/>
    <col min="10263" max="10263" width="53.5" style="738" customWidth="1"/>
    <col min="10264" max="10264" width="49.83203125" style="738" customWidth="1"/>
    <col min="10265" max="10265" width="34.1640625" style="738" customWidth="1"/>
    <col min="10266" max="10266" width="38.1640625" style="738" customWidth="1"/>
    <col min="10267" max="10267" width="40.83203125" style="738" customWidth="1"/>
    <col min="10268" max="10268" width="186.33203125" style="738" customWidth="1"/>
    <col min="10269" max="10484" width="9.33203125" style="738"/>
    <col min="10485" max="10485" width="186.33203125" style="738" customWidth="1"/>
    <col min="10486" max="10494" width="50" style="738" customWidth="1"/>
    <col min="10495" max="10495" width="186.33203125" style="738" customWidth="1"/>
    <col min="10496" max="10504" width="50" style="738" customWidth="1"/>
    <col min="10505" max="10505" width="186.33203125" style="738" customWidth="1"/>
    <col min="10506" max="10507" width="44.83203125" style="738" customWidth="1"/>
    <col min="10508" max="10508" width="49.83203125" style="738" customWidth="1"/>
    <col min="10509" max="10510" width="45" style="738" customWidth="1"/>
    <col min="10511" max="10511" width="50" style="738" customWidth="1"/>
    <col min="10512" max="10513" width="45" style="738" customWidth="1"/>
    <col min="10514" max="10514" width="50" style="738" customWidth="1"/>
    <col min="10515" max="10518" width="49.83203125" style="738" customWidth="1"/>
    <col min="10519" max="10519" width="53.5" style="738" customWidth="1"/>
    <col min="10520" max="10520" width="49.83203125" style="738" customWidth="1"/>
    <col min="10521" max="10521" width="34.1640625" style="738" customWidth="1"/>
    <col min="10522" max="10522" width="38.1640625" style="738" customWidth="1"/>
    <col min="10523" max="10523" width="40.83203125" style="738" customWidth="1"/>
    <col min="10524" max="10524" width="186.33203125" style="738" customWidth="1"/>
    <col min="10525" max="10740" width="9.33203125" style="738"/>
    <col min="10741" max="10741" width="186.33203125" style="738" customWidth="1"/>
    <col min="10742" max="10750" width="50" style="738" customWidth="1"/>
    <col min="10751" max="10751" width="186.33203125" style="738" customWidth="1"/>
    <col min="10752" max="10760" width="50" style="738" customWidth="1"/>
    <col min="10761" max="10761" width="186.33203125" style="738" customWidth="1"/>
    <col min="10762" max="10763" width="44.83203125" style="738" customWidth="1"/>
    <col min="10764" max="10764" width="49.83203125" style="738" customWidth="1"/>
    <col min="10765" max="10766" width="45" style="738" customWidth="1"/>
    <col min="10767" max="10767" width="50" style="738" customWidth="1"/>
    <col min="10768" max="10769" width="45" style="738" customWidth="1"/>
    <col min="10770" max="10770" width="50" style="738" customWidth="1"/>
    <col min="10771" max="10774" width="49.83203125" style="738" customWidth="1"/>
    <col min="10775" max="10775" width="53.5" style="738" customWidth="1"/>
    <col min="10776" max="10776" width="49.83203125" style="738" customWidth="1"/>
    <col min="10777" max="10777" width="34.1640625" style="738" customWidth="1"/>
    <col min="10778" max="10778" width="38.1640625" style="738" customWidth="1"/>
    <col min="10779" max="10779" width="40.83203125" style="738" customWidth="1"/>
    <col min="10780" max="10780" width="186.33203125" style="738" customWidth="1"/>
    <col min="10781" max="10996" width="9.33203125" style="738"/>
    <col min="10997" max="10997" width="186.33203125" style="738" customWidth="1"/>
    <col min="10998" max="11006" width="50" style="738" customWidth="1"/>
    <col min="11007" max="11007" width="186.33203125" style="738" customWidth="1"/>
    <col min="11008" max="11016" width="50" style="738" customWidth="1"/>
    <col min="11017" max="11017" width="186.33203125" style="738" customWidth="1"/>
    <col min="11018" max="11019" width="44.83203125" style="738" customWidth="1"/>
    <col min="11020" max="11020" width="49.83203125" style="738" customWidth="1"/>
    <col min="11021" max="11022" width="45" style="738" customWidth="1"/>
    <col min="11023" max="11023" width="50" style="738" customWidth="1"/>
    <col min="11024" max="11025" width="45" style="738" customWidth="1"/>
    <col min="11026" max="11026" width="50" style="738" customWidth="1"/>
    <col min="11027" max="11030" width="49.83203125" style="738" customWidth="1"/>
    <col min="11031" max="11031" width="53.5" style="738" customWidth="1"/>
    <col min="11032" max="11032" width="49.83203125" style="738" customWidth="1"/>
    <col min="11033" max="11033" width="34.1640625" style="738" customWidth="1"/>
    <col min="11034" max="11034" width="38.1640625" style="738" customWidth="1"/>
    <col min="11035" max="11035" width="40.83203125" style="738" customWidth="1"/>
    <col min="11036" max="11036" width="186.33203125" style="738" customWidth="1"/>
    <col min="11037" max="11252" width="9.33203125" style="738"/>
    <col min="11253" max="11253" width="186.33203125" style="738" customWidth="1"/>
    <col min="11254" max="11262" width="50" style="738" customWidth="1"/>
    <col min="11263" max="11263" width="186.33203125" style="738" customWidth="1"/>
    <col min="11264" max="11272" width="50" style="738" customWidth="1"/>
    <col min="11273" max="11273" width="186.33203125" style="738" customWidth="1"/>
    <col min="11274" max="11275" width="44.83203125" style="738" customWidth="1"/>
    <col min="11276" max="11276" width="49.83203125" style="738" customWidth="1"/>
    <col min="11277" max="11278" width="45" style="738" customWidth="1"/>
    <col min="11279" max="11279" width="50" style="738" customWidth="1"/>
    <col min="11280" max="11281" width="45" style="738" customWidth="1"/>
    <col min="11282" max="11282" width="50" style="738" customWidth="1"/>
    <col min="11283" max="11286" width="49.83203125" style="738" customWidth="1"/>
    <col min="11287" max="11287" width="53.5" style="738" customWidth="1"/>
    <col min="11288" max="11288" width="49.83203125" style="738" customWidth="1"/>
    <col min="11289" max="11289" width="34.1640625" style="738" customWidth="1"/>
    <col min="11290" max="11290" width="38.1640625" style="738" customWidth="1"/>
    <col min="11291" max="11291" width="40.83203125" style="738" customWidth="1"/>
    <col min="11292" max="11292" width="186.33203125" style="738" customWidth="1"/>
    <col min="11293" max="11508" width="9.33203125" style="738"/>
    <col min="11509" max="11509" width="186.33203125" style="738" customWidth="1"/>
    <col min="11510" max="11518" width="50" style="738" customWidth="1"/>
    <col min="11519" max="11519" width="186.33203125" style="738" customWidth="1"/>
    <col min="11520" max="11528" width="50" style="738" customWidth="1"/>
    <col min="11529" max="11529" width="186.33203125" style="738" customWidth="1"/>
    <col min="11530" max="11531" width="44.83203125" style="738" customWidth="1"/>
    <col min="11532" max="11532" width="49.83203125" style="738" customWidth="1"/>
    <col min="11533" max="11534" width="45" style="738" customWidth="1"/>
    <col min="11535" max="11535" width="50" style="738" customWidth="1"/>
    <col min="11536" max="11537" width="45" style="738" customWidth="1"/>
    <col min="11538" max="11538" width="50" style="738" customWidth="1"/>
    <col min="11539" max="11542" width="49.83203125" style="738" customWidth="1"/>
    <col min="11543" max="11543" width="53.5" style="738" customWidth="1"/>
    <col min="11544" max="11544" width="49.83203125" style="738" customWidth="1"/>
    <col min="11545" max="11545" width="34.1640625" style="738" customWidth="1"/>
    <col min="11546" max="11546" width="38.1640625" style="738" customWidth="1"/>
    <col min="11547" max="11547" width="40.83203125" style="738" customWidth="1"/>
    <col min="11548" max="11548" width="186.33203125" style="738" customWidth="1"/>
    <col min="11549" max="11764" width="9.33203125" style="738"/>
    <col min="11765" max="11765" width="186.33203125" style="738" customWidth="1"/>
    <col min="11766" max="11774" width="50" style="738" customWidth="1"/>
    <col min="11775" max="11775" width="186.33203125" style="738" customWidth="1"/>
    <col min="11776" max="11784" width="50" style="738" customWidth="1"/>
    <col min="11785" max="11785" width="186.33203125" style="738" customWidth="1"/>
    <col min="11786" max="11787" width="44.83203125" style="738" customWidth="1"/>
    <col min="11788" max="11788" width="49.83203125" style="738" customWidth="1"/>
    <col min="11789" max="11790" width="45" style="738" customWidth="1"/>
    <col min="11791" max="11791" width="50" style="738" customWidth="1"/>
    <col min="11792" max="11793" width="45" style="738" customWidth="1"/>
    <col min="11794" max="11794" width="50" style="738" customWidth="1"/>
    <col min="11795" max="11798" width="49.83203125" style="738" customWidth="1"/>
    <col min="11799" max="11799" width="53.5" style="738" customWidth="1"/>
    <col min="11800" max="11800" width="49.83203125" style="738" customWidth="1"/>
    <col min="11801" max="11801" width="34.1640625" style="738" customWidth="1"/>
    <col min="11802" max="11802" width="38.1640625" style="738" customWidth="1"/>
    <col min="11803" max="11803" width="40.83203125" style="738" customWidth="1"/>
    <col min="11804" max="11804" width="186.33203125" style="738" customWidth="1"/>
    <col min="11805" max="12020" width="9.33203125" style="738"/>
    <col min="12021" max="12021" width="186.33203125" style="738" customWidth="1"/>
    <col min="12022" max="12030" width="50" style="738" customWidth="1"/>
    <col min="12031" max="12031" width="186.33203125" style="738" customWidth="1"/>
    <col min="12032" max="12040" width="50" style="738" customWidth="1"/>
    <col min="12041" max="12041" width="186.33203125" style="738" customWidth="1"/>
    <col min="12042" max="12043" width="44.83203125" style="738" customWidth="1"/>
    <col min="12044" max="12044" width="49.83203125" style="738" customWidth="1"/>
    <col min="12045" max="12046" width="45" style="738" customWidth="1"/>
    <col min="12047" max="12047" width="50" style="738" customWidth="1"/>
    <col min="12048" max="12049" width="45" style="738" customWidth="1"/>
    <col min="12050" max="12050" width="50" style="738" customWidth="1"/>
    <col min="12051" max="12054" width="49.83203125" style="738" customWidth="1"/>
    <col min="12055" max="12055" width="53.5" style="738" customWidth="1"/>
    <col min="12056" max="12056" width="49.83203125" style="738" customWidth="1"/>
    <col min="12057" max="12057" width="34.1640625" style="738" customWidth="1"/>
    <col min="12058" max="12058" width="38.1640625" style="738" customWidth="1"/>
    <col min="12059" max="12059" width="40.83203125" style="738" customWidth="1"/>
    <col min="12060" max="12060" width="186.33203125" style="738" customWidth="1"/>
    <col min="12061" max="12276" width="9.33203125" style="738"/>
    <col min="12277" max="12277" width="186.33203125" style="738" customWidth="1"/>
    <col min="12278" max="12286" width="50" style="738" customWidth="1"/>
    <col min="12287" max="12287" width="186.33203125" style="738" customWidth="1"/>
    <col min="12288" max="12296" width="50" style="738" customWidth="1"/>
    <col min="12297" max="12297" width="186.33203125" style="738" customWidth="1"/>
    <col min="12298" max="12299" width="44.83203125" style="738" customWidth="1"/>
    <col min="12300" max="12300" width="49.83203125" style="738" customWidth="1"/>
    <col min="12301" max="12302" width="45" style="738" customWidth="1"/>
    <col min="12303" max="12303" width="50" style="738" customWidth="1"/>
    <col min="12304" max="12305" width="45" style="738" customWidth="1"/>
    <col min="12306" max="12306" width="50" style="738" customWidth="1"/>
    <col min="12307" max="12310" width="49.83203125" style="738" customWidth="1"/>
    <col min="12311" max="12311" width="53.5" style="738" customWidth="1"/>
    <col min="12312" max="12312" width="49.83203125" style="738" customWidth="1"/>
    <col min="12313" max="12313" width="34.1640625" style="738" customWidth="1"/>
    <col min="12314" max="12314" width="38.1640625" style="738" customWidth="1"/>
    <col min="12315" max="12315" width="40.83203125" style="738" customWidth="1"/>
    <col min="12316" max="12316" width="186.33203125" style="738" customWidth="1"/>
    <col min="12317" max="12532" width="9.33203125" style="738"/>
    <col min="12533" max="12533" width="186.33203125" style="738" customWidth="1"/>
    <col min="12534" max="12542" width="50" style="738" customWidth="1"/>
    <col min="12543" max="12543" width="186.33203125" style="738" customWidth="1"/>
    <col min="12544" max="12552" width="50" style="738" customWidth="1"/>
    <col min="12553" max="12553" width="186.33203125" style="738" customWidth="1"/>
    <col min="12554" max="12555" width="44.83203125" style="738" customWidth="1"/>
    <col min="12556" max="12556" width="49.83203125" style="738" customWidth="1"/>
    <col min="12557" max="12558" width="45" style="738" customWidth="1"/>
    <col min="12559" max="12559" width="50" style="738" customWidth="1"/>
    <col min="12560" max="12561" width="45" style="738" customWidth="1"/>
    <col min="12562" max="12562" width="50" style="738" customWidth="1"/>
    <col min="12563" max="12566" width="49.83203125" style="738" customWidth="1"/>
    <col min="12567" max="12567" width="53.5" style="738" customWidth="1"/>
    <col min="12568" max="12568" width="49.83203125" style="738" customWidth="1"/>
    <col min="12569" max="12569" width="34.1640625" style="738" customWidth="1"/>
    <col min="12570" max="12570" width="38.1640625" style="738" customWidth="1"/>
    <col min="12571" max="12571" width="40.83203125" style="738" customWidth="1"/>
    <col min="12572" max="12572" width="186.33203125" style="738" customWidth="1"/>
    <col min="12573" max="12788" width="9.33203125" style="738"/>
    <col min="12789" max="12789" width="186.33203125" style="738" customWidth="1"/>
    <col min="12790" max="12798" width="50" style="738" customWidth="1"/>
    <col min="12799" max="12799" width="186.33203125" style="738" customWidth="1"/>
    <col min="12800" max="12808" width="50" style="738" customWidth="1"/>
    <col min="12809" max="12809" width="186.33203125" style="738" customWidth="1"/>
    <col min="12810" max="12811" width="44.83203125" style="738" customWidth="1"/>
    <col min="12812" max="12812" width="49.83203125" style="738" customWidth="1"/>
    <col min="12813" max="12814" width="45" style="738" customWidth="1"/>
    <col min="12815" max="12815" width="50" style="738" customWidth="1"/>
    <col min="12816" max="12817" width="45" style="738" customWidth="1"/>
    <col min="12818" max="12818" width="50" style="738" customWidth="1"/>
    <col min="12819" max="12822" width="49.83203125" style="738" customWidth="1"/>
    <col min="12823" max="12823" width="53.5" style="738" customWidth="1"/>
    <col min="12824" max="12824" width="49.83203125" style="738" customWidth="1"/>
    <col min="12825" max="12825" width="34.1640625" style="738" customWidth="1"/>
    <col min="12826" max="12826" width="38.1640625" style="738" customWidth="1"/>
    <col min="12827" max="12827" width="40.83203125" style="738" customWidth="1"/>
    <col min="12828" max="12828" width="186.33203125" style="738" customWidth="1"/>
    <col min="12829" max="13044" width="9.33203125" style="738"/>
    <col min="13045" max="13045" width="186.33203125" style="738" customWidth="1"/>
    <col min="13046" max="13054" width="50" style="738" customWidth="1"/>
    <col min="13055" max="13055" width="186.33203125" style="738" customWidth="1"/>
    <col min="13056" max="13064" width="50" style="738" customWidth="1"/>
    <col min="13065" max="13065" width="186.33203125" style="738" customWidth="1"/>
    <col min="13066" max="13067" width="44.83203125" style="738" customWidth="1"/>
    <col min="13068" max="13068" width="49.83203125" style="738" customWidth="1"/>
    <col min="13069" max="13070" width="45" style="738" customWidth="1"/>
    <col min="13071" max="13071" width="50" style="738" customWidth="1"/>
    <col min="13072" max="13073" width="45" style="738" customWidth="1"/>
    <col min="13074" max="13074" width="50" style="738" customWidth="1"/>
    <col min="13075" max="13078" width="49.83203125" style="738" customWidth="1"/>
    <col min="13079" max="13079" width="53.5" style="738" customWidth="1"/>
    <col min="13080" max="13080" width="49.83203125" style="738" customWidth="1"/>
    <col min="13081" max="13081" width="34.1640625" style="738" customWidth="1"/>
    <col min="13082" max="13082" width="38.1640625" style="738" customWidth="1"/>
    <col min="13083" max="13083" width="40.83203125" style="738" customWidth="1"/>
    <col min="13084" max="13084" width="186.33203125" style="738" customWidth="1"/>
    <col min="13085" max="13300" width="9.33203125" style="738"/>
    <col min="13301" max="13301" width="186.33203125" style="738" customWidth="1"/>
    <col min="13302" max="13310" width="50" style="738" customWidth="1"/>
    <col min="13311" max="13311" width="186.33203125" style="738" customWidth="1"/>
    <col min="13312" max="13320" width="50" style="738" customWidth="1"/>
    <col min="13321" max="13321" width="186.33203125" style="738" customWidth="1"/>
    <col min="13322" max="13323" width="44.83203125" style="738" customWidth="1"/>
    <col min="13324" max="13324" width="49.83203125" style="738" customWidth="1"/>
    <col min="13325" max="13326" width="45" style="738" customWidth="1"/>
    <col min="13327" max="13327" width="50" style="738" customWidth="1"/>
    <col min="13328" max="13329" width="45" style="738" customWidth="1"/>
    <col min="13330" max="13330" width="50" style="738" customWidth="1"/>
    <col min="13331" max="13334" width="49.83203125" style="738" customWidth="1"/>
    <col min="13335" max="13335" width="53.5" style="738" customWidth="1"/>
    <col min="13336" max="13336" width="49.83203125" style="738" customWidth="1"/>
    <col min="13337" max="13337" width="34.1640625" style="738" customWidth="1"/>
    <col min="13338" max="13338" width="38.1640625" style="738" customWidth="1"/>
    <col min="13339" max="13339" width="40.83203125" style="738" customWidth="1"/>
    <col min="13340" max="13340" width="186.33203125" style="738" customWidth="1"/>
    <col min="13341" max="13556" width="9.33203125" style="738"/>
    <col min="13557" max="13557" width="186.33203125" style="738" customWidth="1"/>
    <col min="13558" max="13566" width="50" style="738" customWidth="1"/>
    <col min="13567" max="13567" width="186.33203125" style="738" customWidth="1"/>
    <col min="13568" max="13576" width="50" style="738" customWidth="1"/>
    <col min="13577" max="13577" width="186.33203125" style="738" customWidth="1"/>
    <col min="13578" max="13579" width="44.83203125" style="738" customWidth="1"/>
    <col min="13580" max="13580" width="49.83203125" style="738" customWidth="1"/>
    <col min="13581" max="13582" width="45" style="738" customWidth="1"/>
    <col min="13583" max="13583" width="50" style="738" customWidth="1"/>
    <col min="13584" max="13585" width="45" style="738" customWidth="1"/>
    <col min="13586" max="13586" width="50" style="738" customWidth="1"/>
    <col min="13587" max="13590" width="49.83203125" style="738" customWidth="1"/>
    <col min="13591" max="13591" width="53.5" style="738" customWidth="1"/>
    <col min="13592" max="13592" width="49.83203125" style="738" customWidth="1"/>
    <col min="13593" max="13593" width="34.1640625" style="738" customWidth="1"/>
    <col min="13594" max="13594" width="38.1640625" style="738" customWidth="1"/>
    <col min="13595" max="13595" width="40.83203125" style="738" customWidth="1"/>
    <col min="13596" max="13596" width="186.33203125" style="738" customWidth="1"/>
    <col min="13597" max="13812" width="9.33203125" style="738"/>
    <col min="13813" max="13813" width="186.33203125" style="738" customWidth="1"/>
    <col min="13814" max="13822" width="50" style="738" customWidth="1"/>
    <col min="13823" max="13823" width="186.33203125" style="738" customWidth="1"/>
    <col min="13824" max="13832" width="50" style="738" customWidth="1"/>
    <col min="13833" max="13833" width="186.33203125" style="738" customWidth="1"/>
    <col min="13834" max="13835" width="44.83203125" style="738" customWidth="1"/>
    <col min="13836" max="13836" width="49.83203125" style="738" customWidth="1"/>
    <col min="13837" max="13838" width="45" style="738" customWidth="1"/>
    <col min="13839" max="13839" width="50" style="738" customWidth="1"/>
    <col min="13840" max="13841" width="45" style="738" customWidth="1"/>
    <col min="13842" max="13842" width="50" style="738" customWidth="1"/>
    <col min="13843" max="13846" width="49.83203125" style="738" customWidth="1"/>
    <col min="13847" max="13847" width="53.5" style="738" customWidth="1"/>
    <col min="13848" max="13848" width="49.83203125" style="738" customWidth="1"/>
    <col min="13849" max="13849" width="34.1640625" style="738" customWidth="1"/>
    <col min="13850" max="13850" width="38.1640625" style="738" customWidth="1"/>
    <col min="13851" max="13851" width="40.83203125" style="738" customWidth="1"/>
    <col min="13852" max="13852" width="186.33203125" style="738" customWidth="1"/>
    <col min="13853" max="14068" width="9.33203125" style="738"/>
    <col min="14069" max="14069" width="186.33203125" style="738" customWidth="1"/>
    <col min="14070" max="14078" width="50" style="738" customWidth="1"/>
    <col min="14079" max="14079" width="186.33203125" style="738" customWidth="1"/>
    <col min="14080" max="14088" width="50" style="738" customWidth="1"/>
    <col min="14089" max="14089" width="186.33203125" style="738" customWidth="1"/>
    <col min="14090" max="14091" width="44.83203125" style="738" customWidth="1"/>
    <col min="14092" max="14092" width="49.83203125" style="738" customWidth="1"/>
    <col min="14093" max="14094" width="45" style="738" customWidth="1"/>
    <col min="14095" max="14095" width="50" style="738" customWidth="1"/>
    <col min="14096" max="14097" width="45" style="738" customWidth="1"/>
    <col min="14098" max="14098" width="50" style="738" customWidth="1"/>
    <col min="14099" max="14102" width="49.83203125" style="738" customWidth="1"/>
    <col min="14103" max="14103" width="53.5" style="738" customWidth="1"/>
    <col min="14104" max="14104" width="49.83203125" style="738" customWidth="1"/>
    <col min="14105" max="14105" width="34.1640625" style="738" customWidth="1"/>
    <col min="14106" max="14106" width="38.1640625" style="738" customWidth="1"/>
    <col min="14107" max="14107" width="40.83203125" style="738" customWidth="1"/>
    <col min="14108" max="14108" width="186.33203125" style="738" customWidth="1"/>
    <col min="14109" max="14324" width="9.33203125" style="738"/>
    <col min="14325" max="14325" width="186.33203125" style="738" customWidth="1"/>
    <col min="14326" max="14334" width="50" style="738" customWidth="1"/>
    <col min="14335" max="14335" width="186.33203125" style="738" customWidth="1"/>
    <col min="14336" max="14344" width="50" style="738" customWidth="1"/>
    <col min="14345" max="14345" width="186.33203125" style="738" customWidth="1"/>
    <col min="14346" max="14347" width="44.83203125" style="738" customWidth="1"/>
    <col min="14348" max="14348" width="49.83203125" style="738" customWidth="1"/>
    <col min="14349" max="14350" width="45" style="738" customWidth="1"/>
    <col min="14351" max="14351" width="50" style="738" customWidth="1"/>
    <col min="14352" max="14353" width="45" style="738" customWidth="1"/>
    <col min="14354" max="14354" width="50" style="738" customWidth="1"/>
    <col min="14355" max="14358" width="49.83203125" style="738" customWidth="1"/>
    <col min="14359" max="14359" width="53.5" style="738" customWidth="1"/>
    <col min="14360" max="14360" width="49.83203125" style="738" customWidth="1"/>
    <col min="14361" max="14361" width="34.1640625" style="738" customWidth="1"/>
    <col min="14362" max="14362" width="38.1640625" style="738" customWidth="1"/>
    <col min="14363" max="14363" width="40.83203125" style="738" customWidth="1"/>
    <col min="14364" max="14364" width="186.33203125" style="738" customWidth="1"/>
    <col min="14365" max="14580" width="9.33203125" style="738"/>
    <col min="14581" max="14581" width="186.33203125" style="738" customWidth="1"/>
    <col min="14582" max="14590" width="50" style="738" customWidth="1"/>
    <col min="14591" max="14591" width="186.33203125" style="738" customWidth="1"/>
    <col min="14592" max="14600" width="50" style="738" customWidth="1"/>
    <col min="14601" max="14601" width="186.33203125" style="738" customWidth="1"/>
    <col min="14602" max="14603" width="44.83203125" style="738" customWidth="1"/>
    <col min="14604" max="14604" width="49.83203125" style="738" customWidth="1"/>
    <col min="14605" max="14606" width="45" style="738" customWidth="1"/>
    <col min="14607" max="14607" width="50" style="738" customWidth="1"/>
    <col min="14608" max="14609" width="45" style="738" customWidth="1"/>
    <col min="14610" max="14610" width="50" style="738" customWidth="1"/>
    <col min="14611" max="14614" width="49.83203125" style="738" customWidth="1"/>
    <col min="14615" max="14615" width="53.5" style="738" customWidth="1"/>
    <col min="14616" max="14616" width="49.83203125" style="738" customWidth="1"/>
    <col min="14617" max="14617" width="34.1640625" style="738" customWidth="1"/>
    <col min="14618" max="14618" width="38.1640625" style="738" customWidth="1"/>
    <col min="14619" max="14619" width="40.83203125" style="738" customWidth="1"/>
    <col min="14620" max="14620" width="186.33203125" style="738" customWidth="1"/>
    <col min="14621" max="14836" width="9.33203125" style="738"/>
    <col min="14837" max="14837" width="186.33203125" style="738" customWidth="1"/>
    <col min="14838" max="14846" width="50" style="738" customWidth="1"/>
    <col min="14847" max="14847" width="186.33203125" style="738" customWidth="1"/>
    <col min="14848" max="14856" width="50" style="738" customWidth="1"/>
    <col min="14857" max="14857" width="186.33203125" style="738" customWidth="1"/>
    <col min="14858" max="14859" width="44.83203125" style="738" customWidth="1"/>
    <col min="14860" max="14860" width="49.83203125" style="738" customWidth="1"/>
    <col min="14861" max="14862" width="45" style="738" customWidth="1"/>
    <col min="14863" max="14863" width="50" style="738" customWidth="1"/>
    <col min="14864" max="14865" width="45" style="738" customWidth="1"/>
    <col min="14866" max="14866" width="50" style="738" customWidth="1"/>
    <col min="14867" max="14870" width="49.83203125" style="738" customWidth="1"/>
    <col min="14871" max="14871" width="53.5" style="738" customWidth="1"/>
    <col min="14872" max="14872" width="49.83203125" style="738" customWidth="1"/>
    <col min="14873" max="14873" width="34.1640625" style="738" customWidth="1"/>
    <col min="14874" max="14874" width="38.1640625" style="738" customWidth="1"/>
    <col min="14875" max="14875" width="40.83203125" style="738" customWidth="1"/>
    <col min="14876" max="14876" width="186.33203125" style="738" customWidth="1"/>
    <col min="14877" max="15092" width="9.33203125" style="738"/>
    <col min="15093" max="15093" width="186.33203125" style="738" customWidth="1"/>
    <col min="15094" max="15102" width="50" style="738" customWidth="1"/>
    <col min="15103" max="15103" width="186.33203125" style="738" customWidth="1"/>
    <col min="15104" max="15112" width="50" style="738" customWidth="1"/>
    <col min="15113" max="15113" width="186.33203125" style="738" customWidth="1"/>
    <col min="15114" max="15115" width="44.83203125" style="738" customWidth="1"/>
    <col min="15116" max="15116" width="49.83203125" style="738" customWidth="1"/>
    <col min="15117" max="15118" width="45" style="738" customWidth="1"/>
    <col min="15119" max="15119" width="50" style="738" customWidth="1"/>
    <col min="15120" max="15121" width="45" style="738" customWidth="1"/>
    <col min="15122" max="15122" width="50" style="738" customWidth="1"/>
    <col min="15123" max="15126" width="49.83203125" style="738" customWidth="1"/>
    <col min="15127" max="15127" width="53.5" style="738" customWidth="1"/>
    <col min="15128" max="15128" width="49.83203125" style="738" customWidth="1"/>
    <col min="15129" max="15129" width="34.1640625" style="738" customWidth="1"/>
    <col min="15130" max="15130" width="38.1640625" style="738" customWidth="1"/>
    <col min="15131" max="15131" width="40.83203125" style="738" customWidth="1"/>
    <col min="15132" max="15132" width="186.33203125" style="738" customWidth="1"/>
    <col min="15133" max="15348" width="9.33203125" style="738"/>
    <col min="15349" max="15349" width="186.33203125" style="738" customWidth="1"/>
    <col min="15350" max="15358" width="50" style="738" customWidth="1"/>
    <col min="15359" max="15359" width="186.33203125" style="738" customWidth="1"/>
    <col min="15360" max="15368" width="50" style="738" customWidth="1"/>
    <col min="15369" max="15369" width="186.33203125" style="738" customWidth="1"/>
    <col min="15370" max="15371" width="44.83203125" style="738" customWidth="1"/>
    <col min="15372" max="15372" width="49.83203125" style="738" customWidth="1"/>
    <col min="15373" max="15374" width="45" style="738" customWidth="1"/>
    <col min="15375" max="15375" width="50" style="738" customWidth="1"/>
    <col min="15376" max="15377" width="45" style="738" customWidth="1"/>
    <col min="15378" max="15378" width="50" style="738" customWidth="1"/>
    <col min="15379" max="15382" width="49.83203125" style="738" customWidth="1"/>
    <col min="15383" max="15383" width="53.5" style="738" customWidth="1"/>
    <col min="15384" max="15384" width="49.83203125" style="738" customWidth="1"/>
    <col min="15385" max="15385" width="34.1640625" style="738" customWidth="1"/>
    <col min="15386" max="15386" width="38.1640625" style="738" customWidth="1"/>
    <col min="15387" max="15387" width="40.83203125" style="738" customWidth="1"/>
    <col min="15388" max="15388" width="186.33203125" style="738" customWidth="1"/>
    <col min="15389" max="15604" width="9.33203125" style="738"/>
    <col min="15605" max="15605" width="186.33203125" style="738" customWidth="1"/>
    <col min="15606" max="15614" width="50" style="738" customWidth="1"/>
    <col min="15615" max="15615" width="186.33203125" style="738" customWidth="1"/>
    <col min="15616" max="15624" width="50" style="738" customWidth="1"/>
    <col min="15625" max="15625" width="186.33203125" style="738" customWidth="1"/>
    <col min="15626" max="15627" width="44.83203125" style="738" customWidth="1"/>
    <col min="15628" max="15628" width="49.83203125" style="738" customWidth="1"/>
    <col min="15629" max="15630" width="45" style="738" customWidth="1"/>
    <col min="15631" max="15631" width="50" style="738" customWidth="1"/>
    <col min="15632" max="15633" width="45" style="738" customWidth="1"/>
    <col min="15634" max="15634" width="50" style="738" customWidth="1"/>
    <col min="15635" max="15638" width="49.83203125" style="738" customWidth="1"/>
    <col min="15639" max="15639" width="53.5" style="738" customWidth="1"/>
    <col min="15640" max="15640" width="49.83203125" style="738" customWidth="1"/>
    <col min="15641" max="15641" width="34.1640625" style="738" customWidth="1"/>
    <col min="15642" max="15642" width="38.1640625" style="738" customWidth="1"/>
    <col min="15643" max="15643" width="40.83203125" style="738" customWidth="1"/>
    <col min="15644" max="15644" width="186.33203125" style="738" customWidth="1"/>
    <col min="15645" max="15860" width="9.33203125" style="738"/>
    <col min="15861" max="15861" width="186.33203125" style="738" customWidth="1"/>
    <col min="15862" max="15870" width="50" style="738" customWidth="1"/>
    <col min="15871" max="15871" width="186.33203125" style="738" customWidth="1"/>
    <col min="15872" max="15880" width="50" style="738" customWidth="1"/>
    <col min="15881" max="15881" width="186.33203125" style="738" customWidth="1"/>
    <col min="15882" max="15883" width="44.83203125" style="738" customWidth="1"/>
    <col min="15884" max="15884" width="49.83203125" style="738" customWidth="1"/>
    <col min="15885" max="15886" width="45" style="738" customWidth="1"/>
    <col min="15887" max="15887" width="50" style="738" customWidth="1"/>
    <col min="15888" max="15889" width="45" style="738" customWidth="1"/>
    <col min="15890" max="15890" width="50" style="738" customWidth="1"/>
    <col min="15891" max="15894" width="49.83203125" style="738" customWidth="1"/>
    <col min="15895" max="15895" width="53.5" style="738" customWidth="1"/>
    <col min="15896" max="15896" width="49.83203125" style="738" customWidth="1"/>
    <col min="15897" max="15897" width="34.1640625" style="738" customWidth="1"/>
    <col min="15898" max="15898" width="38.1640625" style="738" customWidth="1"/>
    <col min="15899" max="15899" width="40.83203125" style="738" customWidth="1"/>
    <col min="15900" max="15900" width="186.33203125" style="738" customWidth="1"/>
    <col min="15901" max="16116" width="9.33203125" style="738"/>
    <col min="16117" max="16117" width="186.33203125" style="738" customWidth="1"/>
    <col min="16118" max="16126" width="50" style="738" customWidth="1"/>
    <col min="16127" max="16127" width="186.33203125" style="738" customWidth="1"/>
    <col min="16128" max="16136" width="50" style="738" customWidth="1"/>
    <col min="16137" max="16137" width="186.33203125" style="738" customWidth="1"/>
    <col min="16138" max="16139" width="44.83203125" style="738" customWidth="1"/>
    <col min="16140" max="16140" width="49.83203125" style="738" customWidth="1"/>
    <col min="16141" max="16142" width="45" style="738" customWidth="1"/>
    <col min="16143" max="16143" width="50" style="738" customWidth="1"/>
    <col min="16144" max="16145" width="45" style="738" customWidth="1"/>
    <col min="16146" max="16146" width="50" style="738" customWidth="1"/>
    <col min="16147" max="16150" width="49.83203125" style="738" customWidth="1"/>
    <col min="16151" max="16151" width="53.5" style="738" customWidth="1"/>
    <col min="16152" max="16152" width="49.83203125" style="738" customWidth="1"/>
    <col min="16153" max="16153" width="34.1640625" style="738" customWidth="1"/>
    <col min="16154" max="16154" width="38.1640625" style="738" customWidth="1"/>
    <col min="16155" max="16155" width="40.83203125" style="738" customWidth="1"/>
    <col min="16156" max="16156" width="186.33203125" style="738" customWidth="1"/>
    <col min="16157" max="16384" width="9.33203125" style="738"/>
  </cols>
  <sheetData>
    <row r="1" spans="1:37" ht="38.25" customHeight="1" x14ac:dyDescent="0.7">
      <c r="A1" s="669"/>
      <c r="B1" s="726"/>
      <c r="C1" s="726"/>
      <c r="D1" s="726"/>
      <c r="E1" s="726"/>
      <c r="F1" s="726"/>
      <c r="G1" s="726"/>
      <c r="H1" s="726"/>
      <c r="I1" s="726"/>
      <c r="J1" s="726"/>
      <c r="K1" s="669"/>
      <c r="L1" s="726"/>
      <c r="M1" s="726"/>
      <c r="N1" s="726"/>
      <c r="O1" s="726"/>
      <c r="P1" s="726"/>
      <c r="Q1" s="726"/>
      <c r="R1" s="726"/>
      <c r="S1" s="726"/>
      <c r="T1" s="726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737"/>
    </row>
    <row r="2" spans="1:37" ht="54" customHeight="1" x14ac:dyDescent="0.7">
      <c r="A2" s="669"/>
      <c r="B2" s="866" t="s">
        <v>209</v>
      </c>
      <c r="C2" s="866"/>
      <c r="D2" s="866"/>
      <c r="E2" s="866"/>
      <c r="F2" s="866"/>
      <c r="G2" s="866"/>
      <c r="H2" s="866"/>
      <c r="I2" s="866"/>
      <c r="J2" s="866"/>
      <c r="K2" s="669"/>
      <c r="L2" s="866" t="s">
        <v>209</v>
      </c>
      <c r="M2" s="866"/>
      <c r="N2" s="866"/>
      <c r="O2" s="866"/>
      <c r="P2" s="866"/>
      <c r="Q2" s="866"/>
      <c r="R2" s="866"/>
      <c r="S2" s="866"/>
      <c r="T2" s="866"/>
      <c r="U2" s="669"/>
      <c r="V2" s="866" t="s">
        <v>209</v>
      </c>
      <c r="W2" s="866"/>
      <c r="X2" s="866"/>
      <c r="Y2" s="866"/>
      <c r="Z2" s="866"/>
      <c r="AA2" s="866"/>
      <c r="AB2" s="866"/>
      <c r="AC2" s="866"/>
      <c r="AD2" s="866"/>
      <c r="AE2" s="866"/>
      <c r="AF2" s="866"/>
      <c r="AG2" s="866"/>
      <c r="AH2" s="866"/>
      <c r="AI2" s="866"/>
      <c r="AJ2" s="866"/>
      <c r="AK2" s="737"/>
    </row>
    <row r="3" spans="1:37" ht="54" customHeight="1" x14ac:dyDescent="0.7">
      <c r="A3" s="669"/>
      <c r="B3" s="866" t="s">
        <v>752</v>
      </c>
      <c r="C3" s="866"/>
      <c r="D3" s="866"/>
      <c r="E3" s="866"/>
      <c r="F3" s="866"/>
      <c r="G3" s="866"/>
      <c r="H3" s="866"/>
      <c r="I3" s="866"/>
      <c r="J3" s="866"/>
      <c r="K3" s="669"/>
      <c r="L3" s="866" t="s">
        <v>752</v>
      </c>
      <c r="M3" s="866"/>
      <c r="N3" s="866"/>
      <c r="O3" s="866"/>
      <c r="P3" s="866"/>
      <c r="Q3" s="866"/>
      <c r="R3" s="866"/>
      <c r="S3" s="866"/>
      <c r="T3" s="866"/>
      <c r="U3" s="669"/>
      <c r="V3" s="866" t="s">
        <v>752</v>
      </c>
      <c r="W3" s="866"/>
      <c r="X3" s="866"/>
      <c r="Y3" s="866"/>
      <c r="Z3" s="866"/>
      <c r="AA3" s="866"/>
      <c r="AB3" s="866"/>
      <c r="AC3" s="866"/>
      <c r="AD3" s="866"/>
      <c r="AE3" s="866"/>
      <c r="AF3" s="866"/>
      <c r="AG3" s="866"/>
      <c r="AH3" s="866"/>
      <c r="AI3" s="866"/>
      <c r="AJ3" s="866"/>
      <c r="AK3" s="737"/>
    </row>
    <row r="4" spans="1:37" ht="62.25" customHeight="1" thickBot="1" x14ac:dyDescent="0.75">
      <c r="A4" s="669"/>
      <c r="B4" s="726"/>
      <c r="C4" s="726"/>
      <c r="D4" s="726"/>
      <c r="E4" s="726"/>
      <c r="F4" s="726"/>
      <c r="G4" s="726"/>
      <c r="H4" s="726"/>
      <c r="I4" s="726"/>
      <c r="J4" s="670" t="s">
        <v>201</v>
      </c>
      <c r="K4" s="669"/>
      <c r="L4" s="726"/>
      <c r="M4" s="726"/>
      <c r="N4" s="726"/>
      <c r="O4" s="726"/>
      <c r="P4" s="726"/>
      <c r="Q4" s="726"/>
      <c r="R4" s="726"/>
      <c r="S4" s="726"/>
      <c r="T4" s="670" t="s">
        <v>201</v>
      </c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70" t="s">
        <v>201</v>
      </c>
      <c r="AK4" s="737"/>
    </row>
    <row r="5" spans="1:37" s="739" customFormat="1" ht="55.5" customHeight="1" x14ac:dyDescent="0.7">
      <c r="A5" s="876" t="s">
        <v>753</v>
      </c>
      <c r="B5" s="857" t="s">
        <v>242</v>
      </c>
      <c r="C5" s="858"/>
      <c r="D5" s="859"/>
      <c r="E5" s="857" t="s">
        <v>243</v>
      </c>
      <c r="F5" s="858"/>
      <c r="G5" s="859"/>
      <c r="H5" s="857" t="s">
        <v>244</v>
      </c>
      <c r="I5" s="858"/>
      <c r="J5" s="859"/>
      <c r="K5" s="876" t="s">
        <v>753</v>
      </c>
      <c r="L5" s="857" t="s">
        <v>245</v>
      </c>
      <c r="M5" s="858"/>
      <c r="N5" s="859"/>
      <c r="O5" s="857" t="s">
        <v>316</v>
      </c>
      <c r="P5" s="858"/>
      <c r="Q5" s="859"/>
      <c r="R5" s="857" t="s">
        <v>226</v>
      </c>
      <c r="S5" s="858"/>
      <c r="T5" s="859"/>
      <c r="U5" s="876" t="s">
        <v>753</v>
      </c>
      <c r="V5" s="867" t="s">
        <v>754</v>
      </c>
      <c r="W5" s="868"/>
      <c r="X5" s="869"/>
      <c r="Y5" s="867" t="s">
        <v>755</v>
      </c>
      <c r="Z5" s="868"/>
      <c r="AA5" s="869"/>
      <c r="AB5" s="867" t="s">
        <v>248</v>
      </c>
      <c r="AC5" s="868"/>
      <c r="AD5" s="869"/>
      <c r="AE5" s="867" t="s">
        <v>227</v>
      </c>
      <c r="AF5" s="868"/>
      <c r="AG5" s="869"/>
      <c r="AH5" s="867" t="s">
        <v>756</v>
      </c>
      <c r="AI5" s="868"/>
      <c r="AJ5" s="869"/>
      <c r="AK5" s="671"/>
    </row>
    <row r="6" spans="1:37" s="739" customFormat="1" ht="54" customHeight="1" x14ac:dyDescent="0.7">
      <c r="A6" s="877"/>
      <c r="B6" s="860"/>
      <c r="C6" s="861"/>
      <c r="D6" s="862"/>
      <c r="E6" s="860"/>
      <c r="F6" s="861"/>
      <c r="G6" s="862"/>
      <c r="H6" s="860"/>
      <c r="I6" s="861"/>
      <c r="J6" s="862"/>
      <c r="K6" s="877"/>
      <c r="L6" s="860"/>
      <c r="M6" s="861"/>
      <c r="N6" s="862"/>
      <c r="O6" s="860"/>
      <c r="P6" s="861"/>
      <c r="Q6" s="862"/>
      <c r="R6" s="860"/>
      <c r="S6" s="861"/>
      <c r="T6" s="862"/>
      <c r="U6" s="877"/>
      <c r="V6" s="870"/>
      <c r="W6" s="871"/>
      <c r="X6" s="872"/>
      <c r="Y6" s="870"/>
      <c r="Z6" s="871"/>
      <c r="AA6" s="872"/>
      <c r="AB6" s="870"/>
      <c r="AC6" s="871"/>
      <c r="AD6" s="872"/>
      <c r="AE6" s="870"/>
      <c r="AF6" s="871"/>
      <c r="AG6" s="872"/>
      <c r="AH6" s="870"/>
      <c r="AI6" s="871"/>
      <c r="AJ6" s="872"/>
      <c r="AK6" s="671"/>
    </row>
    <row r="7" spans="1:37" s="740" customFormat="1" ht="94.5" customHeight="1" thickBot="1" x14ac:dyDescent="0.75">
      <c r="A7" s="706" t="s">
        <v>713</v>
      </c>
      <c r="B7" s="863"/>
      <c r="C7" s="864"/>
      <c r="D7" s="865"/>
      <c r="E7" s="863"/>
      <c r="F7" s="864"/>
      <c r="G7" s="865"/>
      <c r="H7" s="863"/>
      <c r="I7" s="864"/>
      <c r="J7" s="865"/>
      <c r="K7" s="706" t="s">
        <v>713</v>
      </c>
      <c r="L7" s="863"/>
      <c r="M7" s="864"/>
      <c r="N7" s="865"/>
      <c r="O7" s="863"/>
      <c r="P7" s="864"/>
      <c r="Q7" s="865"/>
      <c r="R7" s="863"/>
      <c r="S7" s="864"/>
      <c r="T7" s="865"/>
      <c r="U7" s="706" t="s">
        <v>713</v>
      </c>
      <c r="V7" s="873"/>
      <c r="W7" s="874"/>
      <c r="X7" s="875"/>
      <c r="Y7" s="873"/>
      <c r="Z7" s="874"/>
      <c r="AA7" s="875"/>
      <c r="AB7" s="873"/>
      <c r="AC7" s="874"/>
      <c r="AD7" s="875"/>
      <c r="AE7" s="873"/>
      <c r="AF7" s="874"/>
      <c r="AG7" s="875"/>
      <c r="AH7" s="873"/>
      <c r="AI7" s="874"/>
      <c r="AJ7" s="875"/>
      <c r="AK7" s="675"/>
    </row>
    <row r="8" spans="1:37" s="740" customFormat="1" ht="148.5" customHeight="1" thickBot="1" x14ac:dyDescent="0.75">
      <c r="A8" s="741"/>
      <c r="B8" s="686" t="s">
        <v>714</v>
      </c>
      <c r="C8" s="686" t="s">
        <v>715</v>
      </c>
      <c r="D8" s="686" t="s">
        <v>716</v>
      </c>
      <c r="E8" s="686" t="s">
        <v>714</v>
      </c>
      <c r="F8" s="686" t="s">
        <v>715</v>
      </c>
      <c r="G8" s="686" t="s">
        <v>716</v>
      </c>
      <c r="H8" s="686" t="s">
        <v>714</v>
      </c>
      <c r="I8" s="686" t="s">
        <v>715</v>
      </c>
      <c r="J8" s="686" t="s">
        <v>716</v>
      </c>
      <c r="K8" s="741"/>
      <c r="L8" s="686" t="s">
        <v>714</v>
      </c>
      <c r="M8" s="686" t="s">
        <v>715</v>
      </c>
      <c r="N8" s="686" t="s">
        <v>716</v>
      </c>
      <c r="O8" s="686" t="s">
        <v>714</v>
      </c>
      <c r="P8" s="686" t="s">
        <v>715</v>
      </c>
      <c r="Q8" s="686" t="s">
        <v>716</v>
      </c>
      <c r="R8" s="686" t="s">
        <v>714</v>
      </c>
      <c r="S8" s="686" t="s">
        <v>715</v>
      </c>
      <c r="T8" s="686" t="s">
        <v>716</v>
      </c>
      <c r="U8" s="741"/>
      <c r="V8" s="686" t="s">
        <v>714</v>
      </c>
      <c r="W8" s="686" t="s">
        <v>715</v>
      </c>
      <c r="X8" s="686" t="s">
        <v>716</v>
      </c>
      <c r="Y8" s="686" t="s">
        <v>714</v>
      </c>
      <c r="Z8" s="686" t="s">
        <v>715</v>
      </c>
      <c r="AA8" s="686" t="s">
        <v>716</v>
      </c>
      <c r="AB8" s="686" t="s">
        <v>714</v>
      </c>
      <c r="AC8" s="686" t="s">
        <v>715</v>
      </c>
      <c r="AD8" s="686" t="s">
        <v>716</v>
      </c>
      <c r="AE8" s="686" t="s">
        <v>714</v>
      </c>
      <c r="AF8" s="686" t="s">
        <v>715</v>
      </c>
      <c r="AG8" s="686" t="s">
        <v>716</v>
      </c>
      <c r="AH8" s="686" t="s">
        <v>714</v>
      </c>
      <c r="AI8" s="686" t="s">
        <v>715</v>
      </c>
      <c r="AJ8" s="686" t="s">
        <v>716</v>
      </c>
      <c r="AK8" s="675"/>
    </row>
    <row r="9" spans="1:37" s="742" customFormat="1" ht="45.75" customHeight="1" x14ac:dyDescent="0.7">
      <c r="A9" s="688" t="s">
        <v>717</v>
      </c>
      <c r="B9" s="689"/>
      <c r="C9" s="689"/>
      <c r="D9" s="689"/>
      <c r="E9" s="689"/>
      <c r="F9" s="689"/>
      <c r="G9" s="689"/>
      <c r="H9" s="689"/>
      <c r="I9" s="689"/>
      <c r="J9" s="689"/>
      <c r="K9" s="688" t="s">
        <v>717</v>
      </c>
      <c r="L9" s="689"/>
      <c r="M9" s="689"/>
      <c r="N9" s="689"/>
      <c r="O9" s="689"/>
      <c r="P9" s="689"/>
      <c r="Q9" s="689"/>
      <c r="R9" s="689"/>
      <c r="S9" s="689"/>
      <c r="T9" s="689"/>
      <c r="U9" s="688" t="s">
        <v>717</v>
      </c>
      <c r="V9" s="688"/>
      <c r="W9" s="688"/>
      <c r="X9" s="688"/>
      <c r="Y9" s="688"/>
      <c r="Z9" s="688"/>
      <c r="AA9" s="688"/>
      <c r="AB9" s="689"/>
      <c r="AC9" s="689"/>
      <c r="AD9" s="689"/>
      <c r="AE9" s="688"/>
      <c r="AF9" s="688"/>
      <c r="AG9" s="688"/>
      <c r="AH9" s="688"/>
      <c r="AI9" s="688"/>
      <c r="AJ9" s="688"/>
      <c r="AK9" s="669"/>
    </row>
    <row r="10" spans="1:37" s="742" customFormat="1" ht="48.75" customHeight="1" x14ac:dyDescent="0.7">
      <c r="A10" s="691" t="s">
        <v>718</v>
      </c>
      <c r="B10" s="692">
        <f>[3]int.kiadások2026!B9</f>
        <v>263678</v>
      </c>
      <c r="C10" s="743">
        <f>'[4]int.kiadások RM I maradvány'!C10+13048</f>
        <v>16666</v>
      </c>
      <c r="D10" s="692">
        <f>SUM(B10:C10)</f>
        <v>280344</v>
      </c>
      <c r="E10" s="692">
        <f>[3]int.kiadások2026!C9</f>
        <v>38887</v>
      </c>
      <c r="F10" s="692">
        <f>'[4]int.kiadások RM I maradvány'!F10+3196</f>
        <v>3685</v>
      </c>
      <c r="G10" s="692">
        <f t="shared" ref="G10:G27" si="0">SUM(E10:F10)</f>
        <v>42572</v>
      </c>
      <c r="H10" s="692">
        <f>[3]int.kiadások2026!D9</f>
        <v>6832</v>
      </c>
      <c r="I10" s="692">
        <f>'[4]int.kiadások RM I maradvány'!I10</f>
        <v>2251</v>
      </c>
      <c r="J10" s="692">
        <f>SUM(H10:I10)</f>
        <v>9083</v>
      </c>
      <c r="K10" s="691" t="s">
        <v>718</v>
      </c>
      <c r="L10" s="692">
        <f>[3]int.kiadások2026!E9</f>
        <v>0</v>
      </c>
      <c r="M10" s="692"/>
      <c r="N10" s="692">
        <f>SUM(L10:M10)</f>
        <v>0</v>
      </c>
      <c r="O10" s="692">
        <f>[3]int.kiadások2026!F9</f>
        <v>0</v>
      </c>
      <c r="P10" s="692"/>
      <c r="Q10" s="692">
        <f>SUM(O10:P10)</f>
        <v>0</v>
      </c>
      <c r="R10" s="693">
        <f>B10+E10+H10+L10+O10</f>
        <v>309397</v>
      </c>
      <c r="S10" s="693">
        <f>C10+F10+I10+M10+P10</f>
        <v>22602</v>
      </c>
      <c r="T10" s="693">
        <f>D10+G10+J10+N10+Q10</f>
        <v>331999</v>
      </c>
      <c r="U10" s="691" t="s">
        <v>718</v>
      </c>
      <c r="V10" s="692">
        <f>[3]int.kiadások2026!I9</f>
        <v>0</v>
      </c>
      <c r="W10" s="692">
        <f>'[4]int.kiadások RM I maradvány'!W10</f>
        <v>0</v>
      </c>
      <c r="X10" s="692">
        <f>SUM(V10:W10)</f>
        <v>0</v>
      </c>
      <c r="Y10" s="692">
        <f>[3]int.kiadások2026!J9</f>
        <v>0</v>
      </c>
      <c r="Z10" s="692">
        <f>'[4]int.kiadások RM I maradvány'!Z10</f>
        <v>0</v>
      </c>
      <c r="AA10" s="692">
        <f>SUM(Y10:Z10)</f>
        <v>0</v>
      </c>
      <c r="AB10" s="692">
        <f>[3]int.kiadások2026!K9</f>
        <v>0</v>
      </c>
      <c r="AC10" s="692"/>
      <c r="AD10" s="692">
        <f>SUM(AB10:AC10)</f>
        <v>0</v>
      </c>
      <c r="AE10" s="693">
        <f>V10+Y10+AB10</f>
        <v>0</v>
      </c>
      <c r="AF10" s="693">
        <f>W10+Z10+AC10</f>
        <v>0</v>
      </c>
      <c r="AG10" s="693">
        <f>X10+AA10+AD10</f>
        <v>0</v>
      </c>
      <c r="AH10" s="693">
        <f t="shared" ref="AH10:AJ29" si="1">R10+AE10</f>
        <v>309397</v>
      </c>
      <c r="AI10" s="693">
        <f t="shared" si="1"/>
        <v>22602</v>
      </c>
      <c r="AJ10" s="693">
        <f t="shared" si="1"/>
        <v>331999</v>
      </c>
      <c r="AK10" s="669"/>
    </row>
    <row r="11" spans="1:37" s="742" customFormat="1" ht="48.75" customHeight="1" x14ac:dyDescent="0.7">
      <c r="A11" s="694" t="s">
        <v>719</v>
      </c>
      <c r="B11" s="692">
        <f>[3]int.kiadások2026!B10</f>
        <v>184522</v>
      </c>
      <c r="C11" s="692">
        <f>'[4]int.kiadások RM I maradvány'!C11+5931</f>
        <v>7059</v>
      </c>
      <c r="D11" s="692">
        <f t="shared" ref="D11:D36" si="2">SUM(B11:C11)</f>
        <v>191581</v>
      </c>
      <c r="E11" s="692">
        <f>[3]int.kiadások2026!C10</f>
        <v>23984</v>
      </c>
      <c r="F11" s="692">
        <f>'[4]int.kiadások RM I maradvány'!F11+1364</f>
        <v>1501</v>
      </c>
      <c r="G11" s="692">
        <f t="shared" si="0"/>
        <v>25485</v>
      </c>
      <c r="H11" s="692">
        <f>[3]int.kiadások2026!D10</f>
        <v>3285</v>
      </c>
      <c r="I11" s="692">
        <f>'[4]int.kiadások RM I maradvány'!I11-116</f>
        <v>1367</v>
      </c>
      <c r="J11" s="692">
        <f t="shared" ref="J11:J27" si="3">SUM(H11:I11)</f>
        <v>4652</v>
      </c>
      <c r="K11" s="694" t="s">
        <v>719</v>
      </c>
      <c r="L11" s="692">
        <f>[3]int.kiadások2026!E10</f>
        <v>0</v>
      </c>
      <c r="M11" s="692"/>
      <c r="N11" s="692">
        <f t="shared" ref="N11:N27" si="4">SUM(L11:M11)</f>
        <v>0</v>
      </c>
      <c r="O11" s="692">
        <f>[3]int.kiadások2026!F10</f>
        <v>0</v>
      </c>
      <c r="P11" s="692"/>
      <c r="Q11" s="692">
        <f t="shared" ref="Q11:Q27" si="5">SUM(O11:P11)</f>
        <v>0</v>
      </c>
      <c r="R11" s="693">
        <f t="shared" ref="R11:T27" si="6">B11+E11+H11+L11+O11</f>
        <v>211791</v>
      </c>
      <c r="S11" s="693">
        <f t="shared" si="6"/>
        <v>9927</v>
      </c>
      <c r="T11" s="693">
        <f t="shared" si="6"/>
        <v>221718</v>
      </c>
      <c r="U11" s="694" t="s">
        <v>719</v>
      </c>
      <c r="V11" s="692">
        <f>[3]int.kiadások2026!I10</f>
        <v>0</v>
      </c>
      <c r="W11" s="692">
        <f>'[4]int.kiadások RM I maradvány'!W11+116</f>
        <v>116</v>
      </c>
      <c r="X11" s="692">
        <f t="shared" ref="X11:X29" si="7">SUM(V11:W11)</f>
        <v>116</v>
      </c>
      <c r="Y11" s="692">
        <f>[3]int.kiadások2026!J10</f>
        <v>0</v>
      </c>
      <c r="Z11" s="692">
        <f>'[4]int.kiadások RM I maradvány'!Z11</f>
        <v>0</v>
      </c>
      <c r="AA11" s="692">
        <f t="shared" ref="AA11:AA27" si="8">SUM(Y11:Z11)</f>
        <v>0</v>
      </c>
      <c r="AB11" s="692">
        <f>[3]int.kiadások2026!K10</f>
        <v>0</v>
      </c>
      <c r="AC11" s="692"/>
      <c r="AD11" s="692">
        <f t="shared" ref="AD11:AD27" si="9">SUM(AB11:AC11)</f>
        <v>0</v>
      </c>
      <c r="AE11" s="693">
        <f t="shared" ref="AE11:AG27" si="10">V11+Y11+AB11</f>
        <v>0</v>
      </c>
      <c r="AF11" s="693">
        <f t="shared" si="10"/>
        <v>116</v>
      </c>
      <c r="AG11" s="693">
        <f t="shared" si="10"/>
        <v>116</v>
      </c>
      <c r="AH11" s="693">
        <f t="shared" si="1"/>
        <v>211791</v>
      </c>
      <c r="AI11" s="693">
        <f t="shared" si="1"/>
        <v>10043</v>
      </c>
      <c r="AJ11" s="693">
        <f t="shared" si="1"/>
        <v>221834</v>
      </c>
      <c r="AK11" s="669"/>
    </row>
    <row r="12" spans="1:37" s="742" customFormat="1" ht="48.75" customHeight="1" x14ac:dyDescent="0.7">
      <c r="A12" s="694" t="s">
        <v>720</v>
      </c>
      <c r="B12" s="692">
        <f>[3]int.kiadások2026!B11</f>
        <v>188363</v>
      </c>
      <c r="C12" s="692">
        <f>'[4]int.kiadások RM I maradvány'!C12+57+8134</f>
        <v>12253</v>
      </c>
      <c r="D12" s="692">
        <f t="shared" si="2"/>
        <v>200616</v>
      </c>
      <c r="E12" s="692">
        <f>[3]int.kiadások2026!C11</f>
        <v>24425</v>
      </c>
      <c r="F12" s="692">
        <f>'[4]int.kiadások RM I maradvány'!F12+7+1957</f>
        <v>2472</v>
      </c>
      <c r="G12" s="692">
        <f t="shared" si="0"/>
        <v>26897</v>
      </c>
      <c r="H12" s="692">
        <f>[3]int.kiadások2026!D11</f>
        <v>4245</v>
      </c>
      <c r="I12" s="692">
        <f>'[4]int.kiadások RM I maradvány'!I12-35</f>
        <v>265</v>
      </c>
      <c r="J12" s="692">
        <f t="shared" si="3"/>
        <v>4510</v>
      </c>
      <c r="K12" s="694" t="s">
        <v>720</v>
      </c>
      <c r="L12" s="692">
        <f>[3]int.kiadások2026!E11</f>
        <v>0</v>
      </c>
      <c r="M12" s="692"/>
      <c r="N12" s="692">
        <f t="shared" si="4"/>
        <v>0</v>
      </c>
      <c r="O12" s="692">
        <f>[3]int.kiadások2026!F11</f>
        <v>0</v>
      </c>
      <c r="P12" s="692"/>
      <c r="Q12" s="692">
        <f t="shared" si="5"/>
        <v>0</v>
      </c>
      <c r="R12" s="693">
        <f t="shared" si="6"/>
        <v>217033</v>
      </c>
      <c r="S12" s="693">
        <f t="shared" si="6"/>
        <v>14990</v>
      </c>
      <c r="T12" s="693">
        <f t="shared" si="6"/>
        <v>232023</v>
      </c>
      <c r="U12" s="694" t="s">
        <v>720</v>
      </c>
      <c r="V12" s="692">
        <f>[3]int.kiadások2026!I11</f>
        <v>0</v>
      </c>
      <c r="W12" s="692">
        <f>'[4]int.kiadások RM I maradvány'!W12+35</f>
        <v>35</v>
      </c>
      <c r="X12" s="692">
        <f t="shared" si="7"/>
        <v>35</v>
      </c>
      <c r="Y12" s="692">
        <f>[3]int.kiadások2026!J11</f>
        <v>0</v>
      </c>
      <c r="Z12" s="692">
        <f>'[4]int.kiadások RM I maradvány'!Z12</f>
        <v>0</v>
      </c>
      <c r="AA12" s="692">
        <f t="shared" si="8"/>
        <v>0</v>
      </c>
      <c r="AB12" s="692">
        <f>[3]int.kiadások2026!K11</f>
        <v>0</v>
      </c>
      <c r="AC12" s="692"/>
      <c r="AD12" s="692">
        <f t="shared" si="9"/>
        <v>0</v>
      </c>
      <c r="AE12" s="693">
        <f t="shared" si="10"/>
        <v>0</v>
      </c>
      <c r="AF12" s="693">
        <f t="shared" si="10"/>
        <v>35</v>
      </c>
      <c r="AG12" s="693">
        <f t="shared" si="10"/>
        <v>35</v>
      </c>
      <c r="AH12" s="693">
        <f t="shared" si="1"/>
        <v>217033</v>
      </c>
      <c r="AI12" s="693">
        <f t="shared" si="1"/>
        <v>15025</v>
      </c>
      <c r="AJ12" s="693">
        <f t="shared" si="1"/>
        <v>232058</v>
      </c>
      <c r="AK12" s="669"/>
    </row>
    <row r="13" spans="1:37" s="742" customFormat="1" ht="48.75" customHeight="1" x14ac:dyDescent="0.7">
      <c r="A13" s="694" t="s">
        <v>721</v>
      </c>
      <c r="B13" s="692">
        <f>[3]int.kiadások2026!B12</f>
        <v>224194</v>
      </c>
      <c r="C13" s="692">
        <f>'[4]int.kiadások RM I maradvány'!C13+42+12093</f>
        <v>16102</v>
      </c>
      <c r="D13" s="692">
        <f t="shared" si="2"/>
        <v>240296</v>
      </c>
      <c r="E13" s="692">
        <f>[3]int.kiadások2026!C12</f>
        <v>33118</v>
      </c>
      <c r="F13" s="692">
        <f>'[4]int.kiadások RM I maradvány'!F13+6+2997</f>
        <v>3397</v>
      </c>
      <c r="G13" s="692">
        <f t="shared" si="0"/>
        <v>36515</v>
      </c>
      <c r="H13" s="692">
        <f>[3]int.kiadások2026!D12</f>
        <v>4572</v>
      </c>
      <c r="I13" s="692">
        <f>'[4]int.kiadások RM I maradvány'!I13</f>
        <v>1259</v>
      </c>
      <c r="J13" s="692">
        <f t="shared" si="3"/>
        <v>5831</v>
      </c>
      <c r="K13" s="694" t="s">
        <v>721</v>
      </c>
      <c r="L13" s="692">
        <f>[3]int.kiadások2026!E12</f>
        <v>0</v>
      </c>
      <c r="M13" s="692"/>
      <c r="N13" s="692">
        <f t="shared" si="4"/>
        <v>0</v>
      </c>
      <c r="O13" s="692">
        <f>[3]int.kiadások2026!F12</f>
        <v>0</v>
      </c>
      <c r="P13" s="692"/>
      <c r="Q13" s="692">
        <f t="shared" si="5"/>
        <v>0</v>
      </c>
      <c r="R13" s="693">
        <f t="shared" si="6"/>
        <v>261884</v>
      </c>
      <c r="S13" s="693">
        <f t="shared" si="6"/>
        <v>20758</v>
      </c>
      <c r="T13" s="693">
        <f t="shared" si="6"/>
        <v>282642</v>
      </c>
      <c r="U13" s="694" t="s">
        <v>721</v>
      </c>
      <c r="V13" s="692">
        <f>[3]int.kiadások2026!I12</f>
        <v>0</v>
      </c>
      <c r="W13" s="692">
        <f>'[4]int.kiadások RM I maradvány'!W13</f>
        <v>0</v>
      </c>
      <c r="X13" s="692">
        <f t="shared" si="7"/>
        <v>0</v>
      </c>
      <c r="Y13" s="692">
        <f>[3]int.kiadások2026!J12</f>
        <v>0</v>
      </c>
      <c r="Z13" s="692">
        <f>'[4]int.kiadások RM I maradvány'!Z13</f>
        <v>0</v>
      </c>
      <c r="AA13" s="692">
        <f t="shared" si="8"/>
        <v>0</v>
      </c>
      <c r="AB13" s="692">
        <f>[3]int.kiadások2026!K12</f>
        <v>0</v>
      </c>
      <c r="AC13" s="692"/>
      <c r="AD13" s="692">
        <f t="shared" si="9"/>
        <v>0</v>
      </c>
      <c r="AE13" s="693">
        <f t="shared" si="10"/>
        <v>0</v>
      </c>
      <c r="AF13" s="693">
        <f t="shared" si="10"/>
        <v>0</v>
      </c>
      <c r="AG13" s="693">
        <f t="shared" si="10"/>
        <v>0</v>
      </c>
      <c r="AH13" s="693">
        <f t="shared" si="1"/>
        <v>261884</v>
      </c>
      <c r="AI13" s="693">
        <f t="shared" si="1"/>
        <v>20758</v>
      </c>
      <c r="AJ13" s="693">
        <f t="shared" si="1"/>
        <v>282642</v>
      </c>
      <c r="AK13" s="669"/>
    </row>
    <row r="14" spans="1:37" s="742" customFormat="1" ht="48.75" customHeight="1" x14ac:dyDescent="0.7">
      <c r="A14" s="694" t="s">
        <v>722</v>
      </c>
      <c r="B14" s="692">
        <f>[3]int.kiadások2026!B13</f>
        <v>220656</v>
      </c>
      <c r="C14" s="692">
        <f>'[4]int.kiadások RM I maradvány'!C14+162+15347</f>
        <v>18858</v>
      </c>
      <c r="D14" s="692">
        <f t="shared" si="2"/>
        <v>239514</v>
      </c>
      <c r="E14" s="692">
        <f>[3]int.kiadások2026!C13</f>
        <v>32278</v>
      </c>
      <c r="F14" s="692">
        <f>'[4]int.kiadások RM I maradvány'!F14+21+3911</f>
        <v>4222</v>
      </c>
      <c r="G14" s="692">
        <f t="shared" si="0"/>
        <v>36500</v>
      </c>
      <c r="H14" s="692">
        <f>[3]int.kiadások2026!D13</f>
        <v>3810</v>
      </c>
      <c r="I14" s="692">
        <f>'[4]int.kiadások RM I maradvány'!I14-404</f>
        <v>80</v>
      </c>
      <c r="J14" s="692">
        <f t="shared" si="3"/>
        <v>3890</v>
      </c>
      <c r="K14" s="694" t="s">
        <v>722</v>
      </c>
      <c r="L14" s="692">
        <f>[3]int.kiadások2026!E13</f>
        <v>0</v>
      </c>
      <c r="M14" s="692"/>
      <c r="N14" s="692">
        <f t="shared" si="4"/>
        <v>0</v>
      </c>
      <c r="O14" s="692">
        <f>[3]int.kiadások2026!F13</f>
        <v>0</v>
      </c>
      <c r="P14" s="692"/>
      <c r="Q14" s="692">
        <f t="shared" si="5"/>
        <v>0</v>
      </c>
      <c r="R14" s="693">
        <f t="shared" si="6"/>
        <v>256744</v>
      </c>
      <c r="S14" s="693">
        <f t="shared" si="6"/>
        <v>23160</v>
      </c>
      <c r="T14" s="693">
        <f t="shared" si="6"/>
        <v>279904</v>
      </c>
      <c r="U14" s="694" t="s">
        <v>722</v>
      </c>
      <c r="V14" s="692">
        <f>[3]int.kiadások2026!I13</f>
        <v>0</v>
      </c>
      <c r="W14" s="692">
        <f>'[4]int.kiadások RM I maradvány'!W14+404</f>
        <v>404</v>
      </c>
      <c r="X14" s="692">
        <f t="shared" si="7"/>
        <v>404</v>
      </c>
      <c r="Y14" s="692">
        <f>[3]int.kiadások2026!J13</f>
        <v>0</v>
      </c>
      <c r="Z14" s="692">
        <f>'[4]int.kiadások RM I maradvány'!Z14</f>
        <v>0</v>
      </c>
      <c r="AA14" s="692">
        <f t="shared" si="8"/>
        <v>0</v>
      </c>
      <c r="AB14" s="692">
        <f>[3]int.kiadások2026!K13</f>
        <v>0</v>
      </c>
      <c r="AC14" s="692"/>
      <c r="AD14" s="692">
        <f t="shared" si="9"/>
        <v>0</v>
      </c>
      <c r="AE14" s="693">
        <f t="shared" si="10"/>
        <v>0</v>
      </c>
      <c r="AF14" s="693">
        <f t="shared" si="10"/>
        <v>404</v>
      </c>
      <c r="AG14" s="693">
        <f t="shared" si="10"/>
        <v>404</v>
      </c>
      <c r="AH14" s="693">
        <f t="shared" si="1"/>
        <v>256744</v>
      </c>
      <c r="AI14" s="693">
        <f t="shared" si="1"/>
        <v>23564</v>
      </c>
      <c r="AJ14" s="693">
        <f t="shared" si="1"/>
        <v>280308</v>
      </c>
      <c r="AK14" s="669"/>
    </row>
    <row r="15" spans="1:37" s="742" customFormat="1" ht="48.75" customHeight="1" x14ac:dyDescent="0.7">
      <c r="A15" s="694" t="s">
        <v>723</v>
      </c>
      <c r="B15" s="692">
        <f>[3]int.kiadások2026!B14</f>
        <v>209105</v>
      </c>
      <c r="C15" s="692">
        <f>'[4]int.kiadások RM I maradvány'!C15+53+9876</f>
        <v>13890</v>
      </c>
      <c r="D15" s="692">
        <f t="shared" si="2"/>
        <v>222995</v>
      </c>
      <c r="E15" s="692">
        <f>[3]int.kiadások2026!C14</f>
        <v>27304</v>
      </c>
      <c r="F15" s="692">
        <f>'[4]int.kiadások RM I maradvány'!F15+7+2491</f>
        <v>4408</v>
      </c>
      <c r="G15" s="692">
        <f t="shared" si="0"/>
        <v>31712</v>
      </c>
      <c r="H15" s="692">
        <f>[3]int.kiadások2026!D14</f>
        <v>3358</v>
      </c>
      <c r="I15" s="692">
        <f>'[4]int.kiadások RM I maradvány'!I15-596</f>
        <v>797</v>
      </c>
      <c r="J15" s="692">
        <f t="shared" si="3"/>
        <v>4155</v>
      </c>
      <c r="K15" s="694" t="s">
        <v>723</v>
      </c>
      <c r="L15" s="692">
        <f>[3]int.kiadások2026!E14</f>
        <v>0</v>
      </c>
      <c r="M15" s="692"/>
      <c r="N15" s="692">
        <f t="shared" si="4"/>
        <v>0</v>
      </c>
      <c r="O15" s="692">
        <f>[3]int.kiadások2026!F14</f>
        <v>0</v>
      </c>
      <c r="P15" s="692"/>
      <c r="Q15" s="692">
        <f t="shared" si="5"/>
        <v>0</v>
      </c>
      <c r="R15" s="693">
        <f t="shared" si="6"/>
        <v>239767</v>
      </c>
      <c r="S15" s="693">
        <f t="shared" si="6"/>
        <v>19095</v>
      </c>
      <c r="T15" s="693">
        <f t="shared" si="6"/>
        <v>258862</v>
      </c>
      <c r="U15" s="694" t="s">
        <v>723</v>
      </c>
      <c r="V15" s="692">
        <f>[3]int.kiadások2026!I14</f>
        <v>0</v>
      </c>
      <c r="W15" s="692">
        <f>'[4]int.kiadások RM I maradvány'!W15+21</f>
        <v>21</v>
      </c>
      <c r="X15" s="692">
        <f t="shared" si="7"/>
        <v>21</v>
      </c>
      <c r="Y15" s="692">
        <f>[3]int.kiadások2026!J14</f>
        <v>0</v>
      </c>
      <c r="Z15" s="692">
        <f>'[4]int.kiadások RM I maradvány'!Z15+575</f>
        <v>575</v>
      </c>
      <c r="AA15" s="692">
        <f t="shared" si="8"/>
        <v>575</v>
      </c>
      <c r="AB15" s="692">
        <f>[3]int.kiadások2026!K14</f>
        <v>0</v>
      </c>
      <c r="AC15" s="692"/>
      <c r="AD15" s="692">
        <f t="shared" si="9"/>
        <v>0</v>
      </c>
      <c r="AE15" s="693">
        <f t="shared" si="10"/>
        <v>0</v>
      </c>
      <c r="AF15" s="693">
        <f t="shared" si="10"/>
        <v>596</v>
      </c>
      <c r="AG15" s="693">
        <f t="shared" si="10"/>
        <v>596</v>
      </c>
      <c r="AH15" s="693">
        <f t="shared" si="1"/>
        <v>239767</v>
      </c>
      <c r="AI15" s="693">
        <f t="shared" si="1"/>
        <v>19691</v>
      </c>
      <c r="AJ15" s="693">
        <f t="shared" si="1"/>
        <v>259458</v>
      </c>
      <c r="AK15" s="669"/>
    </row>
    <row r="16" spans="1:37" s="742" customFormat="1" ht="48.75" customHeight="1" x14ac:dyDescent="0.7">
      <c r="A16" s="694" t="s">
        <v>725</v>
      </c>
      <c r="B16" s="692">
        <f>[3]int.kiadások2026!B15</f>
        <v>149792</v>
      </c>
      <c r="C16" s="692">
        <f>'[4]int.kiadások RM I maradvány'!C16+6996</f>
        <v>8680</v>
      </c>
      <c r="D16" s="692">
        <f t="shared" si="2"/>
        <v>158472</v>
      </c>
      <c r="E16" s="692">
        <f>[3]int.kiadások2026!C15</f>
        <v>19422</v>
      </c>
      <c r="F16" s="692">
        <f>'[4]int.kiadások RM I maradvány'!F16+1684</f>
        <v>1907</v>
      </c>
      <c r="G16" s="692">
        <f t="shared" si="0"/>
        <v>21329</v>
      </c>
      <c r="H16" s="692">
        <f>[3]int.kiadások2026!D15</f>
        <v>3396</v>
      </c>
      <c r="I16" s="692">
        <f>'[4]int.kiadások RM I maradvány'!I16-14</f>
        <v>858</v>
      </c>
      <c r="J16" s="692">
        <f t="shared" si="3"/>
        <v>4254</v>
      </c>
      <c r="K16" s="694" t="s">
        <v>725</v>
      </c>
      <c r="L16" s="692">
        <f>[3]int.kiadások2026!E15</f>
        <v>0</v>
      </c>
      <c r="M16" s="692"/>
      <c r="N16" s="692">
        <f t="shared" si="4"/>
        <v>0</v>
      </c>
      <c r="O16" s="692">
        <f>[3]int.kiadások2026!F15</f>
        <v>0</v>
      </c>
      <c r="P16" s="692"/>
      <c r="Q16" s="692">
        <f t="shared" si="5"/>
        <v>0</v>
      </c>
      <c r="R16" s="693">
        <f t="shared" si="6"/>
        <v>172610</v>
      </c>
      <c r="S16" s="693">
        <f t="shared" si="6"/>
        <v>11445</v>
      </c>
      <c r="T16" s="693">
        <f t="shared" si="6"/>
        <v>184055</v>
      </c>
      <c r="U16" s="694" t="s">
        <v>725</v>
      </c>
      <c r="V16" s="692">
        <f>[3]int.kiadások2026!I15</f>
        <v>0</v>
      </c>
      <c r="W16" s="692">
        <f>'[4]int.kiadások RM I maradvány'!W16+14</f>
        <v>14</v>
      </c>
      <c r="X16" s="692">
        <f t="shared" si="7"/>
        <v>14</v>
      </c>
      <c r="Y16" s="692">
        <f>[3]int.kiadások2026!J15</f>
        <v>0</v>
      </c>
      <c r="Z16" s="692">
        <f>'[4]int.kiadások RM I maradvány'!Z16</f>
        <v>0</v>
      </c>
      <c r="AA16" s="692">
        <f t="shared" si="8"/>
        <v>0</v>
      </c>
      <c r="AB16" s="692">
        <f>[3]int.kiadások2026!K15</f>
        <v>0</v>
      </c>
      <c r="AC16" s="692"/>
      <c r="AD16" s="692">
        <f t="shared" si="9"/>
        <v>0</v>
      </c>
      <c r="AE16" s="693">
        <f t="shared" si="10"/>
        <v>0</v>
      </c>
      <c r="AF16" s="693">
        <f t="shared" si="10"/>
        <v>14</v>
      </c>
      <c r="AG16" s="693">
        <f t="shared" si="10"/>
        <v>14</v>
      </c>
      <c r="AH16" s="693">
        <f t="shared" si="1"/>
        <v>172610</v>
      </c>
      <c r="AI16" s="693">
        <f t="shared" si="1"/>
        <v>11459</v>
      </c>
      <c r="AJ16" s="693">
        <f t="shared" si="1"/>
        <v>184069</v>
      </c>
      <c r="AK16" s="669"/>
    </row>
    <row r="17" spans="1:37" s="742" customFormat="1" ht="48.75" customHeight="1" x14ac:dyDescent="0.7">
      <c r="A17" s="694" t="s">
        <v>726</v>
      </c>
      <c r="B17" s="692">
        <f>[3]int.kiadások2026!B16</f>
        <v>160991</v>
      </c>
      <c r="C17" s="692">
        <f>'[4]int.kiadások RM I maradvány'!C17+7296</f>
        <v>9175</v>
      </c>
      <c r="D17" s="692">
        <f t="shared" si="2"/>
        <v>170166</v>
      </c>
      <c r="E17" s="692">
        <f>[3]int.kiadások2026!C16</f>
        <v>20870</v>
      </c>
      <c r="F17" s="692">
        <f>'[4]int.kiadások RM I maradvány'!F17+1722</f>
        <v>1994</v>
      </c>
      <c r="G17" s="692">
        <f t="shared" si="0"/>
        <v>22864</v>
      </c>
      <c r="H17" s="692">
        <f>[3]int.kiadások2026!D16</f>
        <v>3709</v>
      </c>
      <c r="I17" s="692">
        <f>'[4]int.kiadások RM I maradvány'!I17-179</f>
        <v>222</v>
      </c>
      <c r="J17" s="692">
        <f t="shared" si="3"/>
        <v>3931</v>
      </c>
      <c r="K17" s="694" t="s">
        <v>726</v>
      </c>
      <c r="L17" s="692">
        <f>[3]int.kiadások2026!E16</f>
        <v>0</v>
      </c>
      <c r="M17" s="692"/>
      <c r="N17" s="692">
        <f t="shared" si="4"/>
        <v>0</v>
      </c>
      <c r="O17" s="692">
        <f>[3]int.kiadások2026!F16</f>
        <v>0</v>
      </c>
      <c r="P17" s="692"/>
      <c r="Q17" s="692">
        <f t="shared" si="5"/>
        <v>0</v>
      </c>
      <c r="R17" s="693">
        <f t="shared" si="6"/>
        <v>185570</v>
      </c>
      <c r="S17" s="693">
        <f t="shared" si="6"/>
        <v>11391</v>
      </c>
      <c r="T17" s="693">
        <f t="shared" si="6"/>
        <v>196961</v>
      </c>
      <c r="U17" s="694" t="s">
        <v>726</v>
      </c>
      <c r="V17" s="692">
        <f>[3]int.kiadások2026!I16</f>
        <v>0</v>
      </c>
      <c r="W17" s="692">
        <f>'[4]int.kiadások RM I maradvány'!W17+179</f>
        <v>179</v>
      </c>
      <c r="X17" s="692">
        <f t="shared" si="7"/>
        <v>179</v>
      </c>
      <c r="Y17" s="692">
        <f>[3]int.kiadások2026!J16</f>
        <v>0</v>
      </c>
      <c r="Z17" s="692">
        <f>'[4]int.kiadások RM I maradvány'!Z17</f>
        <v>0</v>
      </c>
      <c r="AA17" s="692">
        <f t="shared" si="8"/>
        <v>0</v>
      </c>
      <c r="AB17" s="692">
        <f>[3]int.kiadások2026!K16</f>
        <v>0</v>
      </c>
      <c r="AC17" s="692"/>
      <c r="AD17" s="692">
        <f t="shared" si="9"/>
        <v>0</v>
      </c>
      <c r="AE17" s="693">
        <f t="shared" si="10"/>
        <v>0</v>
      </c>
      <c r="AF17" s="693">
        <f t="shared" si="10"/>
        <v>179</v>
      </c>
      <c r="AG17" s="693">
        <f t="shared" si="10"/>
        <v>179</v>
      </c>
      <c r="AH17" s="693">
        <f t="shared" si="1"/>
        <v>185570</v>
      </c>
      <c r="AI17" s="693">
        <f t="shared" si="1"/>
        <v>11570</v>
      </c>
      <c r="AJ17" s="693">
        <f t="shared" si="1"/>
        <v>197140</v>
      </c>
      <c r="AK17" s="669"/>
    </row>
    <row r="18" spans="1:37" s="742" customFormat="1" ht="48.75" customHeight="1" x14ac:dyDescent="0.7">
      <c r="A18" s="694" t="s">
        <v>727</v>
      </c>
      <c r="B18" s="692">
        <f>[3]int.kiadások2026!B17</f>
        <v>222366</v>
      </c>
      <c r="C18" s="692">
        <f>'[4]int.kiadások RM I maradvány'!C18+11896</f>
        <v>16698</v>
      </c>
      <c r="D18" s="692">
        <f t="shared" si="2"/>
        <v>239064</v>
      </c>
      <c r="E18" s="692">
        <f>[3]int.kiadások2026!C17</f>
        <v>32918</v>
      </c>
      <c r="F18" s="692">
        <f>'[4]int.kiadások RM I maradvány'!F18+2896</f>
        <v>3480</v>
      </c>
      <c r="G18" s="692">
        <f t="shared" si="0"/>
        <v>36398</v>
      </c>
      <c r="H18" s="692">
        <f>[3]int.kiadások2026!D17</f>
        <v>3546</v>
      </c>
      <c r="I18" s="692">
        <f>'[4]int.kiadások RM I maradvány'!I18</f>
        <v>1327</v>
      </c>
      <c r="J18" s="692">
        <f t="shared" si="3"/>
        <v>4873</v>
      </c>
      <c r="K18" s="694" t="s">
        <v>727</v>
      </c>
      <c r="L18" s="692">
        <f>[3]int.kiadások2026!E17</f>
        <v>0</v>
      </c>
      <c r="M18" s="692"/>
      <c r="N18" s="692">
        <f t="shared" si="4"/>
        <v>0</v>
      </c>
      <c r="O18" s="692">
        <f>[3]int.kiadások2026!F17</f>
        <v>0</v>
      </c>
      <c r="P18" s="692"/>
      <c r="Q18" s="692">
        <f t="shared" si="5"/>
        <v>0</v>
      </c>
      <c r="R18" s="693">
        <f t="shared" si="6"/>
        <v>258830</v>
      </c>
      <c r="S18" s="693">
        <f t="shared" si="6"/>
        <v>21505</v>
      </c>
      <c r="T18" s="693">
        <f t="shared" si="6"/>
        <v>280335</v>
      </c>
      <c r="U18" s="694" t="s">
        <v>727</v>
      </c>
      <c r="V18" s="692">
        <f>[3]int.kiadások2026!I17</f>
        <v>0</v>
      </c>
      <c r="W18" s="692">
        <f>'[4]int.kiadások RM I maradvány'!W18</f>
        <v>5432</v>
      </c>
      <c r="X18" s="692">
        <f t="shared" si="7"/>
        <v>5432</v>
      </c>
      <c r="Y18" s="692">
        <f>[3]int.kiadások2026!J17</f>
        <v>0</v>
      </c>
      <c r="Z18" s="692">
        <f>'[4]int.kiadások RM I maradvány'!Z18</f>
        <v>0</v>
      </c>
      <c r="AA18" s="692">
        <f t="shared" si="8"/>
        <v>0</v>
      </c>
      <c r="AB18" s="692">
        <f>[3]int.kiadások2026!K17</f>
        <v>0</v>
      </c>
      <c r="AC18" s="692"/>
      <c r="AD18" s="692">
        <f t="shared" si="9"/>
        <v>0</v>
      </c>
      <c r="AE18" s="693">
        <f t="shared" si="10"/>
        <v>0</v>
      </c>
      <c r="AF18" s="693">
        <f t="shared" si="10"/>
        <v>5432</v>
      </c>
      <c r="AG18" s="693">
        <f t="shared" si="10"/>
        <v>5432</v>
      </c>
      <c r="AH18" s="693">
        <f t="shared" si="1"/>
        <v>258830</v>
      </c>
      <c r="AI18" s="693">
        <f t="shared" si="1"/>
        <v>26937</v>
      </c>
      <c r="AJ18" s="693">
        <f t="shared" si="1"/>
        <v>285767</v>
      </c>
      <c r="AK18" s="669"/>
    </row>
    <row r="19" spans="1:37" s="742" customFormat="1" ht="48.75" customHeight="1" x14ac:dyDescent="0.7">
      <c r="A19" s="694" t="s">
        <v>728</v>
      </c>
      <c r="B19" s="692">
        <f>[3]int.kiadások2026!B18</f>
        <v>261501</v>
      </c>
      <c r="C19" s="692">
        <f>'[4]int.kiadások RM I maradvány'!C19+16505</f>
        <v>22080</v>
      </c>
      <c r="D19" s="692">
        <f t="shared" si="2"/>
        <v>283581</v>
      </c>
      <c r="E19" s="692">
        <f>[3]int.kiadások2026!C18</f>
        <v>38306</v>
      </c>
      <c r="F19" s="692">
        <f>'[4]int.kiadások RM I maradvány'!F19+4096</f>
        <v>4440</v>
      </c>
      <c r="G19" s="692">
        <f t="shared" si="0"/>
        <v>42746</v>
      </c>
      <c r="H19" s="692">
        <f>[3]int.kiadások2026!D18</f>
        <v>6004</v>
      </c>
      <c r="I19" s="692">
        <f>'[4]int.kiadások RM I maradvány'!I19-108</f>
        <v>2</v>
      </c>
      <c r="J19" s="692">
        <f t="shared" si="3"/>
        <v>6006</v>
      </c>
      <c r="K19" s="694" t="s">
        <v>728</v>
      </c>
      <c r="L19" s="692">
        <f>[3]int.kiadások2026!E18</f>
        <v>0</v>
      </c>
      <c r="M19" s="692"/>
      <c r="N19" s="692">
        <f t="shared" si="4"/>
        <v>0</v>
      </c>
      <c r="O19" s="692">
        <f>[3]int.kiadások2026!F18</f>
        <v>0</v>
      </c>
      <c r="P19" s="692"/>
      <c r="Q19" s="692">
        <f t="shared" si="5"/>
        <v>0</v>
      </c>
      <c r="R19" s="693">
        <f t="shared" si="6"/>
        <v>305811</v>
      </c>
      <c r="S19" s="693">
        <f t="shared" si="6"/>
        <v>26522</v>
      </c>
      <c r="T19" s="693">
        <f t="shared" si="6"/>
        <v>332333</v>
      </c>
      <c r="U19" s="694" t="s">
        <v>728</v>
      </c>
      <c r="V19" s="692">
        <f>[3]int.kiadások2026!I18</f>
        <v>0</v>
      </c>
      <c r="W19" s="692">
        <f>'[4]int.kiadások RM I maradvány'!W19+108</f>
        <v>108</v>
      </c>
      <c r="X19" s="692">
        <f t="shared" si="7"/>
        <v>108</v>
      </c>
      <c r="Y19" s="692">
        <f>[3]int.kiadások2026!J18</f>
        <v>0</v>
      </c>
      <c r="Z19" s="692">
        <f>'[4]int.kiadások RM I maradvány'!Z19</f>
        <v>0</v>
      </c>
      <c r="AA19" s="692">
        <f t="shared" si="8"/>
        <v>0</v>
      </c>
      <c r="AB19" s="692">
        <f>[3]int.kiadások2026!K18</f>
        <v>0</v>
      </c>
      <c r="AC19" s="692"/>
      <c r="AD19" s="692">
        <f t="shared" si="9"/>
        <v>0</v>
      </c>
      <c r="AE19" s="693">
        <f t="shared" si="10"/>
        <v>0</v>
      </c>
      <c r="AF19" s="693">
        <f t="shared" si="10"/>
        <v>108</v>
      </c>
      <c r="AG19" s="693">
        <f t="shared" si="10"/>
        <v>108</v>
      </c>
      <c r="AH19" s="693">
        <f t="shared" si="1"/>
        <v>305811</v>
      </c>
      <c r="AI19" s="693">
        <f t="shared" si="1"/>
        <v>26630</v>
      </c>
      <c r="AJ19" s="693">
        <f t="shared" si="1"/>
        <v>332441</v>
      </c>
      <c r="AK19" s="669"/>
    </row>
    <row r="20" spans="1:37" s="742" customFormat="1" ht="48.75" customHeight="1" x14ac:dyDescent="0.7">
      <c r="A20" s="694" t="s">
        <v>729</v>
      </c>
      <c r="B20" s="692">
        <f>[3]int.kiadások2026!B19</f>
        <v>120329</v>
      </c>
      <c r="C20" s="692">
        <f>'[4]int.kiadások RM I maradvány'!C20+39+5524</f>
        <v>6799</v>
      </c>
      <c r="D20" s="692">
        <f t="shared" si="2"/>
        <v>127128</v>
      </c>
      <c r="E20" s="692">
        <f>[3]int.kiadások2026!C19</f>
        <v>15640</v>
      </c>
      <c r="F20" s="692">
        <f>'[4]int.kiadások RM I maradvány'!F20+5+1318</f>
        <v>1494</v>
      </c>
      <c r="G20" s="692">
        <f t="shared" si="0"/>
        <v>17134</v>
      </c>
      <c r="H20" s="692">
        <f>[3]int.kiadások2026!D19</f>
        <v>2702</v>
      </c>
      <c r="I20" s="692">
        <f>'[4]int.kiadások RM I maradvány'!I20+84</f>
        <v>998</v>
      </c>
      <c r="J20" s="692">
        <f t="shared" si="3"/>
        <v>3700</v>
      </c>
      <c r="K20" s="694" t="s">
        <v>729</v>
      </c>
      <c r="L20" s="692">
        <f>[3]int.kiadások2026!E19</f>
        <v>0</v>
      </c>
      <c r="M20" s="692"/>
      <c r="N20" s="692">
        <f t="shared" si="4"/>
        <v>0</v>
      </c>
      <c r="O20" s="692">
        <f>[3]int.kiadások2026!F19</f>
        <v>0</v>
      </c>
      <c r="P20" s="692"/>
      <c r="Q20" s="692">
        <f t="shared" si="5"/>
        <v>0</v>
      </c>
      <c r="R20" s="693">
        <f t="shared" si="6"/>
        <v>138671</v>
      </c>
      <c r="S20" s="693">
        <f t="shared" si="6"/>
        <v>9291</v>
      </c>
      <c r="T20" s="693">
        <f t="shared" si="6"/>
        <v>147962</v>
      </c>
      <c r="U20" s="694" t="s">
        <v>729</v>
      </c>
      <c r="V20" s="692">
        <f>[3]int.kiadások2026!I19</f>
        <v>0</v>
      </c>
      <c r="W20" s="692">
        <f>'[4]int.kiadások RM I maradvány'!W20+40</f>
        <v>40</v>
      </c>
      <c r="X20" s="692">
        <f t="shared" si="7"/>
        <v>40</v>
      </c>
      <c r="Y20" s="692">
        <f>[3]int.kiadások2026!J19</f>
        <v>0</v>
      </c>
      <c r="Z20" s="692">
        <f>'[4]int.kiadások RM I maradvány'!Z20</f>
        <v>0</v>
      </c>
      <c r="AA20" s="692">
        <f t="shared" si="8"/>
        <v>0</v>
      </c>
      <c r="AB20" s="692">
        <f>[3]int.kiadások2026!K19</f>
        <v>0</v>
      </c>
      <c r="AC20" s="692"/>
      <c r="AD20" s="692">
        <f t="shared" si="9"/>
        <v>0</v>
      </c>
      <c r="AE20" s="693">
        <f t="shared" si="10"/>
        <v>0</v>
      </c>
      <c r="AF20" s="693">
        <f t="shared" si="10"/>
        <v>40</v>
      </c>
      <c r="AG20" s="693">
        <f t="shared" si="10"/>
        <v>40</v>
      </c>
      <c r="AH20" s="693">
        <f t="shared" si="1"/>
        <v>138671</v>
      </c>
      <c r="AI20" s="693">
        <f t="shared" si="1"/>
        <v>9331</v>
      </c>
      <c r="AJ20" s="693">
        <f t="shared" si="1"/>
        <v>148002</v>
      </c>
      <c r="AK20" s="669"/>
    </row>
    <row r="21" spans="1:37" s="742" customFormat="1" ht="48.75" customHeight="1" x14ac:dyDescent="0.7">
      <c r="A21" s="694" t="s">
        <v>730</v>
      </c>
      <c r="B21" s="692">
        <f>[3]int.kiadások2026!B20</f>
        <v>122529</v>
      </c>
      <c r="C21" s="692">
        <f>'[4]int.kiadások RM I maradvány'!C21+6676</f>
        <v>9906</v>
      </c>
      <c r="D21" s="692">
        <f t="shared" si="2"/>
        <v>132435</v>
      </c>
      <c r="E21" s="692">
        <f>[3]int.kiadások2026!C20</f>
        <v>15868</v>
      </c>
      <c r="F21" s="692">
        <f>'[4]int.kiadások RM I maradvány'!F21+1618</f>
        <v>2026</v>
      </c>
      <c r="G21" s="692">
        <f t="shared" si="0"/>
        <v>17894</v>
      </c>
      <c r="H21" s="692">
        <f>[3]int.kiadások2026!D20</f>
        <v>2512</v>
      </c>
      <c r="I21" s="692">
        <f>'[4]int.kiadások RM I maradvány'!I21</f>
        <v>298</v>
      </c>
      <c r="J21" s="692">
        <f t="shared" si="3"/>
        <v>2810</v>
      </c>
      <c r="K21" s="694" t="s">
        <v>730</v>
      </c>
      <c r="L21" s="692">
        <f>[3]int.kiadások2026!E20</f>
        <v>0</v>
      </c>
      <c r="M21" s="692"/>
      <c r="N21" s="692">
        <f t="shared" si="4"/>
        <v>0</v>
      </c>
      <c r="O21" s="692">
        <f>[3]int.kiadások2026!F20</f>
        <v>0</v>
      </c>
      <c r="P21" s="692"/>
      <c r="Q21" s="692">
        <f t="shared" si="5"/>
        <v>0</v>
      </c>
      <c r="R21" s="693">
        <f t="shared" si="6"/>
        <v>140909</v>
      </c>
      <c r="S21" s="693">
        <f t="shared" si="6"/>
        <v>12230</v>
      </c>
      <c r="T21" s="693">
        <f t="shared" si="6"/>
        <v>153139</v>
      </c>
      <c r="U21" s="694" t="s">
        <v>730</v>
      </c>
      <c r="V21" s="692">
        <f>[3]int.kiadások2026!I20</f>
        <v>0</v>
      </c>
      <c r="W21" s="692">
        <f>'[4]int.kiadások RM I maradvány'!W21</f>
        <v>0</v>
      </c>
      <c r="X21" s="692">
        <f t="shared" si="7"/>
        <v>0</v>
      </c>
      <c r="Y21" s="692">
        <f>[3]int.kiadások2026!J20</f>
        <v>0</v>
      </c>
      <c r="Z21" s="692">
        <f>'[4]int.kiadások RM I maradvány'!Z21</f>
        <v>0</v>
      </c>
      <c r="AA21" s="692">
        <f t="shared" si="8"/>
        <v>0</v>
      </c>
      <c r="AB21" s="692">
        <f>[3]int.kiadások2026!K20</f>
        <v>0</v>
      </c>
      <c r="AC21" s="692"/>
      <c r="AD21" s="692">
        <f t="shared" si="9"/>
        <v>0</v>
      </c>
      <c r="AE21" s="693">
        <f t="shared" si="10"/>
        <v>0</v>
      </c>
      <c r="AF21" s="693">
        <f t="shared" si="10"/>
        <v>0</v>
      </c>
      <c r="AG21" s="693">
        <f t="shared" si="10"/>
        <v>0</v>
      </c>
      <c r="AH21" s="693">
        <f t="shared" si="1"/>
        <v>140909</v>
      </c>
      <c r="AI21" s="693">
        <f t="shared" si="1"/>
        <v>12230</v>
      </c>
      <c r="AJ21" s="693">
        <f t="shared" si="1"/>
        <v>153139</v>
      </c>
      <c r="AK21" s="669"/>
    </row>
    <row r="22" spans="1:37" s="742" customFormat="1" ht="48.75" customHeight="1" x14ac:dyDescent="0.7">
      <c r="A22" s="694" t="s">
        <v>731</v>
      </c>
      <c r="B22" s="692">
        <f>[3]int.kiadások2026!B21</f>
        <v>150275</v>
      </c>
      <c r="C22" s="692">
        <f>'[4]int.kiadások RM I maradvány'!C22+21+6736</f>
        <v>9032</v>
      </c>
      <c r="D22" s="692">
        <f t="shared" si="2"/>
        <v>159307</v>
      </c>
      <c r="E22" s="692">
        <f>[3]int.kiadások2026!C21</f>
        <v>19448</v>
      </c>
      <c r="F22" s="692">
        <f>'[4]int.kiadások RM I maradvány'!F22+3+1635</f>
        <v>1954</v>
      </c>
      <c r="G22" s="692">
        <f t="shared" si="0"/>
        <v>21402</v>
      </c>
      <c r="H22" s="692">
        <f>[3]int.kiadások2026!D21</f>
        <v>4084</v>
      </c>
      <c r="I22" s="692">
        <f>'[4]int.kiadások RM I maradvány'!I22</f>
        <v>1762</v>
      </c>
      <c r="J22" s="692">
        <f t="shared" si="3"/>
        <v>5846</v>
      </c>
      <c r="K22" s="694" t="s">
        <v>731</v>
      </c>
      <c r="L22" s="692">
        <f>[3]int.kiadások2026!E21</f>
        <v>0</v>
      </c>
      <c r="M22" s="692"/>
      <c r="N22" s="692">
        <f t="shared" si="4"/>
        <v>0</v>
      </c>
      <c r="O22" s="692">
        <f>[3]int.kiadások2026!F21</f>
        <v>0</v>
      </c>
      <c r="P22" s="692"/>
      <c r="Q22" s="692">
        <f t="shared" si="5"/>
        <v>0</v>
      </c>
      <c r="R22" s="693">
        <f t="shared" si="6"/>
        <v>173807</v>
      </c>
      <c r="S22" s="693">
        <f t="shared" si="6"/>
        <v>12748</v>
      </c>
      <c r="T22" s="693">
        <f t="shared" si="6"/>
        <v>186555</v>
      </c>
      <c r="U22" s="694" t="s">
        <v>731</v>
      </c>
      <c r="V22" s="692">
        <f>[3]int.kiadások2026!I21</f>
        <v>0</v>
      </c>
      <c r="W22" s="692">
        <f>'[4]int.kiadások RM I maradvány'!W22</f>
        <v>0</v>
      </c>
      <c r="X22" s="692">
        <f t="shared" si="7"/>
        <v>0</v>
      </c>
      <c r="Y22" s="692">
        <f>[3]int.kiadások2026!J21</f>
        <v>0</v>
      </c>
      <c r="Z22" s="692">
        <f>'[4]int.kiadások RM I maradvány'!Z22</f>
        <v>0</v>
      </c>
      <c r="AA22" s="692">
        <f t="shared" si="8"/>
        <v>0</v>
      </c>
      <c r="AB22" s="692">
        <f>[3]int.kiadások2026!K21</f>
        <v>0</v>
      </c>
      <c r="AC22" s="692"/>
      <c r="AD22" s="692">
        <f t="shared" si="9"/>
        <v>0</v>
      </c>
      <c r="AE22" s="693">
        <f t="shared" si="10"/>
        <v>0</v>
      </c>
      <c r="AF22" s="693">
        <f t="shared" si="10"/>
        <v>0</v>
      </c>
      <c r="AG22" s="693">
        <f t="shared" si="10"/>
        <v>0</v>
      </c>
      <c r="AH22" s="693">
        <f t="shared" si="1"/>
        <v>173807</v>
      </c>
      <c r="AI22" s="693">
        <f t="shared" si="1"/>
        <v>12748</v>
      </c>
      <c r="AJ22" s="693">
        <f t="shared" si="1"/>
        <v>186555</v>
      </c>
      <c r="AK22" s="669"/>
    </row>
    <row r="23" spans="1:37" s="742" customFormat="1" ht="48.75" customHeight="1" x14ac:dyDescent="0.7">
      <c r="A23" s="694" t="s">
        <v>732</v>
      </c>
      <c r="B23" s="692">
        <f>[3]int.kiadások2026!B22</f>
        <v>179147</v>
      </c>
      <c r="C23" s="692">
        <f>'[4]int.kiadások RM I maradvány'!C23+43+8057</f>
        <v>10184</v>
      </c>
      <c r="D23" s="692">
        <f t="shared" si="2"/>
        <v>189331</v>
      </c>
      <c r="E23" s="692">
        <f>[3]int.kiadások2026!C22</f>
        <v>23350</v>
      </c>
      <c r="F23" s="692">
        <f>'[4]int.kiadások RM I maradvány'!F23+6+1947</f>
        <v>2146</v>
      </c>
      <c r="G23" s="692">
        <f t="shared" si="0"/>
        <v>25496</v>
      </c>
      <c r="H23" s="692">
        <f>[3]int.kiadások2026!D22</f>
        <v>3079</v>
      </c>
      <c r="I23" s="692">
        <f>'[4]int.kiadások RM I maradvány'!I23</f>
        <v>688</v>
      </c>
      <c r="J23" s="692">
        <f t="shared" si="3"/>
        <v>3767</v>
      </c>
      <c r="K23" s="694" t="s">
        <v>732</v>
      </c>
      <c r="L23" s="692">
        <f>[3]int.kiadások2026!E22</f>
        <v>0</v>
      </c>
      <c r="M23" s="692"/>
      <c r="N23" s="692">
        <f t="shared" si="4"/>
        <v>0</v>
      </c>
      <c r="O23" s="692">
        <f>[3]int.kiadások2026!F22</f>
        <v>0</v>
      </c>
      <c r="P23" s="692"/>
      <c r="Q23" s="692">
        <f t="shared" si="5"/>
        <v>0</v>
      </c>
      <c r="R23" s="693">
        <f t="shared" si="6"/>
        <v>205576</v>
      </c>
      <c r="S23" s="693">
        <f t="shared" si="6"/>
        <v>13018</v>
      </c>
      <c r="T23" s="693">
        <f t="shared" si="6"/>
        <v>218594</v>
      </c>
      <c r="U23" s="694" t="s">
        <v>732</v>
      </c>
      <c r="V23" s="692">
        <f>[3]int.kiadások2026!I22</f>
        <v>0</v>
      </c>
      <c r="W23" s="692">
        <f>'[4]int.kiadások RM I maradvány'!W23</f>
        <v>6331</v>
      </c>
      <c r="X23" s="692">
        <f t="shared" si="7"/>
        <v>6331</v>
      </c>
      <c r="Y23" s="692">
        <f>[3]int.kiadások2026!J22</f>
        <v>0</v>
      </c>
      <c r="Z23" s="692">
        <f>'[4]int.kiadások RM I maradvány'!Z23</f>
        <v>0</v>
      </c>
      <c r="AA23" s="692">
        <f t="shared" si="8"/>
        <v>0</v>
      </c>
      <c r="AB23" s="692">
        <f>[3]int.kiadások2026!K22</f>
        <v>0</v>
      </c>
      <c r="AC23" s="692"/>
      <c r="AD23" s="692">
        <f t="shared" si="9"/>
        <v>0</v>
      </c>
      <c r="AE23" s="693">
        <f t="shared" si="10"/>
        <v>0</v>
      </c>
      <c r="AF23" s="693">
        <f t="shared" si="10"/>
        <v>6331</v>
      </c>
      <c r="AG23" s="693">
        <f t="shared" si="10"/>
        <v>6331</v>
      </c>
      <c r="AH23" s="693">
        <f t="shared" si="1"/>
        <v>205576</v>
      </c>
      <c r="AI23" s="693">
        <f t="shared" si="1"/>
        <v>19349</v>
      </c>
      <c r="AJ23" s="693">
        <f t="shared" si="1"/>
        <v>224925</v>
      </c>
      <c r="AK23" s="669"/>
    </row>
    <row r="24" spans="1:37" s="742" customFormat="1" ht="48.75" customHeight="1" x14ac:dyDescent="0.7">
      <c r="A24" s="694" t="s">
        <v>733</v>
      </c>
      <c r="B24" s="692">
        <f>[3]int.kiadások2026!B23</f>
        <v>249504</v>
      </c>
      <c r="C24" s="692">
        <f>'[4]int.kiadások RM I maradvány'!C24+13572</f>
        <v>16154</v>
      </c>
      <c r="D24" s="692">
        <f t="shared" si="2"/>
        <v>265658</v>
      </c>
      <c r="E24" s="692">
        <f>[3]int.kiadások2026!C23</f>
        <v>36857</v>
      </c>
      <c r="F24" s="692">
        <f>'[4]int.kiadások RM I maradvány'!F24+3480</f>
        <v>3634</v>
      </c>
      <c r="G24" s="692">
        <f t="shared" si="0"/>
        <v>40491</v>
      </c>
      <c r="H24" s="692">
        <f>[3]int.kiadások2026!D23</f>
        <v>4603</v>
      </c>
      <c r="I24" s="692">
        <f>'[4]int.kiadások RM I maradvány'!I24-60</f>
        <v>6730</v>
      </c>
      <c r="J24" s="692">
        <f t="shared" si="3"/>
        <v>11333</v>
      </c>
      <c r="K24" s="694" t="s">
        <v>733</v>
      </c>
      <c r="L24" s="692">
        <f>[3]int.kiadások2026!E23</f>
        <v>0</v>
      </c>
      <c r="M24" s="692"/>
      <c r="N24" s="692">
        <f t="shared" si="4"/>
        <v>0</v>
      </c>
      <c r="O24" s="692">
        <f>[3]int.kiadások2026!F23</f>
        <v>0</v>
      </c>
      <c r="P24" s="692"/>
      <c r="Q24" s="692">
        <f t="shared" si="5"/>
        <v>0</v>
      </c>
      <c r="R24" s="693">
        <f t="shared" si="6"/>
        <v>290964</v>
      </c>
      <c r="S24" s="693">
        <f t="shared" si="6"/>
        <v>26518</v>
      </c>
      <c r="T24" s="693">
        <f t="shared" si="6"/>
        <v>317482</v>
      </c>
      <c r="U24" s="694" t="s">
        <v>733</v>
      </c>
      <c r="V24" s="692">
        <f>[3]int.kiadások2026!I23</f>
        <v>0</v>
      </c>
      <c r="W24" s="692">
        <f>'[4]int.kiadások RM I maradvány'!W24+60</f>
        <v>60</v>
      </c>
      <c r="X24" s="692">
        <f t="shared" si="7"/>
        <v>60</v>
      </c>
      <c r="Y24" s="692">
        <f>[3]int.kiadások2026!J23</f>
        <v>0</v>
      </c>
      <c r="Z24" s="692">
        <f>'[4]int.kiadások RM I maradvány'!Z24</f>
        <v>0</v>
      </c>
      <c r="AA24" s="692">
        <f t="shared" si="8"/>
        <v>0</v>
      </c>
      <c r="AB24" s="692">
        <f>[3]int.kiadások2026!K23</f>
        <v>0</v>
      </c>
      <c r="AC24" s="692"/>
      <c r="AD24" s="692">
        <f t="shared" si="9"/>
        <v>0</v>
      </c>
      <c r="AE24" s="693">
        <f t="shared" si="10"/>
        <v>0</v>
      </c>
      <c r="AF24" s="693">
        <f t="shared" si="10"/>
        <v>60</v>
      </c>
      <c r="AG24" s="693">
        <f t="shared" si="10"/>
        <v>60</v>
      </c>
      <c r="AH24" s="693">
        <f t="shared" si="1"/>
        <v>290964</v>
      </c>
      <c r="AI24" s="693">
        <f t="shared" si="1"/>
        <v>26578</v>
      </c>
      <c r="AJ24" s="693">
        <f t="shared" si="1"/>
        <v>317542</v>
      </c>
      <c r="AK24" s="669"/>
    </row>
    <row r="25" spans="1:37" s="742" customFormat="1" ht="48.75" customHeight="1" x14ac:dyDescent="0.7">
      <c r="A25" s="694" t="s">
        <v>734</v>
      </c>
      <c r="B25" s="692">
        <f>[3]int.kiadások2026!B24</f>
        <v>180700</v>
      </c>
      <c r="C25" s="692">
        <f>'[4]int.kiadások RM I maradvány'!C25+85+4981</f>
        <v>12740</v>
      </c>
      <c r="D25" s="692">
        <f t="shared" si="2"/>
        <v>193440</v>
      </c>
      <c r="E25" s="692">
        <f>[3]int.kiadások2026!C24</f>
        <v>23493</v>
      </c>
      <c r="F25" s="692">
        <f>'[4]int.kiadások RM I maradvány'!F25+11+1098</f>
        <v>2032</v>
      </c>
      <c r="G25" s="692">
        <f t="shared" si="0"/>
        <v>25525</v>
      </c>
      <c r="H25" s="692">
        <f>[3]int.kiadások2026!D24</f>
        <v>3480</v>
      </c>
      <c r="I25" s="692">
        <f>'[4]int.kiadások RM I maradvány'!I25-442</f>
        <v>7243</v>
      </c>
      <c r="J25" s="692">
        <f t="shared" si="3"/>
        <v>10723</v>
      </c>
      <c r="K25" s="694" t="s">
        <v>734</v>
      </c>
      <c r="L25" s="692">
        <f>[3]int.kiadások2026!E24</f>
        <v>0</v>
      </c>
      <c r="M25" s="692"/>
      <c r="N25" s="692">
        <f t="shared" si="4"/>
        <v>0</v>
      </c>
      <c r="O25" s="692">
        <f>[3]int.kiadások2026!F24</f>
        <v>0</v>
      </c>
      <c r="P25" s="692"/>
      <c r="Q25" s="692">
        <f t="shared" si="5"/>
        <v>0</v>
      </c>
      <c r="R25" s="693">
        <f t="shared" si="6"/>
        <v>207673</v>
      </c>
      <c r="S25" s="693">
        <f t="shared" si="6"/>
        <v>22015</v>
      </c>
      <c r="T25" s="693">
        <f t="shared" si="6"/>
        <v>229688</v>
      </c>
      <c r="U25" s="694" t="s">
        <v>734</v>
      </c>
      <c r="V25" s="692">
        <f>[3]int.kiadások2026!I24</f>
        <v>0</v>
      </c>
      <c r="W25" s="692">
        <f>'[4]int.kiadások RM I maradvány'!W25+451</f>
        <v>451</v>
      </c>
      <c r="X25" s="692">
        <f t="shared" si="7"/>
        <v>451</v>
      </c>
      <c r="Y25" s="692">
        <f>[3]int.kiadások2026!J24</f>
        <v>0</v>
      </c>
      <c r="Z25" s="692">
        <f>'[4]int.kiadások RM I maradvány'!Z25</f>
        <v>0</v>
      </c>
      <c r="AA25" s="692">
        <f t="shared" si="8"/>
        <v>0</v>
      </c>
      <c r="AB25" s="692">
        <f>[3]int.kiadások2026!K24</f>
        <v>0</v>
      </c>
      <c r="AC25" s="692"/>
      <c r="AD25" s="692">
        <f t="shared" si="9"/>
        <v>0</v>
      </c>
      <c r="AE25" s="693">
        <f t="shared" si="10"/>
        <v>0</v>
      </c>
      <c r="AF25" s="693">
        <f t="shared" si="10"/>
        <v>451</v>
      </c>
      <c r="AG25" s="693">
        <f t="shared" si="10"/>
        <v>451</v>
      </c>
      <c r="AH25" s="693">
        <f t="shared" si="1"/>
        <v>207673</v>
      </c>
      <c r="AI25" s="693">
        <f t="shared" si="1"/>
        <v>22466</v>
      </c>
      <c r="AJ25" s="693">
        <f t="shared" si="1"/>
        <v>230139</v>
      </c>
      <c r="AK25" s="669"/>
    </row>
    <row r="26" spans="1:37" s="742" customFormat="1" ht="48.75" customHeight="1" x14ac:dyDescent="0.7">
      <c r="A26" s="691" t="s">
        <v>735</v>
      </c>
      <c r="B26" s="692">
        <f>[3]int.kiadások2026!B25</f>
        <v>148966</v>
      </c>
      <c r="C26" s="692">
        <f>'[4]int.kiadások RM I maradvány'!C26+6676</f>
        <v>8245</v>
      </c>
      <c r="D26" s="692">
        <f t="shared" si="2"/>
        <v>157211</v>
      </c>
      <c r="E26" s="692">
        <f>[3]int.kiadások2026!C25</f>
        <v>19308</v>
      </c>
      <c r="F26" s="692">
        <f>'[4]int.kiadások RM I maradvány'!F26+1618</f>
        <v>1824</v>
      </c>
      <c r="G26" s="692">
        <f t="shared" si="0"/>
        <v>21132</v>
      </c>
      <c r="H26" s="692">
        <f>[3]int.kiadások2026!D25</f>
        <v>3286</v>
      </c>
      <c r="I26" s="692">
        <f>'[4]int.kiadások RM I maradvány'!I26-35</f>
        <v>1397</v>
      </c>
      <c r="J26" s="692">
        <f t="shared" si="3"/>
        <v>4683</v>
      </c>
      <c r="K26" s="691" t="s">
        <v>735</v>
      </c>
      <c r="L26" s="692">
        <f>[3]int.kiadások2026!E25</f>
        <v>0</v>
      </c>
      <c r="M26" s="692"/>
      <c r="N26" s="692">
        <f t="shared" si="4"/>
        <v>0</v>
      </c>
      <c r="O26" s="692">
        <f>[3]int.kiadások2026!F25</f>
        <v>0</v>
      </c>
      <c r="P26" s="692"/>
      <c r="Q26" s="692">
        <f t="shared" si="5"/>
        <v>0</v>
      </c>
      <c r="R26" s="693">
        <f t="shared" si="6"/>
        <v>171560</v>
      </c>
      <c r="S26" s="693">
        <f t="shared" si="6"/>
        <v>11466</v>
      </c>
      <c r="T26" s="693">
        <f t="shared" si="6"/>
        <v>183026</v>
      </c>
      <c r="U26" s="691" t="s">
        <v>735</v>
      </c>
      <c r="V26" s="692">
        <f>[3]int.kiadások2026!I25</f>
        <v>0</v>
      </c>
      <c r="W26" s="692">
        <f>'[4]int.kiadások RM I maradvány'!W26+35</f>
        <v>35</v>
      </c>
      <c r="X26" s="692">
        <f t="shared" si="7"/>
        <v>35</v>
      </c>
      <c r="Y26" s="692">
        <f>[3]int.kiadások2026!J25</f>
        <v>0</v>
      </c>
      <c r="Z26" s="692">
        <f>'[4]int.kiadások RM I maradvány'!Z26</f>
        <v>0</v>
      </c>
      <c r="AA26" s="692">
        <f t="shared" si="8"/>
        <v>0</v>
      </c>
      <c r="AB26" s="692">
        <f>[3]int.kiadások2026!K25</f>
        <v>0</v>
      </c>
      <c r="AC26" s="692"/>
      <c r="AD26" s="692">
        <f t="shared" si="9"/>
        <v>0</v>
      </c>
      <c r="AE26" s="693">
        <f t="shared" si="10"/>
        <v>0</v>
      </c>
      <c r="AF26" s="693">
        <f t="shared" si="10"/>
        <v>35</v>
      </c>
      <c r="AG26" s="693">
        <f t="shared" si="10"/>
        <v>35</v>
      </c>
      <c r="AH26" s="693">
        <f t="shared" si="1"/>
        <v>171560</v>
      </c>
      <c r="AI26" s="693">
        <f t="shared" si="1"/>
        <v>11501</v>
      </c>
      <c r="AJ26" s="693">
        <f t="shared" si="1"/>
        <v>183061</v>
      </c>
      <c r="AK26" s="669"/>
    </row>
    <row r="27" spans="1:37" s="742" customFormat="1" ht="48.75" customHeight="1" thickBot="1" x14ac:dyDescent="0.75">
      <c r="A27" s="695" t="s">
        <v>736</v>
      </c>
      <c r="B27" s="692">
        <f>[3]int.kiadások2026!B26</f>
        <v>100739</v>
      </c>
      <c r="C27" s="692">
        <f>'[4]int.kiadások RM I maradvány'!C27+4000</f>
        <v>5775</v>
      </c>
      <c r="D27" s="696">
        <f>SUM(B27:C27)</f>
        <v>106514</v>
      </c>
      <c r="E27" s="692">
        <f>[3]int.kiadások2026!C26</f>
        <v>13007</v>
      </c>
      <c r="F27" s="696">
        <f>'[4]int.kiadások RM I maradvány'!F27+920</f>
        <v>1148</v>
      </c>
      <c r="G27" s="696">
        <f t="shared" si="0"/>
        <v>14155</v>
      </c>
      <c r="H27" s="692">
        <f>[3]int.kiadások2026!D26</f>
        <v>3168</v>
      </c>
      <c r="I27" s="696">
        <f>'[4]int.kiadások RM I maradvány'!I27</f>
        <v>132</v>
      </c>
      <c r="J27" s="696">
        <f t="shared" si="3"/>
        <v>3300</v>
      </c>
      <c r="K27" s="695" t="s">
        <v>736</v>
      </c>
      <c r="L27" s="696">
        <f>[3]int.kiadások2026!E26</f>
        <v>0</v>
      </c>
      <c r="M27" s="696"/>
      <c r="N27" s="696">
        <f t="shared" si="4"/>
        <v>0</v>
      </c>
      <c r="O27" s="696">
        <f>[3]int.kiadások2026!F26</f>
        <v>0</v>
      </c>
      <c r="P27" s="696"/>
      <c r="Q27" s="696">
        <f t="shared" si="5"/>
        <v>0</v>
      </c>
      <c r="R27" s="693">
        <f t="shared" si="6"/>
        <v>116914</v>
      </c>
      <c r="S27" s="693">
        <f t="shared" si="6"/>
        <v>7055</v>
      </c>
      <c r="T27" s="693">
        <f t="shared" si="6"/>
        <v>123969</v>
      </c>
      <c r="U27" s="695" t="s">
        <v>736</v>
      </c>
      <c r="V27" s="696">
        <f>[3]int.kiadások2026!I26</f>
        <v>0</v>
      </c>
      <c r="W27" s="696">
        <f>'[4]int.kiadások RM I maradvány'!W27</f>
        <v>0</v>
      </c>
      <c r="X27" s="692">
        <f t="shared" si="7"/>
        <v>0</v>
      </c>
      <c r="Y27" s="696">
        <f>[3]int.kiadások2026!J26</f>
        <v>0</v>
      </c>
      <c r="Z27" s="696">
        <f>'[4]int.kiadások RM I maradvány'!Z27</f>
        <v>0</v>
      </c>
      <c r="AA27" s="696">
        <f t="shared" si="8"/>
        <v>0</v>
      </c>
      <c r="AB27" s="696">
        <f>[3]int.kiadások2026!K26</f>
        <v>0</v>
      </c>
      <c r="AC27" s="696"/>
      <c r="AD27" s="696">
        <f t="shared" si="9"/>
        <v>0</v>
      </c>
      <c r="AE27" s="693">
        <f t="shared" si="10"/>
        <v>0</v>
      </c>
      <c r="AF27" s="693">
        <f t="shared" si="10"/>
        <v>0</v>
      </c>
      <c r="AG27" s="697">
        <f t="shared" si="10"/>
        <v>0</v>
      </c>
      <c r="AH27" s="693">
        <f t="shared" si="1"/>
        <v>116914</v>
      </c>
      <c r="AI27" s="693">
        <f t="shared" si="1"/>
        <v>7055</v>
      </c>
      <c r="AJ27" s="693">
        <f t="shared" si="1"/>
        <v>123969</v>
      </c>
      <c r="AK27" s="669"/>
    </row>
    <row r="28" spans="1:37" s="742" customFormat="1" ht="57.75" customHeight="1" thickBot="1" x14ac:dyDescent="0.75">
      <c r="A28" s="698" t="s">
        <v>737</v>
      </c>
      <c r="B28" s="699">
        <f t="shared" ref="B28:J28" si="11">SUM(B10:B27)</f>
        <v>3337357</v>
      </c>
      <c r="C28" s="699">
        <f>SUM(C10:C27)</f>
        <v>220296</v>
      </c>
      <c r="D28" s="699">
        <f t="shared" si="11"/>
        <v>3557653</v>
      </c>
      <c r="E28" s="699">
        <f t="shared" si="11"/>
        <v>458483</v>
      </c>
      <c r="F28" s="699">
        <f t="shared" si="11"/>
        <v>47764</v>
      </c>
      <c r="G28" s="699">
        <f t="shared" si="11"/>
        <v>506247</v>
      </c>
      <c r="H28" s="699">
        <f t="shared" si="11"/>
        <v>69671</v>
      </c>
      <c r="I28" s="699">
        <f t="shared" si="11"/>
        <v>27676</v>
      </c>
      <c r="J28" s="699">
        <f t="shared" si="11"/>
        <v>97347</v>
      </c>
      <c r="K28" s="698" t="s">
        <v>737</v>
      </c>
      <c r="L28" s="699">
        <f t="shared" ref="L28:T28" si="12">SUM(L10:L27)</f>
        <v>0</v>
      </c>
      <c r="M28" s="699">
        <f t="shared" si="12"/>
        <v>0</v>
      </c>
      <c r="N28" s="699">
        <f t="shared" si="12"/>
        <v>0</v>
      </c>
      <c r="O28" s="699">
        <f t="shared" si="12"/>
        <v>0</v>
      </c>
      <c r="P28" s="699">
        <f t="shared" si="12"/>
        <v>0</v>
      </c>
      <c r="Q28" s="699">
        <f t="shared" si="12"/>
        <v>0</v>
      </c>
      <c r="R28" s="699">
        <f t="shared" si="12"/>
        <v>3865511</v>
      </c>
      <c r="S28" s="699">
        <f t="shared" si="12"/>
        <v>295736</v>
      </c>
      <c r="T28" s="699">
        <f t="shared" si="12"/>
        <v>4161247</v>
      </c>
      <c r="U28" s="698" t="s">
        <v>737</v>
      </c>
      <c r="V28" s="699">
        <f t="shared" ref="V28:AG28" si="13">SUM(V10:V27)</f>
        <v>0</v>
      </c>
      <c r="W28" s="699">
        <f t="shared" si="13"/>
        <v>13226</v>
      </c>
      <c r="X28" s="699">
        <f t="shared" si="13"/>
        <v>13226</v>
      </c>
      <c r="Y28" s="699">
        <f t="shared" si="13"/>
        <v>0</v>
      </c>
      <c r="Z28" s="699">
        <f t="shared" si="13"/>
        <v>575</v>
      </c>
      <c r="AA28" s="699">
        <f t="shared" si="13"/>
        <v>575</v>
      </c>
      <c r="AB28" s="699">
        <f>SUM(AB10:AB27)</f>
        <v>0</v>
      </c>
      <c r="AC28" s="699">
        <f>SUM(AC10:AC27)</f>
        <v>0</v>
      </c>
      <c r="AD28" s="699">
        <f>SUM(AD10:AD27)</f>
        <v>0</v>
      </c>
      <c r="AE28" s="699">
        <f t="shared" si="13"/>
        <v>0</v>
      </c>
      <c r="AF28" s="699">
        <f t="shared" si="13"/>
        <v>13801</v>
      </c>
      <c r="AG28" s="710">
        <f t="shared" si="13"/>
        <v>13801</v>
      </c>
      <c r="AH28" s="699">
        <f>SUM(AH10:AH27)</f>
        <v>3865511</v>
      </c>
      <c r="AI28" s="699">
        <f>SUM(AI10:AI27)</f>
        <v>309537</v>
      </c>
      <c r="AJ28" s="699">
        <f>SUM(AJ10:AJ27)</f>
        <v>4175048</v>
      </c>
      <c r="AK28" s="669"/>
    </row>
    <row r="29" spans="1:37" s="742" customFormat="1" ht="63.75" customHeight="1" thickBot="1" x14ac:dyDescent="0.75">
      <c r="A29" s="701" t="s">
        <v>675</v>
      </c>
      <c r="B29" s="692">
        <f>[3]int.kiadások2026!B28</f>
        <v>343970</v>
      </c>
      <c r="C29" s="702">
        <f>'[4]int.kiadások RM I maradvány'!C29+26608</f>
        <v>41869</v>
      </c>
      <c r="D29" s="692">
        <f t="shared" si="2"/>
        <v>385839</v>
      </c>
      <c r="E29" s="692">
        <f>[3]int.kiadások2026!C28</f>
        <v>52613</v>
      </c>
      <c r="F29" s="702">
        <f>'[4]int.kiadások RM I maradvány'!F29+4959</f>
        <v>6986</v>
      </c>
      <c r="G29" s="702">
        <f>SUM(E29:F29)</f>
        <v>59599</v>
      </c>
      <c r="H29" s="692">
        <f>[3]int.kiadások2026!D28</f>
        <v>2300631</v>
      </c>
      <c r="I29" s="702">
        <f>'[4]int.kiadások RM I maradvány'!I29-1400+10000</f>
        <v>30105</v>
      </c>
      <c r="J29" s="702">
        <f>SUM(H29:I29)</f>
        <v>2330736</v>
      </c>
      <c r="K29" s="701" t="s">
        <v>675</v>
      </c>
      <c r="L29" s="702">
        <f>[3]int.kiadások2026!E28</f>
        <v>0</v>
      </c>
      <c r="M29" s="702"/>
      <c r="N29" s="702">
        <f>SUM(L29:M29)</f>
        <v>0</v>
      </c>
      <c r="O29" s="702">
        <f>[3]int.kiadások2026!F28</f>
        <v>0</v>
      </c>
      <c r="P29" s="702"/>
      <c r="Q29" s="702">
        <f>SUM(O29:P29)</f>
        <v>0</v>
      </c>
      <c r="R29" s="693">
        <f>B29+E29+H29+L29+O29</f>
        <v>2697214</v>
      </c>
      <c r="S29" s="693">
        <f>C29+F29+I29+M29+P29</f>
        <v>78960</v>
      </c>
      <c r="T29" s="693">
        <f>D29+G29+J29+N29+Q29</f>
        <v>2776174</v>
      </c>
      <c r="U29" s="701" t="s">
        <v>675</v>
      </c>
      <c r="V29" s="702">
        <f>[3]int.kiadások2026!I28</f>
        <v>0</v>
      </c>
      <c r="W29" s="702">
        <f>'[4]int.kiadások RM I maradvány'!W29+2939</f>
        <v>3487</v>
      </c>
      <c r="X29" s="702">
        <f t="shared" si="7"/>
        <v>3487</v>
      </c>
      <c r="Y29" s="702">
        <f>[3]int.kiadások2026!J28</f>
        <v>0</v>
      </c>
      <c r="Z29" s="702">
        <f>'[4]int.kiadások RM I maradvány'!Z29</f>
        <v>7998</v>
      </c>
      <c r="AA29" s="702">
        <f>SUM(Y29:Z29)</f>
        <v>7998</v>
      </c>
      <c r="AB29" s="702">
        <f>[3]int.kiadások2026!K28</f>
        <v>0</v>
      </c>
      <c r="AC29" s="702"/>
      <c r="AD29" s="702">
        <f>SUM(AB29:AC29)</f>
        <v>0</v>
      </c>
      <c r="AE29" s="693">
        <f>V29+Y29+AB29</f>
        <v>0</v>
      </c>
      <c r="AF29" s="693">
        <f>W29+Z29+AC29</f>
        <v>11485</v>
      </c>
      <c r="AG29" s="693">
        <f>X29+AA29+AD29</f>
        <v>11485</v>
      </c>
      <c r="AH29" s="693">
        <f t="shared" si="1"/>
        <v>2697214</v>
      </c>
      <c r="AI29" s="693">
        <f>S29+AF29</f>
        <v>90445</v>
      </c>
      <c r="AJ29" s="693">
        <f>T29+AG29</f>
        <v>2787659</v>
      </c>
      <c r="AK29" s="669"/>
    </row>
    <row r="30" spans="1:37" s="742" customFormat="1" ht="67.5" customHeight="1" thickBot="1" x14ac:dyDescent="0.75">
      <c r="A30" s="715" t="s">
        <v>738</v>
      </c>
      <c r="B30" s="699">
        <f>SUM(B28:B29)</f>
        <v>3681327</v>
      </c>
      <c r="C30" s="699">
        <f>SUM(C28:C29)</f>
        <v>262165</v>
      </c>
      <c r="D30" s="699">
        <f>SUM(D28:D29)</f>
        <v>3943492</v>
      </c>
      <c r="E30" s="699">
        <f t="shared" ref="E30:J30" si="14">SUM(E28:E29)</f>
        <v>511096</v>
      </c>
      <c r="F30" s="699">
        <f t="shared" si="14"/>
        <v>54750</v>
      </c>
      <c r="G30" s="699">
        <f t="shared" si="14"/>
        <v>565846</v>
      </c>
      <c r="H30" s="699">
        <f t="shared" si="14"/>
        <v>2370302</v>
      </c>
      <c r="I30" s="699">
        <f t="shared" si="14"/>
        <v>57781</v>
      </c>
      <c r="J30" s="699">
        <f t="shared" si="14"/>
        <v>2428083</v>
      </c>
      <c r="K30" s="704" t="s">
        <v>738</v>
      </c>
      <c r="L30" s="699">
        <f t="shared" ref="L30:T30" si="15">SUM(L28:L29)</f>
        <v>0</v>
      </c>
      <c r="M30" s="699">
        <f t="shared" si="15"/>
        <v>0</v>
      </c>
      <c r="N30" s="699">
        <f t="shared" si="15"/>
        <v>0</v>
      </c>
      <c r="O30" s="699">
        <f t="shared" si="15"/>
        <v>0</v>
      </c>
      <c r="P30" s="699">
        <f t="shared" si="15"/>
        <v>0</v>
      </c>
      <c r="Q30" s="699">
        <f t="shared" si="15"/>
        <v>0</v>
      </c>
      <c r="R30" s="699">
        <f t="shared" si="15"/>
        <v>6562725</v>
      </c>
      <c r="S30" s="699">
        <f t="shared" si="15"/>
        <v>374696</v>
      </c>
      <c r="T30" s="699">
        <f t="shared" si="15"/>
        <v>6937421</v>
      </c>
      <c r="U30" s="704" t="s">
        <v>738</v>
      </c>
      <c r="V30" s="699">
        <f t="shared" ref="V30:AA30" si="16">SUM(V28:V29)</f>
        <v>0</v>
      </c>
      <c r="W30" s="699">
        <f t="shared" si="16"/>
        <v>16713</v>
      </c>
      <c r="X30" s="699">
        <f t="shared" si="16"/>
        <v>16713</v>
      </c>
      <c r="Y30" s="699">
        <f t="shared" si="16"/>
        <v>0</v>
      </c>
      <c r="Z30" s="699">
        <f t="shared" si="16"/>
        <v>8573</v>
      </c>
      <c r="AA30" s="699">
        <f t="shared" si="16"/>
        <v>8573</v>
      </c>
      <c r="AB30" s="699">
        <f>SUM(AB28:AB29)</f>
        <v>0</v>
      </c>
      <c r="AC30" s="699">
        <f>SUM(AC28:AC29)</f>
        <v>0</v>
      </c>
      <c r="AD30" s="699">
        <f>SUM(AD28:AD29)</f>
        <v>0</v>
      </c>
      <c r="AE30" s="699">
        <f t="shared" ref="AE30:AJ30" si="17">SUM(AE28:AE29)</f>
        <v>0</v>
      </c>
      <c r="AF30" s="699">
        <f t="shared" si="17"/>
        <v>25286</v>
      </c>
      <c r="AG30" s="699">
        <f t="shared" si="17"/>
        <v>25286</v>
      </c>
      <c r="AH30" s="699">
        <f t="shared" si="17"/>
        <v>6562725</v>
      </c>
      <c r="AI30" s="699">
        <f t="shared" si="17"/>
        <v>399982</v>
      </c>
      <c r="AJ30" s="699">
        <f t="shared" si="17"/>
        <v>6962707</v>
      </c>
      <c r="AK30" s="669"/>
    </row>
    <row r="31" spans="1:37" s="742" customFormat="1" ht="48.75" customHeight="1" x14ac:dyDescent="0.7">
      <c r="A31" s="688" t="s">
        <v>739</v>
      </c>
      <c r="B31" s="705"/>
      <c r="C31" s="705"/>
      <c r="D31" s="705"/>
      <c r="E31" s="705"/>
      <c r="F31" s="705"/>
      <c r="G31" s="705"/>
      <c r="H31" s="705"/>
      <c r="I31" s="705"/>
      <c r="J31" s="705"/>
      <c r="K31" s="706" t="s">
        <v>739</v>
      </c>
      <c r="L31" s="705"/>
      <c r="M31" s="705"/>
      <c r="N31" s="705"/>
      <c r="O31" s="705"/>
      <c r="P31" s="705"/>
      <c r="Q31" s="705"/>
      <c r="R31" s="705"/>
      <c r="S31" s="705"/>
      <c r="T31" s="705"/>
      <c r="U31" s="706" t="s">
        <v>739</v>
      </c>
      <c r="V31" s="705"/>
      <c r="W31" s="705"/>
      <c r="X31" s="705"/>
      <c r="Y31" s="705"/>
      <c r="Z31" s="705"/>
      <c r="AA31" s="705"/>
      <c r="AB31" s="705"/>
      <c r="AC31" s="705"/>
      <c r="AD31" s="705"/>
      <c r="AE31" s="705"/>
      <c r="AF31" s="705"/>
      <c r="AG31" s="705"/>
      <c r="AH31" s="705"/>
      <c r="AI31" s="705"/>
      <c r="AJ31" s="705"/>
      <c r="AK31" s="669"/>
    </row>
    <row r="32" spans="1:37" s="742" customFormat="1" ht="48.75" customHeight="1" x14ac:dyDescent="0.7">
      <c r="A32" s="707" t="s">
        <v>740</v>
      </c>
      <c r="B32" s="705"/>
      <c r="C32" s="705"/>
      <c r="D32" s="705"/>
      <c r="E32" s="705"/>
      <c r="F32" s="705"/>
      <c r="G32" s="705"/>
      <c r="H32" s="705"/>
      <c r="I32" s="705"/>
      <c r="J32" s="705"/>
      <c r="K32" s="707" t="s">
        <v>740</v>
      </c>
      <c r="L32" s="705"/>
      <c r="M32" s="705"/>
      <c r="N32" s="705"/>
      <c r="O32" s="705"/>
      <c r="P32" s="705"/>
      <c r="Q32" s="705"/>
      <c r="R32" s="705"/>
      <c r="S32" s="705"/>
      <c r="T32" s="705"/>
      <c r="U32" s="707" t="s">
        <v>740</v>
      </c>
      <c r="V32" s="705"/>
      <c r="W32" s="705"/>
      <c r="X32" s="705"/>
      <c r="Y32" s="705"/>
      <c r="Z32" s="705"/>
      <c r="AA32" s="705"/>
      <c r="AB32" s="705"/>
      <c r="AC32" s="705"/>
      <c r="AD32" s="705"/>
      <c r="AE32" s="705"/>
      <c r="AF32" s="705"/>
      <c r="AG32" s="705"/>
      <c r="AH32" s="705"/>
      <c r="AI32" s="705"/>
      <c r="AJ32" s="705"/>
      <c r="AK32" s="669"/>
    </row>
    <row r="33" spans="1:37" s="742" customFormat="1" ht="48.75" customHeight="1" x14ac:dyDescent="0.7">
      <c r="A33" s="709" t="s">
        <v>96</v>
      </c>
      <c r="B33" s="692">
        <f>[3]int.kiadások2026!B32</f>
        <v>171982</v>
      </c>
      <c r="C33" s="692">
        <f>'[4]int.kiadások RM I maradvány'!C33+75192-69882</f>
        <v>23655</v>
      </c>
      <c r="D33" s="692">
        <f t="shared" si="2"/>
        <v>195637</v>
      </c>
      <c r="E33" s="692">
        <f>[3]int.kiadások2026!C32</f>
        <v>21273</v>
      </c>
      <c r="F33" s="692">
        <f>'[4]int.kiadások RM I maradvány'!F33+9605-8485</f>
        <v>2479</v>
      </c>
      <c r="G33" s="692">
        <f>SUM(E33:F33)</f>
        <v>23752</v>
      </c>
      <c r="H33" s="692">
        <f>[3]int.kiadások2026!D32</f>
        <v>49319</v>
      </c>
      <c r="I33" s="692">
        <f>'[4]int.kiadások RM I maradvány'!I33+2790</f>
        <v>36370</v>
      </c>
      <c r="J33" s="692">
        <f>SUM(H33:I33)</f>
        <v>85689</v>
      </c>
      <c r="K33" s="691" t="s">
        <v>96</v>
      </c>
      <c r="L33" s="692">
        <f>[3]int.kiadások2026!E32</f>
        <v>0</v>
      </c>
      <c r="M33" s="692"/>
      <c r="N33" s="692">
        <f>SUM(L33:M33)</f>
        <v>0</v>
      </c>
      <c r="O33" s="692">
        <f>[3]int.kiadások2026!F32</f>
        <v>0</v>
      </c>
      <c r="P33" s="692"/>
      <c r="Q33" s="692">
        <f>SUM(O33:P33)</f>
        <v>0</v>
      </c>
      <c r="R33" s="693">
        <f>B33+E33+H33+L33+O33</f>
        <v>242574</v>
      </c>
      <c r="S33" s="693">
        <f t="shared" ref="S33:T36" si="18">C33+F33+I33+M33+P33</f>
        <v>62504</v>
      </c>
      <c r="T33" s="693">
        <f t="shared" si="18"/>
        <v>305078</v>
      </c>
      <c r="U33" s="709" t="s">
        <v>96</v>
      </c>
      <c r="V33" s="692">
        <f>[3]int.kiadások2026!I32</f>
        <v>0</v>
      </c>
      <c r="W33" s="692">
        <f>'[4]int.kiadások RM I maradvány'!W33+500</f>
        <v>500</v>
      </c>
      <c r="X33" s="692">
        <f>SUM(V33:W33)</f>
        <v>500</v>
      </c>
      <c r="Y33" s="692">
        <f>[3]int.kiadások2026!J32</f>
        <v>0</v>
      </c>
      <c r="Z33" s="692">
        <f>'[4]int.kiadások RM I maradvány'!Z33</f>
        <v>0</v>
      </c>
      <c r="AA33" s="692">
        <f>SUM(Y33:Z33)</f>
        <v>0</v>
      </c>
      <c r="AB33" s="692">
        <f>[3]int.kiadások2026!K32</f>
        <v>0</v>
      </c>
      <c r="AC33" s="692"/>
      <c r="AD33" s="692">
        <f>SUM(AB33:AC33)</f>
        <v>0</v>
      </c>
      <c r="AE33" s="693">
        <f t="shared" ref="AE33:AG36" si="19">V33+Y33+AB33</f>
        <v>0</v>
      </c>
      <c r="AF33" s="693">
        <f t="shared" si="19"/>
        <v>500</v>
      </c>
      <c r="AG33" s="693">
        <f t="shared" si="19"/>
        <v>500</v>
      </c>
      <c r="AH33" s="693">
        <f>R33+AE33</f>
        <v>242574</v>
      </c>
      <c r="AI33" s="693">
        <f t="shared" ref="AI33:AJ36" si="20">S33+AF33</f>
        <v>63004</v>
      </c>
      <c r="AJ33" s="693">
        <f t="shared" si="20"/>
        <v>305578</v>
      </c>
      <c r="AK33" s="669"/>
    </row>
    <row r="34" spans="1:37" s="742" customFormat="1" ht="48.75" customHeight="1" x14ac:dyDescent="0.7">
      <c r="A34" s="694" t="s">
        <v>741</v>
      </c>
      <c r="B34" s="692">
        <f>[3]int.kiadások2026!B33</f>
        <v>616371</v>
      </c>
      <c r="C34" s="711">
        <f>'[4]int.kiadások RM I maradvány'!C34+89252+18199</f>
        <v>190726</v>
      </c>
      <c r="D34" s="711">
        <f t="shared" si="2"/>
        <v>807097</v>
      </c>
      <c r="E34" s="692">
        <f>[3]int.kiadások2026!C33</f>
        <v>79460</v>
      </c>
      <c r="F34" s="711">
        <f>'[4]int.kiadások RM I maradvány'!F34+6000+5096</f>
        <v>34295</v>
      </c>
      <c r="G34" s="711">
        <f>SUM(E34:F34)</f>
        <v>113755</v>
      </c>
      <c r="H34" s="692">
        <f>[3]int.kiadások2026!D33</f>
        <v>61469</v>
      </c>
      <c r="I34" s="711">
        <f>'[4]int.kiadások RM I maradvány'!I34+112900</f>
        <v>262189</v>
      </c>
      <c r="J34" s="711">
        <f>SUM(H34:I34)</f>
        <v>323658</v>
      </c>
      <c r="K34" s="694" t="s">
        <v>741</v>
      </c>
      <c r="L34" s="711">
        <f>[3]int.kiadások2026!E33</f>
        <v>0</v>
      </c>
      <c r="M34" s="711"/>
      <c r="N34" s="711">
        <f>SUM(L34:M34)</f>
        <v>0</v>
      </c>
      <c r="O34" s="711">
        <f>[3]int.kiadások2026!F33</f>
        <v>0</v>
      </c>
      <c r="P34" s="711"/>
      <c r="Q34" s="711">
        <f>SUM(O34:P34)</f>
        <v>0</v>
      </c>
      <c r="R34" s="693">
        <f>B34+E34+H34+L34+O34</f>
        <v>757300</v>
      </c>
      <c r="S34" s="693">
        <f t="shared" si="18"/>
        <v>487210</v>
      </c>
      <c r="T34" s="693">
        <f t="shared" si="18"/>
        <v>1244510</v>
      </c>
      <c r="U34" s="694" t="s">
        <v>741</v>
      </c>
      <c r="V34" s="711">
        <f>[3]int.kiadások2026!I33</f>
        <v>0</v>
      </c>
      <c r="W34" s="711">
        <f>'[4]int.kiadások RM I maradvány'!W34+12000</f>
        <v>57689</v>
      </c>
      <c r="X34" s="711">
        <f>SUM(V34:W34)</f>
        <v>57689</v>
      </c>
      <c r="Y34" s="692">
        <f>[3]int.kiadások2026!J33</f>
        <v>0</v>
      </c>
      <c r="Z34" s="711">
        <f>'[4]int.kiadások RM I maradvány'!Z34</f>
        <v>0</v>
      </c>
      <c r="AA34" s="711">
        <f>SUM(Y34:Z34)</f>
        <v>0</v>
      </c>
      <c r="AB34" s="711">
        <f>[3]int.kiadások2026!K33</f>
        <v>0</v>
      </c>
      <c r="AC34" s="711"/>
      <c r="AD34" s="711">
        <f>SUM(AB34:AC34)</f>
        <v>0</v>
      </c>
      <c r="AE34" s="693">
        <f t="shared" si="19"/>
        <v>0</v>
      </c>
      <c r="AF34" s="693">
        <f t="shared" si="19"/>
        <v>57689</v>
      </c>
      <c r="AG34" s="693">
        <f t="shared" si="19"/>
        <v>57689</v>
      </c>
      <c r="AH34" s="693">
        <f>R34+AE34</f>
        <v>757300</v>
      </c>
      <c r="AI34" s="693">
        <f t="shared" si="20"/>
        <v>544899</v>
      </c>
      <c r="AJ34" s="693">
        <f t="shared" si="20"/>
        <v>1302199</v>
      </c>
      <c r="AK34" s="669"/>
    </row>
    <row r="35" spans="1:37" s="742" customFormat="1" ht="48.75" customHeight="1" x14ac:dyDescent="0.7">
      <c r="A35" s="694" t="s">
        <v>742</v>
      </c>
      <c r="B35" s="692">
        <f>[3]int.kiadások2026!B34</f>
        <v>314198</v>
      </c>
      <c r="C35" s="711">
        <f>'[4]int.kiadások RM I maradvány'!C35+1770+17782</f>
        <v>28445</v>
      </c>
      <c r="D35" s="711">
        <f t="shared" si="2"/>
        <v>342643</v>
      </c>
      <c r="E35" s="692">
        <f>[3]int.kiadások2026!C34</f>
        <v>44735</v>
      </c>
      <c r="F35" s="711">
        <f>'[4]int.kiadások RM I maradvány'!F35+230+2856</f>
        <v>4242</v>
      </c>
      <c r="G35" s="711">
        <f>SUM(E35:F35)</f>
        <v>48977</v>
      </c>
      <c r="H35" s="692">
        <f>[3]int.kiadások2026!D34</f>
        <v>60424</v>
      </c>
      <c r="I35" s="711">
        <f>'[4]int.kiadások RM I maradvány'!I35+5000+115863</f>
        <v>142061</v>
      </c>
      <c r="J35" s="711">
        <f>SUM(H35:I35)</f>
        <v>202485</v>
      </c>
      <c r="K35" s="694" t="s">
        <v>742</v>
      </c>
      <c r="L35" s="711">
        <f>[3]int.kiadások2026!E34</f>
        <v>0</v>
      </c>
      <c r="M35" s="711"/>
      <c r="N35" s="711">
        <f>SUM(L35:M35)</f>
        <v>0</v>
      </c>
      <c r="O35" s="711">
        <f>[3]int.kiadások2026!F34</f>
        <v>0</v>
      </c>
      <c r="P35" s="711"/>
      <c r="Q35" s="711">
        <f>SUM(O35:P35)</f>
        <v>0</v>
      </c>
      <c r="R35" s="693">
        <f>B35+E35+H35+L35+O35</f>
        <v>419357</v>
      </c>
      <c r="S35" s="693">
        <f t="shared" si="18"/>
        <v>174748</v>
      </c>
      <c r="T35" s="693">
        <f t="shared" si="18"/>
        <v>594105</v>
      </c>
      <c r="U35" s="694" t="s">
        <v>742</v>
      </c>
      <c r="V35" s="711">
        <f>[3]int.kiadások2026!I34</f>
        <v>0</v>
      </c>
      <c r="W35" s="711">
        <f>'[4]int.kiadások RM I maradvány'!W35+12000</f>
        <v>12000</v>
      </c>
      <c r="X35" s="711">
        <f>SUM(V35:W35)</f>
        <v>12000</v>
      </c>
      <c r="Y35" s="692">
        <f>[3]int.kiadások2026!J34</f>
        <v>0</v>
      </c>
      <c r="Z35" s="711">
        <f>'[4]int.kiadások RM I maradvány'!Z35</f>
        <v>0</v>
      </c>
      <c r="AA35" s="711">
        <f>SUM(Y35:Z35)</f>
        <v>0</v>
      </c>
      <c r="AB35" s="711">
        <f>[3]int.kiadások2026!K34</f>
        <v>0</v>
      </c>
      <c r="AC35" s="711"/>
      <c r="AD35" s="711">
        <f>SUM(AB35:AC35)</f>
        <v>0</v>
      </c>
      <c r="AE35" s="693">
        <f t="shared" si="19"/>
        <v>0</v>
      </c>
      <c r="AF35" s="693">
        <f t="shared" si="19"/>
        <v>12000</v>
      </c>
      <c r="AG35" s="693">
        <f t="shared" si="19"/>
        <v>12000</v>
      </c>
      <c r="AH35" s="693">
        <f>R35+AE35</f>
        <v>419357</v>
      </c>
      <c r="AI35" s="693">
        <f t="shared" si="20"/>
        <v>186748</v>
      </c>
      <c r="AJ35" s="693">
        <f t="shared" si="20"/>
        <v>606105</v>
      </c>
      <c r="AK35" s="669"/>
    </row>
    <row r="36" spans="1:37" s="742" customFormat="1" ht="48.75" customHeight="1" thickBot="1" x14ac:dyDescent="0.75">
      <c r="A36" s="712" t="s">
        <v>454</v>
      </c>
      <c r="B36" s="692">
        <f>[3]int.kiadások2026!B35</f>
        <v>678235</v>
      </c>
      <c r="C36" s="711">
        <f>'[4]int.kiadások RM I maradvány'!C36+6464+13236</f>
        <v>19700</v>
      </c>
      <c r="D36" s="711">
        <f t="shared" si="2"/>
        <v>697935</v>
      </c>
      <c r="E36" s="692">
        <f>[3]int.kiadások2026!C35</f>
        <v>93596</v>
      </c>
      <c r="F36" s="711">
        <f>'[4]int.kiadások RM I maradvány'!F36+840+3707</f>
        <v>4547</v>
      </c>
      <c r="G36" s="711">
        <f>SUM(E36:F36)</f>
        <v>98143</v>
      </c>
      <c r="H36" s="692">
        <f>[3]int.kiadások2026!D35</f>
        <v>167776</v>
      </c>
      <c r="I36" s="711">
        <f>'[4]int.kiadások RM I maradvány'!I36+44303+6000</f>
        <v>113563</v>
      </c>
      <c r="J36" s="711">
        <f>SUM(H36:I36)</f>
        <v>281339</v>
      </c>
      <c r="K36" s="714" t="s">
        <v>454</v>
      </c>
      <c r="L36" s="711">
        <f>[3]int.kiadások2026!E35</f>
        <v>0</v>
      </c>
      <c r="M36" s="711"/>
      <c r="N36" s="711">
        <f>SUM(L36:M36)</f>
        <v>0</v>
      </c>
      <c r="O36" s="711">
        <f>[3]int.kiadások2026!F35</f>
        <v>0</v>
      </c>
      <c r="P36" s="711"/>
      <c r="Q36" s="711">
        <f>SUM(O36:P36)</f>
        <v>0</v>
      </c>
      <c r="R36" s="693">
        <f>B36+E36+H36+L36+O36</f>
        <v>939607</v>
      </c>
      <c r="S36" s="693">
        <f t="shared" si="18"/>
        <v>137810</v>
      </c>
      <c r="T36" s="693">
        <f t="shared" si="18"/>
        <v>1077417</v>
      </c>
      <c r="U36" s="714" t="s">
        <v>454</v>
      </c>
      <c r="V36" s="711">
        <f>[3]int.kiadások2026!I35</f>
        <v>0</v>
      </c>
      <c r="W36" s="711">
        <f>'[4]int.kiadások RM I maradvány'!W36+1700</f>
        <v>9793</v>
      </c>
      <c r="X36" s="711">
        <f>SUM(V36:W36)</f>
        <v>9793</v>
      </c>
      <c r="Y36" s="692">
        <f>[3]int.kiadások2026!J35</f>
        <v>0</v>
      </c>
      <c r="Z36" s="711">
        <f>'[4]int.kiadások RM I maradvány'!Z36</f>
        <v>0</v>
      </c>
      <c r="AA36" s="711">
        <f>SUM(Y36:Z36)</f>
        <v>0</v>
      </c>
      <c r="AB36" s="711">
        <f>[3]int.kiadások2026!K35</f>
        <v>0</v>
      </c>
      <c r="AC36" s="711"/>
      <c r="AD36" s="711">
        <f>SUM(AB36:AC36)</f>
        <v>0</v>
      </c>
      <c r="AE36" s="693">
        <f t="shared" si="19"/>
        <v>0</v>
      </c>
      <c r="AF36" s="693">
        <f t="shared" si="19"/>
        <v>9793</v>
      </c>
      <c r="AG36" s="693">
        <f t="shared" si="19"/>
        <v>9793</v>
      </c>
      <c r="AH36" s="693">
        <f>R36+AE36</f>
        <v>939607</v>
      </c>
      <c r="AI36" s="693">
        <f t="shared" si="20"/>
        <v>147603</v>
      </c>
      <c r="AJ36" s="693">
        <f t="shared" si="20"/>
        <v>1087210</v>
      </c>
      <c r="AK36" s="669"/>
    </row>
    <row r="37" spans="1:37" s="742" customFormat="1" ht="61.5" customHeight="1" thickBot="1" x14ac:dyDescent="0.75">
      <c r="A37" s="715" t="s">
        <v>743</v>
      </c>
      <c r="B37" s="699">
        <f t="shared" ref="B37:J37" si="21">SUM(B33:B36)</f>
        <v>1780786</v>
      </c>
      <c r="C37" s="699">
        <f t="shared" si="21"/>
        <v>262526</v>
      </c>
      <c r="D37" s="699">
        <f t="shared" si="21"/>
        <v>2043312</v>
      </c>
      <c r="E37" s="699">
        <f t="shared" si="21"/>
        <v>239064</v>
      </c>
      <c r="F37" s="699">
        <f t="shared" si="21"/>
        <v>45563</v>
      </c>
      <c r="G37" s="699">
        <f t="shared" si="21"/>
        <v>284627</v>
      </c>
      <c r="H37" s="699">
        <f t="shared" si="21"/>
        <v>338988</v>
      </c>
      <c r="I37" s="699">
        <f t="shared" si="21"/>
        <v>554183</v>
      </c>
      <c r="J37" s="699">
        <f t="shared" si="21"/>
        <v>893171</v>
      </c>
      <c r="K37" s="715" t="s">
        <v>743</v>
      </c>
      <c r="L37" s="699">
        <f t="shared" ref="L37:T37" si="22">SUM(L33:L36)</f>
        <v>0</v>
      </c>
      <c r="M37" s="699">
        <f t="shared" si="22"/>
        <v>0</v>
      </c>
      <c r="N37" s="699">
        <f t="shared" si="22"/>
        <v>0</v>
      </c>
      <c r="O37" s="699">
        <f t="shared" si="22"/>
        <v>0</v>
      </c>
      <c r="P37" s="699">
        <f t="shared" si="22"/>
        <v>0</v>
      </c>
      <c r="Q37" s="699">
        <f t="shared" si="22"/>
        <v>0</v>
      </c>
      <c r="R37" s="699">
        <f t="shared" si="22"/>
        <v>2358838</v>
      </c>
      <c r="S37" s="699">
        <f t="shared" si="22"/>
        <v>862272</v>
      </c>
      <c r="T37" s="699">
        <f t="shared" si="22"/>
        <v>3221110</v>
      </c>
      <c r="U37" s="715" t="s">
        <v>743</v>
      </c>
      <c r="V37" s="699">
        <f t="shared" ref="V37:AJ37" si="23">SUM(V33:V36)</f>
        <v>0</v>
      </c>
      <c r="W37" s="699">
        <f t="shared" si="23"/>
        <v>79982</v>
      </c>
      <c r="X37" s="699">
        <f t="shared" si="23"/>
        <v>79982</v>
      </c>
      <c r="Y37" s="699">
        <f t="shared" si="23"/>
        <v>0</v>
      </c>
      <c r="Z37" s="699">
        <f t="shared" si="23"/>
        <v>0</v>
      </c>
      <c r="AA37" s="699">
        <f t="shared" si="23"/>
        <v>0</v>
      </c>
      <c r="AB37" s="699">
        <f t="shared" si="23"/>
        <v>0</v>
      </c>
      <c r="AC37" s="699">
        <f t="shared" si="23"/>
        <v>0</v>
      </c>
      <c r="AD37" s="699">
        <f t="shared" si="23"/>
        <v>0</v>
      </c>
      <c r="AE37" s="699">
        <f t="shared" si="23"/>
        <v>0</v>
      </c>
      <c r="AF37" s="699">
        <f t="shared" si="23"/>
        <v>79982</v>
      </c>
      <c r="AG37" s="699">
        <f t="shared" si="23"/>
        <v>79982</v>
      </c>
      <c r="AH37" s="699">
        <f t="shared" si="23"/>
        <v>2358838</v>
      </c>
      <c r="AI37" s="699">
        <f t="shared" si="23"/>
        <v>942254</v>
      </c>
      <c r="AJ37" s="699">
        <f t="shared" si="23"/>
        <v>3301092</v>
      </c>
      <c r="AK37" s="669"/>
    </row>
    <row r="38" spans="1:37" s="742" customFormat="1" ht="48.75" customHeight="1" x14ac:dyDescent="0.7">
      <c r="A38" s="716" t="s">
        <v>744</v>
      </c>
      <c r="B38" s="689"/>
      <c r="C38" s="689"/>
      <c r="D38" s="689"/>
      <c r="E38" s="689"/>
      <c r="F38" s="689"/>
      <c r="G38" s="689"/>
      <c r="H38" s="689"/>
      <c r="I38" s="689"/>
      <c r="J38" s="689"/>
      <c r="K38" s="716" t="s">
        <v>757</v>
      </c>
      <c r="L38" s="689"/>
      <c r="M38" s="689"/>
      <c r="N38" s="689"/>
      <c r="O38" s="689"/>
      <c r="P38" s="689"/>
      <c r="Q38" s="689"/>
      <c r="R38" s="689"/>
      <c r="S38" s="689"/>
      <c r="T38" s="689"/>
      <c r="U38" s="716" t="s">
        <v>757</v>
      </c>
      <c r="V38" s="689"/>
      <c r="W38" s="689"/>
      <c r="X38" s="689"/>
      <c r="Y38" s="689"/>
      <c r="Z38" s="689"/>
      <c r="AA38" s="689"/>
      <c r="AB38" s="689"/>
      <c r="AC38" s="689"/>
      <c r="AD38" s="689"/>
      <c r="AE38" s="689"/>
      <c r="AF38" s="689"/>
      <c r="AG38" s="689"/>
      <c r="AH38" s="689"/>
      <c r="AI38" s="689"/>
      <c r="AJ38" s="689"/>
      <c r="AK38" s="669"/>
    </row>
    <row r="39" spans="1:37" s="740" customFormat="1" ht="88.5" customHeight="1" thickBot="1" x14ac:dyDescent="0.75">
      <c r="A39" s="709" t="s">
        <v>470</v>
      </c>
      <c r="B39" s="717">
        <f>[3]int.kiadások2026!B38</f>
        <v>967894</v>
      </c>
      <c r="C39" s="717">
        <f>'[4]int.kiadások RM I maradvány'!C39+142902</f>
        <v>152751</v>
      </c>
      <c r="D39" s="717">
        <f>SUM(B39:C39)</f>
        <v>1120645</v>
      </c>
      <c r="E39" s="717">
        <f>[3]int.kiadások2026!C38</f>
        <v>155771</v>
      </c>
      <c r="F39" s="717">
        <f>'[4]int.kiadások RM I maradvány'!F39+22051</f>
        <v>32281</v>
      </c>
      <c r="G39" s="717">
        <f>SUM(E39:F39)</f>
        <v>188052</v>
      </c>
      <c r="H39" s="717">
        <f>[3]int.kiadások2026!D38</f>
        <v>665308</v>
      </c>
      <c r="I39" s="717">
        <f>'[4]int.kiadások RM I maradvány'!I39-90+1082</f>
        <v>10658</v>
      </c>
      <c r="J39" s="717">
        <f>SUM(H39:I39)</f>
        <v>675966</v>
      </c>
      <c r="K39" s="709" t="s">
        <v>470</v>
      </c>
      <c r="L39" s="717">
        <f>[3]int.kiadások2026!E38</f>
        <v>0</v>
      </c>
      <c r="M39" s="717"/>
      <c r="N39" s="717">
        <f>SUM(L39:M39)</f>
        <v>0</v>
      </c>
      <c r="O39" s="717">
        <f>[3]int.kiadások2026!F38</f>
        <v>0</v>
      </c>
      <c r="P39" s="717">
        <v>90</v>
      </c>
      <c r="Q39" s="717">
        <f>SUM(O39:P39)</f>
        <v>90</v>
      </c>
      <c r="R39" s="710">
        <f>B39+E39+H39+L39+O39</f>
        <v>1788973</v>
      </c>
      <c r="S39" s="710">
        <f>C39+F39+I39+M39+P39</f>
        <v>195780</v>
      </c>
      <c r="T39" s="710">
        <f>D39+G39+J39+N39+Q39</f>
        <v>1984753</v>
      </c>
      <c r="U39" s="709" t="s">
        <v>470</v>
      </c>
      <c r="V39" s="717">
        <f>[3]int.kiadások2026!I38</f>
        <v>0</v>
      </c>
      <c r="W39" s="717">
        <f>'[4]int.kiadások RM I maradvány'!W39</f>
        <v>0</v>
      </c>
      <c r="X39" s="717">
        <f>SUM(V39:W39)</f>
        <v>0</v>
      </c>
      <c r="Y39" s="717">
        <f>[3]int.kiadások2026!J38</f>
        <v>14967</v>
      </c>
      <c r="Z39" s="717">
        <f>'[4]int.kiadások RM I maradvány'!Z39</f>
        <v>11752</v>
      </c>
      <c r="AA39" s="717">
        <f>SUM(Y39:Z39)</f>
        <v>26719</v>
      </c>
      <c r="AB39" s="717">
        <f>[3]int.kiadások2026!K38</f>
        <v>0</v>
      </c>
      <c r="AC39" s="717"/>
      <c r="AD39" s="717">
        <f>SUM(AB39:AC39)</f>
        <v>0</v>
      </c>
      <c r="AE39" s="710">
        <f>V39+Y39+AB39</f>
        <v>14967</v>
      </c>
      <c r="AF39" s="710">
        <f>W39+Z39+AC39</f>
        <v>11752</v>
      </c>
      <c r="AG39" s="710">
        <f>X39+AA39+AD39</f>
        <v>26719</v>
      </c>
      <c r="AH39" s="710">
        <f>R39+AE39</f>
        <v>1803940</v>
      </c>
      <c r="AI39" s="710">
        <f>S39+AF39</f>
        <v>207532</v>
      </c>
      <c r="AJ39" s="710">
        <f>T39+AG39</f>
        <v>2011472</v>
      </c>
      <c r="AK39" s="675"/>
    </row>
    <row r="40" spans="1:37" s="742" customFormat="1" ht="48.75" customHeight="1" x14ac:dyDescent="0.7">
      <c r="A40" s="716" t="s">
        <v>745</v>
      </c>
      <c r="B40" s="689"/>
      <c r="C40" s="689"/>
      <c r="D40" s="689"/>
      <c r="E40" s="689"/>
      <c r="F40" s="689"/>
      <c r="G40" s="689"/>
      <c r="H40" s="689"/>
      <c r="I40" s="689"/>
      <c r="J40" s="689"/>
      <c r="K40" s="716" t="s">
        <v>745</v>
      </c>
      <c r="L40" s="689"/>
      <c r="M40" s="689"/>
      <c r="N40" s="689"/>
      <c r="O40" s="689"/>
      <c r="P40" s="689"/>
      <c r="Q40" s="689"/>
      <c r="R40" s="689"/>
      <c r="S40" s="689"/>
      <c r="T40" s="689"/>
      <c r="U40" s="716" t="s">
        <v>745</v>
      </c>
      <c r="V40" s="689"/>
      <c r="W40" s="689"/>
      <c r="X40" s="689"/>
      <c r="Y40" s="689"/>
      <c r="Z40" s="689"/>
      <c r="AA40" s="689"/>
      <c r="AB40" s="689"/>
      <c r="AC40" s="689"/>
      <c r="AD40" s="689"/>
      <c r="AE40" s="689"/>
      <c r="AF40" s="689"/>
      <c r="AG40" s="689"/>
      <c r="AH40" s="689"/>
      <c r="AI40" s="689"/>
      <c r="AJ40" s="689"/>
      <c r="AK40" s="669"/>
    </row>
    <row r="41" spans="1:37" s="742" customFormat="1" ht="49.5" customHeight="1" thickBot="1" x14ac:dyDescent="0.75">
      <c r="A41" s="712" t="s">
        <v>746</v>
      </c>
      <c r="B41" s="717">
        <f>[3]int.kiadások2026!B40</f>
        <v>599627</v>
      </c>
      <c r="C41" s="717">
        <f>'[4]int.kiadások RM I maradvány'!C41+25857</f>
        <v>47829</v>
      </c>
      <c r="D41" s="717">
        <f>SUM(B41:C41)</f>
        <v>647456</v>
      </c>
      <c r="E41" s="717">
        <f>[3]int.kiadások2026!C40</f>
        <v>88618</v>
      </c>
      <c r="F41" s="717">
        <f>'[4]int.kiadások RM I maradvány'!F41+7240</f>
        <v>10521</v>
      </c>
      <c r="G41" s="717">
        <f>SUM(E41:F41)</f>
        <v>99139</v>
      </c>
      <c r="H41" s="717">
        <f>[3]int.kiadások2026!D40</f>
        <v>270934</v>
      </c>
      <c r="I41" s="717">
        <f>'[4]int.kiadások RM I maradvány'!I41-3572+10500</f>
        <v>133307</v>
      </c>
      <c r="J41" s="717">
        <f>SUM(H41:I41)</f>
        <v>404241</v>
      </c>
      <c r="K41" s="712" t="s">
        <v>746</v>
      </c>
      <c r="L41" s="717">
        <f>[3]int.kiadások2026!E40</f>
        <v>0</v>
      </c>
      <c r="M41" s="717"/>
      <c r="N41" s="717">
        <f>SUM(L41:M41)</f>
        <v>0</v>
      </c>
      <c r="O41" s="717">
        <f>[3]int.kiadások2026!F40</f>
        <v>0</v>
      </c>
      <c r="P41" s="717"/>
      <c r="Q41" s="717">
        <f>SUM(O41:P41)</f>
        <v>0</v>
      </c>
      <c r="R41" s="710">
        <f>B41+E41+H41+L41+O41</f>
        <v>959179</v>
      </c>
      <c r="S41" s="710">
        <f>C41+F41+I41+M41+P41</f>
        <v>191657</v>
      </c>
      <c r="T41" s="710">
        <f>D41+G41+J41+N41+Q41</f>
        <v>1150836</v>
      </c>
      <c r="U41" s="712" t="s">
        <v>746</v>
      </c>
      <c r="V41" s="717">
        <f>[3]int.kiadások2026!I40</f>
        <v>0</v>
      </c>
      <c r="W41" s="717">
        <f>'[4]int.kiadások RM I maradvány'!W41+3572+2000</f>
        <v>8416</v>
      </c>
      <c r="X41" s="717">
        <f>SUM(V41:W41)</f>
        <v>8416</v>
      </c>
      <c r="Y41" s="717">
        <f>[3]int.kiadások2026!J40</f>
        <v>0</v>
      </c>
      <c r="Z41" s="717">
        <f>'[4]int.kiadások RM I maradvány'!Z41</f>
        <v>0</v>
      </c>
      <c r="AA41" s="717">
        <f>SUM(Y41:Z41)</f>
        <v>0</v>
      </c>
      <c r="AB41" s="717">
        <f>[3]int.kiadások2026!K40</f>
        <v>0</v>
      </c>
      <c r="AC41" s="717"/>
      <c r="AD41" s="717">
        <f>SUM(AB41:AC41)</f>
        <v>0</v>
      </c>
      <c r="AE41" s="710">
        <f>V41+Y41+AB41</f>
        <v>0</v>
      </c>
      <c r="AF41" s="710">
        <f>W41+Z41+AC41</f>
        <v>8416</v>
      </c>
      <c r="AG41" s="710">
        <f>X41+AA41+AD41</f>
        <v>8416</v>
      </c>
      <c r="AH41" s="710">
        <f>R41+AE41</f>
        <v>959179</v>
      </c>
      <c r="AI41" s="710">
        <f>S41+AF41</f>
        <v>200073</v>
      </c>
      <c r="AJ41" s="710">
        <f>T41+AG41</f>
        <v>1159252</v>
      </c>
      <c r="AK41" s="669"/>
    </row>
    <row r="42" spans="1:37" s="742" customFormat="1" ht="48" customHeight="1" x14ac:dyDescent="0.7">
      <c r="A42" s="707" t="s">
        <v>747</v>
      </c>
      <c r="B42" s="705"/>
      <c r="C42" s="705"/>
      <c r="D42" s="705"/>
      <c r="E42" s="705"/>
      <c r="F42" s="705"/>
      <c r="G42" s="705"/>
      <c r="H42" s="705"/>
      <c r="I42" s="705"/>
      <c r="J42" s="705"/>
      <c r="K42" s="707" t="s">
        <v>747</v>
      </c>
      <c r="L42" s="705"/>
      <c r="M42" s="705"/>
      <c r="N42" s="705"/>
      <c r="O42" s="705"/>
      <c r="P42" s="705"/>
      <c r="Q42" s="705"/>
      <c r="R42" s="705"/>
      <c r="S42" s="705"/>
      <c r="T42" s="705"/>
      <c r="U42" s="707" t="s">
        <v>747</v>
      </c>
      <c r="V42" s="705"/>
      <c r="W42" s="705"/>
      <c r="X42" s="705"/>
      <c r="Y42" s="705"/>
      <c r="Z42" s="705"/>
      <c r="AA42" s="705"/>
      <c r="AB42" s="705"/>
      <c r="AC42" s="705"/>
      <c r="AD42" s="705"/>
      <c r="AE42" s="705"/>
      <c r="AF42" s="705"/>
      <c r="AG42" s="705"/>
      <c r="AH42" s="705"/>
      <c r="AI42" s="705"/>
      <c r="AJ42" s="705"/>
      <c r="AK42" s="669"/>
    </row>
    <row r="43" spans="1:37" s="742" customFormat="1" ht="48.75" customHeight="1" thickBot="1" x14ac:dyDescent="0.75">
      <c r="A43" s="724" t="s">
        <v>518</v>
      </c>
      <c r="B43" s="692">
        <f>[3]int.kiadások2026!B42</f>
        <v>1659897</v>
      </c>
      <c r="C43" s="696">
        <f>'[4]int.kiadások RM I maradvány'!C43+5470+90641</f>
        <v>96111</v>
      </c>
      <c r="D43" s="696">
        <f>SUM(B43:C43)</f>
        <v>1756008</v>
      </c>
      <c r="E43" s="692">
        <f>[3]int.kiadások2026!C42</f>
        <v>251876</v>
      </c>
      <c r="F43" s="696">
        <f>'[4]int.kiadások RM I maradvány'!F43+711+20694</f>
        <v>21405</v>
      </c>
      <c r="G43" s="696">
        <f>SUM(E43:F43)</f>
        <v>273281</v>
      </c>
      <c r="H43" s="692">
        <f>[3]int.kiadások2026!D42</f>
        <v>228567</v>
      </c>
      <c r="I43" s="696">
        <f>'[4]int.kiadások RM I maradvány'!I43+2253</f>
        <v>5249</v>
      </c>
      <c r="J43" s="696">
        <f>SUM(H43:I43)</f>
        <v>233816</v>
      </c>
      <c r="K43" s="724" t="s">
        <v>471</v>
      </c>
      <c r="L43" s="696">
        <f>[3]int.kiadások2026!E42</f>
        <v>0</v>
      </c>
      <c r="M43" s="696"/>
      <c r="N43" s="696">
        <f>SUM(L43:M43)</f>
        <v>0</v>
      </c>
      <c r="O43" s="696">
        <f>[3]int.kiadások2026!F42</f>
        <v>0</v>
      </c>
      <c r="P43" s="696"/>
      <c r="Q43" s="696">
        <f>SUM(O43:P43)</f>
        <v>0</v>
      </c>
      <c r="R43" s="693">
        <f>B43+E43+H43+L43+O43</f>
        <v>2140340</v>
      </c>
      <c r="S43" s="693">
        <f>C43+F43+I43+M43+P43</f>
        <v>122765</v>
      </c>
      <c r="T43" s="693">
        <f>D43+G43+J43+N43+Q43</f>
        <v>2263105</v>
      </c>
      <c r="U43" s="724" t="s">
        <v>518</v>
      </c>
      <c r="V43" s="696">
        <f>[3]int.kiadások2026!I42</f>
        <v>24990</v>
      </c>
      <c r="W43" s="696">
        <f>'[4]int.kiadások RM I maradvány'!W43+2774</f>
        <v>2802</v>
      </c>
      <c r="X43" s="696">
        <f>SUM(V43:W43)</f>
        <v>27792</v>
      </c>
      <c r="Y43" s="696">
        <f>[3]int.kiadások2026!J42</f>
        <v>26670</v>
      </c>
      <c r="Z43" s="696">
        <f>'[4]int.kiadások RM I maradvány'!Z43+2223</f>
        <v>4894</v>
      </c>
      <c r="AA43" s="696">
        <f>SUM(Y43:Z43)</f>
        <v>31564</v>
      </c>
      <c r="AB43" s="696">
        <f>[3]int.kiadások2026!K42</f>
        <v>0</v>
      </c>
      <c r="AC43" s="696"/>
      <c r="AD43" s="696">
        <f>SUM(AB43:AC43)</f>
        <v>0</v>
      </c>
      <c r="AE43" s="693">
        <f>V43+Y43+AB43</f>
        <v>51660</v>
      </c>
      <c r="AF43" s="693">
        <f>W43+Z43+AC43</f>
        <v>7696</v>
      </c>
      <c r="AG43" s="693">
        <f>X43+AA43+AD43</f>
        <v>59356</v>
      </c>
      <c r="AH43" s="693">
        <f>R43+AE43</f>
        <v>2192000</v>
      </c>
      <c r="AI43" s="693">
        <f>S43+AF43</f>
        <v>130461</v>
      </c>
      <c r="AJ43" s="693">
        <f>T43+AG43</f>
        <v>2322461</v>
      </c>
      <c r="AK43" s="669"/>
    </row>
    <row r="44" spans="1:37" s="742" customFormat="1" ht="48" customHeight="1" x14ac:dyDescent="0.7">
      <c r="A44" s="716" t="s">
        <v>748</v>
      </c>
      <c r="B44" s="689"/>
      <c r="C44" s="689"/>
      <c r="D44" s="689"/>
      <c r="E44" s="689"/>
      <c r="F44" s="689"/>
      <c r="G44" s="689"/>
      <c r="H44" s="689"/>
      <c r="I44" s="689"/>
      <c r="J44" s="689"/>
      <c r="K44" s="716" t="s">
        <v>758</v>
      </c>
      <c r="L44" s="689"/>
      <c r="M44" s="689"/>
      <c r="N44" s="689"/>
      <c r="O44" s="689"/>
      <c r="P44" s="689"/>
      <c r="Q44" s="689"/>
      <c r="R44" s="689"/>
      <c r="S44" s="689"/>
      <c r="T44" s="689"/>
      <c r="U44" s="716" t="s">
        <v>758</v>
      </c>
      <c r="V44" s="689"/>
      <c r="W44" s="689"/>
      <c r="X44" s="689"/>
      <c r="Y44" s="689"/>
      <c r="Z44" s="689"/>
      <c r="AA44" s="689"/>
      <c r="AB44" s="689"/>
      <c r="AC44" s="689"/>
      <c r="AD44" s="689"/>
      <c r="AE44" s="689"/>
      <c r="AF44" s="689"/>
      <c r="AG44" s="689"/>
      <c r="AH44" s="689"/>
      <c r="AI44" s="689"/>
      <c r="AJ44" s="689"/>
      <c r="AK44" s="669"/>
    </row>
    <row r="45" spans="1:37" s="742" customFormat="1" ht="48.75" customHeight="1" x14ac:dyDescent="0.7">
      <c r="A45" s="691" t="s">
        <v>472</v>
      </c>
      <c r="B45" s="692">
        <f>[3]int.kiadások2026!B44</f>
        <v>91106</v>
      </c>
      <c r="C45" s="692">
        <f>'[4]int.kiadások RM I maradvány'!C45+5448</f>
        <v>5570</v>
      </c>
      <c r="D45" s="692">
        <f>SUM(B45:C45)</f>
        <v>96676</v>
      </c>
      <c r="E45" s="692">
        <f>[3]int.kiadások2026!C44</f>
        <v>11825</v>
      </c>
      <c r="F45" s="692">
        <f>'[4]int.kiadások RM I maradvány'!F45+858</f>
        <v>883</v>
      </c>
      <c r="G45" s="692">
        <f>SUM(E45:F45)</f>
        <v>12708</v>
      </c>
      <c r="H45" s="692">
        <f>[3]int.kiadások2026!D44</f>
        <v>115643</v>
      </c>
      <c r="I45" s="692">
        <f>'[4]int.kiadások RM I maradvány'!I45-13978</f>
        <v>13407</v>
      </c>
      <c r="J45" s="692">
        <f>SUM(H45:I45)</f>
        <v>129050</v>
      </c>
      <c r="K45" s="691" t="s">
        <v>472</v>
      </c>
      <c r="L45" s="692">
        <f>[3]int.kiadások2026!E44</f>
        <v>0</v>
      </c>
      <c r="M45" s="692"/>
      <c r="N45" s="692">
        <f>SUM(L45:M45)</f>
        <v>0</v>
      </c>
      <c r="O45" s="692">
        <f>[3]int.kiadások2026!F44</f>
        <v>0</v>
      </c>
      <c r="P45" s="744"/>
      <c r="Q45" s="692">
        <f>SUM(O45:P45)</f>
        <v>0</v>
      </c>
      <c r="R45" s="693">
        <f t="shared" ref="R45:T47" si="24">B45+E45+H45+L45+O45</f>
        <v>218574</v>
      </c>
      <c r="S45" s="693">
        <f t="shared" si="24"/>
        <v>19860</v>
      </c>
      <c r="T45" s="693">
        <f t="shared" si="24"/>
        <v>238434</v>
      </c>
      <c r="U45" s="691" t="s">
        <v>472</v>
      </c>
      <c r="V45" s="692">
        <f>[3]int.kiadások2026!I44</f>
        <v>0</v>
      </c>
      <c r="W45" s="692">
        <f>'[4]int.kiadások RM I maradvány'!W45+13978</f>
        <v>14571</v>
      </c>
      <c r="X45" s="692">
        <f>SUM(V45:W45)</f>
        <v>14571</v>
      </c>
      <c r="Y45" s="692">
        <f>[3]int.kiadások2026!J44</f>
        <v>0</v>
      </c>
      <c r="Z45" s="692">
        <f>'[4]int.kiadások RM I maradvány'!Z45</f>
        <v>0</v>
      </c>
      <c r="AA45" s="692">
        <f>SUM(Y45:Z45)</f>
        <v>0</v>
      </c>
      <c r="AB45" s="692">
        <f>[3]int.kiadások2026!K44</f>
        <v>0</v>
      </c>
      <c r="AC45" s="692"/>
      <c r="AD45" s="692">
        <f>SUM(AB45:AC45)</f>
        <v>0</v>
      </c>
      <c r="AE45" s="693">
        <f t="shared" ref="AE45:AG47" si="25">V45+Y45+AB45</f>
        <v>0</v>
      </c>
      <c r="AF45" s="693">
        <f t="shared" si="25"/>
        <v>14571</v>
      </c>
      <c r="AG45" s="693">
        <f t="shared" si="25"/>
        <v>14571</v>
      </c>
      <c r="AH45" s="693">
        <f t="shared" ref="AH45:AJ47" si="26">R45+AE45</f>
        <v>218574</v>
      </c>
      <c r="AI45" s="693">
        <f t="shared" si="26"/>
        <v>34431</v>
      </c>
      <c r="AJ45" s="693">
        <f t="shared" si="26"/>
        <v>253005</v>
      </c>
      <c r="AK45" s="669"/>
    </row>
    <row r="46" spans="1:37" s="742" customFormat="1" ht="48.75" customHeight="1" x14ac:dyDescent="0.7">
      <c r="A46" s="714" t="s">
        <v>568</v>
      </c>
      <c r="B46" s="692">
        <f>[3]int.kiadások2026!B45</f>
        <v>282909</v>
      </c>
      <c r="C46" s="696">
        <f>'[4]int.kiadások RM I maradvány'!C46</f>
        <v>0</v>
      </c>
      <c r="D46" s="692">
        <f>SUM(B46:C46)</f>
        <v>282909</v>
      </c>
      <c r="E46" s="692">
        <f>[3]int.kiadások2026!C45</f>
        <v>40347</v>
      </c>
      <c r="F46" s="696">
        <f>'[4]int.kiadások RM I maradvány'!F46</f>
        <v>0</v>
      </c>
      <c r="G46" s="692">
        <f>SUM(E46:F46)</f>
        <v>40347</v>
      </c>
      <c r="H46" s="692">
        <f>[3]int.kiadások2026!D45</f>
        <v>190247</v>
      </c>
      <c r="I46" s="726">
        <f>'[4]int.kiadások RM I maradvány'!I46+13416+3000</f>
        <v>16416</v>
      </c>
      <c r="J46" s="692">
        <f>SUM(H46:I46)</f>
        <v>206663</v>
      </c>
      <c r="K46" s="714" t="s">
        <v>568</v>
      </c>
      <c r="L46" s="692">
        <f>[3]int.kiadások2026!E45</f>
        <v>0</v>
      </c>
      <c r="M46" s="692"/>
      <c r="N46" s="692">
        <f>SUM(L46:M46)</f>
        <v>0</v>
      </c>
      <c r="O46" s="692">
        <f>[3]int.kiadások2026!F45</f>
        <v>0</v>
      </c>
      <c r="P46" s="744"/>
      <c r="Q46" s="692">
        <f>SUM(O46:P46)</f>
        <v>0</v>
      </c>
      <c r="R46" s="693">
        <f>B46+E46+H46+L46+O46</f>
        <v>513503</v>
      </c>
      <c r="S46" s="693">
        <f>C46+F46+I46+M46+P46</f>
        <v>16416</v>
      </c>
      <c r="T46" s="693">
        <f>D46+G46+J46+N46+Q46</f>
        <v>529919</v>
      </c>
      <c r="U46" s="714" t="s">
        <v>568</v>
      </c>
      <c r="V46" s="692">
        <f>[3]int.kiadások2026!I45</f>
        <v>0</v>
      </c>
      <c r="W46" s="692">
        <f>'[4]int.kiadások RM I maradvány'!W46+1000</f>
        <v>1000</v>
      </c>
      <c r="X46" s="692">
        <f>SUM(V46:W46)</f>
        <v>1000</v>
      </c>
      <c r="Y46" s="692">
        <f>[3]int.kiadások2026!J45</f>
        <v>0</v>
      </c>
      <c r="Z46" s="692">
        <f>'[4]int.kiadások RM I maradvány'!Z46</f>
        <v>0</v>
      </c>
      <c r="AA46" s="692">
        <f>SUM(Y46:Z46)</f>
        <v>0</v>
      </c>
      <c r="AB46" s="692">
        <f>[3]int.kiadások2026!K45</f>
        <v>0</v>
      </c>
      <c r="AC46" s="692"/>
      <c r="AD46" s="692">
        <f>SUM(AB46:AC46)</f>
        <v>0</v>
      </c>
      <c r="AE46" s="693">
        <f>V46+Y46+AB46</f>
        <v>0</v>
      </c>
      <c r="AF46" s="693">
        <f>W46+Z46+AC46</f>
        <v>1000</v>
      </c>
      <c r="AG46" s="693">
        <f>X46+AA46+AD46</f>
        <v>1000</v>
      </c>
      <c r="AH46" s="693">
        <f>R46+AE46</f>
        <v>513503</v>
      </c>
      <c r="AI46" s="693">
        <f>S46+AF46</f>
        <v>17416</v>
      </c>
      <c r="AJ46" s="693">
        <f>T46+AG46</f>
        <v>530919</v>
      </c>
      <c r="AK46" s="669"/>
    </row>
    <row r="47" spans="1:37" s="746" customFormat="1" ht="49.5" customHeight="1" thickBot="1" x14ac:dyDescent="0.75">
      <c r="A47" s="727" t="s">
        <v>4</v>
      </c>
      <c r="B47" s="728">
        <f>[3]int.kiadások2026!B46</f>
        <v>2349481</v>
      </c>
      <c r="C47" s="728">
        <f>'[4]int.kiadások RM I maradvány'!C47+46605+96840</f>
        <v>327031</v>
      </c>
      <c r="D47" s="728">
        <f>SUM(B47:C47)</f>
        <v>2676512</v>
      </c>
      <c r="E47" s="728">
        <f>[3]int.kiadások2026!C46</f>
        <v>349379</v>
      </c>
      <c r="F47" s="728">
        <f>'[4]int.kiadások RM I maradvány'!F47+6707+25166</f>
        <v>61214</v>
      </c>
      <c r="G47" s="729">
        <f>SUM(E47:F47)</f>
        <v>410593</v>
      </c>
      <c r="H47" s="728">
        <f>[3]int.kiadások2026!D46</f>
        <v>484411</v>
      </c>
      <c r="I47" s="729">
        <f>'[4]int.kiadások RM I maradvány'!I47+12333+2081</f>
        <v>19801</v>
      </c>
      <c r="J47" s="728">
        <f>SUM(H47:I47)</f>
        <v>504212</v>
      </c>
      <c r="K47" s="727" t="s">
        <v>4</v>
      </c>
      <c r="L47" s="728">
        <f>[3]int.kiadások2026!E46</f>
        <v>0</v>
      </c>
      <c r="M47" s="729"/>
      <c r="N47" s="728">
        <f>SUM(L47:M47)</f>
        <v>0</v>
      </c>
      <c r="O47" s="729">
        <f>[3]int.kiadások2026!F46</f>
        <v>4500</v>
      </c>
      <c r="P47" s="728">
        <f>'[4]int.kiadások RM I maradvány'!P47</f>
        <v>0</v>
      </c>
      <c r="Q47" s="745">
        <f>SUM(O47:P47)</f>
        <v>4500</v>
      </c>
      <c r="R47" s="697">
        <f t="shared" si="24"/>
        <v>3187771</v>
      </c>
      <c r="S47" s="730">
        <f t="shared" si="24"/>
        <v>408046</v>
      </c>
      <c r="T47" s="697">
        <f t="shared" si="24"/>
        <v>3595817</v>
      </c>
      <c r="U47" s="727" t="s">
        <v>4</v>
      </c>
      <c r="V47" s="728">
        <f>[3]int.kiadások2026!I46</f>
        <v>87155</v>
      </c>
      <c r="W47" s="729">
        <f>'[4]int.kiadások RM I maradvány'!W47</f>
        <v>7620</v>
      </c>
      <c r="X47" s="728">
        <f>SUM(V47:W47)</f>
        <v>94775</v>
      </c>
      <c r="Y47" s="729">
        <f>[3]int.kiadások2026!J46</f>
        <v>8000</v>
      </c>
      <c r="Z47" s="728">
        <f>'[4]int.kiadások RM I maradvány'!Z47</f>
        <v>0</v>
      </c>
      <c r="AA47" s="729">
        <f>SUM(Y47:Z47)</f>
        <v>8000</v>
      </c>
      <c r="AB47" s="728">
        <f>[3]int.kiadások2026!K46</f>
        <v>0</v>
      </c>
      <c r="AC47" s="729"/>
      <c r="AD47" s="745">
        <f>SUM(AB47:AC47)</f>
        <v>0</v>
      </c>
      <c r="AE47" s="697">
        <f t="shared" si="25"/>
        <v>95155</v>
      </c>
      <c r="AF47" s="730">
        <f t="shared" si="25"/>
        <v>7620</v>
      </c>
      <c r="AG47" s="697">
        <f t="shared" si="25"/>
        <v>102775</v>
      </c>
      <c r="AH47" s="730">
        <f t="shared" si="26"/>
        <v>3282926</v>
      </c>
      <c r="AI47" s="697">
        <f t="shared" si="26"/>
        <v>415666</v>
      </c>
      <c r="AJ47" s="697">
        <f t="shared" si="26"/>
        <v>3698592</v>
      </c>
      <c r="AK47" s="680"/>
    </row>
    <row r="48" spans="1:37" s="742" customFormat="1" ht="61.5" customHeight="1" thickBot="1" x14ac:dyDescent="0.75">
      <c r="A48" s="747" t="s">
        <v>749</v>
      </c>
      <c r="B48" s="710">
        <f t="shared" ref="B48:J48" si="27">SUM(B45:B47)</f>
        <v>2723496</v>
      </c>
      <c r="C48" s="710">
        <f t="shared" si="27"/>
        <v>332601</v>
      </c>
      <c r="D48" s="710">
        <f t="shared" si="27"/>
        <v>3056097</v>
      </c>
      <c r="E48" s="710">
        <f t="shared" si="27"/>
        <v>401551</v>
      </c>
      <c r="F48" s="710">
        <f t="shared" si="27"/>
        <v>62097</v>
      </c>
      <c r="G48" s="710">
        <f t="shared" si="27"/>
        <v>463648</v>
      </c>
      <c r="H48" s="710">
        <f t="shared" si="27"/>
        <v>790301</v>
      </c>
      <c r="I48" s="710">
        <f t="shared" si="27"/>
        <v>49624</v>
      </c>
      <c r="J48" s="710">
        <f t="shared" si="27"/>
        <v>839925</v>
      </c>
      <c r="K48" s="747" t="s">
        <v>749</v>
      </c>
      <c r="L48" s="710">
        <f t="shared" ref="L48:T48" si="28">SUM(L45:L47)</f>
        <v>0</v>
      </c>
      <c r="M48" s="710">
        <f t="shared" si="28"/>
        <v>0</v>
      </c>
      <c r="N48" s="710">
        <f t="shared" si="28"/>
        <v>0</v>
      </c>
      <c r="O48" s="710">
        <f t="shared" si="28"/>
        <v>4500</v>
      </c>
      <c r="P48" s="710">
        <f t="shared" si="28"/>
        <v>0</v>
      </c>
      <c r="Q48" s="710">
        <f t="shared" si="28"/>
        <v>4500</v>
      </c>
      <c r="R48" s="710">
        <f t="shared" si="28"/>
        <v>3919848</v>
      </c>
      <c r="S48" s="710">
        <f t="shared" si="28"/>
        <v>444322</v>
      </c>
      <c r="T48" s="710">
        <f t="shared" si="28"/>
        <v>4364170</v>
      </c>
      <c r="U48" s="747" t="s">
        <v>749</v>
      </c>
      <c r="V48" s="710">
        <f t="shared" ref="V48:AJ48" si="29">SUM(V45:V47)</f>
        <v>87155</v>
      </c>
      <c r="W48" s="710">
        <f t="shared" si="29"/>
        <v>23191</v>
      </c>
      <c r="X48" s="710">
        <f t="shared" si="29"/>
        <v>110346</v>
      </c>
      <c r="Y48" s="710">
        <f t="shared" si="29"/>
        <v>8000</v>
      </c>
      <c r="Z48" s="710">
        <f t="shared" si="29"/>
        <v>0</v>
      </c>
      <c r="AA48" s="710">
        <f t="shared" si="29"/>
        <v>8000</v>
      </c>
      <c r="AB48" s="710">
        <f t="shared" si="29"/>
        <v>0</v>
      </c>
      <c r="AC48" s="710">
        <f t="shared" si="29"/>
        <v>0</v>
      </c>
      <c r="AD48" s="710">
        <f t="shared" si="29"/>
        <v>0</v>
      </c>
      <c r="AE48" s="710">
        <f t="shared" si="29"/>
        <v>95155</v>
      </c>
      <c r="AF48" s="710">
        <f t="shared" si="29"/>
        <v>23191</v>
      </c>
      <c r="AG48" s="710">
        <f t="shared" si="29"/>
        <v>118346</v>
      </c>
      <c r="AH48" s="710">
        <f t="shared" si="29"/>
        <v>4015003</v>
      </c>
      <c r="AI48" s="710">
        <f t="shared" si="29"/>
        <v>467513</v>
      </c>
      <c r="AJ48" s="710">
        <f t="shared" si="29"/>
        <v>4482516</v>
      </c>
      <c r="AK48" s="669"/>
    </row>
    <row r="49" spans="1:37" s="742" customFormat="1" ht="61.5" customHeight="1" thickBot="1" x14ac:dyDescent="0.75">
      <c r="A49" s="747" t="s">
        <v>750</v>
      </c>
      <c r="B49" s="697">
        <f t="shared" ref="B49:J49" si="30">B37+B39+B41+B43+B48</f>
        <v>7731700</v>
      </c>
      <c r="C49" s="697">
        <f t="shared" si="30"/>
        <v>891818</v>
      </c>
      <c r="D49" s="697">
        <f t="shared" si="30"/>
        <v>8623518</v>
      </c>
      <c r="E49" s="697">
        <f t="shared" si="30"/>
        <v>1136880</v>
      </c>
      <c r="F49" s="697">
        <f t="shared" si="30"/>
        <v>171867</v>
      </c>
      <c r="G49" s="697">
        <f t="shared" si="30"/>
        <v>1308747</v>
      </c>
      <c r="H49" s="697">
        <f t="shared" si="30"/>
        <v>2294098</v>
      </c>
      <c r="I49" s="697">
        <f t="shared" si="30"/>
        <v>753021</v>
      </c>
      <c r="J49" s="697">
        <f t="shared" si="30"/>
        <v>3047119</v>
      </c>
      <c r="K49" s="747" t="s">
        <v>750</v>
      </c>
      <c r="L49" s="697">
        <f t="shared" ref="L49:T49" si="31">L37+L39+L41+L43+L48</f>
        <v>0</v>
      </c>
      <c r="M49" s="697">
        <f t="shared" si="31"/>
        <v>0</v>
      </c>
      <c r="N49" s="697">
        <f t="shared" si="31"/>
        <v>0</v>
      </c>
      <c r="O49" s="697">
        <f t="shared" si="31"/>
        <v>4500</v>
      </c>
      <c r="P49" s="697">
        <f t="shared" si="31"/>
        <v>90</v>
      </c>
      <c r="Q49" s="697">
        <f t="shared" si="31"/>
        <v>4590</v>
      </c>
      <c r="R49" s="697">
        <f t="shared" si="31"/>
        <v>11167178</v>
      </c>
      <c r="S49" s="697">
        <f t="shared" si="31"/>
        <v>1816796</v>
      </c>
      <c r="T49" s="697">
        <f t="shared" si="31"/>
        <v>12983974</v>
      </c>
      <c r="U49" s="747" t="s">
        <v>750</v>
      </c>
      <c r="V49" s="697">
        <f t="shared" ref="V49:AJ49" si="32">V37+V39+V41+V43+V48</f>
        <v>112145</v>
      </c>
      <c r="W49" s="697">
        <f t="shared" si="32"/>
        <v>114391</v>
      </c>
      <c r="X49" s="697">
        <f t="shared" si="32"/>
        <v>226536</v>
      </c>
      <c r="Y49" s="697">
        <f t="shared" si="32"/>
        <v>49637</v>
      </c>
      <c r="Z49" s="697">
        <f t="shared" si="32"/>
        <v>16646</v>
      </c>
      <c r="AA49" s="697">
        <f t="shared" si="32"/>
        <v>66283</v>
      </c>
      <c r="AB49" s="697">
        <f t="shared" si="32"/>
        <v>0</v>
      </c>
      <c r="AC49" s="697">
        <f t="shared" si="32"/>
        <v>0</v>
      </c>
      <c r="AD49" s="697">
        <f t="shared" si="32"/>
        <v>0</v>
      </c>
      <c r="AE49" s="697">
        <f t="shared" si="32"/>
        <v>161782</v>
      </c>
      <c r="AF49" s="697">
        <f t="shared" si="32"/>
        <v>131037</v>
      </c>
      <c r="AG49" s="697">
        <f t="shared" si="32"/>
        <v>292819</v>
      </c>
      <c r="AH49" s="697">
        <f t="shared" si="32"/>
        <v>11328960</v>
      </c>
      <c r="AI49" s="697">
        <f t="shared" si="32"/>
        <v>1947833</v>
      </c>
      <c r="AJ49" s="697">
        <f t="shared" si="32"/>
        <v>13276793</v>
      </c>
      <c r="AK49" s="669"/>
    </row>
    <row r="50" spans="1:37" s="742" customFormat="1" ht="61.5" customHeight="1" thickBot="1" x14ac:dyDescent="0.75">
      <c r="A50" s="733" t="s">
        <v>751</v>
      </c>
      <c r="B50" s="699">
        <f t="shared" ref="B50:J50" si="33">B30+B49</f>
        <v>11413027</v>
      </c>
      <c r="C50" s="699">
        <f t="shared" si="33"/>
        <v>1153983</v>
      </c>
      <c r="D50" s="699">
        <f t="shared" si="33"/>
        <v>12567010</v>
      </c>
      <c r="E50" s="699">
        <f t="shared" si="33"/>
        <v>1647976</v>
      </c>
      <c r="F50" s="699">
        <f t="shared" si="33"/>
        <v>226617</v>
      </c>
      <c r="G50" s="699">
        <f t="shared" si="33"/>
        <v>1874593</v>
      </c>
      <c r="H50" s="699">
        <f t="shared" si="33"/>
        <v>4664400</v>
      </c>
      <c r="I50" s="699">
        <f t="shared" si="33"/>
        <v>810802</v>
      </c>
      <c r="J50" s="699">
        <f t="shared" si="33"/>
        <v>5475202</v>
      </c>
      <c r="K50" s="733" t="s">
        <v>751</v>
      </c>
      <c r="L50" s="699">
        <f t="shared" ref="L50:T50" si="34">L30+L49</f>
        <v>0</v>
      </c>
      <c r="M50" s="699">
        <f t="shared" si="34"/>
        <v>0</v>
      </c>
      <c r="N50" s="699">
        <f t="shared" si="34"/>
        <v>0</v>
      </c>
      <c r="O50" s="699">
        <f t="shared" si="34"/>
        <v>4500</v>
      </c>
      <c r="P50" s="699">
        <f t="shared" si="34"/>
        <v>90</v>
      </c>
      <c r="Q50" s="699">
        <f t="shared" si="34"/>
        <v>4590</v>
      </c>
      <c r="R50" s="699">
        <f t="shared" si="34"/>
        <v>17729903</v>
      </c>
      <c r="S50" s="699">
        <f t="shared" si="34"/>
        <v>2191492</v>
      </c>
      <c r="T50" s="699">
        <f t="shared" si="34"/>
        <v>19921395</v>
      </c>
      <c r="U50" s="733" t="s">
        <v>751</v>
      </c>
      <c r="V50" s="699">
        <f t="shared" ref="V50:AJ50" si="35">V30+V49</f>
        <v>112145</v>
      </c>
      <c r="W50" s="699">
        <f t="shared" si="35"/>
        <v>131104</v>
      </c>
      <c r="X50" s="699">
        <f t="shared" si="35"/>
        <v>243249</v>
      </c>
      <c r="Y50" s="699">
        <f t="shared" si="35"/>
        <v>49637</v>
      </c>
      <c r="Z50" s="699">
        <f t="shared" si="35"/>
        <v>25219</v>
      </c>
      <c r="AA50" s="699">
        <f t="shared" si="35"/>
        <v>74856</v>
      </c>
      <c r="AB50" s="699">
        <f t="shared" si="35"/>
        <v>0</v>
      </c>
      <c r="AC50" s="699">
        <f t="shared" si="35"/>
        <v>0</v>
      </c>
      <c r="AD50" s="699">
        <f t="shared" si="35"/>
        <v>0</v>
      </c>
      <c r="AE50" s="699">
        <f t="shared" si="35"/>
        <v>161782</v>
      </c>
      <c r="AF50" s="699">
        <f t="shared" si="35"/>
        <v>156323</v>
      </c>
      <c r="AG50" s="699">
        <f t="shared" si="35"/>
        <v>318105</v>
      </c>
      <c r="AH50" s="699">
        <f t="shared" si="35"/>
        <v>17891685</v>
      </c>
      <c r="AI50" s="699">
        <f t="shared" si="35"/>
        <v>2347815</v>
      </c>
      <c r="AJ50" s="699">
        <f t="shared" si="35"/>
        <v>20239500</v>
      </c>
      <c r="AK50" s="669"/>
    </row>
  </sheetData>
  <mergeCells count="20">
    <mergeCell ref="A5:A6"/>
    <mergeCell ref="B5:D7"/>
    <mergeCell ref="E5:G7"/>
    <mergeCell ref="H5:J7"/>
    <mergeCell ref="K5:K6"/>
    <mergeCell ref="L5:N7"/>
    <mergeCell ref="B2:J2"/>
    <mergeCell ref="L2:T2"/>
    <mergeCell ref="V2:AJ2"/>
    <mergeCell ref="B3:J3"/>
    <mergeCell ref="L3:T3"/>
    <mergeCell ref="V3:AJ3"/>
    <mergeCell ref="AE5:AG7"/>
    <mergeCell ref="AH5:AJ7"/>
    <mergeCell ref="O5:Q7"/>
    <mergeCell ref="R5:T7"/>
    <mergeCell ref="U5:U6"/>
    <mergeCell ref="V5:X7"/>
    <mergeCell ref="Y5:AA7"/>
    <mergeCell ref="AB5:AD7"/>
  </mergeCells>
  <printOptions horizontalCentered="1" verticalCentered="1"/>
  <pageMargins left="0" right="0" top="0" bottom="0.59055118110236227" header="0" footer="0"/>
  <pageSetup paperSize="9" scale="18" orientation="landscape" r:id="rId1"/>
  <headerFooter alignWithMargins="0">
    <oddHeader>&amp;R&amp;"Arial CE,Félkövér"&amp;36
 6.  melléklet a  ../2026.(.....) önkormányzati rendelethez
"6. melléklet a  3/2026.(II.27.) önkormányzati rendelethez"</oddHeader>
    <oddFooter xml:space="preserve">&amp;C &amp;R
&amp;36 &amp;10
</oddFooter>
  </headerFooter>
  <colBreaks count="2" manualBreakCount="2">
    <brk id="10" max="50" man="1"/>
    <brk id="20" max="5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5DFE1-A6B0-458B-B131-8E8886A39008}">
  <dimension ref="A1:Q52"/>
  <sheetViews>
    <sheetView zoomScale="40" zoomScaleNormal="40" zoomScaleSheetLayoutView="50" workbookViewId="0">
      <selection activeCell="P50" sqref="P50"/>
    </sheetView>
  </sheetViews>
  <sheetFormatPr defaultColWidth="12" defaultRowHeight="33.75" x14ac:dyDescent="0.5"/>
  <cols>
    <col min="1" max="1" width="151" style="764" customWidth="1"/>
    <col min="2" max="3" width="50" style="764" customWidth="1"/>
    <col min="4" max="5" width="50" style="768" customWidth="1"/>
    <col min="6" max="10" width="49.83203125" style="768" customWidth="1"/>
    <col min="11" max="11" width="26.6640625" style="768" customWidth="1"/>
    <col min="12" max="12" width="49.83203125" style="768" customWidth="1"/>
    <col min="13" max="15" width="12" style="768"/>
    <col min="16" max="16" width="18.5" style="768" bestFit="1" customWidth="1"/>
    <col min="17" max="16384" width="12" style="768"/>
  </cols>
  <sheetData>
    <row r="1" spans="1:12" s="764" customFormat="1" ht="45" customHeight="1" x14ac:dyDescent="0.6">
      <c r="A1" s="893" t="s">
        <v>759</v>
      </c>
      <c r="B1" s="893"/>
      <c r="C1" s="893"/>
      <c r="D1" s="893"/>
      <c r="E1" s="893"/>
      <c r="F1" s="893"/>
      <c r="G1" s="893"/>
      <c r="H1" s="893"/>
      <c r="I1" s="893"/>
      <c r="J1" s="893"/>
      <c r="K1" s="893"/>
      <c r="L1" s="893"/>
    </row>
    <row r="2" spans="1:12" s="764" customFormat="1" ht="44.25" customHeight="1" x14ac:dyDescent="0.6">
      <c r="A2" s="893" t="s">
        <v>760</v>
      </c>
      <c r="B2" s="893"/>
      <c r="C2" s="893"/>
      <c r="D2" s="893"/>
      <c r="E2" s="893"/>
      <c r="F2" s="893"/>
      <c r="G2" s="893"/>
      <c r="H2" s="893"/>
      <c r="I2" s="893"/>
      <c r="J2" s="893"/>
      <c r="K2" s="893"/>
      <c r="L2" s="893"/>
    </row>
    <row r="3" spans="1:12" ht="44.25" customHeight="1" thickBot="1" x14ac:dyDescent="0.55000000000000004">
      <c r="A3" s="765"/>
      <c r="B3" s="765"/>
      <c r="C3" s="765"/>
      <c r="D3" s="766"/>
      <c r="E3" s="766"/>
      <c r="F3" s="766"/>
      <c r="G3" s="766"/>
      <c r="H3" s="766"/>
      <c r="I3" s="766"/>
      <c r="J3" s="766"/>
      <c r="K3" s="766"/>
      <c r="L3" s="767" t="s">
        <v>761</v>
      </c>
    </row>
    <row r="4" spans="1:12" s="764" customFormat="1" ht="45.75" customHeight="1" thickBot="1" x14ac:dyDescent="0.55000000000000004">
      <c r="A4" s="769" t="s">
        <v>762</v>
      </c>
      <c r="B4" s="770"/>
      <c r="C4" s="770"/>
      <c r="D4" s="894" t="s">
        <v>715</v>
      </c>
      <c r="E4" s="896" t="s">
        <v>716</v>
      </c>
      <c r="F4" s="899" t="s">
        <v>763</v>
      </c>
      <c r="G4" s="900"/>
      <c r="H4" s="900"/>
      <c r="I4" s="900"/>
      <c r="J4" s="900"/>
      <c r="K4" s="900"/>
      <c r="L4" s="901"/>
    </row>
    <row r="5" spans="1:12" s="764" customFormat="1" ht="149.25" customHeight="1" thickBot="1" x14ac:dyDescent="0.55000000000000004">
      <c r="A5" s="771"/>
      <c r="B5" s="772" t="s">
        <v>764</v>
      </c>
      <c r="C5" s="772" t="s">
        <v>714</v>
      </c>
      <c r="D5" s="895"/>
      <c r="E5" s="897"/>
      <c r="F5" s="749" t="s">
        <v>765</v>
      </c>
      <c r="G5" s="750" t="s">
        <v>766</v>
      </c>
      <c r="H5" s="750" t="s">
        <v>767</v>
      </c>
      <c r="I5" s="751" t="s">
        <v>768</v>
      </c>
      <c r="J5" s="902" t="s">
        <v>769</v>
      </c>
      <c r="K5" s="903"/>
      <c r="L5" s="752" t="s">
        <v>770</v>
      </c>
    </row>
    <row r="6" spans="1:12" s="764" customFormat="1" ht="102.75" customHeight="1" thickBot="1" x14ac:dyDescent="0.55000000000000004">
      <c r="A6" s="773"/>
      <c r="B6" s="773"/>
      <c r="C6" s="773"/>
      <c r="D6" s="753"/>
      <c r="E6" s="898"/>
      <c r="F6" s="774"/>
      <c r="G6" s="775"/>
      <c r="H6" s="754"/>
      <c r="I6" s="754"/>
      <c r="J6" s="751"/>
      <c r="K6" s="755" t="s">
        <v>771</v>
      </c>
      <c r="L6" s="752"/>
    </row>
    <row r="7" spans="1:12" s="779" customFormat="1" ht="145.5" customHeight="1" x14ac:dyDescent="0.5">
      <c r="A7" s="756" t="s">
        <v>772</v>
      </c>
      <c r="B7" s="756"/>
      <c r="C7" s="756"/>
      <c r="D7" s="776"/>
      <c r="E7" s="757"/>
      <c r="F7" s="777"/>
      <c r="G7" s="778"/>
      <c r="H7" s="758"/>
      <c r="I7" s="758"/>
      <c r="J7" s="758"/>
      <c r="K7" s="758"/>
      <c r="L7" s="777"/>
    </row>
    <row r="8" spans="1:12" s="786" customFormat="1" ht="45.75" customHeight="1" x14ac:dyDescent="0.55000000000000004">
      <c r="A8" s="780" t="s">
        <v>718</v>
      </c>
      <c r="B8" s="781">
        <f>'[5]2026 évi nyitó létszám KGY'!B8</f>
        <v>34</v>
      </c>
      <c r="C8" s="781">
        <f>'[5]2026 évi nyitó létszám KGY'!C8</f>
        <v>33</v>
      </c>
      <c r="D8" s="782"/>
      <c r="E8" s="783">
        <f>C8+D8</f>
        <v>33</v>
      </c>
      <c r="F8" s="784"/>
      <c r="G8" s="785"/>
      <c r="H8" s="785"/>
      <c r="I8" s="785">
        <f>'[5]2026 évi nyitó létszám KGY'!G8</f>
        <v>33</v>
      </c>
      <c r="J8" s="785"/>
      <c r="K8" s="785"/>
      <c r="L8" s="784"/>
    </row>
    <row r="9" spans="1:12" s="786" customFormat="1" ht="45.75" customHeight="1" x14ac:dyDescent="0.55000000000000004">
      <c r="A9" s="787" t="s">
        <v>719</v>
      </c>
      <c r="B9" s="788">
        <f>'[5]2026 évi nyitó létszám KGY'!B9</f>
        <v>24</v>
      </c>
      <c r="C9" s="788">
        <f>'[5]2026 évi nyitó létszám KGY'!C9</f>
        <v>23</v>
      </c>
      <c r="D9" s="789"/>
      <c r="E9" s="790">
        <f t="shared" ref="E9:E25" si="0">C9+D9</f>
        <v>23</v>
      </c>
      <c r="F9" s="791"/>
      <c r="G9" s="792"/>
      <c r="H9" s="792"/>
      <c r="I9" s="792">
        <f>'[5]2026 évi nyitó létszám KGY'!G9</f>
        <v>23</v>
      </c>
      <c r="J9" s="793"/>
      <c r="K9" s="794"/>
      <c r="L9" s="793"/>
    </row>
    <row r="10" spans="1:12" s="786" customFormat="1" ht="45.75" customHeight="1" x14ac:dyDescent="0.55000000000000004">
      <c r="A10" s="787" t="s">
        <v>720</v>
      </c>
      <c r="B10" s="781">
        <f>'[5]2026 évi nyitó létszám KGY'!B10</f>
        <v>24</v>
      </c>
      <c r="C10" s="781">
        <f>'[5]2026 évi nyitó létszám KGY'!C10</f>
        <v>23</v>
      </c>
      <c r="D10" s="795"/>
      <c r="E10" s="796">
        <f t="shared" si="0"/>
        <v>23</v>
      </c>
      <c r="F10" s="797"/>
      <c r="G10" s="798"/>
      <c r="H10" s="794"/>
      <c r="I10" s="794">
        <f>'[5]2026 évi nyitó létszám KGY'!G10</f>
        <v>23</v>
      </c>
      <c r="J10" s="785"/>
      <c r="K10" s="785"/>
      <c r="L10" s="784"/>
    </row>
    <row r="11" spans="1:12" s="786" customFormat="1" ht="45.75" customHeight="1" x14ac:dyDescent="0.55000000000000004">
      <c r="A11" s="787" t="s">
        <v>721</v>
      </c>
      <c r="B11" s="788">
        <f>'[5]2026 évi nyitó létszám KGY'!B11</f>
        <v>29</v>
      </c>
      <c r="C11" s="788">
        <f>'[5]2026 évi nyitó létszám KGY'!C11</f>
        <v>28</v>
      </c>
      <c r="D11" s="782"/>
      <c r="E11" s="783">
        <f t="shared" si="0"/>
        <v>28</v>
      </c>
      <c r="F11" s="784"/>
      <c r="G11" s="785"/>
      <c r="H11" s="785"/>
      <c r="I11" s="785">
        <f>'[5]2026 évi nyitó létszám KGY'!G11</f>
        <v>28</v>
      </c>
      <c r="J11" s="793"/>
      <c r="K11" s="794"/>
      <c r="L11" s="793"/>
    </row>
    <row r="12" spans="1:12" s="786" customFormat="1" ht="45.75" customHeight="1" x14ac:dyDescent="0.55000000000000004">
      <c r="A12" s="787" t="s">
        <v>722</v>
      </c>
      <c r="B12" s="788">
        <f>'[5]2026 évi nyitó létszám KGY'!B12</f>
        <v>28</v>
      </c>
      <c r="C12" s="788">
        <f>'[5]2026 évi nyitó létszám KGY'!C12</f>
        <v>26</v>
      </c>
      <c r="D12" s="789"/>
      <c r="E12" s="790">
        <f t="shared" si="0"/>
        <v>26</v>
      </c>
      <c r="F12" s="791"/>
      <c r="G12" s="792"/>
      <c r="H12" s="792"/>
      <c r="I12" s="792">
        <f>'[5]2026 évi nyitó létszám KGY'!G12</f>
        <v>26</v>
      </c>
      <c r="J12" s="793"/>
      <c r="K12" s="785"/>
      <c r="L12" s="793"/>
    </row>
    <row r="13" spans="1:12" s="786" customFormat="1" ht="45.75" customHeight="1" x14ac:dyDescent="0.55000000000000004">
      <c r="A13" s="787" t="s">
        <v>723</v>
      </c>
      <c r="B13" s="788">
        <f>'[5]2026 évi nyitó létszám KGY'!B13</f>
        <v>24</v>
      </c>
      <c r="C13" s="788">
        <f>'[5]2026 évi nyitó létszám KGY'!C13</f>
        <v>23</v>
      </c>
      <c r="D13" s="795"/>
      <c r="E13" s="796">
        <f t="shared" si="0"/>
        <v>23</v>
      </c>
      <c r="F13" s="793"/>
      <c r="G13" s="794"/>
      <c r="H13" s="794"/>
      <c r="I13" s="794">
        <f>'[5]2026 évi nyitó létszám KGY'!G13</f>
        <v>23</v>
      </c>
      <c r="J13" s="793"/>
      <c r="K13" s="794"/>
      <c r="L13" s="793"/>
    </row>
    <row r="14" spans="1:12" s="786" customFormat="1" ht="45.75" customHeight="1" x14ac:dyDescent="0.55000000000000004">
      <c r="A14" s="787" t="s">
        <v>724</v>
      </c>
      <c r="B14" s="788">
        <f>'[5]2026 évi nyitó létszám KGY'!B14</f>
        <v>19</v>
      </c>
      <c r="C14" s="788">
        <f>'[5]2026 évi nyitó létszám KGY'!C14</f>
        <v>18</v>
      </c>
      <c r="D14" s="789"/>
      <c r="E14" s="790">
        <f t="shared" si="0"/>
        <v>18</v>
      </c>
      <c r="F14" s="791"/>
      <c r="G14" s="792"/>
      <c r="H14" s="792"/>
      <c r="I14" s="792">
        <f>'[5]2026 évi nyitó létszám KGY'!G14</f>
        <v>18</v>
      </c>
      <c r="J14" s="793"/>
      <c r="K14" s="785"/>
      <c r="L14" s="793"/>
    </row>
    <row r="15" spans="1:12" s="786" customFormat="1" ht="45.75" customHeight="1" x14ac:dyDescent="0.55000000000000004">
      <c r="A15" s="787" t="s">
        <v>726</v>
      </c>
      <c r="B15" s="788">
        <f>'[5]2026 évi nyitó létszám KGY'!B15</f>
        <v>19</v>
      </c>
      <c r="C15" s="788">
        <f>'[5]2026 évi nyitó létszám KGY'!C15</f>
        <v>18.5</v>
      </c>
      <c r="D15" s="795"/>
      <c r="E15" s="796">
        <f t="shared" si="0"/>
        <v>18.5</v>
      </c>
      <c r="F15" s="793"/>
      <c r="G15" s="794"/>
      <c r="H15" s="794"/>
      <c r="I15" s="794">
        <f>'[5]2026 évi nyitó létszám KGY'!G15</f>
        <v>18</v>
      </c>
      <c r="J15" s="793">
        <f>'[5]2026 évi nyitó létszám KGY'!H15</f>
        <v>0.5</v>
      </c>
      <c r="K15" s="794"/>
      <c r="L15" s="793"/>
    </row>
    <row r="16" spans="1:12" s="786" customFormat="1" ht="45.75" customHeight="1" x14ac:dyDescent="0.55000000000000004">
      <c r="A16" s="787" t="s">
        <v>773</v>
      </c>
      <c r="B16" s="788">
        <f>'[5]2026 évi nyitó létszám KGY'!B16</f>
        <v>28</v>
      </c>
      <c r="C16" s="788">
        <f>'[5]2026 évi nyitó létszám KGY'!C16</f>
        <v>28.5</v>
      </c>
      <c r="D16" s="789"/>
      <c r="E16" s="790">
        <f t="shared" si="0"/>
        <v>28.5</v>
      </c>
      <c r="F16" s="799"/>
      <c r="G16" s="800"/>
      <c r="H16" s="792"/>
      <c r="I16" s="792">
        <f>'[5]2026 évi nyitó létszám KGY'!G16</f>
        <v>28</v>
      </c>
      <c r="J16" s="793">
        <f>'[5]2026 évi nyitó létszám KGY'!H16</f>
        <v>0.5</v>
      </c>
      <c r="K16" s="785"/>
      <c r="L16" s="793"/>
    </row>
    <row r="17" spans="1:12" s="786" customFormat="1" ht="45.75" customHeight="1" x14ac:dyDescent="0.55000000000000004">
      <c r="A17" s="787" t="s">
        <v>728</v>
      </c>
      <c r="B17" s="788">
        <f>'[5]2026 évi nyitó létszám KGY'!B17</f>
        <v>31</v>
      </c>
      <c r="C17" s="788">
        <f>'[5]2026 évi nyitó létszám KGY'!C17</f>
        <v>30.5</v>
      </c>
      <c r="D17" s="795"/>
      <c r="E17" s="796">
        <f t="shared" si="0"/>
        <v>30.5</v>
      </c>
      <c r="F17" s="793"/>
      <c r="G17" s="794"/>
      <c r="H17" s="794"/>
      <c r="I17" s="794">
        <f>'[5]2026 évi nyitó létszám KGY'!G17</f>
        <v>30</v>
      </c>
      <c r="J17" s="793">
        <f>'[5]2026 évi nyitó létszám KGY'!H17</f>
        <v>0.5</v>
      </c>
      <c r="K17" s="794"/>
      <c r="L17" s="793"/>
    </row>
    <row r="18" spans="1:12" s="786" customFormat="1" ht="45.75" customHeight="1" x14ac:dyDescent="0.55000000000000004">
      <c r="A18" s="787" t="s">
        <v>729</v>
      </c>
      <c r="B18" s="788">
        <f>'[5]2026 évi nyitó létszám KGY'!B18</f>
        <v>16</v>
      </c>
      <c r="C18" s="788">
        <f>'[5]2026 évi nyitó létszám KGY'!C18</f>
        <v>15</v>
      </c>
      <c r="D18" s="789"/>
      <c r="E18" s="790">
        <f t="shared" si="0"/>
        <v>15</v>
      </c>
      <c r="F18" s="791"/>
      <c r="G18" s="792"/>
      <c r="H18" s="792"/>
      <c r="I18" s="792">
        <f>'[5]2026 évi nyitó létszám KGY'!G18</f>
        <v>15</v>
      </c>
      <c r="J18" s="793"/>
      <c r="K18" s="785"/>
      <c r="L18" s="793"/>
    </row>
    <row r="19" spans="1:12" s="786" customFormat="1" ht="45.75" customHeight="1" x14ac:dyDescent="0.55000000000000004">
      <c r="A19" s="787" t="s">
        <v>730</v>
      </c>
      <c r="B19" s="788">
        <f>'[5]2026 évi nyitó létszám KGY'!B19</f>
        <v>15</v>
      </c>
      <c r="C19" s="788">
        <f>'[5]2026 évi nyitó létszám KGY'!C19</f>
        <v>14</v>
      </c>
      <c r="D19" s="801"/>
      <c r="E19" s="796">
        <f t="shared" si="0"/>
        <v>14</v>
      </c>
      <c r="F19" s="793"/>
      <c r="G19" s="794"/>
      <c r="H19" s="794"/>
      <c r="I19" s="794">
        <f>'[5]2026 évi nyitó létszám KGY'!G19</f>
        <v>14</v>
      </c>
      <c r="J19" s="793"/>
      <c r="K19" s="794"/>
      <c r="L19" s="802"/>
    </row>
    <row r="20" spans="1:12" s="786" customFormat="1" ht="45.75" customHeight="1" x14ac:dyDescent="0.55000000000000004">
      <c r="A20" s="787" t="s">
        <v>731</v>
      </c>
      <c r="B20" s="788">
        <f>'[5]2026 évi nyitó létszám KGY'!B20</f>
        <v>20</v>
      </c>
      <c r="C20" s="788">
        <f>'[5]2026 évi nyitó létszám KGY'!C20</f>
        <v>19</v>
      </c>
      <c r="D20" s="789"/>
      <c r="E20" s="790">
        <f t="shared" si="0"/>
        <v>19</v>
      </c>
      <c r="F20" s="791"/>
      <c r="G20" s="792"/>
      <c r="H20" s="792"/>
      <c r="I20" s="792">
        <f>'[5]2026 évi nyitó létszám KGY'!G20</f>
        <v>19</v>
      </c>
      <c r="J20" s="793"/>
      <c r="K20" s="785"/>
      <c r="L20" s="793"/>
    </row>
    <row r="21" spans="1:12" s="786" customFormat="1" ht="45.75" customHeight="1" x14ac:dyDescent="0.55000000000000004">
      <c r="A21" s="787" t="s">
        <v>732</v>
      </c>
      <c r="B21" s="788">
        <f>'[5]2026 évi nyitó létszám KGY'!B21</f>
        <v>21</v>
      </c>
      <c r="C21" s="788">
        <f>'[5]2026 évi nyitó létszám KGY'!C21</f>
        <v>20.5</v>
      </c>
      <c r="D21" s="795"/>
      <c r="E21" s="796">
        <f t="shared" si="0"/>
        <v>20.5</v>
      </c>
      <c r="F21" s="793"/>
      <c r="G21" s="794"/>
      <c r="H21" s="794"/>
      <c r="I21" s="794">
        <f>'[5]2026 évi nyitó létszám KGY'!G21</f>
        <v>20</v>
      </c>
      <c r="J21" s="793">
        <f>'[5]2026 évi nyitó létszám KGY'!H21</f>
        <v>0.5</v>
      </c>
      <c r="K21" s="793"/>
      <c r="L21" s="793"/>
    </row>
    <row r="22" spans="1:12" s="786" customFormat="1" ht="45.75" customHeight="1" x14ac:dyDescent="0.55000000000000004">
      <c r="A22" s="787" t="s">
        <v>733</v>
      </c>
      <c r="B22" s="788">
        <f>'[5]2026 évi nyitó létszám KGY'!B22</f>
        <v>32</v>
      </c>
      <c r="C22" s="788">
        <f>'[5]2026 évi nyitó létszám KGY'!C22</f>
        <v>31.5</v>
      </c>
      <c r="D22" s="789"/>
      <c r="E22" s="790">
        <f t="shared" si="0"/>
        <v>31.5</v>
      </c>
      <c r="F22" s="791"/>
      <c r="G22" s="792"/>
      <c r="H22" s="792"/>
      <c r="I22" s="792">
        <f>'[5]2026 évi nyitó létszám KGY'!G22</f>
        <v>31</v>
      </c>
      <c r="J22" s="793">
        <f>'[5]2026 évi nyitó létszám KGY'!H22</f>
        <v>0.5</v>
      </c>
      <c r="K22" s="794"/>
      <c r="L22" s="793"/>
    </row>
    <row r="23" spans="1:12" s="786" customFormat="1" ht="45.75" customHeight="1" x14ac:dyDescent="0.55000000000000004">
      <c r="A23" s="787" t="s">
        <v>734</v>
      </c>
      <c r="B23" s="788">
        <f>'[5]2026 évi nyitó létszám KGY'!B23</f>
        <v>24</v>
      </c>
      <c r="C23" s="788">
        <f>'[5]2026 évi nyitó létszám KGY'!C23</f>
        <v>23</v>
      </c>
      <c r="D23" s="795"/>
      <c r="E23" s="796">
        <f t="shared" si="0"/>
        <v>23</v>
      </c>
      <c r="F23" s="793"/>
      <c r="G23" s="794"/>
      <c r="H23" s="794"/>
      <c r="I23" s="794">
        <f>'[5]2026 évi nyitó létszám KGY'!G23</f>
        <v>23</v>
      </c>
      <c r="J23" s="793"/>
      <c r="K23" s="785"/>
      <c r="L23" s="793"/>
    </row>
    <row r="24" spans="1:12" s="786" customFormat="1" ht="45.75" customHeight="1" x14ac:dyDescent="0.55000000000000004">
      <c r="A24" s="780" t="s">
        <v>735</v>
      </c>
      <c r="B24" s="803">
        <f>'[5]2026 évi nyitó létszám KGY'!B24</f>
        <v>18</v>
      </c>
      <c r="C24" s="803">
        <f>'[5]2026 évi nyitó létszám KGY'!C24</f>
        <v>17</v>
      </c>
      <c r="D24" s="804"/>
      <c r="E24" s="805">
        <f t="shared" si="0"/>
        <v>17</v>
      </c>
      <c r="F24" s="806"/>
      <c r="G24" s="807"/>
      <c r="H24" s="807"/>
      <c r="I24" s="807">
        <f>'[5]2026 évi nyitó létszám KGY'!G24</f>
        <v>17</v>
      </c>
      <c r="J24" s="793"/>
      <c r="K24" s="794"/>
      <c r="L24" s="793"/>
    </row>
    <row r="25" spans="1:12" s="786" customFormat="1" ht="45.75" customHeight="1" thickBot="1" x14ac:dyDescent="0.6">
      <c r="A25" s="808" t="s">
        <v>736</v>
      </c>
      <c r="B25" s="781">
        <f>'[5]2026 évi nyitó létszám KGY'!B25</f>
        <v>13</v>
      </c>
      <c r="C25" s="781">
        <f>'[5]2026 évi nyitó létszám KGY'!C25</f>
        <v>11.5</v>
      </c>
      <c r="D25" s="809"/>
      <c r="E25" s="783">
        <f t="shared" si="0"/>
        <v>11.5</v>
      </c>
      <c r="F25" s="810"/>
      <c r="G25" s="785"/>
      <c r="H25" s="785"/>
      <c r="I25" s="785">
        <f>'[5]2026 évi nyitó létszám KGY'!G25</f>
        <v>11.5</v>
      </c>
      <c r="J25" s="785"/>
      <c r="K25" s="785"/>
      <c r="L25" s="811"/>
    </row>
    <row r="26" spans="1:12" s="786" customFormat="1" ht="45.75" customHeight="1" thickBot="1" x14ac:dyDescent="0.6">
      <c r="A26" s="759" t="s">
        <v>774</v>
      </c>
      <c r="B26" s="812">
        <f t="shared" ref="B26:L26" si="1">SUM(B8:B25)</f>
        <v>419</v>
      </c>
      <c r="C26" s="812">
        <f t="shared" si="1"/>
        <v>403</v>
      </c>
      <c r="D26" s="813">
        <f t="shared" si="1"/>
        <v>0</v>
      </c>
      <c r="E26" s="814">
        <f t="shared" si="1"/>
        <v>403</v>
      </c>
      <c r="F26" s="814">
        <f t="shared" si="1"/>
        <v>0</v>
      </c>
      <c r="G26" s="814">
        <f t="shared" si="1"/>
        <v>0</v>
      </c>
      <c r="H26" s="814">
        <f t="shared" si="1"/>
        <v>0</v>
      </c>
      <c r="I26" s="814">
        <f t="shared" si="1"/>
        <v>400.5</v>
      </c>
      <c r="J26" s="814">
        <f t="shared" si="1"/>
        <v>2.5</v>
      </c>
      <c r="K26" s="814">
        <f t="shared" si="1"/>
        <v>0</v>
      </c>
      <c r="L26" s="814">
        <f t="shared" si="1"/>
        <v>0</v>
      </c>
    </row>
    <row r="27" spans="1:12" s="786" customFormat="1" ht="44.25" customHeight="1" thickBot="1" x14ac:dyDescent="0.6">
      <c r="A27" s="760" t="s">
        <v>675</v>
      </c>
      <c r="B27" s="815">
        <f>'[5]2026 évi nyitó létszám KGY'!B27</f>
        <v>44</v>
      </c>
      <c r="C27" s="815">
        <f>'[5]2026 évi nyitó létszám KGY'!C27</f>
        <v>49</v>
      </c>
      <c r="D27" s="816"/>
      <c r="E27" s="790">
        <f>C27+D27</f>
        <v>49</v>
      </c>
      <c r="F27" s="785"/>
      <c r="G27" s="785"/>
      <c r="H27" s="785">
        <f>'[5]2026 évi nyitó létszám KGY'!$F$27</f>
        <v>49</v>
      </c>
      <c r="I27" s="785"/>
      <c r="J27" s="807"/>
      <c r="K27" s="817"/>
      <c r="L27" s="807"/>
    </row>
    <row r="28" spans="1:12" s="786" customFormat="1" ht="42.75" customHeight="1" thickBot="1" x14ac:dyDescent="0.6">
      <c r="A28" s="759" t="s">
        <v>775</v>
      </c>
      <c r="B28" s="818">
        <f t="shared" ref="B28:C28" si="2">SUM(B26:B27)</f>
        <v>463</v>
      </c>
      <c r="C28" s="818">
        <f t="shared" si="2"/>
        <v>452</v>
      </c>
      <c r="D28" s="819">
        <f>D27+D26</f>
        <v>0</v>
      </c>
      <c r="E28" s="814">
        <f t="shared" ref="E28" si="3">E27+E26</f>
        <v>452</v>
      </c>
      <c r="F28" s="820">
        <f>F27+F26</f>
        <v>0</v>
      </c>
      <c r="G28" s="820">
        <f>G27+G26</f>
        <v>0</v>
      </c>
      <c r="H28" s="820">
        <f>SUM(H26:H27)</f>
        <v>49</v>
      </c>
      <c r="I28" s="820">
        <f>SUM(I26:I27)</f>
        <v>400.5</v>
      </c>
      <c r="J28" s="820">
        <f t="shared" ref="J28:L28" si="4">J27+J26</f>
        <v>2.5</v>
      </c>
      <c r="K28" s="820">
        <f t="shared" si="4"/>
        <v>0</v>
      </c>
      <c r="L28" s="820">
        <f t="shared" si="4"/>
        <v>0</v>
      </c>
    </row>
    <row r="29" spans="1:12" s="786" customFormat="1" ht="42.75" customHeight="1" x14ac:dyDescent="0.55000000000000004">
      <c r="A29" s="761" t="s">
        <v>776</v>
      </c>
      <c r="B29" s="821"/>
      <c r="C29" s="821"/>
      <c r="D29" s="822"/>
      <c r="E29" s="783"/>
      <c r="F29" s="823"/>
      <c r="G29" s="823"/>
      <c r="H29" s="823"/>
      <c r="I29" s="823"/>
      <c r="J29" s="823"/>
      <c r="K29" s="823"/>
      <c r="L29" s="823"/>
    </row>
    <row r="30" spans="1:12" s="786" customFormat="1" ht="45.75" customHeight="1" x14ac:dyDescent="0.55000000000000004">
      <c r="A30" s="756" t="s">
        <v>777</v>
      </c>
      <c r="B30" s="824"/>
      <c r="C30" s="824"/>
      <c r="D30" s="822"/>
      <c r="E30" s="783"/>
      <c r="F30" s="823"/>
      <c r="G30" s="823"/>
      <c r="H30" s="823"/>
      <c r="I30" s="823"/>
      <c r="J30" s="805"/>
      <c r="K30" s="825"/>
      <c r="L30" s="823"/>
    </row>
    <row r="31" spans="1:12" s="786" customFormat="1" ht="44.25" customHeight="1" x14ac:dyDescent="0.55000000000000004">
      <c r="A31" s="787" t="s">
        <v>96</v>
      </c>
      <c r="B31" s="788">
        <f>'[5]2026 évi nyitó létszám KGY'!B31</f>
        <v>19.75</v>
      </c>
      <c r="C31" s="788">
        <f>'[5]2026 évi nyitó létszám KGY'!C31</f>
        <v>19.75</v>
      </c>
      <c r="D31" s="826"/>
      <c r="E31" s="796">
        <f t="shared" ref="E31:E34" si="5">C31+D31</f>
        <v>19.75</v>
      </c>
      <c r="F31" s="794"/>
      <c r="G31" s="794"/>
      <c r="H31" s="794"/>
      <c r="I31" s="794"/>
      <c r="J31" s="785">
        <f>'[5]2026 évi nyitó létszám KGY'!H31</f>
        <v>19.75</v>
      </c>
      <c r="K31" s="785"/>
      <c r="L31" s="794"/>
    </row>
    <row r="32" spans="1:12" s="786" customFormat="1" ht="44.25" customHeight="1" x14ac:dyDescent="0.55000000000000004">
      <c r="A32" s="787" t="s">
        <v>741</v>
      </c>
      <c r="B32" s="788">
        <f>'[5]2026 évi nyitó létszám KGY'!B32</f>
        <v>84.5</v>
      </c>
      <c r="C32" s="788">
        <f>'[5]2026 évi nyitó létszám KGY'!C32</f>
        <v>84.5</v>
      </c>
      <c r="D32" s="826"/>
      <c r="E32" s="796">
        <f t="shared" si="5"/>
        <v>84.5</v>
      </c>
      <c r="F32" s="794"/>
      <c r="G32" s="794"/>
      <c r="H32" s="794"/>
      <c r="I32" s="794"/>
      <c r="J32" s="793">
        <f>'[5]2026 évi nyitó létszám KGY'!H32</f>
        <v>84.5</v>
      </c>
      <c r="K32" s="794"/>
      <c r="L32" s="793"/>
    </row>
    <row r="33" spans="1:12" s="786" customFormat="1" ht="44.25" customHeight="1" x14ac:dyDescent="0.55000000000000004">
      <c r="A33" s="787" t="s">
        <v>742</v>
      </c>
      <c r="B33" s="788">
        <f>'[5]2026 évi nyitó létszám KGY'!B33</f>
        <v>46</v>
      </c>
      <c r="C33" s="788">
        <f>'[5]2026 évi nyitó létszám KGY'!C33</f>
        <v>46</v>
      </c>
      <c r="D33" s="826"/>
      <c r="E33" s="796">
        <f t="shared" si="5"/>
        <v>46</v>
      </c>
      <c r="F33" s="794"/>
      <c r="G33" s="794"/>
      <c r="H33" s="794"/>
      <c r="I33" s="794"/>
      <c r="J33" s="793">
        <f>'[5]2026 évi nyitó létszám KGY'!H33</f>
        <v>46</v>
      </c>
      <c r="K33" s="794"/>
      <c r="L33" s="794"/>
    </row>
    <row r="34" spans="1:12" s="786" customFormat="1" ht="44.25" customHeight="1" thickBot="1" x14ac:dyDescent="0.6">
      <c r="A34" s="827" t="s">
        <v>454</v>
      </c>
      <c r="B34" s="828">
        <f>'[5]2026 évi nyitó létszám KGY'!B34</f>
        <v>100.75</v>
      </c>
      <c r="C34" s="828">
        <f>'[5]2026 évi nyitó létszám KGY'!C34</f>
        <v>100.75</v>
      </c>
      <c r="D34" s="816"/>
      <c r="E34" s="783">
        <f t="shared" si="5"/>
        <v>100.75</v>
      </c>
      <c r="F34" s="785"/>
      <c r="G34" s="785"/>
      <c r="H34" s="785"/>
      <c r="I34" s="785"/>
      <c r="J34" s="785">
        <f>'[5]2026 évi nyitó létszám KGY'!H34</f>
        <v>100.75</v>
      </c>
      <c r="K34" s="785"/>
      <c r="L34" s="785"/>
    </row>
    <row r="35" spans="1:12" s="786" customFormat="1" ht="44.25" customHeight="1" thickBot="1" x14ac:dyDescent="0.6">
      <c r="A35" s="759" t="s">
        <v>778</v>
      </c>
      <c r="B35" s="818">
        <f t="shared" ref="B35:L35" si="6">SUM(B31:B34)</f>
        <v>251</v>
      </c>
      <c r="C35" s="818">
        <f t="shared" si="6"/>
        <v>251</v>
      </c>
      <c r="D35" s="819">
        <f t="shared" si="6"/>
        <v>0</v>
      </c>
      <c r="E35" s="814">
        <f t="shared" si="6"/>
        <v>251</v>
      </c>
      <c r="F35" s="820">
        <f t="shared" si="6"/>
        <v>0</v>
      </c>
      <c r="G35" s="820">
        <f t="shared" si="6"/>
        <v>0</v>
      </c>
      <c r="H35" s="820">
        <f t="shared" si="6"/>
        <v>0</v>
      </c>
      <c r="I35" s="820">
        <f t="shared" si="6"/>
        <v>0</v>
      </c>
      <c r="J35" s="820">
        <f t="shared" si="6"/>
        <v>251</v>
      </c>
      <c r="K35" s="820">
        <f t="shared" si="6"/>
        <v>0</v>
      </c>
      <c r="L35" s="814">
        <f t="shared" si="6"/>
        <v>0</v>
      </c>
    </row>
    <row r="36" spans="1:12" s="786" customFormat="1" ht="45.75" customHeight="1" x14ac:dyDescent="0.55000000000000004">
      <c r="A36" s="761" t="s">
        <v>744</v>
      </c>
      <c r="B36" s="829"/>
      <c r="C36" s="829"/>
      <c r="D36" s="830"/>
      <c r="E36" s="831"/>
      <c r="F36" s="832"/>
      <c r="G36" s="832"/>
      <c r="H36" s="832"/>
      <c r="I36" s="832"/>
      <c r="J36" s="832"/>
      <c r="K36" s="832"/>
      <c r="L36" s="832"/>
    </row>
    <row r="37" spans="1:12" s="786" customFormat="1" ht="69" thickBot="1" x14ac:dyDescent="0.6">
      <c r="A37" s="833" t="s">
        <v>470</v>
      </c>
      <c r="B37" s="834">
        <f>'[5]2026 évi nyitó létszám KGY'!B37</f>
        <v>182.75</v>
      </c>
      <c r="C37" s="834">
        <f>'[5]2026 évi nyitó létszám KGY'!C37</f>
        <v>181.75</v>
      </c>
      <c r="D37" s="835"/>
      <c r="E37" s="805">
        <f>C37+D37</f>
        <v>181.75</v>
      </c>
      <c r="F37" s="807"/>
      <c r="G37" s="807"/>
      <c r="H37" s="807">
        <f>'[5]2026 évi nyitó létszám KGY'!F37</f>
        <v>181.75</v>
      </c>
      <c r="I37" s="807"/>
      <c r="J37" s="785"/>
      <c r="K37" s="785"/>
      <c r="L37" s="836"/>
    </row>
    <row r="38" spans="1:12" s="786" customFormat="1" ht="44.25" customHeight="1" x14ac:dyDescent="0.55000000000000004">
      <c r="A38" s="761" t="s">
        <v>745</v>
      </c>
      <c r="B38" s="829"/>
      <c r="C38" s="829"/>
      <c r="D38" s="830"/>
      <c r="E38" s="831"/>
      <c r="F38" s="832"/>
      <c r="G38" s="832"/>
      <c r="H38" s="832"/>
      <c r="I38" s="832"/>
      <c r="J38" s="832"/>
      <c r="K38" s="832"/>
      <c r="L38" s="832"/>
    </row>
    <row r="39" spans="1:12" s="786" customFormat="1" ht="45.75" customHeight="1" thickBot="1" x14ac:dyDescent="0.6">
      <c r="A39" s="837" t="s">
        <v>746</v>
      </c>
      <c r="B39" s="781">
        <f>'[5]2026 évi nyitó létszám KGY'!B39</f>
        <v>72</v>
      </c>
      <c r="C39" s="781">
        <f>'[5]2026 évi nyitó létszám KGY'!C39</f>
        <v>77</v>
      </c>
      <c r="D39" s="838"/>
      <c r="E39" s="839">
        <f>C39+D39</f>
        <v>77</v>
      </c>
      <c r="F39" s="836"/>
      <c r="G39" s="836">
        <f>'[5]2026 évi nyitó létszám KGY'!$E$39</f>
        <v>58</v>
      </c>
      <c r="H39" s="836">
        <f>'[5]2026 évi nyitó létszám KGY'!F39</f>
        <v>19</v>
      </c>
      <c r="I39" s="836"/>
      <c r="J39" s="810"/>
      <c r="K39" s="836"/>
      <c r="L39" s="836"/>
    </row>
    <row r="40" spans="1:12" s="786" customFormat="1" ht="45" customHeight="1" x14ac:dyDescent="0.55000000000000004">
      <c r="A40" s="761" t="s">
        <v>747</v>
      </c>
      <c r="B40" s="829"/>
      <c r="C40" s="829"/>
      <c r="D40" s="830"/>
      <c r="E40" s="831"/>
      <c r="F40" s="832"/>
      <c r="G40" s="832"/>
      <c r="H40" s="832"/>
      <c r="I40" s="832"/>
      <c r="J40" s="832"/>
      <c r="K40" s="832"/>
      <c r="L40" s="832"/>
    </row>
    <row r="41" spans="1:12" s="786" customFormat="1" ht="44.25" customHeight="1" thickBot="1" x14ac:dyDescent="0.6">
      <c r="A41" s="837" t="s">
        <v>471</v>
      </c>
      <c r="B41" s="781">
        <f>'[5]2026 évi nyitó létszám KGY'!B41</f>
        <v>201.755</v>
      </c>
      <c r="C41" s="781">
        <f>'[5]2026 évi nyitó létszám KGY'!C41</f>
        <v>201.755</v>
      </c>
      <c r="D41" s="838"/>
      <c r="E41" s="839">
        <f>C41+D41</f>
        <v>201.755</v>
      </c>
      <c r="F41" s="836"/>
      <c r="G41" s="836"/>
      <c r="H41" s="836">
        <f>'[5]2026 évi nyitó létszám KGY'!F41</f>
        <v>134.76</v>
      </c>
      <c r="I41" s="836">
        <f>'[5]2026 évi nyitó létszám KGY'!$G$41</f>
        <v>67</v>
      </c>
      <c r="J41" s="810"/>
      <c r="K41" s="836"/>
      <c r="L41" s="836"/>
    </row>
    <row r="42" spans="1:12" s="786" customFormat="1" ht="45.75" customHeight="1" x14ac:dyDescent="0.55000000000000004">
      <c r="A42" s="761" t="s">
        <v>748</v>
      </c>
      <c r="B42" s="829"/>
      <c r="C42" s="829"/>
      <c r="D42" s="830"/>
      <c r="E42" s="831"/>
      <c r="F42" s="832"/>
      <c r="G42" s="832"/>
      <c r="H42" s="832"/>
      <c r="I42" s="832"/>
      <c r="J42" s="832"/>
      <c r="K42" s="832"/>
      <c r="L42" s="832"/>
    </row>
    <row r="43" spans="1:12" s="786" customFormat="1" ht="44.25" customHeight="1" x14ac:dyDescent="0.55000000000000004">
      <c r="A43" s="780" t="s">
        <v>472</v>
      </c>
      <c r="B43" s="840">
        <f>'[5]2026 évi nyitó létszám KGY'!B43</f>
        <v>14.5</v>
      </c>
      <c r="C43" s="840">
        <f>'[5]2026 évi nyitó létszám KGY'!C43</f>
        <v>14.5</v>
      </c>
      <c r="D43" s="841"/>
      <c r="E43" s="805">
        <f t="shared" ref="E43:E45" si="7">C43+D43</f>
        <v>14.5</v>
      </c>
      <c r="F43" s="842"/>
      <c r="G43" s="842"/>
      <c r="H43" s="807">
        <f>'[5]2026 évi nyitó létszám KGY'!F43</f>
        <v>14.5</v>
      </c>
      <c r="I43" s="807"/>
      <c r="J43" s="807"/>
      <c r="K43" s="807"/>
      <c r="L43" s="825"/>
    </row>
    <row r="44" spans="1:12" s="786" customFormat="1" ht="44.25" customHeight="1" x14ac:dyDescent="0.55000000000000004">
      <c r="A44" s="808" t="s">
        <v>568</v>
      </c>
      <c r="B44" s="843">
        <f>'[5]2026 évi nyitó létszám KGY'!B44</f>
        <v>0</v>
      </c>
      <c r="C44" s="843">
        <f>'[5]2026 évi nyitó létszám KGY'!$C$44</f>
        <v>43</v>
      </c>
      <c r="D44" s="844"/>
      <c r="E44" s="783">
        <f t="shared" si="7"/>
        <v>43</v>
      </c>
      <c r="F44" s="845"/>
      <c r="G44" s="845"/>
      <c r="H44" s="785">
        <f>'[5]2026 évi nyitó létszám KGY'!F44</f>
        <v>43</v>
      </c>
      <c r="I44" s="785"/>
      <c r="J44" s="785"/>
      <c r="K44" s="785"/>
      <c r="L44" s="823"/>
    </row>
    <row r="45" spans="1:12" s="786" customFormat="1" ht="44.25" customHeight="1" thickBot="1" x14ac:dyDescent="0.6">
      <c r="A45" s="787" t="s">
        <v>4</v>
      </c>
      <c r="B45" s="828">
        <f>'[5]2026 évi nyitó létszám KGY'!B45</f>
        <v>301.5</v>
      </c>
      <c r="C45" s="828">
        <f>'[5]2026 évi nyitó létszám KGY'!$C$45</f>
        <v>289.75</v>
      </c>
      <c r="D45" s="846"/>
      <c r="E45" s="847">
        <f t="shared" si="7"/>
        <v>289.75</v>
      </c>
      <c r="F45" s="848">
        <f>'[5]2026 évi nyitó létszám KGY'!$D$45</f>
        <v>247</v>
      </c>
      <c r="G45" s="848"/>
      <c r="H45" s="848"/>
      <c r="I45" s="848"/>
      <c r="J45" s="848">
        <f>'[5]2026 évi nyitó létszám KGY'!$H$45</f>
        <v>42.75</v>
      </c>
      <c r="K45" s="848"/>
      <c r="L45" s="849"/>
    </row>
    <row r="46" spans="1:12" s="786" customFormat="1" ht="44.25" customHeight="1" thickBot="1" x14ac:dyDescent="0.6">
      <c r="A46" s="759" t="s">
        <v>779</v>
      </c>
      <c r="B46" s="850">
        <f t="shared" ref="B46:L46" si="8">SUM(B43:B45)</f>
        <v>316</v>
      </c>
      <c r="C46" s="850">
        <f t="shared" si="8"/>
        <v>347.25</v>
      </c>
      <c r="D46" s="851">
        <f t="shared" si="8"/>
        <v>0</v>
      </c>
      <c r="E46" s="839">
        <f t="shared" si="8"/>
        <v>347.25</v>
      </c>
      <c r="F46" s="852">
        <f t="shared" si="8"/>
        <v>247</v>
      </c>
      <c r="G46" s="852">
        <f t="shared" si="8"/>
        <v>0</v>
      </c>
      <c r="H46" s="852">
        <f t="shared" si="8"/>
        <v>57.5</v>
      </c>
      <c r="I46" s="852">
        <f t="shared" si="8"/>
        <v>0</v>
      </c>
      <c r="J46" s="814">
        <f t="shared" si="8"/>
        <v>42.75</v>
      </c>
      <c r="K46" s="852">
        <f t="shared" si="8"/>
        <v>0</v>
      </c>
      <c r="L46" s="852">
        <f t="shared" si="8"/>
        <v>0</v>
      </c>
    </row>
    <row r="47" spans="1:12" s="786" customFormat="1" ht="44.25" customHeight="1" thickBot="1" x14ac:dyDescent="0.6">
      <c r="A47" s="762" t="s">
        <v>750</v>
      </c>
      <c r="B47" s="850">
        <f t="shared" ref="B47:L47" si="9">B35+B37+B39+B41+B46</f>
        <v>1023.505</v>
      </c>
      <c r="C47" s="850">
        <f t="shared" si="9"/>
        <v>1058.7550000000001</v>
      </c>
      <c r="D47" s="851">
        <f t="shared" si="9"/>
        <v>0</v>
      </c>
      <c r="E47" s="839">
        <f t="shared" si="9"/>
        <v>1058.7550000000001</v>
      </c>
      <c r="F47" s="852">
        <f t="shared" si="9"/>
        <v>247</v>
      </c>
      <c r="G47" s="852">
        <f t="shared" si="9"/>
        <v>58</v>
      </c>
      <c r="H47" s="852">
        <f t="shared" si="9"/>
        <v>393.01</v>
      </c>
      <c r="I47" s="852">
        <f t="shared" si="9"/>
        <v>67</v>
      </c>
      <c r="J47" s="852">
        <f t="shared" si="9"/>
        <v>293.75</v>
      </c>
      <c r="K47" s="852">
        <f t="shared" si="9"/>
        <v>0</v>
      </c>
      <c r="L47" s="852">
        <f t="shared" si="9"/>
        <v>0</v>
      </c>
    </row>
    <row r="48" spans="1:12" s="786" customFormat="1" ht="42.75" customHeight="1" thickBot="1" x14ac:dyDescent="0.6">
      <c r="A48" s="763" t="s">
        <v>751</v>
      </c>
      <c r="B48" s="850">
        <f t="shared" ref="B48:L48" si="10">B28+B47</f>
        <v>1486.5050000000001</v>
      </c>
      <c r="C48" s="850">
        <f t="shared" si="10"/>
        <v>1510.7550000000001</v>
      </c>
      <c r="D48" s="851">
        <f t="shared" si="10"/>
        <v>0</v>
      </c>
      <c r="E48" s="839">
        <f t="shared" si="10"/>
        <v>1510.7550000000001</v>
      </c>
      <c r="F48" s="852">
        <f t="shared" si="10"/>
        <v>247</v>
      </c>
      <c r="G48" s="852">
        <f t="shared" si="10"/>
        <v>58</v>
      </c>
      <c r="H48" s="852">
        <f t="shared" si="10"/>
        <v>442.01</v>
      </c>
      <c r="I48" s="852">
        <f t="shared" si="10"/>
        <v>467.5</v>
      </c>
      <c r="J48" s="852">
        <f t="shared" si="10"/>
        <v>296.25</v>
      </c>
      <c r="K48" s="852">
        <f t="shared" si="10"/>
        <v>0</v>
      </c>
      <c r="L48" s="852">
        <f t="shared" si="10"/>
        <v>0</v>
      </c>
    </row>
    <row r="49" spans="1:17" s="786" customFormat="1" ht="44.25" customHeight="1" thickBot="1" x14ac:dyDescent="0.6">
      <c r="A49" s="762" t="s">
        <v>299</v>
      </c>
      <c r="B49" s="850">
        <f>'[5]2026 évi nyitó létszám KGY'!B49</f>
        <v>18</v>
      </c>
      <c r="C49" s="850">
        <f>'[5]2026 évi nyitó létszám KGY'!$C$49</f>
        <v>18</v>
      </c>
      <c r="D49" s="851"/>
      <c r="E49" s="839">
        <f t="shared" ref="E49" si="11">C49+D49</f>
        <v>18</v>
      </c>
      <c r="F49" s="852"/>
      <c r="G49" s="852"/>
      <c r="H49" s="852"/>
      <c r="I49" s="852"/>
      <c r="J49" s="852"/>
      <c r="K49" s="852"/>
      <c r="L49" s="852">
        <f>'[5]2026 évi nyitó létszám KGY'!$J$49</f>
        <v>18</v>
      </c>
    </row>
    <row r="50" spans="1:17" s="786" customFormat="1" ht="42.75" customHeight="1" thickBot="1" x14ac:dyDescent="0.6">
      <c r="A50" s="763" t="s">
        <v>216</v>
      </c>
      <c r="B50" s="850">
        <f>B48+B49</f>
        <v>1504.5050000000001</v>
      </c>
      <c r="C50" s="850">
        <f t="shared" ref="C50:L50" si="12">C48+C49</f>
        <v>1528.7550000000001</v>
      </c>
      <c r="D50" s="850">
        <f t="shared" si="12"/>
        <v>0</v>
      </c>
      <c r="E50" s="852">
        <f t="shared" si="12"/>
        <v>1528.7550000000001</v>
      </c>
      <c r="F50" s="852">
        <f t="shared" si="12"/>
        <v>247</v>
      </c>
      <c r="G50" s="852">
        <f t="shared" si="12"/>
        <v>58</v>
      </c>
      <c r="H50" s="852">
        <f t="shared" si="12"/>
        <v>442.01</v>
      </c>
      <c r="I50" s="852">
        <f t="shared" si="12"/>
        <v>467.5</v>
      </c>
      <c r="J50" s="852">
        <f t="shared" si="12"/>
        <v>296.25</v>
      </c>
      <c r="K50" s="852">
        <f t="shared" si="12"/>
        <v>0</v>
      </c>
      <c r="L50" s="852">
        <f t="shared" si="12"/>
        <v>18</v>
      </c>
    </row>
    <row r="51" spans="1:17" s="786" customFormat="1" x14ac:dyDescent="0.5">
      <c r="A51" s="765"/>
      <c r="B51" s="765"/>
      <c r="C51" s="765"/>
      <c r="D51" s="853"/>
      <c r="E51" s="853"/>
      <c r="F51" s="853"/>
      <c r="G51" s="853"/>
      <c r="H51" s="853"/>
      <c r="I51" s="853"/>
      <c r="J51" s="854"/>
      <c r="K51" s="854"/>
      <c r="L51" s="854"/>
    </row>
    <row r="52" spans="1:17" s="856" customFormat="1" x14ac:dyDescent="0.5">
      <c r="A52" s="765"/>
      <c r="B52" s="765"/>
      <c r="C52" s="765"/>
      <c r="D52" s="855"/>
      <c r="E52" s="855"/>
      <c r="F52" s="855"/>
      <c r="G52" s="855"/>
      <c r="H52" s="855"/>
      <c r="I52" s="855"/>
      <c r="J52" s="855"/>
      <c r="K52" s="855"/>
      <c r="L52" s="855"/>
      <c r="M52" s="768"/>
      <c r="N52" s="768"/>
      <c r="O52" s="768"/>
      <c r="P52" s="768"/>
      <c r="Q52" s="768"/>
    </row>
  </sheetData>
  <mergeCells count="6">
    <mergeCell ref="A1:L1"/>
    <mergeCell ref="A2:L2"/>
    <mergeCell ref="D4:D5"/>
    <mergeCell ref="E4:E6"/>
    <mergeCell ref="F4:L4"/>
    <mergeCell ref="J5:K5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20" orientation="landscape" r:id="rId1"/>
  <headerFooter alignWithMargins="0">
    <oddHeader>&amp;R&amp;"Arial,Félkövér"&amp;32 7.  melléklet a  ../2026.(....) önkormányzati rendelethez
"7. melléklet a 3/2026.(II.27.) önkormányzati rendelethez"</oddHeader>
  </headerFooter>
  <rowBreaks count="1" manualBreakCount="1">
    <brk id="50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9"/>
  <dimension ref="A1:I59"/>
  <sheetViews>
    <sheetView zoomScale="91" zoomScaleNormal="91" zoomScaleSheetLayoutView="62" workbookViewId="0">
      <selection activeCell="A38" sqref="A38:XFD52"/>
    </sheetView>
  </sheetViews>
  <sheetFormatPr defaultColWidth="9.33203125" defaultRowHeight="15" customHeight="1" x14ac:dyDescent="0.35"/>
  <cols>
    <col min="1" max="1" width="105.83203125" style="2" customWidth="1"/>
    <col min="2" max="2" width="39.5" style="3" customWidth="1"/>
    <col min="3" max="3" width="33.6640625" style="2" customWidth="1"/>
    <col min="4" max="4" width="37.5" style="2" customWidth="1"/>
    <col min="5" max="5" width="41.33203125" style="3" customWidth="1"/>
    <col min="6" max="10" width="9.33203125" style="2"/>
    <col min="11" max="11" width="11.83203125" style="2" bestFit="1" customWidth="1"/>
    <col min="12" max="16384" width="9.33203125" style="2"/>
  </cols>
  <sheetData>
    <row r="1" spans="1:9" ht="15" customHeight="1" x14ac:dyDescent="0.35">
      <c r="A1" s="182"/>
      <c r="B1" s="181"/>
      <c r="C1" s="182"/>
      <c r="D1" s="182"/>
      <c r="E1" s="181"/>
    </row>
    <row r="2" spans="1:9" ht="15" customHeight="1" x14ac:dyDescent="0.35">
      <c r="A2" s="882" t="s">
        <v>51</v>
      </c>
      <c r="B2" s="882"/>
      <c r="C2" s="882"/>
      <c r="D2" s="882"/>
      <c r="E2" s="882"/>
      <c r="F2" s="3"/>
      <c r="G2" s="3"/>
      <c r="H2" s="3"/>
      <c r="I2" s="3"/>
    </row>
    <row r="3" spans="1:9" ht="15" customHeight="1" x14ac:dyDescent="0.35">
      <c r="A3" s="182"/>
      <c r="B3" s="181"/>
      <c r="C3" s="182"/>
      <c r="D3" s="182"/>
      <c r="E3" s="181"/>
      <c r="F3" s="3"/>
      <c r="G3" s="3"/>
      <c r="H3" s="3"/>
      <c r="I3" s="3"/>
    </row>
    <row r="4" spans="1:9" ht="21.75" thickBot="1" x14ac:dyDescent="0.4">
      <c r="A4" s="316" t="s">
        <v>35</v>
      </c>
      <c r="B4" s="19"/>
      <c r="C4" s="316"/>
      <c r="D4" s="316"/>
      <c r="E4" s="308" t="s">
        <v>201</v>
      </c>
      <c r="F4" s="3"/>
      <c r="G4" s="3"/>
      <c r="H4" s="3"/>
      <c r="I4" s="3"/>
    </row>
    <row r="5" spans="1:9" ht="20.100000000000001" customHeight="1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  <c r="F5" s="3"/>
      <c r="G5" s="3"/>
      <c r="H5" s="3"/>
      <c r="I5" s="3"/>
    </row>
    <row r="6" spans="1:9" ht="21.75" thickBot="1" x14ac:dyDescent="0.4">
      <c r="A6" s="369"/>
      <c r="B6" s="370" t="s">
        <v>674</v>
      </c>
      <c r="C6" s="370" t="s">
        <v>331</v>
      </c>
      <c r="D6" s="370" t="s">
        <v>673</v>
      </c>
      <c r="E6" s="370" t="s">
        <v>344</v>
      </c>
      <c r="F6" s="3"/>
      <c r="G6" s="3"/>
      <c r="H6" s="3"/>
      <c r="I6" s="3"/>
    </row>
    <row r="7" spans="1:9" ht="21" x14ac:dyDescent="0.35">
      <c r="A7" s="371" t="s">
        <v>179</v>
      </c>
      <c r="B7" s="581">
        <v>3462845</v>
      </c>
      <c r="C7" s="39">
        <f>3540900+324611</f>
        <v>3865511</v>
      </c>
      <c r="D7" s="39">
        <f>93781+159701+35645-1337+7946</f>
        <v>295736</v>
      </c>
      <c r="E7" s="39">
        <f>SUM(C7:D7)</f>
        <v>4161247</v>
      </c>
      <c r="F7" s="3"/>
      <c r="G7" s="3"/>
      <c r="H7" s="3"/>
      <c r="I7" s="3"/>
    </row>
    <row r="8" spans="1:9" ht="21.75" thickBot="1" x14ac:dyDescent="0.4">
      <c r="A8" s="372" t="s">
        <v>675</v>
      </c>
      <c r="B8" s="582">
        <v>2512740</v>
      </c>
      <c r="C8" s="170">
        <f>2495269+201945</f>
        <v>2697214</v>
      </c>
      <c r="D8" s="170">
        <f>38793+12798-1400+10000+18769</f>
        <v>78960</v>
      </c>
      <c r="E8" s="170">
        <f>SUM(C8:D8)</f>
        <v>2776174</v>
      </c>
      <c r="F8" s="3"/>
      <c r="G8" s="3"/>
      <c r="H8" s="3"/>
      <c r="I8" s="3"/>
    </row>
    <row r="9" spans="1:9" ht="21.75" thickBot="1" x14ac:dyDescent="0.4">
      <c r="A9" s="373" t="s">
        <v>193</v>
      </c>
      <c r="B9" s="160">
        <f>SUM(B7:B8)</f>
        <v>5975585</v>
      </c>
      <c r="C9" s="160">
        <f>SUM(C7:C8)</f>
        <v>6562725</v>
      </c>
      <c r="D9" s="160">
        <f t="shared" ref="D9:E9" si="0">SUM(D7:D8)</f>
        <v>374696</v>
      </c>
      <c r="E9" s="160">
        <f t="shared" si="0"/>
        <v>6937421</v>
      </c>
      <c r="F9" s="3"/>
      <c r="G9" s="3"/>
      <c r="H9" s="3"/>
      <c r="I9" s="3"/>
    </row>
    <row r="10" spans="1:9" ht="21" x14ac:dyDescent="0.35">
      <c r="A10" s="371" t="s">
        <v>339</v>
      </c>
      <c r="B10" s="581">
        <v>144</v>
      </c>
      <c r="C10" s="39">
        <v>0</v>
      </c>
      <c r="D10" s="40">
        <v>1750</v>
      </c>
      <c r="E10" s="39">
        <f>SUM(C10:D10)</f>
        <v>1750</v>
      </c>
      <c r="F10" s="3"/>
      <c r="G10" s="3"/>
      <c r="H10" s="3"/>
      <c r="I10" s="3"/>
    </row>
    <row r="11" spans="1:9" ht="21" x14ac:dyDescent="0.35">
      <c r="A11" s="374" t="s">
        <v>415</v>
      </c>
      <c r="B11" s="583">
        <v>7152</v>
      </c>
      <c r="C11" s="4">
        <v>0</v>
      </c>
      <c r="D11" s="4"/>
      <c r="E11" s="4">
        <f>SUM(C11:D11)</f>
        <v>0</v>
      </c>
      <c r="F11" s="3"/>
      <c r="G11" s="3"/>
      <c r="H11" s="3"/>
      <c r="I11" s="3"/>
    </row>
    <row r="12" spans="1:9" ht="21" x14ac:dyDescent="0.35">
      <c r="A12" s="66" t="s">
        <v>109</v>
      </c>
      <c r="B12" s="584">
        <v>100</v>
      </c>
      <c r="C12" s="4">
        <v>500</v>
      </c>
      <c r="D12" s="4">
        <v>500</v>
      </c>
      <c r="E12" s="4">
        <f t="shared" ref="E12:E23" si="1">SUM(C12:D12)</f>
        <v>1000</v>
      </c>
      <c r="F12" s="3"/>
      <c r="G12" s="3"/>
      <c r="H12" s="3"/>
      <c r="I12" s="3"/>
    </row>
    <row r="13" spans="1:9" ht="46.5" customHeight="1" x14ac:dyDescent="0.35">
      <c r="A13" s="374" t="s">
        <v>425</v>
      </c>
      <c r="B13" s="586">
        <v>1538</v>
      </c>
      <c r="C13" s="4">
        <v>1800</v>
      </c>
      <c r="D13" s="4">
        <v>740</v>
      </c>
      <c r="E13" s="4">
        <f t="shared" si="1"/>
        <v>2540</v>
      </c>
      <c r="F13" s="3"/>
      <c r="G13" s="3"/>
      <c r="H13" s="3"/>
      <c r="I13" s="3"/>
    </row>
    <row r="14" spans="1:9" ht="21" x14ac:dyDescent="0.35">
      <c r="A14" s="371" t="s">
        <v>110</v>
      </c>
      <c r="B14" s="587"/>
      <c r="C14" s="39">
        <v>10000</v>
      </c>
      <c r="D14" s="39">
        <v>-10000</v>
      </c>
      <c r="E14" s="39">
        <f t="shared" si="1"/>
        <v>0</v>
      </c>
      <c r="F14" s="3"/>
      <c r="G14" s="3"/>
      <c r="H14" s="3"/>
      <c r="I14" s="3"/>
    </row>
    <row r="15" spans="1:9" ht="21" x14ac:dyDescent="0.35">
      <c r="A15" s="66" t="s">
        <v>438</v>
      </c>
      <c r="B15" s="588">
        <v>6755</v>
      </c>
      <c r="C15" s="4">
        <f>6000+1000</f>
        <v>7000</v>
      </c>
      <c r="D15" s="4">
        <v>45</v>
      </c>
      <c r="E15" s="4">
        <f t="shared" si="1"/>
        <v>7045</v>
      </c>
    </row>
    <row r="16" spans="1:9" ht="21" x14ac:dyDescent="0.35">
      <c r="A16" s="66" t="s">
        <v>383</v>
      </c>
      <c r="B16" s="588">
        <v>4452</v>
      </c>
      <c r="C16" s="4">
        <v>4842</v>
      </c>
      <c r="D16" s="4">
        <v>780</v>
      </c>
      <c r="E16" s="4">
        <f t="shared" si="1"/>
        <v>5622</v>
      </c>
    </row>
    <row r="17" spans="1:5" ht="21" x14ac:dyDescent="0.35">
      <c r="A17" s="66" t="s">
        <v>131</v>
      </c>
      <c r="B17" s="588">
        <v>94</v>
      </c>
      <c r="C17" s="4">
        <f>1250-1000</f>
        <v>250</v>
      </c>
      <c r="D17" s="4">
        <v>375</v>
      </c>
      <c r="E17" s="4">
        <f t="shared" si="1"/>
        <v>625</v>
      </c>
    </row>
    <row r="18" spans="1:5" ht="21" x14ac:dyDescent="0.35">
      <c r="A18" s="66" t="s">
        <v>70</v>
      </c>
      <c r="B18" s="588">
        <v>2709</v>
      </c>
      <c r="C18" s="4">
        <v>3000</v>
      </c>
      <c r="D18" s="4">
        <v>511</v>
      </c>
      <c r="E18" s="4">
        <f t="shared" si="1"/>
        <v>3511</v>
      </c>
    </row>
    <row r="19" spans="1:5" ht="21" x14ac:dyDescent="0.35">
      <c r="A19" s="66" t="s">
        <v>54</v>
      </c>
      <c r="B19" s="588">
        <v>100</v>
      </c>
      <c r="C19" s="4">
        <v>300</v>
      </c>
      <c r="D19" s="4"/>
      <c r="E19" s="4">
        <f t="shared" si="1"/>
        <v>300</v>
      </c>
    </row>
    <row r="20" spans="1:5" ht="21" x14ac:dyDescent="0.35">
      <c r="A20" s="66" t="s">
        <v>371</v>
      </c>
      <c r="B20" s="588">
        <v>907</v>
      </c>
      <c r="C20" s="4">
        <v>1500</v>
      </c>
      <c r="D20" s="4">
        <v>866</v>
      </c>
      <c r="E20" s="4">
        <f t="shared" si="1"/>
        <v>2366</v>
      </c>
    </row>
    <row r="21" spans="1:5" ht="49.5" customHeight="1" x14ac:dyDescent="0.35">
      <c r="A21" s="375" t="s">
        <v>330</v>
      </c>
      <c r="B21" s="5">
        <v>746</v>
      </c>
      <c r="C21" s="4">
        <v>1000</v>
      </c>
      <c r="D21" s="4">
        <v>880</v>
      </c>
      <c r="E21" s="4">
        <f t="shared" si="1"/>
        <v>1880</v>
      </c>
    </row>
    <row r="22" spans="1:5" ht="40.5" customHeight="1" x14ac:dyDescent="0.35">
      <c r="A22" s="375" t="s">
        <v>405</v>
      </c>
      <c r="B22" s="5">
        <v>600</v>
      </c>
      <c r="C22" s="4">
        <v>800</v>
      </c>
      <c r="D22" s="4">
        <v>1519</v>
      </c>
      <c r="E22" s="4">
        <f t="shared" si="1"/>
        <v>2319</v>
      </c>
    </row>
    <row r="23" spans="1:5" ht="42" x14ac:dyDescent="0.35">
      <c r="A23" s="376" t="s">
        <v>589</v>
      </c>
      <c r="B23" s="74">
        <v>1000</v>
      </c>
      <c r="C23" s="6"/>
      <c r="D23" s="4">
        <v>1000</v>
      </c>
      <c r="E23" s="6">
        <f t="shared" si="1"/>
        <v>1000</v>
      </c>
    </row>
    <row r="24" spans="1:5" ht="21.75" thickBot="1" x14ac:dyDescent="0.4">
      <c r="A24" s="377" t="s">
        <v>41</v>
      </c>
      <c r="B24" s="41">
        <f>SUM(B10:B23)</f>
        <v>26297</v>
      </c>
      <c r="C24" s="41">
        <f>SUM(C10:C23)</f>
        <v>30992</v>
      </c>
      <c r="D24" s="41">
        <f>SUM(D10:D23)</f>
        <v>-1034</v>
      </c>
      <c r="E24" s="42">
        <f>SUM(E10:E23)</f>
        <v>29958</v>
      </c>
    </row>
    <row r="25" spans="1:5" ht="21.75" thickBot="1" x14ac:dyDescent="0.4">
      <c r="A25" s="377" t="s">
        <v>270</v>
      </c>
      <c r="B25" s="41">
        <f>+B24+B9</f>
        <v>6001882</v>
      </c>
      <c r="C25" s="41">
        <f>+C24+C9</f>
        <v>6593717</v>
      </c>
      <c r="D25" s="41">
        <f>+D24+D9</f>
        <v>373662</v>
      </c>
      <c r="E25" s="42">
        <f>+E24+E9</f>
        <v>6967379</v>
      </c>
    </row>
    <row r="26" spans="1:5" s="45" customFormat="1" ht="21" x14ac:dyDescent="0.35">
      <c r="B26" s="17"/>
      <c r="E26" s="17"/>
    </row>
    <row r="27" spans="1:5" s="45" customFormat="1" ht="21.75" thickBot="1" x14ac:dyDescent="0.4">
      <c r="A27" s="316" t="s">
        <v>80</v>
      </c>
      <c r="B27" s="19"/>
      <c r="C27" s="316"/>
      <c r="D27" s="316"/>
      <c r="E27" s="19"/>
    </row>
    <row r="28" spans="1:5" s="45" customFormat="1" ht="21" x14ac:dyDescent="0.35">
      <c r="A28" s="378" t="s">
        <v>155</v>
      </c>
      <c r="B28" s="185" t="s">
        <v>418</v>
      </c>
      <c r="C28" s="185" t="s">
        <v>439</v>
      </c>
      <c r="D28" s="185" t="s">
        <v>672</v>
      </c>
      <c r="E28" s="185" t="s">
        <v>671</v>
      </c>
    </row>
    <row r="29" spans="1:5" s="45" customFormat="1" ht="21.75" thickBot="1" x14ac:dyDescent="0.4">
      <c r="A29" s="379"/>
      <c r="B29" s="188" t="s">
        <v>674</v>
      </c>
      <c r="C29" s="188" t="s">
        <v>331</v>
      </c>
      <c r="D29" s="188" t="s">
        <v>673</v>
      </c>
      <c r="E29" s="188" t="s">
        <v>344</v>
      </c>
    </row>
    <row r="30" spans="1:5" s="45" customFormat="1" ht="21" x14ac:dyDescent="0.35">
      <c r="A30" s="380" t="s">
        <v>179</v>
      </c>
      <c r="B30" s="585">
        <v>27648</v>
      </c>
      <c r="C30" s="40"/>
      <c r="D30" s="40">
        <f>11763+2038</f>
        <v>13801</v>
      </c>
      <c r="E30" s="40">
        <f>SUM(C30:D30)</f>
        <v>13801</v>
      </c>
    </row>
    <row r="31" spans="1:5" s="45" customFormat="1" ht="21" x14ac:dyDescent="0.35">
      <c r="A31" s="372" t="s">
        <v>675</v>
      </c>
      <c r="B31" s="582">
        <v>63645</v>
      </c>
      <c r="C31" s="43"/>
      <c r="D31" s="39">
        <f>8546+2939</f>
        <v>11485</v>
      </c>
      <c r="E31" s="43">
        <f>SUM(C31:D31)</f>
        <v>11485</v>
      </c>
    </row>
    <row r="32" spans="1:5" s="45" customFormat="1" ht="21.75" thickBot="1" x14ac:dyDescent="0.4">
      <c r="A32" s="347" t="s">
        <v>271</v>
      </c>
      <c r="B32" s="44">
        <f>SUM(B30:B31)</f>
        <v>91293</v>
      </c>
      <c r="C32" s="44">
        <f>SUM(C30:C31)</f>
        <v>0</v>
      </c>
      <c r="D32" s="44">
        <f>SUM(D30:D31)</f>
        <v>25286</v>
      </c>
      <c r="E32" s="14">
        <f>SUM(E30:E31)</f>
        <v>25286</v>
      </c>
    </row>
    <row r="33" spans="1:5" s="45" customFormat="1" ht="21.75" thickBot="1" x14ac:dyDescent="0.4">
      <c r="B33" s="17"/>
      <c r="E33" s="17"/>
    </row>
    <row r="34" spans="1:5" s="45" customFormat="1" ht="21.75" thickBot="1" x14ac:dyDescent="0.4">
      <c r="A34" s="381" t="s">
        <v>272</v>
      </c>
      <c r="B34" s="15">
        <f>+B32+B24+B9</f>
        <v>6093175</v>
      </c>
      <c r="C34" s="15">
        <f>+C32+C24+C9</f>
        <v>6593717</v>
      </c>
      <c r="D34" s="15">
        <f>+D32+D24+D9</f>
        <v>398948</v>
      </c>
      <c r="E34" s="15">
        <f>+E32+E24+E9</f>
        <v>6992665</v>
      </c>
    </row>
    <row r="35" spans="1:5" s="45" customFormat="1" ht="21" x14ac:dyDescent="0.35">
      <c r="B35" s="17"/>
      <c r="E35" s="17"/>
    </row>
    <row r="36" spans="1:5" s="45" customFormat="1" ht="21" x14ac:dyDescent="0.35">
      <c r="A36" s="45" t="s">
        <v>72</v>
      </c>
      <c r="B36" s="17"/>
      <c r="E36" s="382"/>
    </row>
    <row r="37" spans="1:5" s="45" customFormat="1" ht="21" x14ac:dyDescent="0.35">
      <c r="A37" s="45" t="s">
        <v>73</v>
      </c>
      <c r="B37" s="17"/>
      <c r="E37" s="17"/>
    </row>
    <row r="38" spans="1:5" ht="21" x14ac:dyDescent="0.35"/>
    <row r="39" spans="1:5" ht="21" x14ac:dyDescent="0.35"/>
    <row r="40" spans="1:5" ht="21" x14ac:dyDescent="0.35"/>
    <row r="41" spans="1:5" ht="21" x14ac:dyDescent="0.35"/>
    <row r="42" spans="1:5" ht="21" x14ac:dyDescent="0.35"/>
    <row r="43" spans="1:5" ht="21" x14ac:dyDescent="0.35"/>
    <row r="44" spans="1:5" ht="21" x14ac:dyDescent="0.35"/>
    <row r="45" spans="1:5" ht="21" x14ac:dyDescent="0.35"/>
    <row r="46" spans="1:5" ht="21" x14ac:dyDescent="0.35"/>
    <row r="47" spans="1:5" ht="21" x14ac:dyDescent="0.35"/>
    <row r="48" spans="1:5" ht="21" x14ac:dyDescent="0.35"/>
    <row r="49" ht="21" x14ac:dyDescent="0.35"/>
    <row r="50" ht="21" x14ac:dyDescent="0.35"/>
    <row r="51" ht="21" x14ac:dyDescent="0.35"/>
    <row r="52" ht="21" x14ac:dyDescent="0.35"/>
    <row r="53" ht="21" x14ac:dyDescent="0.35"/>
    <row r="54" ht="21" x14ac:dyDescent="0.35"/>
    <row r="55" ht="21" x14ac:dyDescent="0.35"/>
    <row r="56" ht="21" x14ac:dyDescent="0.35"/>
    <row r="57" ht="21" x14ac:dyDescent="0.35"/>
    <row r="58" ht="21" x14ac:dyDescent="0.35"/>
    <row r="59" ht="21" x14ac:dyDescent="0.35"/>
  </sheetData>
  <customSheetViews>
    <customSheetView guid="{6D4B996F-8915-4E78-98C2-E7EAE9C4580C}" scale="75" printArea="1" showRuler="0" topLeftCell="A46">
      <selection activeCell="B45" sqref="B45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1"/>
      <headerFooter alignWithMargins="0">
        <oddHeader>&amp;L&amp;F  &amp;A&amp;C&amp;"Times New Roman CE,Félkövér"&amp;14&amp;RM.III/2. sz. melléklet</oddHeader>
      </headerFooter>
    </customSheetView>
    <customSheetView guid="{186732C5-520C-4E06-B066-B4F3F0A3E322}" scale="75" showRuler="0" topLeftCell="A52">
      <selection activeCell="B59" sqref="B59"/>
      <pageMargins left="0.39370078740157483" right="0.39370078740157483" top="0.59055118110236227" bottom="0.39370078740157483" header="0.31496062992125984" footer="0.31496062992125984"/>
      <printOptions horizontalCentered="1" verticalCentered="1"/>
      <pageSetup paperSize="9" scale="64" orientation="portrait" horizontalDpi="300" verticalDpi="300" r:id="rId2"/>
      <headerFooter alignWithMargins="0">
        <oddHeader>&amp;L&amp;F  &amp;A&amp;C&amp;"Times New Roman CE,Félkövér"&amp;14&amp;RM.III/2.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.59055118110236227" right="0.59055118110236227" top="0" bottom="0" header="0.51181102362204722" footer="0"/>
  <pageSetup paperSize="9" scale="45" orientation="portrait" r:id="rId3"/>
  <headerFooter alignWithMargins="0">
    <oddHeader xml:space="preserve">&amp;R&amp;"-,Félkövér"&amp;12 
8. melléklet a ..../2026. (.......) önkormányzati rendelethez
"8. melléklet a 3/2026.(II.27.) önkormányzati rendelethez"
 &amp;"Times New Roman CE,Félkövér"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0"/>
  <dimension ref="A1:E80"/>
  <sheetViews>
    <sheetView zoomScale="110" zoomScaleNormal="110" workbookViewId="0">
      <selection activeCell="A81" sqref="A81:XFD92"/>
    </sheetView>
  </sheetViews>
  <sheetFormatPr defaultColWidth="9.33203125" defaultRowHeight="21" customHeight="1" x14ac:dyDescent="0.35"/>
  <cols>
    <col min="1" max="1" width="121" style="2" customWidth="1"/>
    <col min="2" max="2" width="33.33203125" style="3" customWidth="1"/>
    <col min="3" max="3" width="33.6640625" style="3" customWidth="1"/>
    <col min="4" max="4" width="39.33203125" style="3" customWidth="1"/>
    <col min="5" max="5" width="41.83203125" style="3" customWidth="1"/>
    <col min="6" max="16384" width="9.33203125" style="2"/>
  </cols>
  <sheetData>
    <row r="1" spans="1:5" ht="21" customHeight="1" x14ac:dyDescent="0.35">
      <c r="A1" s="182"/>
      <c r="B1" s="181"/>
      <c r="C1" s="181"/>
      <c r="D1" s="181"/>
      <c r="E1" s="181"/>
    </row>
    <row r="2" spans="1:5" ht="21" customHeight="1" x14ac:dyDescent="0.35">
      <c r="A2" s="882" t="s">
        <v>273</v>
      </c>
      <c r="B2" s="882"/>
      <c r="C2" s="882"/>
      <c r="D2" s="882"/>
      <c r="E2" s="882"/>
    </row>
    <row r="3" spans="1:5" ht="21" customHeight="1" x14ac:dyDescent="0.35">
      <c r="A3" s="182"/>
      <c r="B3" s="181"/>
      <c r="C3" s="181"/>
      <c r="D3" s="181"/>
      <c r="E3" s="181"/>
    </row>
    <row r="4" spans="1:5" ht="21" customHeight="1" thickBot="1" x14ac:dyDescent="0.4">
      <c r="A4" s="316" t="s">
        <v>35</v>
      </c>
      <c r="B4" s="19"/>
      <c r="C4" s="19"/>
      <c r="D4" s="19"/>
      <c r="E4" s="308" t="s">
        <v>201</v>
      </c>
    </row>
    <row r="5" spans="1:5" ht="21" customHeight="1" x14ac:dyDescent="0.35">
      <c r="A5" s="368" t="s">
        <v>155</v>
      </c>
      <c r="B5" s="185" t="s">
        <v>418</v>
      </c>
      <c r="C5" s="185" t="s">
        <v>439</v>
      </c>
      <c r="D5" s="185" t="s">
        <v>672</v>
      </c>
      <c r="E5" s="185" t="s">
        <v>671</v>
      </c>
    </row>
    <row r="6" spans="1:5" ht="21.75" thickBot="1" x14ac:dyDescent="0.4">
      <c r="A6" s="383"/>
      <c r="B6" s="370" t="s">
        <v>674</v>
      </c>
      <c r="C6" s="370" t="s">
        <v>331</v>
      </c>
      <c r="D6" s="370" t="s">
        <v>673</v>
      </c>
      <c r="E6" s="370" t="s">
        <v>344</v>
      </c>
    </row>
    <row r="7" spans="1:5" x14ac:dyDescent="0.35">
      <c r="A7" s="384" t="s">
        <v>475</v>
      </c>
      <c r="B7" s="589"/>
      <c r="C7" s="46"/>
      <c r="D7" s="46"/>
      <c r="E7" s="46"/>
    </row>
    <row r="8" spans="1:5" ht="21.75" thickBot="1" x14ac:dyDescent="0.4">
      <c r="A8" s="385" t="s">
        <v>514</v>
      </c>
      <c r="B8" s="31">
        <v>251831</v>
      </c>
      <c r="C8" s="31">
        <f>162526+28055+51993</f>
        <v>242574</v>
      </c>
      <c r="D8" s="31">
        <f>53284+5120-83487+87587</f>
        <v>62504</v>
      </c>
      <c r="E8" s="31">
        <f>SUM(C8:D8)</f>
        <v>305078</v>
      </c>
    </row>
    <row r="9" spans="1:5" ht="21.75" thickBot="1" x14ac:dyDescent="0.4">
      <c r="A9" s="386" t="s">
        <v>515</v>
      </c>
      <c r="B9" s="15">
        <v>829196</v>
      </c>
      <c r="C9" s="15">
        <f>581360+175940</f>
        <v>757300</v>
      </c>
      <c r="D9" s="15">
        <f>255763+23295+208152</f>
        <v>487210</v>
      </c>
      <c r="E9" s="15">
        <f t="shared" ref="E9:E11" si="0">SUM(C9:D9)</f>
        <v>1244510</v>
      </c>
    </row>
    <row r="10" spans="1:5" ht="21.75" thickBot="1" x14ac:dyDescent="0.4">
      <c r="A10" s="373" t="s">
        <v>329</v>
      </c>
      <c r="B10" s="160">
        <v>512344</v>
      </c>
      <c r="C10" s="160">
        <f>324895+94462</f>
        <v>419357</v>
      </c>
      <c r="D10" s="160">
        <f>31247+6080+7000+130321+100</f>
        <v>174748</v>
      </c>
      <c r="E10" s="160">
        <f t="shared" si="0"/>
        <v>594105</v>
      </c>
    </row>
    <row r="11" spans="1:5" ht="21.75" thickBot="1" x14ac:dyDescent="0.4">
      <c r="A11" s="373" t="s">
        <v>454</v>
      </c>
      <c r="B11" s="160">
        <v>872382</v>
      </c>
      <c r="C11" s="160">
        <f>756427+199180+4000-20000</f>
        <v>939607</v>
      </c>
      <c r="D11" s="160">
        <f>63260+16943+51607+6000</f>
        <v>137810</v>
      </c>
      <c r="E11" s="160">
        <f t="shared" si="0"/>
        <v>1077417</v>
      </c>
    </row>
    <row r="12" spans="1:5" ht="21.75" thickBot="1" x14ac:dyDescent="0.4">
      <c r="A12" s="387" t="s">
        <v>516</v>
      </c>
      <c r="B12" s="15">
        <f>SUM(B8:B11)</f>
        <v>2465753</v>
      </c>
      <c r="C12" s="15">
        <f>SUM(C8:C11)</f>
        <v>2358838</v>
      </c>
      <c r="D12" s="15">
        <f>SUM(D8:D11)</f>
        <v>862272</v>
      </c>
      <c r="E12" s="15">
        <f>SUM(E8:E11)</f>
        <v>3221110</v>
      </c>
    </row>
    <row r="13" spans="1:5" x14ac:dyDescent="0.35">
      <c r="A13" s="388" t="s">
        <v>476</v>
      </c>
      <c r="B13" s="589"/>
      <c r="C13" s="35"/>
      <c r="D13" s="35"/>
      <c r="E13" s="35"/>
    </row>
    <row r="14" spans="1:5" x14ac:dyDescent="0.35">
      <c r="A14" s="389" t="s">
        <v>663</v>
      </c>
      <c r="B14" s="4">
        <v>347387</v>
      </c>
      <c r="C14" s="4">
        <f>307387+34690+3000+3000+9731</f>
        <v>357808</v>
      </c>
      <c r="D14" s="4"/>
      <c r="E14" s="4">
        <f t="shared" ref="E14:E22" si="1">SUM(C14:D14)</f>
        <v>357808</v>
      </c>
    </row>
    <row r="15" spans="1:5" ht="42" x14ac:dyDescent="0.35">
      <c r="A15" s="571" t="s">
        <v>664</v>
      </c>
      <c r="B15" s="48">
        <v>75519</v>
      </c>
      <c r="C15" s="4">
        <f>373897-71822+55733</f>
        <v>357808</v>
      </c>
      <c r="D15" s="4">
        <v>-357808</v>
      </c>
      <c r="E15" s="4">
        <f t="shared" si="1"/>
        <v>0</v>
      </c>
    </row>
    <row r="16" spans="1:5" ht="42" x14ac:dyDescent="0.35">
      <c r="A16" s="650" t="s">
        <v>590</v>
      </c>
      <c r="B16" s="651">
        <v>71822</v>
      </c>
      <c r="C16" s="6">
        <v>71822</v>
      </c>
      <c r="D16" s="6"/>
      <c r="E16" s="6">
        <f t="shared" si="1"/>
        <v>71822</v>
      </c>
    </row>
    <row r="17" spans="1:5" ht="42.75" customHeight="1" thickBot="1" x14ac:dyDescent="0.4">
      <c r="A17" s="390" t="s">
        <v>688</v>
      </c>
      <c r="B17" s="59"/>
      <c r="C17" s="8"/>
      <c r="D17" s="8">
        <v>77204</v>
      </c>
      <c r="E17" s="8">
        <f t="shared" si="1"/>
        <v>77204</v>
      </c>
    </row>
    <row r="18" spans="1:5" s="45" customFormat="1" ht="21.75" thickBot="1" x14ac:dyDescent="0.4">
      <c r="A18" s="391" t="s">
        <v>474</v>
      </c>
      <c r="B18" s="15">
        <f>SUM(B14:B17)</f>
        <v>494728</v>
      </c>
      <c r="C18" s="15">
        <f t="shared" ref="C18:E18" si="2">SUM(C14:C17)</f>
        <v>787438</v>
      </c>
      <c r="D18" s="15">
        <f t="shared" si="2"/>
        <v>-280604</v>
      </c>
      <c r="E18" s="15">
        <f t="shared" si="2"/>
        <v>506834</v>
      </c>
    </row>
    <row r="19" spans="1:5" ht="21.75" thickBot="1" x14ac:dyDescent="0.4">
      <c r="A19" s="391" t="s">
        <v>477</v>
      </c>
      <c r="B19" s="15">
        <v>55405</v>
      </c>
      <c r="C19" s="15">
        <v>48651</v>
      </c>
      <c r="D19" s="15"/>
      <c r="E19" s="15">
        <f t="shared" si="1"/>
        <v>48651</v>
      </c>
    </row>
    <row r="20" spans="1:5" x14ac:dyDescent="0.35">
      <c r="A20" s="652" t="s">
        <v>689</v>
      </c>
      <c r="B20" s="8">
        <v>429570</v>
      </c>
      <c r="C20" s="8">
        <f>384000-15000</f>
        <v>369000</v>
      </c>
      <c r="D20" s="8">
        <v>3228</v>
      </c>
      <c r="E20" s="8">
        <f t="shared" si="1"/>
        <v>372228</v>
      </c>
    </row>
    <row r="21" spans="1:5" ht="42" x14ac:dyDescent="0.35">
      <c r="A21" s="650" t="s">
        <v>590</v>
      </c>
      <c r="B21" s="6"/>
      <c r="C21" s="6"/>
      <c r="D21" s="6">
        <v>24570</v>
      </c>
      <c r="E21" s="6">
        <f t="shared" si="1"/>
        <v>24570</v>
      </c>
    </row>
    <row r="22" spans="1:5" ht="42.75" thickBot="1" x14ac:dyDescent="0.4">
      <c r="A22" s="653" t="s">
        <v>688</v>
      </c>
      <c r="B22" s="9"/>
      <c r="C22" s="9"/>
      <c r="D22" s="9">
        <v>62625</v>
      </c>
      <c r="E22" s="8">
        <f t="shared" si="1"/>
        <v>62625</v>
      </c>
    </row>
    <row r="23" spans="1:5" ht="21.75" thickBot="1" x14ac:dyDescent="0.4">
      <c r="A23" s="391" t="s">
        <v>687</v>
      </c>
      <c r="B23" s="15">
        <f>SUM(B20:B22)</f>
        <v>429570</v>
      </c>
      <c r="C23" s="15">
        <f t="shared" ref="C23:E23" si="3">SUM(C20:C22)</f>
        <v>369000</v>
      </c>
      <c r="D23" s="15">
        <f t="shared" si="3"/>
        <v>90423</v>
      </c>
      <c r="E23" s="15">
        <f t="shared" si="3"/>
        <v>459423</v>
      </c>
    </row>
    <row r="24" spans="1:5" s="45" customFormat="1" ht="21.75" thickBot="1" x14ac:dyDescent="0.4">
      <c r="A24" s="34" t="s">
        <v>478</v>
      </c>
      <c r="B24" s="31">
        <f>B18+B19+B23</f>
        <v>979703</v>
      </c>
      <c r="C24" s="31">
        <f t="shared" ref="C24:E24" si="4">C18+C19+C23</f>
        <v>1205089</v>
      </c>
      <c r="D24" s="31">
        <f t="shared" si="4"/>
        <v>-190181</v>
      </c>
      <c r="E24" s="31">
        <f t="shared" si="4"/>
        <v>1014908</v>
      </c>
    </row>
    <row r="25" spans="1:5" ht="42.75" customHeight="1" thickBot="1" x14ac:dyDescent="0.4">
      <c r="A25" s="392" t="s">
        <v>479</v>
      </c>
      <c r="B25" s="15">
        <f>B12+B24</f>
        <v>3445456</v>
      </c>
      <c r="C25" s="15">
        <f>C12+C24</f>
        <v>3563927</v>
      </c>
      <c r="D25" s="15">
        <f>D12+D24</f>
        <v>672091</v>
      </c>
      <c r="E25" s="15">
        <f>E12+E24</f>
        <v>4236018</v>
      </c>
    </row>
    <row r="26" spans="1:5" x14ac:dyDescent="0.35">
      <c r="A26" s="393" t="s">
        <v>480</v>
      </c>
      <c r="B26" s="590"/>
      <c r="C26" s="35"/>
      <c r="D26" s="35"/>
      <c r="E26" s="35"/>
    </row>
    <row r="27" spans="1:5" x14ac:dyDescent="0.35">
      <c r="A27" s="384" t="s">
        <v>481</v>
      </c>
      <c r="B27" s="589"/>
      <c r="C27" s="10"/>
      <c r="D27" s="10"/>
      <c r="E27" s="10"/>
    </row>
    <row r="28" spans="1:5" x14ac:dyDescent="0.35">
      <c r="A28" s="389" t="s">
        <v>133</v>
      </c>
      <c r="B28" s="4">
        <v>3000</v>
      </c>
      <c r="C28" s="4">
        <v>3000</v>
      </c>
      <c r="D28" s="4"/>
      <c r="E28" s="4">
        <f t="shared" ref="E28:E49" si="5">SUM(C28:D28)</f>
        <v>3000</v>
      </c>
    </row>
    <row r="29" spans="1:5" x14ac:dyDescent="0.35">
      <c r="A29" s="394" t="s">
        <v>55</v>
      </c>
      <c r="B29" s="4">
        <v>1200</v>
      </c>
      <c r="C29" s="4">
        <v>1200</v>
      </c>
      <c r="D29" s="4"/>
      <c r="E29" s="4">
        <f t="shared" si="5"/>
        <v>1200</v>
      </c>
    </row>
    <row r="30" spans="1:5" x14ac:dyDescent="0.35">
      <c r="A30" s="394" t="s">
        <v>404</v>
      </c>
      <c r="B30" s="4">
        <v>3000</v>
      </c>
      <c r="C30" s="4">
        <f>3000+500</f>
        <v>3500</v>
      </c>
      <c r="D30" s="4"/>
      <c r="E30" s="4">
        <f t="shared" si="5"/>
        <v>3500</v>
      </c>
    </row>
    <row r="31" spans="1:5" x14ac:dyDescent="0.35">
      <c r="A31" s="394" t="s">
        <v>37</v>
      </c>
      <c r="B31" s="4">
        <v>4000</v>
      </c>
      <c r="C31" s="4">
        <f>4000+2000</f>
        <v>6000</v>
      </c>
      <c r="D31" s="4"/>
      <c r="E31" s="4">
        <f t="shared" si="5"/>
        <v>6000</v>
      </c>
    </row>
    <row r="32" spans="1:5" x14ac:dyDescent="0.35">
      <c r="A32" s="394" t="s">
        <v>38</v>
      </c>
      <c r="B32" s="4">
        <v>13000</v>
      </c>
      <c r="C32" s="4">
        <f>13000+3000-1000</f>
        <v>15000</v>
      </c>
      <c r="D32" s="4"/>
      <c r="E32" s="4">
        <f t="shared" si="5"/>
        <v>15000</v>
      </c>
    </row>
    <row r="33" spans="1:5" x14ac:dyDescent="0.35">
      <c r="A33" s="394" t="s">
        <v>655</v>
      </c>
      <c r="B33" s="4"/>
      <c r="C33" s="4">
        <v>1000</v>
      </c>
      <c r="D33" s="4"/>
      <c r="E33" s="4">
        <f t="shared" si="5"/>
        <v>1000</v>
      </c>
    </row>
    <row r="34" spans="1:5" x14ac:dyDescent="0.35">
      <c r="A34" s="394" t="s">
        <v>39</v>
      </c>
      <c r="B34" s="4">
        <v>1000</v>
      </c>
      <c r="C34" s="4">
        <f>1000+500</f>
        <v>1500</v>
      </c>
      <c r="D34" s="4"/>
      <c r="E34" s="4">
        <f t="shared" si="5"/>
        <v>1500</v>
      </c>
    </row>
    <row r="35" spans="1:5" x14ac:dyDescent="0.35">
      <c r="A35" s="394" t="s">
        <v>555</v>
      </c>
      <c r="B35" s="4">
        <v>3000</v>
      </c>
      <c r="C35" s="4">
        <v>3000</v>
      </c>
      <c r="D35" s="4"/>
      <c r="E35" s="4">
        <f t="shared" si="5"/>
        <v>3000</v>
      </c>
    </row>
    <row r="36" spans="1:5" x14ac:dyDescent="0.35">
      <c r="A36" s="394" t="s">
        <v>332</v>
      </c>
      <c r="B36" s="4">
        <v>2000</v>
      </c>
      <c r="C36" s="4">
        <f>2000</f>
        <v>2000</v>
      </c>
      <c r="D36" s="4"/>
      <c r="E36" s="4">
        <f t="shared" si="5"/>
        <v>2000</v>
      </c>
    </row>
    <row r="37" spans="1:5" x14ac:dyDescent="0.35">
      <c r="A37" s="394" t="s">
        <v>56</v>
      </c>
      <c r="B37" s="4">
        <v>650</v>
      </c>
      <c r="C37" s="4">
        <f>650+350</f>
        <v>1000</v>
      </c>
      <c r="D37" s="4"/>
      <c r="E37" s="4">
        <f t="shared" si="5"/>
        <v>1000</v>
      </c>
    </row>
    <row r="38" spans="1:5" x14ac:dyDescent="0.35">
      <c r="A38" s="394" t="s">
        <v>194</v>
      </c>
      <c r="B38" s="4">
        <v>2000</v>
      </c>
      <c r="C38" s="4">
        <f>2000+500</f>
        <v>2500</v>
      </c>
      <c r="D38" s="4"/>
      <c r="E38" s="4">
        <f t="shared" si="5"/>
        <v>2500</v>
      </c>
    </row>
    <row r="39" spans="1:5" x14ac:dyDescent="0.35">
      <c r="A39" s="394" t="s">
        <v>325</v>
      </c>
      <c r="B39" s="4">
        <v>6000</v>
      </c>
      <c r="C39" s="4">
        <f>6000+1000</f>
        <v>7000</v>
      </c>
      <c r="D39" s="4"/>
      <c r="E39" s="4">
        <f t="shared" si="5"/>
        <v>7000</v>
      </c>
    </row>
    <row r="40" spans="1:5" x14ac:dyDescent="0.35">
      <c r="A40" s="394" t="s">
        <v>385</v>
      </c>
      <c r="B40" s="4">
        <v>2000</v>
      </c>
      <c r="C40" s="4">
        <f>2000</f>
        <v>2000</v>
      </c>
      <c r="D40" s="4"/>
      <c r="E40" s="4">
        <f t="shared" si="5"/>
        <v>2000</v>
      </c>
    </row>
    <row r="41" spans="1:5" x14ac:dyDescent="0.35">
      <c r="A41" s="394" t="s">
        <v>125</v>
      </c>
      <c r="B41" s="5">
        <v>2000</v>
      </c>
      <c r="C41" s="4">
        <v>2000</v>
      </c>
      <c r="D41" s="4"/>
      <c r="E41" s="4">
        <f t="shared" si="5"/>
        <v>2000</v>
      </c>
    </row>
    <row r="42" spans="1:5" ht="46.5" customHeight="1" x14ac:dyDescent="0.35">
      <c r="A42" s="395" t="s">
        <v>653</v>
      </c>
      <c r="B42" s="595">
        <v>3500</v>
      </c>
      <c r="C42" s="4">
        <f>3500+700</f>
        <v>4200</v>
      </c>
      <c r="D42" s="4"/>
      <c r="E42" s="4">
        <f t="shared" si="5"/>
        <v>4200</v>
      </c>
    </row>
    <row r="43" spans="1:5" ht="37.5" customHeight="1" x14ac:dyDescent="0.35">
      <c r="A43" s="396" t="s">
        <v>333</v>
      </c>
      <c r="B43" s="588">
        <v>1200</v>
      </c>
      <c r="C43" s="4">
        <v>1200</v>
      </c>
      <c r="D43" s="4"/>
      <c r="E43" s="4">
        <f t="shared" si="5"/>
        <v>1200</v>
      </c>
    </row>
    <row r="44" spans="1:5" ht="42" x14ac:dyDescent="0.35">
      <c r="A44" s="397" t="s">
        <v>337</v>
      </c>
      <c r="B44" s="596">
        <v>1500</v>
      </c>
      <c r="C44" s="4">
        <v>1500</v>
      </c>
      <c r="D44" s="4"/>
      <c r="E44" s="4">
        <f t="shared" si="5"/>
        <v>1500</v>
      </c>
    </row>
    <row r="45" spans="1:5" x14ac:dyDescent="0.35">
      <c r="A45" s="375" t="s">
        <v>326</v>
      </c>
      <c r="B45" s="5">
        <v>1000</v>
      </c>
      <c r="C45" s="4">
        <v>1000</v>
      </c>
      <c r="D45" s="4"/>
      <c r="E45" s="4">
        <f t="shared" si="5"/>
        <v>1000</v>
      </c>
    </row>
    <row r="46" spans="1:5" x14ac:dyDescent="0.35">
      <c r="A46" s="375" t="s">
        <v>461</v>
      </c>
      <c r="B46" s="5">
        <v>1000</v>
      </c>
      <c r="C46" s="4">
        <v>1000</v>
      </c>
      <c r="D46" s="4"/>
      <c r="E46" s="4">
        <f t="shared" si="5"/>
        <v>1000</v>
      </c>
    </row>
    <row r="47" spans="1:5" x14ac:dyDescent="0.35">
      <c r="A47" s="375" t="s">
        <v>464</v>
      </c>
      <c r="B47" s="5">
        <v>1000</v>
      </c>
      <c r="C47" s="4">
        <v>1000</v>
      </c>
      <c r="D47" s="4"/>
      <c r="E47" s="4">
        <f t="shared" si="5"/>
        <v>1000</v>
      </c>
    </row>
    <row r="48" spans="1:5" x14ac:dyDescent="0.35">
      <c r="A48" s="375" t="s">
        <v>434</v>
      </c>
      <c r="B48" s="5">
        <v>1000</v>
      </c>
      <c r="C48" s="4">
        <f>1000-1000</f>
        <v>0</v>
      </c>
      <c r="D48" s="4"/>
      <c r="E48" s="4">
        <f t="shared" si="5"/>
        <v>0</v>
      </c>
    </row>
    <row r="49" spans="1:5" ht="21.75" thickBot="1" x14ac:dyDescent="0.4">
      <c r="A49" s="398" t="s">
        <v>202</v>
      </c>
      <c r="B49" s="597">
        <v>300</v>
      </c>
      <c r="C49" s="67">
        <f>300+200</f>
        <v>500</v>
      </c>
      <c r="D49" s="67"/>
      <c r="E49" s="67">
        <f t="shared" si="5"/>
        <v>500</v>
      </c>
    </row>
    <row r="50" spans="1:5" ht="21.75" thickBot="1" x14ac:dyDescent="0.4">
      <c r="A50" s="399" t="s">
        <v>482</v>
      </c>
      <c r="B50" s="31">
        <f>SUM(B28:B49)</f>
        <v>53350</v>
      </c>
      <c r="C50" s="31">
        <f>SUM(C28:C49)</f>
        <v>61100</v>
      </c>
      <c r="D50" s="31">
        <f>SUM(D28:D49)</f>
        <v>0</v>
      </c>
      <c r="E50" s="31">
        <f>SUM(E28:E49)</f>
        <v>61100</v>
      </c>
    </row>
    <row r="51" spans="1:5" ht="21.75" thickBot="1" x14ac:dyDescent="0.4">
      <c r="A51" s="400" t="s">
        <v>483</v>
      </c>
      <c r="B51" s="14">
        <v>2050</v>
      </c>
      <c r="C51" s="14">
        <v>0</v>
      </c>
      <c r="D51" s="14">
        <f>12160+654+12000</f>
        <v>24814</v>
      </c>
      <c r="E51" s="14">
        <f>SUM(C51:D51)</f>
        <v>24814</v>
      </c>
    </row>
    <row r="52" spans="1:5" ht="42.75" thickBot="1" x14ac:dyDescent="0.4">
      <c r="A52" s="401" t="s">
        <v>484</v>
      </c>
      <c r="B52" s="31">
        <f>B50+B51</f>
        <v>55400</v>
      </c>
      <c r="C52" s="31">
        <f>C50+C51</f>
        <v>61100</v>
      </c>
      <c r="D52" s="31">
        <f>D50+D51</f>
        <v>24814</v>
      </c>
      <c r="E52" s="31">
        <f>E50+E51</f>
        <v>85914</v>
      </c>
    </row>
    <row r="53" spans="1:5" ht="21.75" thickBot="1" x14ac:dyDescent="0.4">
      <c r="A53" s="402" t="s">
        <v>485</v>
      </c>
      <c r="B53" s="15"/>
      <c r="C53" s="15">
        <v>0</v>
      </c>
      <c r="D53" s="15"/>
      <c r="E53" s="15">
        <f>SUM(C53:D53)</f>
        <v>0</v>
      </c>
    </row>
    <row r="54" spans="1:5" x14ac:dyDescent="0.35">
      <c r="A54" s="388" t="s">
        <v>486</v>
      </c>
      <c r="B54" s="589"/>
      <c r="C54" s="47"/>
      <c r="D54" s="47"/>
      <c r="E54" s="47"/>
    </row>
    <row r="55" spans="1:5" x14ac:dyDescent="0.35">
      <c r="A55" s="389" t="s">
        <v>410</v>
      </c>
      <c r="B55" s="4">
        <v>5324</v>
      </c>
      <c r="C55" s="4">
        <f>8269+18000+300</f>
        <v>26569</v>
      </c>
      <c r="D55" s="4">
        <v>210</v>
      </c>
      <c r="E55" s="4">
        <f>SUM(C55:D55)</f>
        <v>26779</v>
      </c>
    </row>
    <row r="56" spans="1:5" x14ac:dyDescent="0.35">
      <c r="A56" s="403" t="s">
        <v>443</v>
      </c>
      <c r="B56" s="599">
        <v>22297</v>
      </c>
      <c r="C56" s="4">
        <v>27000</v>
      </c>
      <c r="D56" s="4">
        <f>9989+2500</f>
        <v>12489</v>
      </c>
      <c r="E56" s="4">
        <f t="shared" ref="E56:E57" si="6">SUM(C56:D56)</f>
        <v>39489</v>
      </c>
    </row>
    <row r="57" spans="1:5" x14ac:dyDescent="0.35">
      <c r="A57" s="403" t="s">
        <v>355</v>
      </c>
      <c r="B57" s="599">
        <v>11095</v>
      </c>
      <c r="C57" s="4">
        <v>7500</v>
      </c>
      <c r="D57" s="4">
        <v>10000</v>
      </c>
      <c r="E57" s="4">
        <f t="shared" si="6"/>
        <v>17500</v>
      </c>
    </row>
    <row r="58" spans="1:5" ht="21.75" thickBot="1" x14ac:dyDescent="0.4">
      <c r="A58" s="404" t="s">
        <v>487</v>
      </c>
      <c r="B58" s="14">
        <f>SUM(B55:B57)</f>
        <v>38716</v>
      </c>
      <c r="C58" s="14">
        <f>SUM(C55:C57)</f>
        <v>61069</v>
      </c>
      <c r="D58" s="14">
        <f>SUM(D55:D57)</f>
        <v>22699</v>
      </c>
      <c r="E58" s="14">
        <f>SUM(E55:E57)</f>
        <v>83768</v>
      </c>
    </row>
    <row r="59" spans="1:5" ht="21.75" thickBot="1" x14ac:dyDescent="0.4">
      <c r="A59" s="405" t="s">
        <v>488</v>
      </c>
      <c r="B59" s="14">
        <f>B53+B58</f>
        <v>38716</v>
      </c>
      <c r="C59" s="14">
        <f>C53+C58</f>
        <v>61069</v>
      </c>
      <c r="D59" s="14">
        <f>D53+D58</f>
        <v>22699</v>
      </c>
      <c r="E59" s="14">
        <f>E53+E58</f>
        <v>83768</v>
      </c>
    </row>
    <row r="60" spans="1:5" x14ac:dyDescent="0.35">
      <c r="A60" s="406" t="s">
        <v>489</v>
      </c>
      <c r="B60" s="188"/>
      <c r="C60" s="49"/>
      <c r="D60" s="49"/>
      <c r="E60" s="49"/>
    </row>
    <row r="61" spans="1:5" x14ac:dyDescent="0.35">
      <c r="A61" s="407" t="s">
        <v>253</v>
      </c>
      <c r="B61" s="596">
        <v>1607</v>
      </c>
      <c r="C61" s="4">
        <v>2023</v>
      </c>
      <c r="D61" s="50">
        <v>897</v>
      </c>
      <c r="E61" s="50">
        <f>SUM(C61:D61)</f>
        <v>2920</v>
      </c>
    </row>
    <row r="62" spans="1:5" x14ac:dyDescent="0.35">
      <c r="A62" s="407" t="s">
        <v>354</v>
      </c>
      <c r="B62" s="596">
        <v>5031</v>
      </c>
      <c r="C62" s="50">
        <v>5000</v>
      </c>
      <c r="D62" s="50">
        <v>829</v>
      </c>
      <c r="E62" s="50">
        <f t="shared" ref="E62:E63" si="7">SUM(C62:D62)</f>
        <v>5829</v>
      </c>
    </row>
    <row r="63" spans="1:5" ht="21.75" thickBot="1" x14ac:dyDescent="0.4">
      <c r="A63" s="408" t="s">
        <v>435</v>
      </c>
      <c r="B63" s="600">
        <v>664</v>
      </c>
      <c r="C63" s="8">
        <v>1000</v>
      </c>
      <c r="D63" s="8">
        <v>-100</v>
      </c>
      <c r="E63" s="8">
        <f t="shared" si="7"/>
        <v>900</v>
      </c>
    </row>
    <row r="64" spans="1:5" ht="21.75" thickBot="1" x14ac:dyDescent="0.4">
      <c r="A64" s="409" t="s">
        <v>504</v>
      </c>
      <c r="B64" s="15">
        <f>SUM(B61:B63)</f>
        <v>7302</v>
      </c>
      <c r="C64" s="15">
        <f>SUM(C61:C63)</f>
        <v>8023</v>
      </c>
      <c r="D64" s="15">
        <f t="shared" ref="D64:E64" si="8">SUM(D61:D63)</f>
        <v>1626</v>
      </c>
      <c r="E64" s="15">
        <f t="shared" si="8"/>
        <v>9649</v>
      </c>
    </row>
    <row r="65" spans="1:5" ht="21.75" thickBot="1" x14ac:dyDescent="0.4">
      <c r="A65" s="410" t="s">
        <v>490</v>
      </c>
      <c r="B65" s="31">
        <f>B52+B59+B64</f>
        <v>101418</v>
      </c>
      <c r="C65" s="31">
        <f>C52+C59+C64</f>
        <v>130192</v>
      </c>
      <c r="D65" s="31">
        <f>D52+D59+D64</f>
        <v>49139</v>
      </c>
      <c r="E65" s="31">
        <f>E52+E59+E64</f>
        <v>179331</v>
      </c>
    </row>
    <row r="66" spans="1:5" ht="21.75" thickBot="1" x14ac:dyDescent="0.4">
      <c r="A66" s="405" t="s">
        <v>491</v>
      </c>
      <c r="B66" s="14">
        <f>B25+B65</f>
        <v>3546874</v>
      </c>
      <c r="C66" s="14">
        <f>C25+C65</f>
        <v>3694119</v>
      </c>
      <c r="D66" s="14">
        <f>D25+D65</f>
        <v>721230</v>
      </c>
      <c r="E66" s="14">
        <f>E25+E65</f>
        <v>4415349</v>
      </c>
    </row>
    <row r="67" spans="1:5" x14ac:dyDescent="0.35">
      <c r="A67" s="411"/>
      <c r="B67" s="591"/>
      <c r="C67" s="17"/>
      <c r="D67" s="17"/>
      <c r="E67" s="17"/>
    </row>
    <row r="68" spans="1:5" ht="21.75" thickBot="1" x14ac:dyDescent="0.4">
      <c r="A68" s="316" t="s">
        <v>80</v>
      </c>
      <c r="B68" s="19"/>
      <c r="C68" s="19"/>
      <c r="D68" s="19"/>
      <c r="E68" s="19"/>
    </row>
    <row r="69" spans="1:5" x14ac:dyDescent="0.35">
      <c r="A69" s="378" t="s">
        <v>155</v>
      </c>
      <c r="B69" s="185" t="s">
        <v>418</v>
      </c>
      <c r="C69" s="185" t="s">
        <v>439</v>
      </c>
      <c r="D69" s="185" t="s">
        <v>672</v>
      </c>
      <c r="E69" s="185" t="s">
        <v>671</v>
      </c>
    </row>
    <row r="70" spans="1:5" ht="21.75" thickBot="1" x14ac:dyDescent="0.4">
      <c r="A70" s="379"/>
      <c r="B70" s="188" t="s">
        <v>674</v>
      </c>
      <c r="C70" s="370" t="s">
        <v>331</v>
      </c>
      <c r="D70" s="370" t="s">
        <v>673</v>
      </c>
      <c r="E70" s="370" t="s">
        <v>344</v>
      </c>
    </row>
    <row r="71" spans="1:5" ht="21.75" thickBot="1" x14ac:dyDescent="0.4">
      <c r="A71" s="386" t="s">
        <v>97</v>
      </c>
      <c r="B71" s="11">
        <v>1877</v>
      </c>
      <c r="C71" s="11"/>
      <c r="D71" s="11">
        <v>500</v>
      </c>
      <c r="E71" s="11">
        <f>SUM(C71:D71)</f>
        <v>500</v>
      </c>
    </row>
    <row r="72" spans="1:5" ht="21.75" thickBot="1" x14ac:dyDescent="0.4">
      <c r="A72" s="386" t="s">
        <v>87</v>
      </c>
      <c r="B72" s="11">
        <v>49434</v>
      </c>
      <c r="C72" s="11"/>
      <c r="D72" s="11">
        <f>45689+12000</f>
        <v>57689</v>
      </c>
      <c r="E72" s="11">
        <f t="shared" ref="E72:E74" si="9">SUM(C72:D72)</f>
        <v>57689</v>
      </c>
    </row>
    <row r="73" spans="1:5" ht="21.75" thickBot="1" x14ac:dyDescent="0.4">
      <c r="A73" s="373" t="s">
        <v>107</v>
      </c>
      <c r="B73" s="160">
        <v>12781</v>
      </c>
      <c r="C73" s="51"/>
      <c r="D73" s="51">
        <v>12000</v>
      </c>
      <c r="E73" s="51">
        <f t="shared" si="9"/>
        <v>12000</v>
      </c>
    </row>
    <row r="74" spans="1:5" ht="21.75" thickBot="1" x14ac:dyDescent="0.4">
      <c r="A74" s="373" t="s">
        <v>146</v>
      </c>
      <c r="B74" s="592">
        <v>44391</v>
      </c>
      <c r="C74" s="159"/>
      <c r="D74" s="159">
        <f>8093+1700</f>
        <v>9793</v>
      </c>
      <c r="E74" s="159">
        <f t="shared" si="9"/>
        <v>9793</v>
      </c>
    </row>
    <row r="75" spans="1:5" ht="21.75" thickBot="1" x14ac:dyDescent="0.4">
      <c r="A75" s="381" t="s">
        <v>294</v>
      </c>
      <c r="B75" s="53">
        <f>B71+B72+B73+B74</f>
        <v>108483</v>
      </c>
      <c r="C75" s="53">
        <f>C71+C72+C73+C74</f>
        <v>0</v>
      </c>
      <c r="D75" s="15">
        <f>D71+D72+D73+D74</f>
        <v>79982</v>
      </c>
      <c r="E75" s="15">
        <f>E71+E72+E73+E74</f>
        <v>79982</v>
      </c>
    </row>
    <row r="76" spans="1:5" ht="21.75" thickBot="1" x14ac:dyDescent="0.4">
      <c r="A76" s="45"/>
      <c r="B76" s="17"/>
      <c r="C76" s="17"/>
      <c r="D76" s="17"/>
      <c r="E76" s="17"/>
    </row>
    <row r="77" spans="1:5" ht="21.75" thickBot="1" x14ac:dyDescent="0.4">
      <c r="A77" s="391" t="s">
        <v>277</v>
      </c>
      <c r="B77" s="16">
        <f>B66+B75</f>
        <v>3655357</v>
      </c>
      <c r="C77" s="16">
        <f>C66+C75</f>
        <v>3694119</v>
      </c>
      <c r="D77" s="16">
        <f>D66+D75</f>
        <v>801212</v>
      </c>
      <c r="E77" s="16">
        <f>E66+E75</f>
        <v>4495331</v>
      </c>
    </row>
    <row r="79" spans="1:5" x14ac:dyDescent="0.35">
      <c r="A79" s="45" t="s">
        <v>72</v>
      </c>
      <c r="B79" s="17"/>
      <c r="C79" s="17"/>
      <c r="D79" s="17"/>
      <c r="E79" s="382"/>
    </row>
    <row r="80" spans="1:5" x14ac:dyDescent="0.35">
      <c r="A80" s="45" t="s">
        <v>73</v>
      </c>
      <c r="B80" s="17"/>
      <c r="C80" s="17"/>
      <c r="D80" s="17"/>
      <c r="E80" s="17"/>
    </row>
  </sheetData>
  <customSheetViews>
    <customSheetView guid="{6D4B996F-8915-4E78-98C2-E7EAE9C4580C}" scale="75" showRuler="0" topLeftCell="A97">
      <selection activeCell="B111" sqref="B111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1"/>
      <headerFooter alignWithMargins="0">
        <oddHeader>&amp;L&amp;F  &amp;A&amp;R&amp;"Times New Roman CE,Félkövér"&amp;14M.III/3. sz. melléklet</oddHeader>
      </headerFooter>
    </customSheetView>
    <customSheetView guid="{186732C5-520C-4E06-B066-B4F3F0A3E322}" scale="75" showRuler="0" topLeftCell="A98">
      <selection activeCell="B120" sqref="B120"/>
      <rowBreaks count="2" manualBreakCount="2">
        <brk id="39" max="3" man="1"/>
        <brk id="81" max="3" man="1"/>
      </rowBreaks>
      <pageMargins left="0.39370078740157483" right="0.19685039370078741" top="0" bottom="0" header="0.70866141732283472" footer="0.11811023622047245"/>
      <printOptions horizontalCentered="1" verticalCentered="1"/>
      <pageSetup paperSize="9" scale="75" orientation="portrait" horizontalDpi="300" verticalDpi="300" r:id="rId2"/>
      <headerFooter alignWithMargins="0">
        <oddHeader>&amp;L&amp;F  &amp;A&amp;R&amp;"Times New Roman CE,Félkövér"&amp;14M.III/3. sz. melléklet</oddHeader>
      </headerFooter>
    </customSheetView>
  </customSheetViews>
  <mergeCells count="1">
    <mergeCell ref="A2:E2"/>
  </mergeCells>
  <phoneticPr fontId="0" type="noConversion"/>
  <printOptions horizontalCentered="1" verticalCentered="1"/>
  <pageMargins left="0" right="0" top="0" bottom="0" header="0.19685039370078741" footer="0"/>
  <pageSetup paperSize="9" scale="34" orientation="portrait" r:id="rId3"/>
  <headerFooter alignWithMargins="0">
    <oddHeader xml:space="preserve">&amp;R&amp;"-,Félkövér"&amp;12 
9. melléklet a ....../2026. (.........) önkormányzati rendelethe&amp;"Times New Roman CE,Félkövér"z
"9. melléklet a 3/2026.(II.27.) önkormányzati rendelethez"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24</vt:i4>
      </vt:variant>
    </vt:vector>
  </HeadingPairs>
  <TitlesOfParts>
    <vt:vector size="44" baseType="lpstr">
      <vt:lpstr>1 kiemelt ei. </vt:lpstr>
      <vt:lpstr>2 mérleg</vt:lpstr>
      <vt:lpstr>3 működési bevételek</vt:lpstr>
      <vt:lpstr>4 intézményi bevételek</vt:lpstr>
      <vt:lpstr>5 normatíva</vt:lpstr>
      <vt:lpstr>6 intézményi kiadás</vt:lpstr>
      <vt:lpstr>7 létszám</vt:lpstr>
      <vt:lpstr>8 oktatás</vt:lpstr>
      <vt:lpstr>9 kultúra</vt:lpstr>
      <vt:lpstr>10 szociális</vt:lpstr>
      <vt:lpstr>11 egészségügy</vt:lpstr>
      <vt:lpstr>12 gyermek és ifj.véd.</vt:lpstr>
      <vt:lpstr>13 egyéb</vt:lpstr>
      <vt:lpstr>14 sport</vt:lpstr>
      <vt:lpstr>15 város.ü.</vt:lpstr>
      <vt:lpstr>16 út-híd</vt:lpstr>
      <vt:lpstr>17 felhalm.bevétel </vt:lpstr>
      <vt:lpstr>18 felhalm.kiadás</vt:lpstr>
      <vt:lpstr>19 ei felh. terv bevétel</vt:lpstr>
      <vt:lpstr>19 ei. felh.terv kiadás</vt:lpstr>
      <vt:lpstr>'13 egyéb'!Nyomtatási_cím</vt:lpstr>
      <vt:lpstr>'3 működési bevételek'!Nyomtatási_cím</vt:lpstr>
      <vt:lpstr>'5 normatíva'!Nyomtatási_cím</vt:lpstr>
      <vt:lpstr>'7 létszám'!Nyomtatási_cím</vt:lpstr>
      <vt:lpstr>'1 kiemelt ei. '!Nyomtatási_terület</vt:lpstr>
      <vt:lpstr>'10 szociális'!Nyomtatási_terület</vt:lpstr>
      <vt:lpstr>'11 egészségügy'!Nyomtatási_terület</vt:lpstr>
      <vt:lpstr>'12 gyermek és ifj.véd.'!Nyomtatási_terület</vt:lpstr>
      <vt:lpstr>'13 egyéb'!Nyomtatási_terület</vt:lpstr>
      <vt:lpstr>'14 sport'!Nyomtatási_terület</vt:lpstr>
      <vt:lpstr>'15 város.ü.'!Nyomtatási_terület</vt:lpstr>
      <vt:lpstr>'16 út-híd'!Nyomtatási_terület</vt:lpstr>
      <vt:lpstr>'17 felhalm.bevétel '!Nyomtatási_terület</vt:lpstr>
      <vt:lpstr>'18 felhalm.kiadás'!Nyomtatási_terület</vt:lpstr>
      <vt:lpstr>'19 ei felh. terv bevétel'!Nyomtatási_terület</vt:lpstr>
      <vt:lpstr>'19 ei. felh.terv kiadás'!Nyomtatási_terület</vt:lpstr>
      <vt:lpstr>'2 mérleg'!Nyomtatási_terület</vt:lpstr>
      <vt:lpstr>'3 működési bevételek'!Nyomtatási_terület</vt:lpstr>
      <vt:lpstr>'4 intézményi bevételek'!Nyomtatási_terület</vt:lpstr>
      <vt:lpstr>'5 normatíva'!Nyomtatási_terület</vt:lpstr>
      <vt:lpstr>'6 intézményi kiadás'!Nyomtatási_terület</vt:lpstr>
      <vt:lpstr>'7 létszám'!Nyomtatási_terület</vt:lpstr>
      <vt:lpstr>'8 oktatás'!Nyomtatási_terület</vt:lpstr>
      <vt:lpstr>'9 kultúra'!Nyomtatási_terület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Stéger Gábor</dc:creator>
  <cp:lastModifiedBy>Taschner Krisztina</cp:lastModifiedBy>
  <cp:lastPrinted>2026-05-18T12:43:14Z</cp:lastPrinted>
  <dcterms:created xsi:type="dcterms:W3CDTF">1998-01-10T07:52:54Z</dcterms:created>
  <dcterms:modified xsi:type="dcterms:W3CDTF">2026-05-20T14:45:15Z</dcterms:modified>
</cp:coreProperties>
</file>