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horvath.ildiko\asztal\"/>
    </mc:Choice>
  </mc:AlternateContent>
  <xr:revisionPtr revIDLastSave="0" documentId="8_{0DD9F7C9-8587-4A93-B5AF-DDDEFE4CC598}" xr6:coauthVersionLast="47" xr6:coauthVersionMax="47" xr10:uidLastSave="{00000000-0000-0000-0000-000000000000}"/>
  <bookViews>
    <workbookView xWindow="-120" yWindow="-120" windowWidth="29040" windowHeight="15720" tabRatio="597" firstSheet="22" activeTab="29" xr2:uid="{00000000-000D-0000-FFFF-FFFF00000000}"/>
  </bookViews>
  <sheets>
    <sheet name="1 kiemelt előirányzatok telj. " sheetId="54" r:id="rId1"/>
    <sheet name="2 mérleg " sheetId="41" r:id="rId2"/>
    <sheet name="3 bev.részl" sheetId="39" r:id="rId3"/>
    <sheet name="4 int.bev." sheetId="67" r:id="rId4"/>
    <sheet name="5 normativa" sheetId="72" r:id="rId5"/>
    <sheet name="6 int.kiad." sheetId="70" r:id="rId6"/>
    <sheet name="7 létszám" sheetId="69" r:id="rId7"/>
    <sheet name="8 okt." sheetId="9" r:id="rId8"/>
    <sheet name="9 kult." sheetId="36" r:id="rId9"/>
    <sheet name="10 szoc." sheetId="11" r:id="rId10"/>
    <sheet name="11 eü." sheetId="12" r:id="rId11"/>
    <sheet name="12 Gyerm." sheetId="13" r:id="rId12"/>
    <sheet name="13 egyéb" sheetId="14" r:id="rId13"/>
    <sheet name="14 sport" sheetId="22" r:id="rId14"/>
    <sheet name="15 város.ü.,körny" sheetId="24" r:id="rId15"/>
    <sheet name="16 út-híd" sheetId="25" r:id="rId16"/>
    <sheet name="17 fbev." sheetId="40" r:id="rId17"/>
    <sheet name="18 fkia." sheetId="43" r:id="rId18"/>
    <sheet name="19 pénzeszkváltsa" sheetId="55" r:id="rId19"/>
    <sheet name="20 közvetett támogatás" sheetId="56" r:id="rId20"/>
    <sheet name="21 Eu projektek" sheetId="57" r:id="rId21"/>
    <sheet name="22 többév1" sheetId="58" r:id="rId22"/>
    <sheet name="23 eszközök" sheetId="59" r:id="rId23"/>
    <sheet name="24 források" sheetId="60" r:id="rId24"/>
    <sheet name="25 lakásalapelsz" sheetId="61" r:id="rId25"/>
    <sheet name="26 segély" sheetId="62" r:id="rId26"/>
    <sheet name="27 kataszter" sheetId="63" r:id="rId27"/>
    <sheet name="28 vagyonkimutatás " sheetId="64" r:id="rId28"/>
    <sheet name="29 Részesedések" sheetId="65" r:id="rId29"/>
    <sheet name="30 Lízing" sheetId="66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esz" localSheetId="0">#REF!</definedName>
    <definedName name="besz" localSheetId="17">#REF!</definedName>
    <definedName name="besz">#REF!</definedName>
    <definedName name="bk" localSheetId="0">#REF!</definedName>
    <definedName name="bk" localSheetId="17">#REF!</definedName>
    <definedName name="bk" localSheetId="4">#REF!</definedName>
    <definedName name="bk">#REF!</definedName>
    <definedName name="cel_c" localSheetId="0">#REF!</definedName>
    <definedName name="cel_c" localSheetId="17">#REF!</definedName>
    <definedName name="cel_c">#REF!</definedName>
    <definedName name="cel_g" localSheetId="0">#REF!</definedName>
    <definedName name="cel_g" localSheetId="17">#REF!</definedName>
    <definedName name="cel_g">#REF!</definedName>
    <definedName name="cel_k" localSheetId="17">#REF!</definedName>
    <definedName name="cel_k">#REF!</definedName>
    <definedName name="cel_m" localSheetId="17">#REF!</definedName>
    <definedName name="cel_m">#REF!</definedName>
    <definedName name="cel_p" localSheetId="17">#REF!</definedName>
    <definedName name="cel_p">#REF!</definedName>
    <definedName name="css" localSheetId="0">#REF!</definedName>
    <definedName name="css" localSheetId="16">#REF!</definedName>
    <definedName name="css" localSheetId="17">#REF!</definedName>
    <definedName name="css" localSheetId="1">#REF!</definedName>
    <definedName name="css" localSheetId="2">#REF!</definedName>
    <definedName name="css" localSheetId="29">#REF!</definedName>
    <definedName name="css" localSheetId="4">#REF!</definedName>
    <definedName name="css" localSheetId="8">#REF!</definedName>
    <definedName name="css">#REF!</definedName>
    <definedName name="css_k" localSheetId="0">[1]Családsegítés!$C$27:$C$86</definedName>
    <definedName name="css_k">[2]Családsegítés!$C$27:$C$86</definedName>
    <definedName name="css_k_" localSheetId="0">#REF!</definedName>
    <definedName name="css_k_" localSheetId="16">#REF!</definedName>
    <definedName name="css_k_" localSheetId="17">#REF!</definedName>
    <definedName name="css_k_" localSheetId="1">#REF!</definedName>
    <definedName name="css_k_" localSheetId="2">#REF!</definedName>
    <definedName name="css_k_" localSheetId="29">#REF!</definedName>
    <definedName name="css_k_" localSheetId="4">#REF!</definedName>
    <definedName name="css_k_" localSheetId="8">#REF!</definedName>
    <definedName name="css_k_">#REF!</definedName>
    <definedName name="d" localSheetId="17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0">#REF!</definedName>
    <definedName name="ffff" localSheetId="17">#REF!</definedName>
    <definedName name="ffff" localSheetId="4">#REF!</definedName>
    <definedName name="ffff">#REF!</definedName>
    <definedName name="g" localSheetId="0">#REF!</definedName>
    <definedName name="g" localSheetId="17">#REF!</definedName>
    <definedName name="g">#REF!</definedName>
    <definedName name="gyj" localSheetId="0">#REF!</definedName>
    <definedName name="gyj" localSheetId="16">#REF!</definedName>
    <definedName name="gyj" localSheetId="17">#REF!</definedName>
    <definedName name="gyj" localSheetId="1">#REF!</definedName>
    <definedName name="gyj" localSheetId="2">#REF!</definedName>
    <definedName name="gyj" localSheetId="29">#REF!</definedName>
    <definedName name="gyj" localSheetId="4">#REF!</definedName>
    <definedName name="gyj" localSheetId="8">#REF!</definedName>
    <definedName name="gyj">#REF!</definedName>
    <definedName name="gyj_k" localSheetId="0">[1]Gyermekjóléti!$C$27:$C$86</definedName>
    <definedName name="gyj_k">[2]Gyermekjóléti!$C$27:$C$86</definedName>
    <definedName name="gyj_k_" localSheetId="0">#REF!</definedName>
    <definedName name="gyj_k_" localSheetId="16">#REF!</definedName>
    <definedName name="gyj_k_" localSheetId="17">#REF!</definedName>
    <definedName name="gyj_k_" localSheetId="1">#REF!</definedName>
    <definedName name="gyj_k_" localSheetId="2">#REF!</definedName>
    <definedName name="gyj_k_" localSheetId="29">#REF!</definedName>
    <definedName name="gyj_k_" localSheetId="4">#REF!</definedName>
    <definedName name="gyj_k_" localSheetId="8">#REF!</definedName>
    <definedName name="gyj_k_">#REF!</definedName>
    <definedName name="gyj_kl" localSheetId="0">#REF!</definedName>
    <definedName name="gyj_kl" localSheetId="17">#REF!</definedName>
    <definedName name="gyj_kl">#REF!</definedName>
    <definedName name="h" localSheetId="4">#REF!</definedName>
    <definedName name="h">#REF!</definedName>
    <definedName name="k" localSheetId="17">#REF!</definedName>
    <definedName name="k">#REF!</definedName>
    <definedName name="kjz" localSheetId="0">#REF!</definedName>
    <definedName name="kjz" localSheetId="16">#REF!</definedName>
    <definedName name="kjz" localSheetId="17">#REF!</definedName>
    <definedName name="kjz" localSheetId="1">#REF!</definedName>
    <definedName name="kjz" localSheetId="2">#REF!</definedName>
    <definedName name="kjz" localSheetId="29">#REF!</definedName>
    <definedName name="kjz" localSheetId="4">#REF!</definedName>
    <definedName name="kjz" localSheetId="8">#REF!</definedName>
    <definedName name="kjz">#REF!</definedName>
    <definedName name="kjz_k" localSheetId="0">[1]körjegyzőség!$C$9:$C$28</definedName>
    <definedName name="kjz_k">[2]körjegyzőség!$C$9:$C$28</definedName>
    <definedName name="kjz_k_" localSheetId="0">#REF!</definedName>
    <definedName name="kjz_k_" localSheetId="16">#REF!</definedName>
    <definedName name="kjz_k_" localSheetId="17">#REF!</definedName>
    <definedName name="kjz_k_" localSheetId="1">#REF!</definedName>
    <definedName name="kjz_k_" localSheetId="2">#REF!</definedName>
    <definedName name="kjz_k_" localSheetId="29">#REF!</definedName>
    <definedName name="kjz_k_" localSheetId="4">#REF!</definedName>
    <definedName name="kjz_k_" localSheetId="8">#REF!</definedName>
    <definedName name="kjz_k_">#REF!</definedName>
    <definedName name="klj" localSheetId="17">#REF!</definedName>
    <definedName name="klj">#REF!</definedName>
    <definedName name="klj_k_" localSheetId="17">#REF!</definedName>
    <definedName name="klj_k_">#REF!</definedName>
    <definedName name="nev_b" localSheetId="4">#REF!</definedName>
    <definedName name="nev_b">#REF!</definedName>
    <definedName name="nev_c" localSheetId="0">#REF!</definedName>
    <definedName name="nev_c" localSheetId="16">#REF!</definedName>
    <definedName name="nev_c" localSheetId="17">#REF!</definedName>
    <definedName name="nev_c" localSheetId="1">#REF!</definedName>
    <definedName name="nev_c" localSheetId="2">#REF!</definedName>
    <definedName name="nev_c" localSheetId="29">#REF!</definedName>
    <definedName name="nev_c" localSheetId="4">#REF!</definedName>
    <definedName name="nev_c" localSheetId="8">#REF!</definedName>
    <definedName name="nev_c">#REF!</definedName>
    <definedName name="nev_g" localSheetId="0">#REF!</definedName>
    <definedName name="nev_g" localSheetId="16">#REF!</definedName>
    <definedName name="nev_g" localSheetId="17">#REF!</definedName>
    <definedName name="nev_g" localSheetId="1">#REF!</definedName>
    <definedName name="nev_g" localSheetId="2">#REF!</definedName>
    <definedName name="nev_g" localSheetId="29">#REF!</definedName>
    <definedName name="nev_g" localSheetId="4">#REF!</definedName>
    <definedName name="nev_g" localSheetId="8">#REF!</definedName>
    <definedName name="nev_g">#REF!</definedName>
    <definedName name="nev_k" localSheetId="0">#REF!</definedName>
    <definedName name="nev_k" localSheetId="16">#REF!</definedName>
    <definedName name="nev_k" localSheetId="17">#REF!</definedName>
    <definedName name="nev_k" localSheetId="1">#REF!</definedName>
    <definedName name="nev_k" localSheetId="2">#REF!</definedName>
    <definedName name="nev_k" localSheetId="29">#REF!</definedName>
    <definedName name="nev_k" localSheetId="4">#REF!</definedName>
    <definedName name="nev_k" localSheetId="8">#REF!</definedName>
    <definedName name="nev_k">#REF!</definedName>
    <definedName name="nev_k1" localSheetId="4">#REF!</definedName>
    <definedName name="nev_k1">#REF!</definedName>
    <definedName name="normatíva">[3]Családsegítés!$C$27:$C$86</definedName>
    <definedName name="_xlnm.Print_Titles" localSheetId="12">'13 egyéb'!$4:$5</definedName>
    <definedName name="_xlnm.Print_Titles" localSheetId="13">'14 sport'!$5:$6</definedName>
    <definedName name="_xlnm.Print_Titles" localSheetId="16">'17 fbev.'!$2:$4</definedName>
    <definedName name="_xlnm.Print_Titles" localSheetId="17">'18 fkia.'!$1:$5</definedName>
    <definedName name="_xlnm.Print_Titles" localSheetId="18">'19 pénzeszkváltsa'!$3:$5</definedName>
    <definedName name="_xlnm.Print_Titles" localSheetId="27">'28 vagyonkimutatás '!$8:$8</definedName>
    <definedName name="_xlnm.Print_Titles" localSheetId="2">'3 bev.részl'!$4:$6</definedName>
    <definedName name="_xlnm.Print_Titles" localSheetId="4">'5 normativa'!$4:$5</definedName>
    <definedName name="_xlnm.Print_Titles" localSheetId="6">'7 létszám'!$1:$6</definedName>
    <definedName name="_xlnm.Print_Titles" localSheetId="8">'9 kult.'!$4:$6</definedName>
    <definedName name="_xlnm.Print_Area" localSheetId="0">'1 kiemelt előirányzatok telj. '!$A$2:$K$23</definedName>
    <definedName name="_xlnm.Print_Area" localSheetId="9">'10 szoc.'!$B$1:$F$44</definedName>
    <definedName name="_xlnm.Print_Area" localSheetId="10">'11 eü.'!$B$2:$F$27</definedName>
    <definedName name="_xlnm.Print_Area" localSheetId="11">'12 Gyerm.'!$B$2:$F$20</definedName>
    <definedName name="_xlnm.Print_Area" localSheetId="12">'13 egyéb'!$B$2:$F$116</definedName>
    <definedName name="_xlnm.Print_Area" localSheetId="13">'14 sport'!$B$2:$F$24</definedName>
    <definedName name="_xlnm.Print_Area" localSheetId="14">'15 város.ü.,körny'!$B$2:$J$27</definedName>
    <definedName name="_xlnm.Print_Area" localSheetId="15">'16 út-híd'!$B$1:$F$30</definedName>
    <definedName name="_xlnm.Print_Area" localSheetId="16">'17 fbev.'!$B$1:$G$58</definedName>
    <definedName name="_xlnm.Print_Area" localSheetId="17">'18 fkia.'!$C$1:$H$75</definedName>
    <definedName name="_xlnm.Print_Area" localSheetId="18">'19 pénzeszkváltsa'!$B$1:$C$12</definedName>
    <definedName name="_xlnm.Print_Area" localSheetId="1">'2 mérleg '!$A$2:$M$56</definedName>
    <definedName name="_xlnm.Print_Area" localSheetId="19">'20 közvetett támogatás'!$A$1:$C$23</definedName>
    <definedName name="_xlnm.Print_Area" localSheetId="20">'21 Eu projektek'!$B$1:$D$88</definedName>
    <definedName name="_xlnm.Print_Area" localSheetId="21">'22 többév1'!$B$1:$H$14</definedName>
    <definedName name="_xlnm.Print_Area" localSheetId="22">'23 eszközök'!$B$4:$G$139</definedName>
    <definedName name="_xlnm.Print_Area" localSheetId="23">'24 források'!$B$2:$G$76</definedName>
    <definedName name="_xlnm.Print_Area" localSheetId="24">'25 lakásalapelsz'!$B$3:$F$244</definedName>
    <definedName name="_xlnm.Print_Area" localSheetId="25">'26 segély'!$B$3:$G$18</definedName>
    <definedName name="_xlnm.Print_Area" localSheetId="26">'27 kataszter'!$A$2:$K$38</definedName>
    <definedName name="_xlnm.Print_Area" localSheetId="27">'28 vagyonkimutatás '!$B$5:$G$90</definedName>
    <definedName name="_xlnm.Print_Area" localSheetId="2">'3 bev.részl'!$B$1:$J$135</definedName>
    <definedName name="_xlnm.Print_Area" localSheetId="29">'30 Lízing'!$B$2:$E$14</definedName>
    <definedName name="_xlnm.Print_Area" localSheetId="3">'4 int.bev.'!$A$1:$AY$49</definedName>
    <definedName name="_xlnm.Print_Area" localSheetId="4">'5 normativa'!$A$1:$I$88</definedName>
    <definedName name="_xlnm.Print_Area" localSheetId="5">'6 int.kiad.'!$A$1:$AV$49</definedName>
    <definedName name="_xlnm.Print_Area" localSheetId="6">'7 létszám'!$A$1:$I$49</definedName>
    <definedName name="_xlnm.Print_Area" localSheetId="7">'8 okt.'!$C$2:$G$36</definedName>
    <definedName name="_xlnm.Print_Area" localSheetId="8">'9 kult.'!$B$1:$F$74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Projektek_2019ei" localSheetId="0">#REF!</definedName>
    <definedName name="Projektek_2019ei" localSheetId="25">#REF!</definedName>
    <definedName name="Projektek_2019ei">#REF!</definedName>
    <definedName name="rmI" localSheetId="25">#REF!</definedName>
    <definedName name="rmI" localSheetId="4">#REF!</definedName>
    <definedName name="rmI">#REF!</definedName>
    <definedName name="x" localSheetId="0">#REF!</definedName>
    <definedName name="x" localSheetId="17">#REF!</definedName>
    <definedName name="x" localSheetId="29">#REF!</definedName>
    <definedName name="x" localSheetId="4">#REF!</definedName>
    <definedName name="x">#REF!</definedName>
    <definedName name="Z_186732C5_520C_4E06_B066_B4F3F0A3E322_.wvu.PrintArea" localSheetId="16" hidden="1">'17 fbev.'!$B$1:$C$44</definedName>
    <definedName name="Z_186732C5_520C_4E06_B066_B4F3F0A3E322_.wvu.PrintArea" localSheetId="1" hidden="1">'2 mérleg '!$A$2:$I$56</definedName>
    <definedName name="Z_186732C5_520C_4E06_B066_B4F3F0A3E322_.wvu.PrintArea" localSheetId="20" hidden="1">'21 Eu projektek'!$B$3:$C$43</definedName>
    <definedName name="Z_186732C5_520C_4E06_B066_B4F3F0A3E322_.wvu.PrintArea" localSheetId="2" hidden="1">'3 bev.részl'!$B$1:$F$135</definedName>
    <definedName name="Z_186732C5_520C_4E06_B066_B4F3F0A3E322_.wvu.PrintArea" localSheetId="8" hidden="1">'9 kult.'!$B$1:$B$62</definedName>
    <definedName name="Z_6D4B996F_8915_4E78_98C2_E7EAE9C4580C_.wvu.PrintArea" localSheetId="16" hidden="1">'17 fbev.'!$B$1:$C$44</definedName>
    <definedName name="Z_6D4B996F_8915_4E78_98C2_E7EAE9C4580C_.wvu.PrintArea" localSheetId="1" hidden="1">'2 mérleg '!$A$2:$I$56</definedName>
    <definedName name="Z_6D4B996F_8915_4E78_98C2_E7EAE9C4580C_.wvu.PrintArea" localSheetId="20" hidden="1">'21 Eu projektek'!$B$3:$C$43</definedName>
    <definedName name="Z_6D4B996F_8915_4E78_98C2_E7EAE9C4580C_.wvu.PrintArea" localSheetId="2" hidden="1">'3 bev.részl'!$B$1:$F$135</definedName>
    <definedName name="Z_6D4B996F_8915_4E78_98C2_E7EAE9C4580C_.wvu.PrintArea" localSheetId="8" hidden="1">'9 kult.'!$B$1:$B$62</definedName>
    <definedName name="Z_F05CDCE5_D631_41F9_80C7_3F3E8464BF12_.wvu.PrintArea" localSheetId="6" hidden="1">'7 létszám'!$A$1:$I$47</definedName>
    <definedName name="Z_F05CDCE5_D631_41F9_80C7_3F3E8464BF12_.wvu.PrintTitles" localSheetId="6" hidden="1">'7 létszám'!$1:$6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72" l="1"/>
  <c r="G86" i="72"/>
  <c r="F86" i="72"/>
  <c r="E86" i="72"/>
  <c r="D86" i="72"/>
  <c r="C86" i="72"/>
  <c r="B86" i="72"/>
  <c r="H83" i="72"/>
  <c r="G83" i="72"/>
  <c r="F83" i="72"/>
  <c r="E83" i="72"/>
  <c r="D83" i="72"/>
  <c r="C83" i="72"/>
  <c r="C87" i="72" s="1"/>
  <c r="B83" i="72"/>
  <c r="I82" i="72"/>
  <c r="I81" i="72"/>
  <c r="I80" i="72"/>
  <c r="I79" i="72"/>
  <c r="I78" i="72"/>
  <c r="H77" i="72"/>
  <c r="G77" i="72"/>
  <c r="F77" i="72"/>
  <c r="E77" i="72"/>
  <c r="E87" i="72" s="1"/>
  <c r="B77" i="72"/>
  <c r="I76" i="72"/>
  <c r="I77" i="72" s="1"/>
  <c r="H73" i="72"/>
  <c r="G73" i="72"/>
  <c r="F73" i="72"/>
  <c r="E73" i="72"/>
  <c r="D73" i="72"/>
  <c r="C73" i="72"/>
  <c r="B73" i="72"/>
  <c r="I72" i="72"/>
  <c r="I71" i="72"/>
  <c r="H69" i="72"/>
  <c r="G69" i="72"/>
  <c r="F69" i="72"/>
  <c r="E69" i="72"/>
  <c r="D69" i="72"/>
  <c r="C69" i="72"/>
  <c r="B69" i="72"/>
  <c r="I68" i="72"/>
  <c r="I67" i="72"/>
  <c r="I66" i="72"/>
  <c r="D63" i="72"/>
  <c r="H62" i="72"/>
  <c r="G62" i="72"/>
  <c r="F62" i="72"/>
  <c r="E62" i="72"/>
  <c r="C62" i="72"/>
  <c r="B62" i="72"/>
  <c r="I61" i="72"/>
  <c r="I60" i="72"/>
  <c r="H58" i="72"/>
  <c r="G58" i="72"/>
  <c r="F58" i="72"/>
  <c r="E58" i="72"/>
  <c r="C58" i="72"/>
  <c r="B58" i="72"/>
  <c r="I57" i="72"/>
  <c r="I56" i="72"/>
  <c r="I55" i="72"/>
  <c r="H52" i="72"/>
  <c r="G52" i="72"/>
  <c r="F52" i="72"/>
  <c r="E52" i="72"/>
  <c r="C52" i="72"/>
  <c r="C63" i="72" s="1"/>
  <c r="B52" i="72"/>
  <c r="B63" i="72" s="1"/>
  <c r="I51" i="72"/>
  <c r="I50" i="72"/>
  <c r="I49" i="72"/>
  <c r="I48" i="72"/>
  <c r="I47" i="72"/>
  <c r="I46" i="72"/>
  <c r="I45" i="72"/>
  <c r="I44" i="72"/>
  <c r="H41" i="72"/>
  <c r="G41" i="72"/>
  <c r="F41" i="72"/>
  <c r="E41" i="72"/>
  <c r="D41" i="72"/>
  <c r="C41" i="72"/>
  <c r="I40" i="72"/>
  <c r="I39" i="72"/>
  <c r="I38" i="72"/>
  <c r="I35" i="72"/>
  <c r="I32" i="72"/>
  <c r="I31" i="72"/>
  <c r="I30" i="72"/>
  <c r="I29" i="72"/>
  <c r="I27" i="72"/>
  <c r="I26" i="72"/>
  <c r="I25" i="72"/>
  <c r="I24" i="72"/>
  <c r="I20" i="72"/>
  <c r="B20" i="72"/>
  <c r="B41" i="72" s="1"/>
  <c r="I18" i="72"/>
  <c r="H15" i="72"/>
  <c r="G15" i="72"/>
  <c r="F15" i="72"/>
  <c r="E15" i="72"/>
  <c r="D15" i="72"/>
  <c r="C15" i="72"/>
  <c r="B15" i="72"/>
  <c r="I14" i="72"/>
  <c r="I13" i="72"/>
  <c r="I12" i="72"/>
  <c r="I11" i="72"/>
  <c r="I10" i="72"/>
  <c r="I9" i="72"/>
  <c r="I8" i="72"/>
  <c r="I7" i="72"/>
  <c r="J66" i="39"/>
  <c r="D9" i="66"/>
  <c r="F87" i="72" l="1"/>
  <c r="I52" i="72"/>
  <c r="I69" i="72"/>
  <c r="C74" i="72"/>
  <c r="G63" i="72"/>
  <c r="D87" i="72"/>
  <c r="I73" i="72"/>
  <c r="H87" i="72"/>
  <c r="E63" i="72"/>
  <c r="E74" i="72" s="1"/>
  <c r="E88" i="72" s="1"/>
  <c r="G87" i="72"/>
  <c r="I83" i="72"/>
  <c r="I87" i="72" s="1"/>
  <c r="I15" i="72"/>
  <c r="I41" i="72"/>
  <c r="H63" i="72"/>
  <c r="H74" i="72" s="1"/>
  <c r="B74" i="72"/>
  <c r="B88" i="72" s="1"/>
  <c r="F74" i="72"/>
  <c r="F88" i="72" s="1"/>
  <c r="F63" i="72"/>
  <c r="I58" i="72"/>
  <c r="I62" i="72"/>
  <c r="D74" i="72"/>
  <c r="D88" i="72" s="1"/>
  <c r="B87" i="72"/>
  <c r="C88" i="72"/>
  <c r="G74" i="72"/>
  <c r="G88" i="72" s="1"/>
  <c r="G85" i="64"/>
  <c r="E46" i="64"/>
  <c r="F41" i="64"/>
  <c r="F26" i="64"/>
  <c r="E26" i="64"/>
  <c r="H88" i="72" l="1"/>
  <c r="I63" i="72"/>
  <c r="I74" i="72" s="1"/>
  <c r="I88" i="72" s="1"/>
  <c r="F38" i="64"/>
  <c r="E38" i="64"/>
  <c r="G39" i="64"/>
  <c r="F34" i="64"/>
  <c r="E34" i="64"/>
  <c r="F25" i="64"/>
  <c r="E25" i="64"/>
  <c r="G25" i="64" s="1"/>
  <c r="G12" i="64"/>
  <c r="G13" i="64"/>
  <c r="G14" i="64"/>
  <c r="G16" i="64"/>
  <c r="G17" i="64"/>
  <c r="G21" i="64"/>
  <c r="G22" i="64"/>
  <c r="G23" i="64"/>
  <c r="G24" i="64"/>
  <c r="G26" i="64"/>
  <c r="G28" i="64"/>
  <c r="G29" i="64"/>
  <c r="G30" i="64"/>
  <c r="G31" i="64"/>
  <c r="G32" i="64"/>
  <c r="G33" i="64"/>
  <c r="G35" i="64"/>
  <c r="G37" i="64"/>
  <c r="G38" i="64"/>
  <c r="G97" i="59"/>
  <c r="D9" i="54"/>
  <c r="E9" i="54" s="1"/>
  <c r="I10" i="54"/>
  <c r="AT51" i="70"/>
  <c r="AS51" i="70"/>
  <c r="AQ51" i="70"/>
  <c r="AU51" i="70" s="1"/>
  <c r="AP51" i="70"/>
  <c r="AO51" i="70"/>
  <c r="AK51" i="70"/>
  <c r="AJ51" i="70"/>
  <c r="AG51" i="70"/>
  <c r="AF51" i="70"/>
  <c r="AC51" i="70"/>
  <c r="AB51" i="70"/>
  <c r="X51" i="70"/>
  <c r="W51" i="70"/>
  <c r="T51" i="70"/>
  <c r="S51" i="70"/>
  <c r="P51" i="70"/>
  <c r="O51" i="70"/>
  <c r="K51" i="70"/>
  <c r="J51" i="70"/>
  <c r="G51" i="70"/>
  <c r="F51" i="70"/>
  <c r="C51" i="70"/>
  <c r="B51" i="70"/>
  <c r="AL47" i="70"/>
  <c r="AH47" i="70"/>
  <c r="AD47" i="70"/>
  <c r="U47" i="70"/>
  <c r="Q47" i="70"/>
  <c r="L47" i="70"/>
  <c r="H47" i="70"/>
  <c r="D47" i="70"/>
  <c r="AQ46" i="70"/>
  <c r="AK46" i="70"/>
  <c r="AJ46" i="70"/>
  <c r="AG46" i="70"/>
  <c r="AF46" i="70"/>
  <c r="AC46" i="70"/>
  <c r="AE46" i="70" s="1"/>
  <c r="AB46" i="70"/>
  <c r="Y46" i="70"/>
  <c r="T46" i="70"/>
  <c r="V46" i="70" s="1"/>
  <c r="S46" i="70"/>
  <c r="P46" i="70"/>
  <c r="O46" i="70"/>
  <c r="K46" i="70"/>
  <c r="M46" i="70" s="1"/>
  <c r="J46" i="70"/>
  <c r="G46" i="70"/>
  <c r="I46" i="70" s="1"/>
  <c r="F46" i="70"/>
  <c r="C46" i="70"/>
  <c r="E46" i="70" s="1"/>
  <c r="B46" i="70"/>
  <c r="AQ45" i="70"/>
  <c r="AQ47" i="70" s="1"/>
  <c r="AK45" i="70"/>
  <c r="AJ45" i="70"/>
  <c r="AG45" i="70"/>
  <c r="AF45" i="70"/>
  <c r="AC45" i="70"/>
  <c r="AB45" i="70"/>
  <c r="Y45" i="70"/>
  <c r="T45" i="70"/>
  <c r="S45" i="70"/>
  <c r="P45" i="70"/>
  <c r="O45" i="70"/>
  <c r="K45" i="70"/>
  <c r="J45" i="70"/>
  <c r="J47" i="70" s="1"/>
  <c r="G45" i="70"/>
  <c r="F45" i="70"/>
  <c r="C45" i="70"/>
  <c r="E45" i="70" s="1"/>
  <c r="B45" i="70"/>
  <c r="AU43" i="70"/>
  <c r="AQ43" i="70"/>
  <c r="AK43" i="70"/>
  <c r="AJ43" i="70"/>
  <c r="AG43" i="70"/>
  <c r="AI43" i="70" s="1"/>
  <c r="AF43" i="70"/>
  <c r="AC43" i="70"/>
  <c r="AB43" i="70"/>
  <c r="Y43" i="70"/>
  <c r="T43" i="70"/>
  <c r="S43" i="70"/>
  <c r="P43" i="70"/>
  <c r="O43" i="70"/>
  <c r="K43" i="70"/>
  <c r="M43" i="70" s="1"/>
  <c r="J43" i="70"/>
  <c r="G43" i="70"/>
  <c r="I43" i="70" s="1"/>
  <c r="F43" i="70"/>
  <c r="C43" i="70"/>
  <c r="B43" i="70"/>
  <c r="AQ41" i="70"/>
  <c r="AK41" i="70"/>
  <c r="AJ41" i="70"/>
  <c r="AG41" i="70"/>
  <c r="AI41" i="70" s="1"/>
  <c r="AF41" i="70"/>
  <c r="AC41" i="70"/>
  <c r="AB41" i="70"/>
  <c r="Y41" i="70"/>
  <c r="T41" i="70"/>
  <c r="V41" i="70" s="1"/>
  <c r="S41" i="70"/>
  <c r="P41" i="70"/>
  <c r="O41" i="70"/>
  <c r="K41" i="70"/>
  <c r="M41" i="70" s="1"/>
  <c r="J41" i="70"/>
  <c r="G41" i="70"/>
  <c r="I41" i="70" s="1"/>
  <c r="F41" i="70"/>
  <c r="C41" i="70"/>
  <c r="B41" i="70"/>
  <c r="AQ39" i="70"/>
  <c r="AK39" i="70"/>
  <c r="AJ39" i="70"/>
  <c r="AG39" i="70"/>
  <c r="AI39" i="70" s="1"/>
  <c r="AF39" i="70"/>
  <c r="AC39" i="70"/>
  <c r="AB39" i="70"/>
  <c r="Y39" i="70"/>
  <c r="AU39" i="70" s="1"/>
  <c r="AY39" i="70" s="1"/>
  <c r="T39" i="70"/>
  <c r="V39" i="70" s="1"/>
  <c r="S39" i="70"/>
  <c r="P39" i="70"/>
  <c r="O39" i="70"/>
  <c r="K39" i="70"/>
  <c r="M39" i="70" s="1"/>
  <c r="J39" i="70"/>
  <c r="G39" i="70"/>
  <c r="I39" i="70" s="1"/>
  <c r="F39" i="70"/>
  <c r="C39" i="70"/>
  <c r="B39" i="70"/>
  <c r="AL37" i="70"/>
  <c r="AL48" i="70" s="1"/>
  <c r="AH37" i="70"/>
  <c r="AH48" i="70" s="1"/>
  <c r="AD37" i="70"/>
  <c r="U37" i="70"/>
  <c r="Q37" i="70"/>
  <c r="Q48" i="70" s="1"/>
  <c r="L37" i="70"/>
  <c r="L48" i="70" s="1"/>
  <c r="H37" i="70"/>
  <c r="H48" i="70" s="1"/>
  <c r="D37" i="70"/>
  <c r="D48" i="70" s="1"/>
  <c r="AQ36" i="70"/>
  <c r="AK36" i="70"/>
  <c r="AJ36" i="70"/>
  <c r="AG36" i="70"/>
  <c r="AF36" i="70"/>
  <c r="AC36" i="70"/>
  <c r="AE36" i="70" s="1"/>
  <c r="AB36" i="70"/>
  <c r="Y36" i="70"/>
  <c r="AU36" i="70" s="1"/>
  <c r="T36" i="70"/>
  <c r="S36" i="70"/>
  <c r="P36" i="70"/>
  <c r="O36" i="70"/>
  <c r="K36" i="70"/>
  <c r="M36" i="70" s="1"/>
  <c r="J36" i="70"/>
  <c r="G36" i="70"/>
  <c r="I36" i="70" s="1"/>
  <c r="F36" i="70"/>
  <c r="C36" i="70"/>
  <c r="E36" i="70" s="1"/>
  <c r="B36" i="70"/>
  <c r="AQ35" i="70"/>
  <c r="AK35" i="70"/>
  <c r="AJ35" i="70"/>
  <c r="AG35" i="70"/>
  <c r="AF35" i="70"/>
  <c r="AC35" i="70"/>
  <c r="AB35" i="70"/>
  <c r="Y35" i="70"/>
  <c r="T35" i="70"/>
  <c r="S35" i="70"/>
  <c r="P35" i="70"/>
  <c r="O35" i="70"/>
  <c r="K35" i="70"/>
  <c r="M35" i="70" s="1"/>
  <c r="J35" i="70"/>
  <c r="G35" i="70"/>
  <c r="I35" i="70" s="1"/>
  <c r="F35" i="70"/>
  <c r="C35" i="70"/>
  <c r="E35" i="70" s="1"/>
  <c r="B35" i="70"/>
  <c r="AU34" i="70"/>
  <c r="AQ34" i="70"/>
  <c r="AK34" i="70"/>
  <c r="AJ34" i="70"/>
  <c r="AG34" i="70"/>
  <c r="AF34" i="70"/>
  <c r="AC34" i="70"/>
  <c r="AB34" i="70"/>
  <c r="Y34" i="70"/>
  <c r="T34" i="70"/>
  <c r="S34" i="70"/>
  <c r="P34" i="70"/>
  <c r="O34" i="70"/>
  <c r="K34" i="70"/>
  <c r="M34" i="70" s="1"/>
  <c r="J34" i="70"/>
  <c r="G34" i="70"/>
  <c r="I34" i="70" s="1"/>
  <c r="F34" i="70"/>
  <c r="C34" i="70"/>
  <c r="E34" i="70" s="1"/>
  <c r="B34" i="70"/>
  <c r="AQ33" i="70"/>
  <c r="AQ37" i="70" s="1"/>
  <c r="AK33" i="70"/>
  <c r="AJ33" i="70"/>
  <c r="AG33" i="70"/>
  <c r="AF33" i="70"/>
  <c r="AC33" i="70"/>
  <c r="AE33" i="70" s="1"/>
  <c r="AB33" i="70"/>
  <c r="Y33" i="70"/>
  <c r="T33" i="70"/>
  <c r="S33" i="70"/>
  <c r="P33" i="70"/>
  <c r="O33" i="70"/>
  <c r="K33" i="70"/>
  <c r="M33" i="70" s="1"/>
  <c r="J33" i="70"/>
  <c r="G33" i="70"/>
  <c r="F33" i="70"/>
  <c r="C33" i="70"/>
  <c r="B33" i="70"/>
  <c r="AH30" i="70"/>
  <c r="AD30" i="70"/>
  <c r="AQ29" i="70"/>
  <c r="AK29" i="70"/>
  <c r="AJ29" i="70"/>
  <c r="AG29" i="70"/>
  <c r="AI29" i="70" s="1"/>
  <c r="AF29" i="70"/>
  <c r="AC29" i="70"/>
  <c r="AE29" i="70" s="1"/>
  <c r="AB29" i="70"/>
  <c r="Y29" i="70"/>
  <c r="AU29" i="70" s="1"/>
  <c r="AY29" i="70" s="1"/>
  <c r="T29" i="70"/>
  <c r="S29" i="70"/>
  <c r="P29" i="70"/>
  <c r="O29" i="70"/>
  <c r="K29" i="70"/>
  <c r="M29" i="70" s="1"/>
  <c r="J29" i="70"/>
  <c r="G29" i="70"/>
  <c r="I29" i="70" s="1"/>
  <c r="F29" i="70"/>
  <c r="C29" i="70"/>
  <c r="B29" i="70"/>
  <c r="AL28" i="70"/>
  <c r="AL30" i="70" s="1"/>
  <c r="AL49" i="70" s="1"/>
  <c r="AL52" i="70" s="1"/>
  <c r="AH28" i="70"/>
  <c r="AD28" i="70"/>
  <c r="U28" i="70"/>
  <c r="U30" i="70" s="1"/>
  <c r="Q28" i="70"/>
  <c r="Q30" i="70" s="1"/>
  <c r="Q49" i="70" s="1"/>
  <c r="Q52" i="70" s="1"/>
  <c r="H28" i="70"/>
  <c r="H30" i="70" s="1"/>
  <c r="D28" i="70"/>
  <c r="D30" i="70" s="1"/>
  <c r="AQ27" i="70"/>
  <c r="AK27" i="70"/>
  <c r="AJ27" i="70"/>
  <c r="AG27" i="70"/>
  <c r="AF27" i="70"/>
  <c r="AC27" i="70"/>
  <c r="AB27" i="70"/>
  <c r="Y27" i="70"/>
  <c r="T27" i="70"/>
  <c r="S27" i="70"/>
  <c r="P27" i="70"/>
  <c r="O27" i="70"/>
  <c r="K27" i="70"/>
  <c r="M27" i="70" s="1"/>
  <c r="J27" i="70"/>
  <c r="G27" i="70"/>
  <c r="I27" i="70" s="1"/>
  <c r="F27" i="70"/>
  <c r="C27" i="70"/>
  <c r="B27" i="70"/>
  <c r="AQ26" i="70"/>
  <c r="AK26" i="70"/>
  <c r="AJ26" i="70"/>
  <c r="AG26" i="70"/>
  <c r="AF26" i="70"/>
  <c r="AC26" i="70"/>
  <c r="AE26" i="70" s="1"/>
  <c r="AB26" i="70"/>
  <c r="Y26" i="70"/>
  <c r="T26" i="70"/>
  <c r="S26" i="70"/>
  <c r="P26" i="70"/>
  <c r="O26" i="70"/>
  <c r="K26" i="70"/>
  <c r="M26" i="70" s="1"/>
  <c r="J26" i="70"/>
  <c r="G26" i="70"/>
  <c r="I26" i="70" s="1"/>
  <c r="F26" i="70"/>
  <c r="C26" i="70"/>
  <c r="B26" i="70"/>
  <c r="AQ25" i="70"/>
  <c r="AK25" i="70"/>
  <c r="AJ25" i="70"/>
  <c r="AG25" i="70"/>
  <c r="AF25" i="70"/>
  <c r="AC25" i="70"/>
  <c r="AE25" i="70" s="1"/>
  <c r="AB25" i="70"/>
  <c r="Y25" i="70"/>
  <c r="T25" i="70"/>
  <c r="S25" i="70"/>
  <c r="P25" i="70"/>
  <c r="O25" i="70"/>
  <c r="K25" i="70"/>
  <c r="M25" i="70" s="1"/>
  <c r="J25" i="70"/>
  <c r="G25" i="70"/>
  <c r="I25" i="70" s="1"/>
  <c r="F25" i="70"/>
  <c r="C25" i="70"/>
  <c r="B25" i="70"/>
  <c r="AQ24" i="70"/>
  <c r="AK24" i="70"/>
  <c r="AJ24" i="70"/>
  <c r="AG24" i="70"/>
  <c r="AF24" i="70"/>
  <c r="AC24" i="70"/>
  <c r="AE24" i="70" s="1"/>
  <c r="AB24" i="70"/>
  <c r="Y24" i="70"/>
  <c r="AU24" i="70" s="1"/>
  <c r="AY24" i="70" s="1"/>
  <c r="T24" i="70"/>
  <c r="S24" i="70"/>
  <c r="P24" i="70"/>
  <c r="O24" i="70"/>
  <c r="K24" i="70"/>
  <c r="M24" i="70" s="1"/>
  <c r="J24" i="70"/>
  <c r="G24" i="70"/>
  <c r="I24" i="70" s="1"/>
  <c r="F24" i="70"/>
  <c r="C24" i="70"/>
  <c r="B24" i="70"/>
  <c r="AQ23" i="70"/>
  <c r="AK23" i="70"/>
  <c r="AJ23" i="70"/>
  <c r="AG23" i="70"/>
  <c r="AF23" i="70"/>
  <c r="AC23" i="70"/>
  <c r="AE23" i="70" s="1"/>
  <c r="AB23" i="70"/>
  <c r="Y23" i="70"/>
  <c r="T23" i="70"/>
  <c r="S23" i="70"/>
  <c r="P23" i="70"/>
  <c r="O23" i="70"/>
  <c r="K23" i="70"/>
  <c r="M23" i="70" s="1"/>
  <c r="J23" i="70"/>
  <c r="G23" i="70"/>
  <c r="F23" i="70"/>
  <c r="C23" i="70"/>
  <c r="E23" i="70" s="1"/>
  <c r="B23" i="70"/>
  <c r="AU22" i="70"/>
  <c r="AY22" i="70" s="1"/>
  <c r="AQ22" i="70"/>
  <c r="AK22" i="70"/>
  <c r="AJ22" i="70"/>
  <c r="AG22" i="70"/>
  <c r="AF22" i="70"/>
  <c r="AC22" i="70"/>
  <c r="AE22" i="70" s="1"/>
  <c r="AB22" i="70"/>
  <c r="Y22" i="70"/>
  <c r="T22" i="70"/>
  <c r="S22" i="70"/>
  <c r="P22" i="70"/>
  <c r="O22" i="70"/>
  <c r="K22" i="70"/>
  <c r="M22" i="70" s="1"/>
  <c r="J22" i="70"/>
  <c r="G22" i="70"/>
  <c r="I22" i="70" s="1"/>
  <c r="F22" i="70"/>
  <c r="C22" i="70"/>
  <c r="E22" i="70" s="1"/>
  <c r="B22" i="70"/>
  <c r="AQ21" i="70"/>
  <c r="AK21" i="70"/>
  <c r="AJ21" i="70"/>
  <c r="AG21" i="70"/>
  <c r="AF21" i="70"/>
  <c r="AC21" i="70"/>
  <c r="AB21" i="70"/>
  <c r="Y21" i="70"/>
  <c r="T21" i="70"/>
  <c r="S21" i="70"/>
  <c r="P21" i="70"/>
  <c r="O21" i="70"/>
  <c r="K21" i="70"/>
  <c r="M21" i="70" s="1"/>
  <c r="J21" i="70"/>
  <c r="G21" i="70"/>
  <c r="I21" i="70" s="1"/>
  <c r="F21" i="70"/>
  <c r="C21" i="70"/>
  <c r="B21" i="70"/>
  <c r="AU20" i="70"/>
  <c r="AQ20" i="70"/>
  <c r="AK20" i="70"/>
  <c r="AJ20" i="70"/>
  <c r="AG20" i="70"/>
  <c r="AF20" i="70"/>
  <c r="AC20" i="70"/>
  <c r="AE20" i="70" s="1"/>
  <c r="AB20" i="70"/>
  <c r="Y20" i="70"/>
  <c r="T20" i="70"/>
  <c r="S20" i="70"/>
  <c r="P20" i="70"/>
  <c r="O20" i="70"/>
  <c r="K20" i="70"/>
  <c r="M20" i="70" s="1"/>
  <c r="J20" i="70"/>
  <c r="G20" i="70"/>
  <c r="I20" i="70" s="1"/>
  <c r="F20" i="70"/>
  <c r="C20" i="70"/>
  <c r="B20" i="70"/>
  <c r="AQ19" i="70"/>
  <c r="AK19" i="70"/>
  <c r="AJ19" i="70"/>
  <c r="AG19" i="70"/>
  <c r="AF19" i="70"/>
  <c r="AC19" i="70"/>
  <c r="AE19" i="70" s="1"/>
  <c r="AB19" i="70"/>
  <c r="Y19" i="70"/>
  <c r="AU19" i="70" s="1"/>
  <c r="T19" i="70"/>
  <c r="S19" i="70"/>
  <c r="P19" i="70"/>
  <c r="O19" i="70"/>
  <c r="K19" i="70"/>
  <c r="M19" i="70" s="1"/>
  <c r="J19" i="70"/>
  <c r="G19" i="70"/>
  <c r="I19" i="70" s="1"/>
  <c r="F19" i="70"/>
  <c r="C19" i="70"/>
  <c r="B19" i="70"/>
  <c r="AQ18" i="70"/>
  <c r="AK18" i="70"/>
  <c r="AJ18" i="70"/>
  <c r="AG18" i="70"/>
  <c r="AF18" i="70"/>
  <c r="AC18" i="70"/>
  <c r="AE18" i="70" s="1"/>
  <c r="AB18" i="70"/>
  <c r="Y18" i="70"/>
  <c r="AU18" i="70" s="1"/>
  <c r="AY18" i="70" s="1"/>
  <c r="T18" i="70"/>
  <c r="S18" i="70"/>
  <c r="P18" i="70"/>
  <c r="O18" i="70"/>
  <c r="K18" i="70"/>
  <c r="M18" i="70" s="1"/>
  <c r="J18" i="70"/>
  <c r="G18" i="70"/>
  <c r="F18" i="70"/>
  <c r="C18" i="70"/>
  <c r="E18" i="70" s="1"/>
  <c r="B18" i="70"/>
  <c r="AU17" i="70"/>
  <c r="AY17" i="70" s="1"/>
  <c r="AQ17" i="70"/>
  <c r="AK17" i="70"/>
  <c r="AJ17" i="70"/>
  <c r="AG17" i="70"/>
  <c r="AF17" i="70"/>
  <c r="AC17" i="70"/>
  <c r="AB17" i="70"/>
  <c r="Y17" i="70"/>
  <c r="T17" i="70"/>
  <c r="S17" i="70"/>
  <c r="P17" i="70"/>
  <c r="O17" i="70"/>
  <c r="K17" i="70"/>
  <c r="M17" i="70" s="1"/>
  <c r="J17" i="70"/>
  <c r="G17" i="70"/>
  <c r="I17" i="70" s="1"/>
  <c r="F17" i="70"/>
  <c r="C17" i="70"/>
  <c r="E17" i="70" s="1"/>
  <c r="B17" i="70"/>
  <c r="AQ16" i="70"/>
  <c r="AK16" i="70"/>
  <c r="AJ16" i="70"/>
  <c r="AG16" i="70"/>
  <c r="AF16" i="70"/>
  <c r="AC16" i="70"/>
  <c r="AB16" i="70"/>
  <c r="Y16" i="70"/>
  <c r="T16" i="70"/>
  <c r="S16" i="70"/>
  <c r="P16" i="70"/>
  <c r="O16" i="70"/>
  <c r="K16" i="70"/>
  <c r="M16" i="70" s="1"/>
  <c r="J16" i="70"/>
  <c r="G16" i="70"/>
  <c r="I16" i="70" s="1"/>
  <c r="F16" i="70"/>
  <c r="C16" i="70"/>
  <c r="E16" i="70" s="1"/>
  <c r="B16" i="70"/>
  <c r="AQ15" i="70"/>
  <c r="AK15" i="70"/>
  <c r="AJ15" i="70"/>
  <c r="AG15" i="70"/>
  <c r="AF15" i="70"/>
  <c r="AC15" i="70"/>
  <c r="AE15" i="70" s="1"/>
  <c r="AB15" i="70"/>
  <c r="Y15" i="70"/>
  <c r="AU15" i="70" s="1"/>
  <c r="T15" i="70"/>
  <c r="S15" i="70"/>
  <c r="P15" i="70"/>
  <c r="O15" i="70"/>
  <c r="K15" i="70"/>
  <c r="M15" i="70" s="1"/>
  <c r="J15" i="70"/>
  <c r="G15" i="70"/>
  <c r="I15" i="70" s="1"/>
  <c r="F15" i="70"/>
  <c r="C15" i="70"/>
  <c r="B15" i="70"/>
  <c r="AQ14" i="70"/>
  <c r="AK14" i="70"/>
  <c r="AJ14" i="70"/>
  <c r="AG14" i="70"/>
  <c r="AF14" i="70"/>
  <c r="AC14" i="70"/>
  <c r="AB14" i="70"/>
  <c r="T14" i="70"/>
  <c r="S14" i="70"/>
  <c r="P14" i="70"/>
  <c r="O14" i="70"/>
  <c r="L14" i="70"/>
  <c r="L28" i="70" s="1"/>
  <c r="K14" i="70"/>
  <c r="J14" i="70"/>
  <c r="G14" i="70"/>
  <c r="I14" i="70" s="1"/>
  <c r="F14" i="70"/>
  <c r="C14" i="70"/>
  <c r="B14" i="70"/>
  <c r="AQ13" i="70"/>
  <c r="AK13" i="70"/>
  <c r="AJ13" i="70"/>
  <c r="AG13" i="70"/>
  <c r="AF13" i="70"/>
  <c r="AC13" i="70"/>
  <c r="AB13" i="70"/>
  <c r="Y13" i="70"/>
  <c r="AU13" i="70" s="1"/>
  <c r="AY13" i="70" s="1"/>
  <c r="T13" i="70"/>
  <c r="S13" i="70"/>
  <c r="P13" i="70"/>
  <c r="O13" i="70"/>
  <c r="K13" i="70"/>
  <c r="M13" i="70" s="1"/>
  <c r="J13" i="70"/>
  <c r="G13" i="70"/>
  <c r="F13" i="70"/>
  <c r="C13" i="70"/>
  <c r="E13" i="70" s="1"/>
  <c r="B13" i="70"/>
  <c r="AQ12" i="70"/>
  <c r="AK12" i="70"/>
  <c r="AJ12" i="70"/>
  <c r="AG12" i="70"/>
  <c r="AF12" i="70"/>
  <c r="AC12" i="70"/>
  <c r="AE12" i="70" s="1"/>
  <c r="AB12" i="70"/>
  <c r="Y12" i="70"/>
  <c r="T12" i="70"/>
  <c r="S12" i="70"/>
  <c r="P12" i="70"/>
  <c r="O12" i="70"/>
  <c r="K12" i="70"/>
  <c r="M12" i="70" s="1"/>
  <c r="J12" i="70"/>
  <c r="G12" i="70"/>
  <c r="I12" i="70" s="1"/>
  <c r="F12" i="70"/>
  <c r="C12" i="70"/>
  <c r="B12" i="70"/>
  <c r="AU11" i="70"/>
  <c r="AQ11" i="70"/>
  <c r="AK11" i="70"/>
  <c r="AJ11" i="70"/>
  <c r="AG11" i="70"/>
  <c r="AF11" i="70"/>
  <c r="AC11" i="70"/>
  <c r="AB11" i="70"/>
  <c r="Y11" i="70"/>
  <c r="T11" i="70"/>
  <c r="S11" i="70"/>
  <c r="P11" i="70"/>
  <c r="O11" i="70"/>
  <c r="K11" i="70"/>
  <c r="M11" i="70" s="1"/>
  <c r="J11" i="70"/>
  <c r="G11" i="70"/>
  <c r="I11" i="70" s="1"/>
  <c r="F11" i="70"/>
  <c r="C11" i="70"/>
  <c r="B11" i="70"/>
  <c r="AQ10" i="70"/>
  <c r="AK10" i="70"/>
  <c r="AJ10" i="70"/>
  <c r="AG10" i="70"/>
  <c r="AF10" i="70"/>
  <c r="AC10" i="70"/>
  <c r="AE10" i="70" s="1"/>
  <c r="AB10" i="70"/>
  <c r="Y10" i="70"/>
  <c r="AU10" i="70" s="1"/>
  <c r="T10" i="70"/>
  <c r="S10" i="70"/>
  <c r="P10" i="70"/>
  <c r="O10" i="70"/>
  <c r="K10" i="70"/>
  <c r="M10" i="70" s="1"/>
  <c r="J10" i="70"/>
  <c r="G10" i="70"/>
  <c r="I10" i="70" s="1"/>
  <c r="F10" i="70"/>
  <c r="C10" i="70"/>
  <c r="B10" i="70"/>
  <c r="I9" i="54"/>
  <c r="H9" i="54"/>
  <c r="H14" i="54" s="1"/>
  <c r="I45" i="69"/>
  <c r="H45" i="69"/>
  <c r="G45" i="69"/>
  <c r="F45" i="69"/>
  <c r="F46" i="69" s="1"/>
  <c r="E45" i="69"/>
  <c r="D45" i="69"/>
  <c r="C45" i="69"/>
  <c r="B44" i="69"/>
  <c r="B43" i="69"/>
  <c r="B41" i="69"/>
  <c r="B39" i="69"/>
  <c r="B37" i="69"/>
  <c r="I35" i="69"/>
  <c r="I46" i="69" s="1"/>
  <c r="H35" i="69"/>
  <c r="H46" i="69" s="1"/>
  <c r="G35" i="69"/>
  <c r="G46" i="69" s="1"/>
  <c r="F35" i="69"/>
  <c r="E35" i="69"/>
  <c r="E46" i="69" s="1"/>
  <c r="D35" i="69"/>
  <c r="D46" i="69" s="1"/>
  <c r="C35" i="69"/>
  <c r="C46" i="69" s="1"/>
  <c r="B34" i="69"/>
  <c r="B33" i="69"/>
  <c r="B32" i="69"/>
  <c r="B31" i="69"/>
  <c r="G28" i="69"/>
  <c r="C28" i="69"/>
  <c r="B27" i="69"/>
  <c r="I26" i="69"/>
  <c r="I28" i="69" s="1"/>
  <c r="I47" i="69" s="1"/>
  <c r="I49" i="69" s="1"/>
  <c r="H26" i="69"/>
  <c r="H28" i="69" s="1"/>
  <c r="H47" i="69" s="1"/>
  <c r="H49" i="69" s="1"/>
  <c r="G26" i="69"/>
  <c r="F26" i="69"/>
  <c r="F28" i="69" s="1"/>
  <c r="E26" i="69"/>
  <c r="E28" i="69" s="1"/>
  <c r="E47" i="69" s="1"/>
  <c r="E49" i="69" s="1"/>
  <c r="D26" i="69"/>
  <c r="D28" i="69" s="1"/>
  <c r="C26" i="69"/>
  <c r="B25" i="69"/>
  <c r="B24" i="69"/>
  <c r="B23" i="69"/>
  <c r="B22" i="69"/>
  <c r="B21" i="69"/>
  <c r="B20" i="69"/>
  <c r="B19" i="69"/>
  <c r="B18" i="69"/>
  <c r="B17" i="69"/>
  <c r="B16" i="69"/>
  <c r="B15" i="69"/>
  <c r="B14" i="69"/>
  <c r="B13" i="69"/>
  <c r="B12" i="69"/>
  <c r="B11" i="69"/>
  <c r="B10" i="69"/>
  <c r="B9" i="69"/>
  <c r="B8" i="69"/>
  <c r="AF47" i="70" l="1"/>
  <c r="B47" i="70"/>
  <c r="S47" i="70"/>
  <c r="AO13" i="70"/>
  <c r="AO16" i="70"/>
  <c r="W19" i="70"/>
  <c r="AO11" i="70"/>
  <c r="AO25" i="70"/>
  <c r="AO26" i="70"/>
  <c r="AO35" i="70"/>
  <c r="AO39" i="70"/>
  <c r="AO43" i="70"/>
  <c r="F47" i="70"/>
  <c r="O47" i="70"/>
  <c r="AG47" i="70"/>
  <c r="G34" i="64"/>
  <c r="AO41" i="70"/>
  <c r="X20" i="70"/>
  <c r="Z20" i="70" s="1"/>
  <c r="AO22" i="70"/>
  <c r="W25" i="70"/>
  <c r="AO29" i="70"/>
  <c r="P37" i="70"/>
  <c r="AB37" i="70"/>
  <c r="W36" i="70"/>
  <c r="W41" i="70"/>
  <c r="P47" i="70"/>
  <c r="AB47" i="70"/>
  <c r="AJ47" i="70"/>
  <c r="AP11" i="70"/>
  <c r="AR11" i="70" s="1"/>
  <c r="AO15" i="70"/>
  <c r="AO17" i="70"/>
  <c r="W18" i="70"/>
  <c r="O37" i="70"/>
  <c r="AG37" i="70"/>
  <c r="X43" i="70"/>
  <c r="Z43" i="70" s="1"/>
  <c r="W46" i="70"/>
  <c r="X16" i="70"/>
  <c r="Z16" i="70" s="1"/>
  <c r="B45" i="69"/>
  <c r="AF28" i="70"/>
  <c r="AF30" i="70" s="1"/>
  <c r="X11" i="70"/>
  <c r="Z11" i="70" s="1"/>
  <c r="W12" i="70"/>
  <c r="W15" i="70"/>
  <c r="AP17" i="70"/>
  <c r="AR17" i="70" s="1"/>
  <c r="AK37" i="70"/>
  <c r="AO20" i="70"/>
  <c r="W24" i="70"/>
  <c r="X29" i="70"/>
  <c r="Z29" i="70" s="1"/>
  <c r="AF37" i="70"/>
  <c r="AF48" i="70" s="1"/>
  <c r="AO34" i="70"/>
  <c r="W39" i="70"/>
  <c r="W43" i="70"/>
  <c r="AS43" i="70" s="1"/>
  <c r="AW43" i="70" s="1"/>
  <c r="AO46" i="70"/>
  <c r="AP25" i="70"/>
  <c r="W21" i="70"/>
  <c r="W16" i="70"/>
  <c r="AP15" i="70"/>
  <c r="AR15" i="70" s="1"/>
  <c r="W11" i="70"/>
  <c r="AO27" i="70"/>
  <c r="AO21" i="70"/>
  <c r="W20" i="70"/>
  <c r="AO14" i="70"/>
  <c r="W29" i="70"/>
  <c r="W26" i="70"/>
  <c r="X25" i="70"/>
  <c r="Z25" i="70" s="1"/>
  <c r="AO24" i="70"/>
  <c r="AP22" i="70"/>
  <c r="AR22" i="70" s="1"/>
  <c r="AO19" i="70"/>
  <c r="AO18" i="70"/>
  <c r="AO36" i="70"/>
  <c r="X34" i="70"/>
  <c r="Z34" i="70" s="1"/>
  <c r="AP26" i="70"/>
  <c r="AR26" i="70" s="1"/>
  <c r="AO23" i="70"/>
  <c r="AP19" i="70"/>
  <c r="AR19" i="70" s="1"/>
  <c r="AP45" i="70"/>
  <c r="AR45" i="70" s="1"/>
  <c r="AC47" i="70"/>
  <c r="AE47" i="70" s="1"/>
  <c r="AE45" i="70"/>
  <c r="G47" i="70"/>
  <c r="I47" i="70" s="1"/>
  <c r="I45" i="70"/>
  <c r="AP43" i="70"/>
  <c r="AR43" i="70" s="1"/>
  <c r="AE43" i="70"/>
  <c r="AP41" i="70"/>
  <c r="AR41" i="70" s="1"/>
  <c r="AE41" i="70"/>
  <c r="AP39" i="70"/>
  <c r="AR39" i="70" s="1"/>
  <c r="AE39" i="70"/>
  <c r="AP35" i="70"/>
  <c r="AR35" i="70" s="1"/>
  <c r="AE35" i="70"/>
  <c r="E27" i="70"/>
  <c r="X27" i="70"/>
  <c r="Z27" i="70" s="1"/>
  <c r="X21" i="70"/>
  <c r="E21" i="70"/>
  <c r="AE16" i="70"/>
  <c r="AP16" i="70"/>
  <c r="AP14" i="70"/>
  <c r="AR14" i="70" s="1"/>
  <c r="AE14" i="70"/>
  <c r="AP13" i="70"/>
  <c r="AR13" i="70" s="1"/>
  <c r="AE13" i="70"/>
  <c r="E12" i="70"/>
  <c r="X12" i="70"/>
  <c r="Z12" i="70" s="1"/>
  <c r="L30" i="70"/>
  <c r="S28" i="70"/>
  <c r="S30" i="70" s="1"/>
  <c r="AO10" i="70"/>
  <c r="AU21" i="70"/>
  <c r="G28" i="70"/>
  <c r="T28" i="70"/>
  <c r="T30" i="70" s="1"/>
  <c r="AB28" i="70"/>
  <c r="AB30" i="70" s="1"/>
  <c r="AG28" i="70"/>
  <c r="AG30" i="70" s="1"/>
  <c r="AP10" i="70"/>
  <c r="E11" i="70"/>
  <c r="AO12" i="70"/>
  <c r="W13" i="70"/>
  <c r="AS13" i="70" s="1"/>
  <c r="AW13" i="70" s="1"/>
  <c r="X13" i="70"/>
  <c r="I13" i="70"/>
  <c r="X14" i="70"/>
  <c r="E14" i="70"/>
  <c r="Y14" i="70"/>
  <c r="X15" i="70"/>
  <c r="E15" i="70"/>
  <c r="AY15" i="70"/>
  <c r="X17" i="70"/>
  <c r="AE17" i="70"/>
  <c r="E20" i="70"/>
  <c r="AP20" i="70"/>
  <c r="W23" i="70"/>
  <c r="I23" i="70"/>
  <c r="X23" i="70"/>
  <c r="Z23" i="70" s="1"/>
  <c r="C28" i="70"/>
  <c r="X10" i="70"/>
  <c r="E10" i="70"/>
  <c r="AY10" i="70"/>
  <c r="X18" i="70"/>
  <c r="I18" i="70"/>
  <c r="AC28" i="70"/>
  <c r="AC30" i="70" s="1"/>
  <c r="AE11" i="70"/>
  <c r="W14" i="70"/>
  <c r="M14" i="70"/>
  <c r="W17" i="70"/>
  <c r="W22" i="70"/>
  <c r="AU23" i="70"/>
  <c r="B28" i="70"/>
  <c r="B30" i="70" s="1"/>
  <c r="O28" i="70"/>
  <c r="O30" i="70" s="1"/>
  <c r="W10" i="70"/>
  <c r="AY11" i="70"/>
  <c r="AP12" i="70"/>
  <c r="AU12" i="70"/>
  <c r="AU16" i="70"/>
  <c r="AP18" i="70"/>
  <c r="AR18" i="70" s="1"/>
  <c r="AY20" i="70"/>
  <c r="AE21" i="70"/>
  <c r="AP21" i="70"/>
  <c r="AR21" i="70" s="1"/>
  <c r="X22" i="70"/>
  <c r="AU27" i="70"/>
  <c r="X19" i="70"/>
  <c r="E19" i="70"/>
  <c r="AY19" i="70"/>
  <c r="AH49" i="70"/>
  <c r="B37" i="70"/>
  <c r="W33" i="70"/>
  <c r="J28" i="70"/>
  <c r="J30" i="70" s="1"/>
  <c r="P28" i="70"/>
  <c r="P30" i="70" s="1"/>
  <c r="AJ28" i="70"/>
  <c r="AJ30" i="70" s="1"/>
  <c r="AQ28" i="70"/>
  <c r="AP23" i="70"/>
  <c r="AR23" i="70" s="1"/>
  <c r="X24" i="70"/>
  <c r="AP24" i="70"/>
  <c r="AR24" i="70" s="1"/>
  <c r="W27" i="70"/>
  <c r="H49" i="70"/>
  <c r="X33" i="70"/>
  <c r="T47" i="70"/>
  <c r="V47" i="70" s="1"/>
  <c r="F28" i="70"/>
  <c r="F30" i="70" s="1"/>
  <c r="K28" i="70"/>
  <c r="K30" i="70" s="1"/>
  <c r="Y28" i="70"/>
  <c r="AK28" i="70"/>
  <c r="AK30" i="70" s="1"/>
  <c r="T37" i="70"/>
  <c r="V37" i="70" s="1"/>
  <c r="V33" i="70"/>
  <c r="AY34" i="70"/>
  <c r="AY43" i="70"/>
  <c r="X26" i="70"/>
  <c r="E26" i="70"/>
  <c r="AP27" i="70"/>
  <c r="AE27" i="70"/>
  <c r="D49" i="70"/>
  <c r="AE30" i="70"/>
  <c r="G37" i="70"/>
  <c r="I33" i="70"/>
  <c r="AU33" i="70"/>
  <c r="Y37" i="70"/>
  <c r="AU26" i="70"/>
  <c r="AO33" i="70"/>
  <c r="AY36" i="70"/>
  <c r="C37" i="70"/>
  <c r="K37" i="70"/>
  <c r="U48" i="70"/>
  <c r="U49" i="70" s="1"/>
  <c r="K47" i="70"/>
  <c r="M47" i="70" s="1"/>
  <c r="M45" i="70"/>
  <c r="AK47" i="70"/>
  <c r="AU46" i="70"/>
  <c r="E25" i="70"/>
  <c r="AU25" i="70"/>
  <c r="E29" i="70"/>
  <c r="AP29" i="70"/>
  <c r="E33" i="70"/>
  <c r="J37" i="70"/>
  <c r="J48" i="70" s="1"/>
  <c r="AP33" i="70"/>
  <c r="AP34" i="70"/>
  <c r="AR34" i="70" s="1"/>
  <c r="AE34" i="70"/>
  <c r="W35" i="70"/>
  <c r="AU35" i="70"/>
  <c r="X36" i="70"/>
  <c r="X39" i="70"/>
  <c r="E39" i="70"/>
  <c r="AU41" i="70"/>
  <c r="W45" i="70"/>
  <c r="AU45" i="70"/>
  <c r="Y47" i="70"/>
  <c r="X46" i="70"/>
  <c r="Z46" i="70" s="1"/>
  <c r="E24" i="70"/>
  <c r="F37" i="70"/>
  <c r="S37" i="70"/>
  <c r="AC37" i="70"/>
  <c r="AJ37" i="70"/>
  <c r="W34" i="70"/>
  <c r="X35" i="70"/>
  <c r="AD48" i="70"/>
  <c r="X41" i="70"/>
  <c r="X45" i="70"/>
  <c r="AP46" i="70"/>
  <c r="AR46" i="70" s="1"/>
  <c r="AQ48" i="70"/>
  <c r="AP36" i="70"/>
  <c r="AR36" i="70" s="1"/>
  <c r="AO45" i="70"/>
  <c r="C47" i="70"/>
  <c r="E47" i="70" s="1"/>
  <c r="E41" i="70"/>
  <c r="E43" i="70"/>
  <c r="B26" i="69"/>
  <c r="B28" i="69" s="1"/>
  <c r="B35" i="69"/>
  <c r="F47" i="69"/>
  <c r="F49" i="69" s="1"/>
  <c r="C47" i="69"/>
  <c r="C49" i="69" s="1"/>
  <c r="D47" i="69"/>
  <c r="D49" i="69" s="1"/>
  <c r="G47" i="69"/>
  <c r="G49" i="69" s="1"/>
  <c r="S48" i="70" l="1"/>
  <c r="AS15" i="70"/>
  <c r="AW15" i="70" s="1"/>
  <c r="B48" i="70"/>
  <c r="AS22" i="70"/>
  <c r="AW22" i="70" s="1"/>
  <c r="AS39" i="70"/>
  <c r="AW39" i="70" s="1"/>
  <c r="AS25" i="70"/>
  <c r="AW25" i="70" s="1"/>
  <c r="AS12" i="70"/>
  <c r="AW12" i="70" s="1"/>
  <c r="AS41" i="70"/>
  <c r="AW41" i="70" s="1"/>
  <c r="AS35" i="70"/>
  <c r="AW35" i="70" s="1"/>
  <c r="AS11" i="70"/>
  <c r="AW11" i="70" s="1"/>
  <c r="AO37" i="70"/>
  <c r="AS19" i="70"/>
  <c r="AW19" i="70" s="1"/>
  <c r="AS26" i="70"/>
  <c r="AW26" i="70" s="1"/>
  <c r="AS16" i="70"/>
  <c r="AW16" i="70" s="1"/>
  <c r="AT22" i="70"/>
  <c r="AX22" i="70" s="1"/>
  <c r="AT17" i="70"/>
  <c r="AV17" i="70" s="1"/>
  <c r="AS27" i="70"/>
  <c r="AW27" i="70" s="1"/>
  <c r="AS14" i="70"/>
  <c r="AW14" i="70" s="1"/>
  <c r="AT20" i="70"/>
  <c r="AX20" i="70" s="1"/>
  <c r="AT26" i="70"/>
  <c r="AX26" i="70" s="1"/>
  <c r="F48" i="70"/>
  <c r="F49" i="70" s="1"/>
  <c r="F52" i="70" s="1"/>
  <c r="O48" i="70"/>
  <c r="O49" i="70" s="1"/>
  <c r="O52" i="70" s="1"/>
  <c r="AT11" i="70"/>
  <c r="AX11" i="70" s="1"/>
  <c r="AE28" i="70"/>
  <c r="AS29" i="70"/>
  <c r="AW29" i="70" s="1"/>
  <c r="AT25" i="70"/>
  <c r="AX25" i="70" s="1"/>
  <c r="AG48" i="70"/>
  <c r="AI48" i="70" s="1"/>
  <c r="Z17" i="70"/>
  <c r="AS36" i="70"/>
  <c r="AW36" i="70" s="1"/>
  <c r="AS24" i="70"/>
  <c r="AW24" i="70" s="1"/>
  <c r="AT43" i="70"/>
  <c r="AB48" i="70"/>
  <c r="AB49" i="70" s="1"/>
  <c r="AB52" i="70" s="1"/>
  <c r="AJ48" i="70"/>
  <c r="AJ49" i="70" s="1"/>
  <c r="AJ52" i="70" s="1"/>
  <c r="AT34" i="70"/>
  <c r="AX34" i="70" s="1"/>
  <c r="AC48" i="70"/>
  <c r="AE48" i="70" s="1"/>
  <c r="P48" i="70"/>
  <c r="P49" i="70" s="1"/>
  <c r="P52" i="70" s="1"/>
  <c r="B46" i="69"/>
  <c r="B47" i="69" s="1"/>
  <c r="B49" i="69" s="1"/>
  <c r="AS34" i="70"/>
  <c r="AW34" i="70" s="1"/>
  <c r="AT14" i="70"/>
  <c r="AX14" i="70" s="1"/>
  <c r="AS18" i="70"/>
  <c r="AW18" i="70" s="1"/>
  <c r="AR25" i="70"/>
  <c r="AS17" i="70"/>
  <c r="AW17" i="70" s="1"/>
  <c r="AS46" i="70"/>
  <c r="AW46" i="70" s="1"/>
  <c r="AT41" i="70"/>
  <c r="AX41" i="70" s="1"/>
  <c r="AS20" i="70"/>
  <c r="AW20" i="70" s="1"/>
  <c r="AO47" i="70"/>
  <c r="AT35" i="70"/>
  <c r="AX35" i="70" s="1"/>
  <c r="AK48" i="70"/>
  <c r="AK49" i="70" s="1"/>
  <c r="AK52" i="70" s="1"/>
  <c r="AR20" i="70"/>
  <c r="AS23" i="70"/>
  <c r="AW23" i="70" s="1"/>
  <c r="AF49" i="70"/>
  <c r="AF52" i="70" s="1"/>
  <c r="AS21" i="70"/>
  <c r="AW21" i="70" s="1"/>
  <c r="S49" i="70"/>
  <c r="S52" i="70" s="1"/>
  <c r="B49" i="70"/>
  <c r="B52" i="70" s="1"/>
  <c r="AT18" i="70"/>
  <c r="AX18" i="70" s="1"/>
  <c r="AT21" i="70"/>
  <c r="AX21" i="70" s="1"/>
  <c r="Z21" i="70"/>
  <c r="AT16" i="70"/>
  <c r="AX16" i="70" s="1"/>
  <c r="AR16" i="70"/>
  <c r="AT12" i="70"/>
  <c r="AX12" i="70" s="1"/>
  <c r="AR12" i="70"/>
  <c r="AR27" i="70"/>
  <c r="AT27" i="70"/>
  <c r="AX27" i="70" s="1"/>
  <c r="AR29" i="70"/>
  <c r="AT29" i="70"/>
  <c r="AX29" i="70" s="1"/>
  <c r="U52" i="70"/>
  <c r="AU37" i="70"/>
  <c r="AY33" i="70"/>
  <c r="AD49" i="70"/>
  <c r="D52" i="70"/>
  <c r="Z26" i="70"/>
  <c r="X37" i="70"/>
  <c r="Z37" i="70" s="1"/>
  <c r="AT33" i="70"/>
  <c r="AV33" i="70" s="1"/>
  <c r="J49" i="70"/>
  <c r="J52" i="70" s="1"/>
  <c r="AU14" i="70"/>
  <c r="Z14" i="70"/>
  <c r="AP28" i="70"/>
  <c r="AP30" i="70" s="1"/>
  <c r="AR10" i="70"/>
  <c r="AU47" i="70"/>
  <c r="AY45" i="70"/>
  <c r="AT39" i="70"/>
  <c r="Z39" i="70"/>
  <c r="T48" i="70"/>
  <c r="V48" i="70" s="1"/>
  <c r="W37" i="70"/>
  <c r="AS33" i="70"/>
  <c r="AY16" i="70"/>
  <c r="AY21" i="70"/>
  <c r="M28" i="70"/>
  <c r="W47" i="70"/>
  <c r="AS45" i="70"/>
  <c r="AY46" i="70"/>
  <c r="Z41" i="70"/>
  <c r="M37" i="70"/>
  <c r="K48" i="70"/>
  <c r="M48" i="70" s="1"/>
  <c r="Z33" i="70"/>
  <c r="I37" i="70"/>
  <c r="G48" i="70"/>
  <c r="I48" i="70" s="1"/>
  <c r="AP47" i="70"/>
  <c r="AR47" i="70" s="1"/>
  <c r="AY27" i="70"/>
  <c r="AY12" i="70"/>
  <c r="AY23" i="70"/>
  <c r="C30" i="70"/>
  <c r="E28" i="70"/>
  <c r="Z22" i="70"/>
  <c r="L49" i="70"/>
  <c r="M30" i="70"/>
  <c r="AY25" i="70"/>
  <c r="Y30" i="70"/>
  <c r="AH52" i="70"/>
  <c r="AT13" i="70"/>
  <c r="Z13" i="70"/>
  <c r="G30" i="70"/>
  <c r="I28" i="70"/>
  <c r="AT36" i="70"/>
  <c r="Z36" i="70"/>
  <c r="AQ30" i="70"/>
  <c r="AT19" i="70"/>
  <c r="Z19" i="70"/>
  <c r="X28" i="70"/>
  <c r="AT10" i="70"/>
  <c r="Z10" i="70"/>
  <c r="AT46" i="70"/>
  <c r="AX46" i="70" s="1"/>
  <c r="Z35" i="70"/>
  <c r="AT45" i="70"/>
  <c r="X47" i="70"/>
  <c r="Z47" i="70" s="1"/>
  <c r="AE37" i="70"/>
  <c r="Z45" i="70"/>
  <c r="AY41" i="70"/>
  <c r="AY35" i="70"/>
  <c r="AP37" i="70"/>
  <c r="AR33" i="70"/>
  <c r="E37" i="70"/>
  <c r="C48" i="70"/>
  <c r="E48" i="70" s="1"/>
  <c r="AY26" i="70"/>
  <c r="Y48" i="70"/>
  <c r="H52" i="70"/>
  <c r="AT24" i="70"/>
  <c r="Z24" i="70"/>
  <c r="AI30" i="70"/>
  <c r="W28" i="70"/>
  <c r="W30" i="70" s="1"/>
  <c r="AS10" i="70"/>
  <c r="AU28" i="70"/>
  <c r="AT23" i="70"/>
  <c r="AX23" i="70" s="1"/>
  <c r="AT15" i="70"/>
  <c r="Z15" i="70"/>
  <c r="Z18" i="70"/>
  <c r="AO28" i="70"/>
  <c r="AO30" i="70" s="1"/>
  <c r="AW51" i="67"/>
  <c r="AV51" i="67"/>
  <c r="AS51" i="67"/>
  <c r="AR51" i="67"/>
  <c r="AO51" i="67"/>
  <c r="AK51" i="67"/>
  <c r="AJ51" i="67"/>
  <c r="AI51" i="67"/>
  <c r="AF51" i="67"/>
  <c r="AE51" i="67"/>
  <c r="AB51" i="67"/>
  <c r="AA51" i="67"/>
  <c r="X51" i="67"/>
  <c r="W51" i="67"/>
  <c r="T51" i="67"/>
  <c r="S51" i="67"/>
  <c r="R51" i="67"/>
  <c r="O51" i="67"/>
  <c r="N51" i="67"/>
  <c r="K51" i="67"/>
  <c r="J51" i="67"/>
  <c r="G51" i="67"/>
  <c r="F51" i="67"/>
  <c r="C51" i="67"/>
  <c r="B51" i="67"/>
  <c r="AT47" i="67"/>
  <c r="AP47" i="67"/>
  <c r="AN47" i="67"/>
  <c r="AG47" i="67"/>
  <c r="AC47" i="67"/>
  <c r="Y47" i="67"/>
  <c r="P47" i="67"/>
  <c r="L47" i="67"/>
  <c r="H47" i="67"/>
  <c r="D47" i="67"/>
  <c r="AS46" i="67"/>
  <c r="AU46" i="67" s="1"/>
  <c r="AR46" i="67"/>
  <c r="AO46" i="67"/>
  <c r="AQ46" i="67" s="1"/>
  <c r="AK46" i="67"/>
  <c r="AF46" i="67"/>
  <c r="AE46" i="67"/>
  <c r="AB46" i="67"/>
  <c r="AA46" i="67"/>
  <c r="X46" i="67"/>
  <c r="W46" i="67"/>
  <c r="T46" i="67"/>
  <c r="O46" i="67"/>
  <c r="Q46" i="67" s="1"/>
  <c r="N46" i="67"/>
  <c r="K46" i="67"/>
  <c r="J46" i="67"/>
  <c r="G46" i="67"/>
  <c r="I46" i="67" s="1"/>
  <c r="F46" i="67"/>
  <c r="C46" i="67"/>
  <c r="B46" i="67"/>
  <c r="AS45" i="67"/>
  <c r="AU45" i="67" s="1"/>
  <c r="AR45" i="67"/>
  <c r="AO45" i="67"/>
  <c r="AQ45" i="67" s="1"/>
  <c r="AK45" i="67"/>
  <c r="AF45" i="67"/>
  <c r="AE45" i="67"/>
  <c r="AB45" i="67"/>
  <c r="AA45" i="67"/>
  <c r="X45" i="67"/>
  <c r="W45" i="67"/>
  <c r="T45" i="67"/>
  <c r="T47" i="67" s="1"/>
  <c r="O45" i="67"/>
  <c r="N45" i="67"/>
  <c r="K45" i="67"/>
  <c r="J45" i="67"/>
  <c r="G45" i="67"/>
  <c r="F45" i="67"/>
  <c r="C45" i="67"/>
  <c r="B45" i="67"/>
  <c r="AS43" i="67"/>
  <c r="AU43" i="67" s="1"/>
  <c r="AR43" i="67"/>
  <c r="AO43" i="67"/>
  <c r="AQ43" i="67" s="1"/>
  <c r="AK43" i="67"/>
  <c r="AF43" i="67"/>
  <c r="AE43" i="67"/>
  <c r="AB43" i="67"/>
  <c r="AA43" i="67"/>
  <c r="X43" i="67"/>
  <c r="Z43" i="67" s="1"/>
  <c r="W43" i="67"/>
  <c r="T43" i="67"/>
  <c r="AX43" i="67" s="1"/>
  <c r="O43" i="67"/>
  <c r="N43" i="67"/>
  <c r="K43" i="67"/>
  <c r="J43" i="67"/>
  <c r="G43" i="67"/>
  <c r="I43" i="67" s="1"/>
  <c r="F43" i="67"/>
  <c r="C43" i="67"/>
  <c r="B43" i="67"/>
  <c r="AS41" i="67"/>
  <c r="AU41" i="67" s="1"/>
  <c r="AR41" i="67"/>
  <c r="AO41" i="67"/>
  <c r="AQ41" i="67" s="1"/>
  <c r="AK41" i="67"/>
  <c r="AF41" i="67"/>
  <c r="AE41" i="67"/>
  <c r="AB41" i="67"/>
  <c r="AD41" i="67" s="1"/>
  <c r="AA41" i="67"/>
  <c r="X41" i="67"/>
  <c r="W41" i="67"/>
  <c r="T41" i="67"/>
  <c r="O41" i="67"/>
  <c r="N41" i="67"/>
  <c r="K41" i="67"/>
  <c r="J41" i="67"/>
  <c r="G41" i="67"/>
  <c r="I41" i="67" s="1"/>
  <c r="F41" i="67"/>
  <c r="C41" i="67"/>
  <c r="B41" i="67"/>
  <c r="AS39" i="67"/>
  <c r="AU39" i="67" s="1"/>
  <c r="AR39" i="67"/>
  <c r="AO39" i="67"/>
  <c r="AQ39" i="67" s="1"/>
  <c r="AK39" i="67"/>
  <c r="AF39" i="67"/>
  <c r="AE39" i="67"/>
  <c r="AB39" i="67"/>
  <c r="AA39" i="67"/>
  <c r="X39" i="67"/>
  <c r="W39" i="67"/>
  <c r="T39" i="67"/>
  <c r="O39" i="67"/>
  <c r="N39" i="67"/>
  <c r="K39" i="67"/>
  <c r="M39" i="67" s="1"/>
  <c r="J39" i="67"/>
  <c r="G39" i="67"/>
  <c r="I39" i="67" s="1"/>
  <c r="F39" i="67"/>
  <c r="C39" i="67"/>
  <c r="B39" i="67"/>
  <c r="AT37" i="67"/>
  <c r="AT48" i="67" s="1"/>
  <c r="AP37" i="67"/>
  <c r="AP48" i="67" s="1"/>
  <c r="AN37" i="67"/>
  <c r="AN48" i="67" s="1"/>
  <c r="AG37" i="67"/>
  <c r="AG48" i="67" s="1"/>
  <c r="AC37" i="67"/>
  <c r="Y37" i="67"/>
  <c r="P37" i="67"/>
  <c r="P48" i="67" s="1"/>
  <c r="L37" i="67"/>
  <c r="L48" i="67" s="1"/>
  <c r="H37" i="67"/>
  <c r="H48" i="67" s="1"/>
  <c r="D37" i="67"/>
  <c r="D48" i="67" s="1"/>
  <c r="AS36" i="67"/>
  <c r="AU36" i="67" s="1"/>
  <c r="AR36" i="67"/>
  <c r="AO36" i="67"/>
  <c r="AQ36" i="67" s="1"/>
  <c r="AK36" i="67"/>
  <c r="AF36" i="67"/>
  <c r="AE36" i="67"/>
  <c r="AB36" i="67"/>
  <c r="AD36" i="67" s="1"/>
  <c r="AA36" i="67"/>
  <c r="X36" i="67"/>
  <c r="W36" i="67"/>
  <c r="T36" i="67"/>
  <c r="AX36" i="67" s="1"/>
  <c r="O36" i="67"/>
  <c r="N36" i="67"/>
  <c r="K36" i="67"/>
  <c r="J36" i="67"/>
  <c r="G36" i="67"/>
  <c r="I36" i="67" s="1"/>
  <c r="F36" i="67"/>
  <c r="C36" i="67"/>
  <c r="B36" i="67"/>
  <c r="AS35" i="67"/>
  <c r="AU35" i="67" s="1"/>
  <c r="AR35" i="67"/>
  <c r="AO35" i="67"/>
  <c r="AQ35" i="67" s="1"/>
  <c r="AK35" i="67"/>
  <c r="AF35" i="67"/>
  <c r="AE35" i="67"/>
  <c r="AB35" i="67"/>
  <c r="AA35" i="67"/>
  <c r="X35" i="67"/>
  <c r="W35" i="67"/>
  <c r="T35" i="67"/>
  <c r="AX35" i="67" s="1"/>
  <c r="O35" i="67"/>
  <c r="N35" i="67"/>
  <c r="K35" i="67"/>
  <c r="M35" i="67" s="1"/>
  <c r="J35" i="67"/>
  <c r="G35" i="67"/>
  <c r="I35" i="67" s="1"/>
  <c r="F35" i="67"/>
  <c r="C35" i="67"/>
  <c r="B35" i="67"/>
  <c r="AS34" i="67"/>
  <c r="AU34" i="67" s="1"/>
  <c r="AR34" i="67"/>
  <c r="AO34" i="67"/>
  <c r="AQ34" i="67" s="1"/>
  <c r="AK34" i="67"/>
  <c r="AF34" i="67"/>
  <c r="AE34" i="67"/>
  <c r="AB34" i="67"/>
  <c r="AD34" i="67" s="1"/>
  <c r="AA34" i="67"/>
  <c r="X34" i="67"/>
  <c r="Z34" i="67" s="1"/>
  <c r="W34" i="67"/>
  <c r="T34" i="67"/>
  <c r="AX34" i="67" s="1"/>
  <c r="O34" i="67"/>
  <c r="N34" i="67"/>
  <c r="K34" i="67"/>
  <c r="M34" i="67" s="1"/>
  <c r="J34" i="67"/>
  <c r="G34" i="67"/>
  <c r="I34" i="67" s="1"/>
  <c r="F34" i="67"/>
  <c r="C34" i="67"/>
  <c r="B34" i="67"/>
  <c r="AS33" i="67"/>
  <c r="AU33" i="67" s="1"/>
  <c r="AR33" i="67"/>
  <c r="AO33" i="67"/>
  <c r="AQ33" i="67" s="1"/>
  <c r="AK33" i="67"/>
  <c r="AF33" i="67"/>
  <c r="AE33" i="67"/>
  <c r="AB33" i="67"/>
  <c r="AA33" i="67"/>
  <c r="X33" i="67"/>
  <c r="W33" i="67"/>
  <c r="T33" i="67"/>
  <c r="O33" i="67"/>
  <c r="N33" i="67"/>
  <c r="K33" i="67"/>
  <c r="J33" i="67"/>
  <c r="G33" i="67"/>
  <c r="F33" i="67"/>
  <c r="C33" i="67"/>
  <c r="E33" i="67" s="1"/>
  <c r="B33" i="67"/>
  <c r="Y30" i="67"/>
  <c r="AS29" i="67"/>
  <c r="AU29" i="67" s="1"/>
  <c r="AR29" i="67"/>
  <c r="AO29" i="67"/>
  <c r="AQ29" i="67" s="1"/>
  <c r="AK29" i="67"/>
  <c r="AF29" i="67"/>
  <c r="AE29" i="67"/>
  <c r="AB29" i="67"/>
  <c r="AA29" i="67"/>
  <c r="X29" i="67"/>
  <c r="W29" i="67"/>
  <c r="T29" i="67"/>
  <c r="O29" i="67"/>
  <c r="N29" i="67"/>
  <c r="K29" i="67"/>
  <c r="J29" i="67"/>
  <c r="G29" i="67"/>
  <c r="I29" i="67" s="1"/>
  <c r="F29" i="67"/>
  <c r="C29" i="67"/>
  <c r="E29" i="67" s="1"/>
  <c r="B29" i="67"/>
  <c r="AT28" i="67"/>
  <c r="AT30" i="67" s="1"/>
  <c r="AT49" i="67" s="1"/>
  <c r="AP28" i="67"/>
  <c r="AP30" i="67" s="1"/>
  <c r="AN28" i="67"/>
  <c r="AN30" i="67" s="1"/>
  <c r="AN49" i="67" s="1"/>
  <c r="AN52" i="67" s="1"/>
  <c r="AG28" i="67"/>
  <c r="AG30" i="67" s="1"/>
  <c r="AC28" i="67"/>
  <c r="AC30" i="67" s="1"/>
  <c r="Y28" i="67"/>
  <c r="P28" i="67"/>
  <c r="P30" i="67" s="1"/>
  <c r="P49" i="67" s="1"/>
  <c r="L28" i="67"/>
  <c r="L30" i="67" s="1"/>
  <c r="H28" i="67"/>
  <c r="H30" i="67" s="1"/>
  <c r="D28" i="67"/>
  <c r="D30" i="67" s="1"/>
  <c r="AS27" i="67"/>
  <c r="AU27" i="67" s="1"/>
  <c r="AR27" i="67"/>
  <c r="AO27" i="67"/>
  <c r="AQ27" i="67" s="1"/>
  <c r="AK27" i="67"/>
  <c r="AF27" i="67"/>
  <c r="AE27" i="67"/>
  <c r="AB27" i="67"/>
  <c r="AA27" i="67"/>
  <c r="X27" i="67"/>
  <c r="W27" i="67"/>
  <c r="T27" i="67"/>
  <c r="AX27" i="67" s="1"/>
  <c r="O27" i="67"/>
  <c r="N27" i="67"/>
  <c r="K27" i="67"/>
  <c r="J27" i="67"/>
  <c r="G27" i="67"/>
  <c r="F27" i="67"/>
  <c r="C27" i="67"/>
  <c r="E27" i="67" s="1"/>
  <c r="B27" i="67"/>
  <c r="AS26" i="67"/>
  <c r="AU26" i="67" s="1"/>
  <c r="AR26" i="67"/>
  <c r="AO26" i="67"/>
  <c r="AQ26" i="67" s="1"/>
  <c r="AK26" i="67"/>
  <c r="AF26" i="67"/>
  <c r="AE26" i="67"/>
  <c r="AB26" i="67"/>
  <c r="AA26" i="67"/>
  <c r="X26" i="67"/>
  <c r="W26" i="67"/>
  <c r="T26" i="67"/>
  <c r="AX26" i="67" s="1"/>
  <c r="O26" i="67"/>
  <c r="N26" i="67"/>
  <c r="K26" i="67"/>
  <c r="M26" i="67" s="1"/>
  <c r="J26" i="67"/>
  <c r="G26" i="67"/>
  <c r="F26" i="67"/>
  <c r="C26" i="67"/>
  <c r="B26" i="67"/>
  <c r="AS25" i="67"/>
  <c r="AU25" i="67" s="1"/>
  <c r="AR25" i="67"/>
  <c r="AO25" i="67"/>
  <c r="AQ25" i="67" s="1"/>
  <c r="AK25" i="67"/>
  <c r="AF25" i="67"/>
  <c r="AE25" i="67"/>
  <c r="AB25" i="67"/>
  <c r="AA25" i="67"/>
  <c r="X25" i="67"/>
  <c r="W25" i="67"/>
  <c r="T25" i="67"/>
  <c r="AX25" i="67" s="1"/>
  <c r="O25" i="67"/>
  <c r="N25" i="67"/>
  <c r="K25" i="67"/>
  <c r="J25" i="67"/>
  <c r="G25" i="67"/>
  <c r="F25" i="67"/>
  <c r="C25" i="67"/>
  <c r="E25" i="67" s="1"/>
  <c r="B25" i="67"/>
  <c r="AS24" i="67"/>
  <c r="AU24" i="67" s="1"/>
  <c r="AR24" i="67"/>
  <c r="AO24" i="67"/>
  <c r="AQ24" i="67" s="1"/>
  <c r="AK24" i="67"/>
  <c r="AF24" i="67"/>
  <c r="AE24" i="67"/>
  <c r="AB24" i="67"/>
  <c r="AA24" i="67"/>
  <c r="X24" i="67"/>
  <c r="W24" i="67"/>
  <c r="T24" i="67"/>
  <c r="O24" i="67"/>
  <c r="N24" i="67"/>
  <c r="K24" i="67"/>
  <c r="M24" i="67" s="1"/>
  <c r="J24" i="67"/>
  <c r="G24" i="67"/>
  <c r="F24" i="67"/>
  <c r="C24" i="67"/>
  <c r="B24" i="67"/>
  <c r="AS23" i="67"/>
  <c r="AU23" i="67" s="1"/>
  <c r="AR23" i="67"/>
  <c r="AO23" i="67"/>
  <c r="AQ23" i="67" s="1"/>
  <c r="AK23" i="67"/>
  <c r="AF23" i="67"/>
  <c r="AE23" i="67"/>
  <c r="AB23" i="67"/>
  <c r="AA23" i="67"/>
  <c r="X23" i="67"/>
  <c r="W23" i="67"/>
  <c r="T23" i="67"/>
  <c r="O23" i="67"/>
  <c r="N23" i="67"/>
  <c r="K23" i="67"/>
  <c r="J23" i="67"/>
  <c r="G23" i="67"/>
  <c r="I23" i="67" s="1"/>
  <c r="F23" i="67"/>
  <c r="C23" i="67"/>
  <c r="E23" i="67" s="1"/>
  <c r="B23" i="67"/>
  <c r="AS22" i="67"/>
  <c r="AU22" i="67" s="1"/>
  <c r="AR22" i="67"/>
  <c r="AO22" i="67"/>
  <c r="AQ22" i="67" s="1"/>
  <c r="AK22" i="67"/>
  <c r="AF22" i="67"/>
  <c r="AE22" i="67"/>
  <c r="AB22" i="67"/>
  <c r="AA22" i="67"/>
  <c r="X22" i="67"/>
  <c r="W22" i="67"/>
  <c r="T22" i="67"/>
  <c r="O22" i="67"/>
  <c r="N22" i="67"/>
  <c r="K22" i="67"/>
  <c r="J22" i="67"/>
  <c r="G22" i="67"/>
  <c r="F22" i="67"/>
  <c r="C22" i="67"/>
  <c r="B22" i="67"/>
  <c r="AS21" i="67"/>
  <c r="AU21" i="67" s="1"/>
  <c r="AR21" i="67"/>
  <c r="AO21" i="67"/>
  <c r="AQ21" i="67" s="1"/>
  <c r="AK21" i="67"/>
  <c r="AF21" i="67"/>
  <c r="AE21" i="67"/>
  <c r="AB21" i="67"/>
  <c r="AA21" i="67"/>
  <c r="X21" i="67"/>
  <c r="W21" i="67"/>
  <c r="T21" i="67"/>
  <c r="AX21" i="67" s="1"/>
  <c r="O21" i="67"/>
  <c r="N21" i="67"/>
  <c r="K21" i="67"/>
  <c r="J21" i="67"/>
  <c r="G21" i="67"/>
  <c r="F21" i="67"/>
  <c r="C21" i="67"/>
  <c r="B21" i="67"/>
  <c r="AS20" i="67"/>
  <c r="AU20" i="67" s="1"/>
  <c r="AR20" i="67"/>
  <c r="AO20" i="67"/>
  <c r="AQ20" i="67" s="1"/>
  <c r="AK20" i="67"/>
  <c r="AF20" i="67"/>
  <c r="AE20" i="67"/>
  <c r="AB20" i="67"/>
  <c r="AA20" i="67"/>
  <c r="X20" i="67"/>
  <c r="W20" i="67"/>
  <c r="T20" i="67"/>
  <c r="AX20" i="67" s="1"/>
  <c r="O20" i="67"/>
  <c r="N20" i="67"/>
  <c r="K20" i="67"/>
  <c r="J20" i="67"/>
  <c r="G20" i="67"/>
  <c r="F20" i="67"/>
  <c r="C20" i="67"/>
  <c r="B20" i="67"/>
  <c r="AS19" i="67"/>
  <c r="AU19" i="67" s="1"/>
  <c r="AR19" i="67"/>
  <c r="AO19" i="67"/>
  <c r="AQ19" i="67" s="1"/>
  <c r="AK19" i="67"/>
  <c r="AF19" i="67"/>
  <c r="AE19" i="67"/>
  <c r="AB19" i="67"/>
  <c r="AA19" i="67"/>
  <c r="X19" i="67"/>
  <c r="W19" i="67"/>
  <c r="T19" i="67"/>
  <c r="O19" i="67"/>
  <c r="N19" i="67"/>
  <c r="K19" i="67"/>
  <c r="J19" i="67"/>
  <c r="G19" i="67"/>
  <c r="F19" i="67"/>
  <c r="C19" i="67"/>
  <c r="E19" i="67" s="1"/>
  <c r="B19" i="67"/>
  <c r="AS18" i="67"/>
  <c r="AU18" i="67" s="1"/>
  <c r="AR18" i="67"/>
  <c r="AO18" i="67"/>
  <c r="AQ18" i="67" s="1"/>
  <c r="AK18" i="67"/>
  <c r="AF18" i="67"/>
  <c r="AE18" i="67"/>
  <c r="AB18" i="67"/>
  <c r="AA18" i="67"/>
  <c r="X18" i="67"/>
  <c r="W18" i="67"/>
  <c r="T18" i="67"/>
  <c r="O18" i="67"/>
  <c r="N18" i="67"/>
  <c r="K18" i="67"/>
  <c r="M18" i="67" s="1"/>
  <c r="J18" i="67"/>
  <c r="G18" i="67"/>
  <c r="F18" i="67"/>
  <c r="C18" i="67"/>
  <c r="B18" i="67"/>
  <c r="AS17" i="67"/>
  <c r="AU17" i="67" s="1"/>
  <c r="AR17" i="67"/>
  <c r="AO17" i="67"/>
  <c r="AQ17" i="67" s="1"/>
  <c r="AK17" i="67"/>
  <c r="AF17" i="67"/>
  <c r="AE17" i="67"/>
  <c r="AB17" i="67"/>
  <c r="AA17" i="67"/>
  <c r="X17" i="67"/>
  <c r="W17" i="67"/>
  <c r="T17" i="67"/>
  <c r="AX17" i="67" s="1"/>
  <c r="O17" i="67"/>
  <c r="N17" i="67"/>
  <c r="K17" i="67"/>
  <c r="J17" i="67"/>
  <c r="G17" i="67"/>
  <c r="F17" i="67"/>
  <c r="C17" i="67"/>
  <c r="B17" i="67"/>
  <c r="AS16" i="67"/>
  <c r="AU16" i="67" s="1"/>
  <c r="AR16" i="67"/>
  <c r="AO16" i="67"/>
  <c r="AQ16" i="67" s="1"/>
  <c r="AK16" i="67"/>
  <c r="AF16" i="67"/>
  <c r="AE16" i="67"/>
  <c r="AB16" i="67"/>
  <c r="AA16" i="67"/>
  <c r="X16" i="67"/>
  <c r="W16" i="67"/>
  <c r="T16" i="67"/>
  <c r="AX16" i="67" s="1"/>
  <c r="O16" i="67"/>
  <c r="N16" i="67"/>
  <c r="K16" i="67"/>
  <c r="J16" i="67"/>
  <c r="G16" i="67"/>
  <c r="F16" i="67"/>
  <c r="C16" i="67"/>
  <c r="E16" i="67" s="1"/>
  <c r="B16" i="67"/>
  <c r="AS15" i="67"/>
  <c r="AU15" i="67" s="1"/>
  <c r="AR15" i="67"/>
  <c r="AO15" i="67"/>
  <c r="AQ15" i="67" s="1"/>
  <c r="AK15" i="67"/>
  <c r="AF15" i="67"/>
  <c r="AE15" i="67"/>
  <c r="AB15" i="67"/>
  <c r="AA15" i="67"/>
  <c r="X15" i="67"/>
  <c r="W15" i="67"/>
  <c r="T15" i="67"/>
  <c r="AX15" i="67" s="1"/>
  <c r="O15" i="67"/>
  <c r="N15" i="67"/>
  <c r="K15" i="67"/>
  <c r="M15" i="67" s="1"/>
  <c r="J15" i="67"/>
  <c r="G15" i="67"/>
  <c r="F15" i="67"/>
  <c r="C15" i="67"/>
  <c r="E15" i="67" s="1"/>
  <c r="B15" i="67"/>
  <c r="AS14" i="67"/>
  <c r="AU14" i="67" s="1"/>
  <c r="AR14" i="67"/>
  <c r="AO14" i="67"/>
  <c r="AQ14" i="67" s="1"/>
  <c r="AK14" i="67"/>
  <c r="AF14" i="67"/>
  <c r="AE14" i="67"/>
  <c r="AB14" i="67"/>
  <c r="AA14" i="67"/>
  <c r="X14" i="67"/>
  <c r="W14" i="67"/>
  <c r="T14" i="67"/>
  <c r="AX14" i="67" s="1"/>
  <c r="O14" i="67"/>
  <c r="N14" i="67"/>
  <c r="K14" i="67"/>
  <c r="J14" i="67"/>
  <c r="G14" i="67"/>
  <c r="F14" i="67"/>
  <c r="C14" i="67"/>
  <c r="B14" i="67"/>
  <c r="AS13" i="67"/>
  <c r="AU13" i="67" s="1"/>
  <c r="AR13" i="67"/>
  <c r="AO13" i="67"/>
  <c r="AQ13" i="67" s="1"/>
  <c r="AK13" i="67"/>
  <c r="AF13" i="67"/>
  <c r="AH13" i="67" s="1"/>
  <c r="AE13" i="67"/>
  <c r="AB13" i="67"/>
  <c r="AA13" i="67"/>
  <c r="X13" i="67"/>
  <c r="W13" i="67"/>
  <c r="T13" i="67"/>
  <c r="AX13" i="67" s="1"/>
  <c r="O13" i="67"/>
  <c r="N13" i="67"/>
  <c r="K13" i="67"/>
  <c r="M13" i="67" s="1"/>
  <c r="J13" i="67"/>
  <c r="G13" i="67"/>
  <c r="F13" i="67"/>
  <c r="C13" i="67"/>
  <c r="B13" i="67"/>
  <c r="AS12" i="67"/>
  <c r="AU12" i="67" s="1"/>
  <c r="AR12" i="67"/>
  <c r="AO12" i="67"/>
  <c r="AQ12" i="67" s="1"/>
  <c r="AK12" i="67"/>
  <c r="AF12" i="67"/>
  <c r="AE12" i="67"/>
  <c r="AB12" i="67"/>
  <c r="AA12" i="67"/>
  <c r="X12" i="67"/>
  <c r="W12" i="67"/>
  <c r="T12" i="67"/>
  <c r="AX12" i="67" s="1"/>
  <c r="O12" i="67"/>
  <c r="N12" i="67"/>
  <c r="K12" i="67"/>
  <c r="J12" i="67"/>
  <c r="G12" i="67"/>
  <c r="I12" i="67" s="1"/>
  <c r="F12" i="67"/>
  <c r="C12" i="67"/>
  <c r="B12" i="67"/>
  <c r="AS11" i="67"/>
  <c r="AU11" i="67" s="1"/>
  <c r="AR11" i="67"/>
  <c r="AO11" i="67"/>
  <c r="AQ11" i="67" s="1"/>
  <c r="AK11" i="67"/>
  <c r="AF11" i="67"/>
  <c r="AE11" i="67"/>
  <c r="AB11" i="67"/>
  <c r="AA11" i="67"/>
  <c r="X11" i="67"/>
  <c r="W11" i="67"/>
  <c r="T11" i="67"/>
  <c r="AX11" i="67" s="1"/>
  <c r="O11" i="67"/>
  <c r="N11" i="67"/>
  <c r="K11" i="67"/>
  <c r="J11" i="67"/>
  <c r="G11" i="67"/>
  <c r="F11" i="67"/>
  <c r="C11" i="67"/>
  <c r="B11" i="67"/>
  <c r="AS10" i="67"/>
  <c r="AU10" i="67" s="1"/>
  <c r="AR10" i="67"/>
  <c r="AO10" i="67"/>
  <c r="AQ10" i="67" s="1"/>
  <c r="AK10" i="67"/>
  <c r="AF10" i="67"/>
  <c r="AE10" i="67"/>
  <c r="AB10" i="67"/>
  <c r="AA10" i="67"/>
  <c r="X10" i="67"/>
  <c r="W10" i="67"/>
  <c r="T10" i="67"/>
  <c r="AX10" i="67" s="1"/>
  <c r="O10" i="67"/>
  <c r="N10" i="67"/>
  <c r="K10" i="67"/>
  <c r="J10" i="67"/>
  <c r="G10" i="67"/>
  <c r="F10" i="67"/>
  <c r="C10" i="67"/>
  <c r="B10" i="67"/>
  <c r="I15" i="54"/>
  <c r="D20" i="54"/>
  <c r="I20" i="54"/>
  <c r="G67" i="60"/>
  <c r="G14" i="60"/>
  <c r="G85" i="59"/>
  <c r="G84" i="59"/>
  <c r="G13" i="60"/>
  <c r="D13" i="66"/>
  <c r="D12" i="66"/>
  <c r="D11" i="66"/>
  <c r="D10" i="66"/>
  <c r="AX17" i="70" l="1"/>
  <c r="AV20" i="70"/>
  <c r="AV22" i="70"/>
  <c r="AO48" i="70"/>
  <c r="AO49" i="70" s="1"/>
  <c r="AO52" i="70" s="1"/>
  <c r="AV26" i="70"/>
  <c r="AC49" i="70"/>
  <c r="AC52" i="70" s="1"/>
  <c r="AV11" i="70"/>
  <c r="AG49" i="70"/>
  <c r="AG52" i="70" s="1"/>
  <c r="AV12" i="70"/>
  <c r="AV16" i="70"/>
  <c r="K49" i="70"/>
  <c r="K52" i="70" s="1"/>
  <c r="AV35" i="70"/>
  <c r="S12" i="67"/>
  <c r="U12" i="67" s="1"/>
  <c r="AI12" i="67"/>
  <c r="AI24" i="67"/>
  <c r="AI35" i="67"/>
  <c r="AV25" i="70"/>
  <c r="R14" i="67"/>
  <c r="AJ16" i="67"/>
  <c r="R18" i="67"/>
  <c r="AJ20" i="67"/>
  <c r="R22" i="67"/>
  <c r="AI23" i="67"/>
  <c r="AJ24" i="67"/>
  <c r="R29" i="67"/>
  <c r="AJ35" i="67"/>
  <c r="AJ39" i="67"/>
  <c r="R43" i="67"/>
  <c r="S45" i="67"/>
  <c r="U45" i="67" s="1"/>
  <c r="AV41" i="70"/>
  <c r="R36" i="67"/>
  <c r="R41" i="67"/>
  <c r="AV27" i="70"/>
  <c r="AV21" i="70"/>
  <c r="AV34" i="70"/>
  <c r="AX43" i="70"/>
  <c r="AV43" i="70"/>
  <c r="S14" i="67"/>
  <c r="U14" i="67" s="1"/>
  <c r="AJ15" i="67"/>
  <c r="AI18" i="67"/>
  <c r="AJ19" i="67"/>
  <c r="R21" i="67"/>
  <c r="S22" i="67"/>
  <c r="U22" i="67" s="1"/>
  <c r="AI22" i="67"/>
  <c r="AJ23" i="67"/>
  <c r="AI26" i="67"/>
  <c r="AJ27" i="67"/>
  <c r="AI29" i="67"/>
  <c r="AI33" i="67"/>
  <c r="AV29" i="70"/>
  <c r="AJ36" i="67"/>
  <c r="AL36" i="67" s="1"/>
  <c r="AV18" i="70"/>
  <c r="AI19" i="67"/>
  <c r="AJ13" i="67"/>
  <c r="AL13" i="67" s="1"/>
  <c r="X30" i="70"/>
  <c r="Z30" i="70" s="1"/>
  <c r="Z28" i="70"/>
  <c r="L52" i="70"/>
  <c r="C49" i="70"/>
  <c r="E30" i="70"/>
  <c r="T49" i="70"/>
  <c r="AU30" i="70"/>
  <c r="AY28" i="70"/>
  <c r="AP48" i="70"/>
  <c r="AR48" i="70" s="1"/>
  <c r="AR37" i="70"/>
  <c r="AT47" i="70"/>
  <c r="AX47" i="70" s="1"/>
  <c r="AX45" i="70"/>
  <c r="AT28" i="70"/>
  <c r="AV28" i="70" s="1"/>
  <c r="AX10" i="70"/>
  <c r="AV10" i="70"/>
  <c r="AR28" i="70"/>
  <c r="G49" i="70"/>
  <c r="I30" i="70"/>
  <c r="AY47" i="70"/>
  <c r="X48" i="70"/>
  <c r="Z48" i="70" s="1"/>
  <c r="Y50" i="70"/>
  <c r="AY37" i="70"/>
  <c r="AU48" i="70"/>
  <c r="AX19" i="70"/>
  <c r="AV19" i="70"/>
  <c r="AS47" i="70"/>
  <c r="AW47" i="70" s="1"/>
  <c r="AW45" i="70"/>
  <c r="AT37" i="70"/>
  <c r="AV37" i="70" s="1"/>
  <c r="AX33" i="70"/>
  <c r="AS28" i="70"/>
  <c r="AW10" i="70"/>
  <c r="AX24" i="70"/>
  <c r="AV24" i="70"/>
  <c r="AQ49" i="70"/>
  <c r="AR30" i="70"/>
  <c r="Y49" i="70"/>
  <c r="AV23" i="70"/>
  <c r="AV46" i="70"/>
  <c r="AS37" i="70"/>
  <c r="AW33" i="70"/>
  <c r="AX39" i="70"/>
  <c r="AV39" i="70"/>
  <c r="AY14" i="70"/>
  <c r="AV14" i="70"/>
  <c r="AD52" i="70"/>
  <c r="AX15" i="70"/>
  <c r="AV15" i="70"/>
  <c r="AX36" i="70"/>
  <c r="AV36" i="70"/>
  <c r="AX13" i="70"/>
  <c r="AV13" i="70"/>
  <c r="W48" i="70"/>
  <c r="W49" i="70" s="1"/>
  <c r="W52" i="70" s="1"/>
  <c r="AV45" i="70"/>
  <c r="R13" i="67"/>
  <c r="AJ10" i="67"/>
  <c r="R12" i="67"/>
  <c r="AV12" i="67" s="1"/>
  <c r="S13" i="67"/>
  <c r="U13" i="67" s="1"/>
  <c r="AI13" i="67"/>
  <c r="AJ14" i="67"/>
  <c r="S17" i="67"/>
  <c r="U17" i="67" s="1"/>
  <c r="AI17" i="67"/>
  <c r="AI21" i="67"/>
  <c r="AJ22" i="67"/>
  <c r="AI25" i="67"/>
  <c r="AJ26" i="67"/>
  <c r="AJ29" i="67"/>
  <c r="AL29" i="67" s="1"/>
  <c r="AI36" i="67"/>
  <c r="R46" i="67"/>
  <c r="R19" i="67"/>
  <c r="AV19" i="67" s="1"/>
  <c r="AJ25" i="67"/>
  <c r="R27" i="67"/>
  <c r="AR47" i="67"/>
  <c r="K47" i="67"/>
  <c r="R23" i="67"/>
  <c r="AX19" i="67"/>
  <c r="AA37" i="67"/>
  <c r="AR37" i="67"/>
  <c r="AK37" i="67"/>
  <c r="AK48" i="67" s="1"/>
  <c r="AX24" i="67"/>
  <c r="AX22" i="67"/>
  <c r="R24" i="67"/>
  <c r="AX23" i="67"/>
  <c r="AX18" i="67"/>
  <c r="R16" i="67"/>
  <c r="AK28" i="67"/>
  <c r="AI46" i="67"/>
  <c r="AI39" i="67"/>
  <c r="AO47" i="67"/>
  <c r="AQ47" i="67" s="1"/>
  <c r="AF47" i="67"/>
  <c r="AE47" i="67"/>
  <c r="AB47" i="67"/>
  <c r="AA47" i="67"/>
  <c r="X47" i="67"/>
  <c r="Z47" i="67" s="1"/>
  <c r="W47" i="67"/>
  <c r="O47" i="67"/>
  <c r="Q47" i="67" s="1"/>
  <c r="N47" i="67"/>
  <c r="J47" i="67"/>
  <c r="F47" i="67"/>
  <c r="AI43" i="67"/>
  <c r="AF37" i="67"/>
  <c r="AE37" i="67"/>
  <c r="AB37" i="67"/>
  <c r="O37" i="67"/>
  <c r="N37" i="67"/>
  <c r="K37" i="67"/>
  <c r="J37" i="67"/>
  <c r="S33" i="67"/>
  <c r="U33" i="67" s="1"/>
  <c r="F37" i="67"/>
  <c r="B37" i="67"/>
  <c r="S29" i="67"/>
  <c r="AI27" i="67"/>
  <c r="S27" i="67"/>
  <c r="R26" i="67"/>
  <c r="S25" i="67"/>
  <c r="R25" i="67"/>
  <c r="S23" i="67"/>
  <c r="AJ21" i="67"/>
  <c r="AI20" i="67"/>
  <c r="R20" i="67"/>
  <c r="S19" i="67"/>
  <c r="AJ18" i="67"/>
  <c r="AJ17" i="67"/>
  <c r="R17" i="67"/>
  <c r="AI16" i="67"/>
  <c r="S16" i="67"/>
  <c r="AI15" i="67"/>
  <c r="S15" i="67"/>
  <c r="R15" i="67"/>
  <c r="AI14" i="67"/>
  <c r="AV14" i="67" s="1"/>
  <c r="J28" i="67"/>
  <c r="J30" i="67" s="1"/>
  <c r="AJ12" i="67"/>
  <c r="AJ11" i="67"/>
  <c r="AI11" i="67"/>
  <c r="B28" i="67"/>
  <c r="B30" i="67" s="1"/>
  <c r="AR28" i="67"/>
  <c r="AR30" i="67" s="1"/>
  <c r="AO28" i="67"/>
  <c r="AF28" i="67"/>
  <c r="AF30" i="67" s="1"/>
  <c r="AH30" i="67" s="1"/>
  <c r="AE28" i="67"/>
  <c r="AE30" i="67" s="1"/>
  <c r="AB28" i="67"/>
  <c r="AB30" i="67" s="1"/>
  <c r="AI10" i="67"/>
  <c r="W28" i="67"/>
  <c r="W30" i="67" s="1"/>
  <c r="O28" i="67"/>
  <c r="O30" i="67" s="1"/>
  <c r="N28" i="67"/>
  <c r="N30" i="67" s="1"/>
  <c r="K28" i="67"/>
  <c r="G28" i="67"/>
  <c r="F28" i="67"/>
  <c r="F30" i="67" s="1"/>
  <c r="E46" i="67"/>
  <c r="C47" i="67"/>
  <c r="E47" i="67" s="1"/>
  <c r="S46" i="67"/>
  <c r="AJ41" i="67"/>
  <c r="AL41" i="67" s="1"/>
  <c r="Z41" i="67"/>
  <c r="S41" i="67"/>
  <c r="E41" i="67"/>
  <c r="S35" i="67"/>
  <c r="E35" i="67"/>
  <c r="S34" i="67"/>
  <c r="U34" i="67" s="1"/>
  <c r="E34" i="67"/>
  <c r="E26" i="67"/>
  <c r="S26" i="67"/>
  <c r="S24" i="67"/>
  <c r="E24" i="67"/>
  <c r="S21" i="67"/>
  <c r="E21" i="67"/>
  <c r="S20" i="67"/>
  <c r="E20" i="67"/>
  <c r="S18" i="67"/>
  <c r="E18" i="67"/>
  <c r="S11" i="67"/>
  <c r="E11" i="67"/>
  <c r="S10" i="67"/>
  <c r="E10" i="67"/>
  <c r="L49" i="67"/>
  <c r="AG49" i="67"/>
  <c r="P52" i="67"/>
  <c r="D49" i="67"/>
  <c r="H49" i="67"/>
  <c r="X28" i="67"/>
  <c r="X30" i="67" s="1"/>
  <c r="R11" i="67"/>
  <c r="E12" i="67"/>
  <c r="E13" i="67"/>
  <c r="E17" i="67"/>
  <c r="E22" i="67"/>
  <c r="C28" i="67"/>
  <c r="T28" i="67"/>
  <c r="Z29" i="67"/>
  <c r="AX29" i="67"/>
  <c r="R33" i="67"/>
  <c r="AJ33" i="67"/>
  <c r="X37" i="67"/>
  <c r="Z37" i="67" s="1"/>
  <c r="AS37" i="67"/>
  <c r="S39" i="67"/>
  <c r="E39" i="67"/>
  <c r="AX39" i="67"/>
  <c r="AI41" i="67"/>
  <c r="AI45" i="67"/>
  <c r="AX41" i="67"/>
  <c r="R10" i="67"/>
  <c r="AA28" i="67"/>
  <c r="AA30" i="67" s="1"/>
  <c r="AS28" i="67"/>
  <c r="M33" i="67"/>
  <c r="AX33" i="67"/>
  <c r="AI34" i="67"/>
  <c r="R35" i="67"/>
  <c r="R39" i="67"/>
  <c r="B47" i="67"/>
  <c r="AX45" i="67"/>
  <c r="AK47" i="67"/>
  <c r="S36" i="67"/>
  <c r="E36" i="67"/>
  <c r="E14" i="67"/>
  <c r="AP49" i="67"/>
  <c r="G37" i="67"/>
  <c r="I33" i="67"/>
  <c r="R34" i="67"/>
  <c r="W37" i="67"/>
  <c r="AO37" i="67"/>
  <c r="S43" i="67"/>
  <c r="E43" i="67"/>
  <c r="AJ46" i="67"/>
  <c r="Z46" i="67"/>
  <c r="G47" i="67"/>
  <c r="I47" i="67" s="1"/>
  <c r="AT52" i="67"/>
  <c r="AJ43" i="67"/>
  <c r="AL43" i="67" s="1"/>
  <c r="AJ45" i="67"/>
  <c r="AX46" i="67"/>
  <c r="AS47" i="67"/>
  <c r="AU47" i="67" s="1"/>
  <c r="AJ34" i="67"/>
  <c r="C37" i="67"/>
  <c r="T37" i="67"/>
  <c r="R45" i="67"/>
  <c r="Y48" i="67"/>
  <c r="AC48" i="67"/>
  <c r="E45" i="67"/>
  <c r="C241" i="61"/>
  <c r="C244" i="61" s="1"/>
  <c r="E244" i="61"/>
  <c r="AV22" i="67" l="1"/>
  <c r="AE49" i="70"/>
  <c r="AV23" i="67"/>
  <c r="M49" i="70"/>
  <c r="AV24" i="67"/>
  <c r="AV46" i="67"/>
  <c r="AW39" i="67"/>
  <c r="AY39" i="67" s="1"/>
  <c r="AV21" i="67"/>
  <c r="AW13" i="67"/>
  <c r="AY13" i="67" s="1"/>
  <c r="AI49" i="70"/>
  <c r="AV26" i="67"/>
  <c r="AV41" i="67"/>
  <c r="AV35" i="67"/>
  <c r="AH28" i="67"/>
  <c r="AW12" i="67"/>
  <c r="AY12" i="67" s="1"/>
  <c r="AV43" i="67"/>
  <c r="AV36" i="67"/>
  <c r="AW14" i="67"/>
  <c r="AY14" i="67" s="1"/>
  <c r="AV29" i="67"/>
  <c r="AV18" i="67"/>
  <c r="AV13" i="67"/>
  <c r="AV47" i="70"/>
  <c r="AE48" i="67"/>
  <c r="AE49" i="67" s="1"/>
  <c r="AE52" i="67" s="1"/>
  <c r="AI28" i="67"/>
  <c r="AI30" i="67" s="1"/>
  <c r="AV15" i="67"/>
  <c r="AJ47" i="67"/>
  <c r="AL47" i="67" s="1"/>
  <c r="AV17" i="67"/>
  <c r="AV27" i="67"/>
  <c r="AW22" i="67"/>
  <c r="AY22" i="67" s="1"/>
  <c r="AV34" i="67"/>
  <c r="AJ28" i="67"/>
  <c r="AJ30" i="67" s="1"/>
  <c r="AY48" i="70"/>
  <c r="G52" i="70"/>
  <c r="I49" i="70"/>
  <c r="T52" i="70"/>
  <c r="V49" i="70"/>
  <c r="X49" i="70"/>
  <c r="X52" i="70" s="1"/>
  <c r="AP49" i="70"/>
  <c r="AP52" i="70" s="1"/>
  <c r="AS48" i="70"/>
  <c r="AW48" i="70" s="1"/>
  <c r="AW37" i="70"/>
  <c r="Y52" i="70"/>
  <c r="C52" i="70"/>
  <c r="E49" i="70"/>
  <c r="AQ52" i="70"/>
  <c r="AT30" i="70"/>
  <c r="AV30" i="70" s="1"/>
  <c r="AX28" i="70"/>
  <c r="AS30" i="70"/>
  <c r="AW28" i="70"/>
  <c r="AT48" i="70"/>
  <c r="AX48" i="70" s="1"/>
  <c r="AX37" i="70"/>
  <c r="AU49" i="70"/>
  <c r="AY30" i="70"/>
  <c r="AI37" i="67"/>
  <c r="AV20" i="67"/>
  <c r="AF48" i="67"/>
  <c r="AF49" i="67" s="1"/>
  <c r="AF52" i="67" s="1"/>
  <c r="AA48" i="67"/>
  <c r="AA49" i="67" s="1"/>
  <c r="AA52" i="67" s="1"/>
  <c r="U39" i="67"/>
  <c r="AW17" i="67"/>
  <c r="AY17" i="67" s="1"/>
  <c r="AV25" i="67"/>
  <c r="AV16" i="67"/>
  <c r="AR48" i="67"/>
  <c r="AR49" i="67" s="1"/>
  <c r="AR52" i="67" s="1"/>
  <c r="AV11" i="67"/>
  <c r="B48" i="67"/>
  <c r="B49" i="67" s="1"/>
  <c r="B52" i="67" s="1"/>
  <c r="S37" i="67"/>
  <c r="AX28" i="67"/>
  <c r="AK30" i="67"/>
  <c r="U29" i="67"/>
  <c r="AW29" i="67"/>
  <c r="AY29" i="67" s="1"/>
  <c r="U27" i="67"/>
  <c r="AW27" i="67"/>
  <c r="AY27" i="67" s="1"/>
  <c r="U25" i="67"/>
  <c r="AW25" i="67"/>
  <c r="AY25" i="67" s="1"/>
  <c r="AW23" i="67"/>
  <c r="AY23" i="67" s="1"/>
  <c r="U23" i="67"/>
  <c r="AW19" i="67"/>
  <c r="AY19" i="67" s="1"/>
  <c r="U19" i="67"/>
  <c r="AW16" i="67"/>
  <c r="AY16" i="67" s="1"/>
  <c r="U16" i="67"/>
  <c r="AW15" i="67"/>
  <c r="AY15" i="67" s="1"/>
  <c r="U15" i="67"/>
  <c r="AO30" i="67"/>
  <c r="AQ30" i="67" s="1"/>
  <c r="AQ28" i="67"/>
  <c r="K30" i="67"/>
  <c r="M30" i="67" s="1"/>
  <c r="M28" i="67"/>
  <c r="I28" i="67"/>
  <c r="G30" i="67"/>
  <c r="I30" i="67" s="1"/>
  <c r="U46" i="67"/>
  <c r="S47" i="67"/>
  <c r="U47" i="67" s="1"/>
  <c r="AW41" i="67"/>
  <c r="AY41" i="67" s="1"/>
  <c r="U41" i="67"/>
  <c r="U35" i="67"/>
  <c r="AW35" i="67"/>
  <c r="AY35" i="67" s="1"/>
  <c r="AW26" i="67"/>
  <c r="AY26" i="67" s="1"/>
  <c r="U26" i="67"/>
  <c r="U24" i="67"/>
  <c r="AW24" i="67"/>
  <c r="AY24" i="67" s="1"/>
  <c r="AW21" i="67"/>
  <c r="AY21" i="67" s="1"/>
  <c r="U21" i="67"/>
  <c r="AW20" i="67"/>
  <c r="AY20" i="67" s="1"/>
  <c r="U20" i="67"/>
  <c r="U18" i="67"/>
  <c r="AW18" i="67"/>
  <c r="AY18" i="67" s="1"/>
  <c r="AW11" i="67"/>
  <c r="AY11" i="67" s="1"/>
  <c r="U11" i="67"/>
  <c r="AW10" i="67"/>
  <c r="S28" i="67"/>
  <c r="U10" i="67"/>
  <c r="M37" i="67"/>
  <c r="K48" i="67"/>
  <c r="O48" i="67"/>
  <c r="N48" i="67"/>
  <c r="N49" i="67" s="1"/>
  <c r="N52" i="67" s="1"/>
  <c r="J48" i="67"/>
  <c r="J49" i="67" s="1"/>
  <c r="J52" i="67" s="1"/>
  <c r="F48" i="67"/>
  <c r="F49" i="67" s="1"/>
  <c r="F52" i="67" s="1"/>
  <c r="AJ37" i="67"/>
  <c r="X48" i="67"/>
  <c r="AI47" i="67"/>
  <c r="AV39" i="67"/>
  <c r="W48" i="67"/>
  <c r="W49" i="67" s="1"/>
  <c r="W52" i="67" s="1"/>
  <c r="AB48" i="67"/>
  <c r="AD37" i="67"/>
  <c r="AW46" i="67"/>
  <c r="AY46" i="67" s="1"/>
  <c r="AL46" i="67"/>
  <c r="AL34" i="67"/>
  <c r="AW34" i="67"/>
  <c r="AY34" i="67" s="1"/>
  <c r="C48" i="67"/>
  <c r="E48" i="67" s="1"/>
  <c r="E37" i="67"/>
  <c r="G48" i="67"/>
  <c r="I37" i="67"/>
  <c r="AX37" i="67"/>
  <c r="R28" i="67"/>
  <c r="R30" i="67" s="1"/>
  <c r="AV10" i="67"/>
  <c r="L52" i="67"/>
  <c r="AW33" i="67"/>
  <c r="AX47" i="67"/>
  <c r="AS30" i="67"/>
  <c r="AU28" i="67"/>
  <c r="AC49" i="67"/>
  <c r="D52" i="67"/>
  <c r="T30" i="67"/>
  <c r="R47" i="67"/>
  <c r="AV45" i="67"/>
  <c r="AV47" i="67" s="1"/>
  <c r="AW43" i="67"/>
  <c r="AY43" i="67" s="1"/>
  <c r="U43" i="67"/>
  <c r="AW36" i="67"/>
  <c r="AY36" i="67" s="1"/>
  <c r="U36" i="67"/>
  <c r="E28" i="67"/>
  <c r="C30" i="67"/>
  <c r="Y49" i="67"/>
  <c r="H52" i="67"/>
  <c r="AG52" i="67"/>
  <c r="AQ37" i="67"/>
  <c r="AO48" i="67"/>
  <c r="AQ48" i="67" s="1"/>
  <c r="AV33" i="67"/>
  <c r="R37" i="67"/>
  <c r="T48" i="67"/>
  <c r="AW45" i="67"/>
  <c r="AP52" i="67"/>
  <c r="AU37" i="67"/>
  <c r="AS48" i="67"/>
  <c r="AU48" i="67" s="1"/>
  <c r="F244" i="61"/>
  <c r="F97" i="59"/>
  <c r="D88" i="57"/>
  <c r="C88" i="57"/>
  <c r="D43" i="57"/>
  <c r="AI48" i="67" l="1"/>
  <c r="Z49" i="70"/>
  <c r="AL28" i="67"/>
  <c r="AI49" i="67"/>
  <c r="AI52" i="67" s="1"/>
  <c r="AV37" i="67"/>
  <c r="AV48" i="67" s="1"/>
  <c r="AT49" i="70"/>
  <c r="AV49" i="70" s="1"/>
  <c r="AX30" i="70"/>
  <c r="AV48" i="70"/>
  <c r="AU52" i="70"/>
  <c r="AY49" i="70"/>
  <c r="AS49" i="70"/>
  <c r="AW30" i="70"/>
  <c r="AR49" i="70"/>
  <c r="AV28" i="67"/>
  <c r="AV30" i="67" s="1"/>
  <c r="U37" i="67"/>
  <c r="S48" i="67"/>
  <c r="U48" i="67" s="1"/>
  <c r="AX30" i="67"/>
  <c r="AK49" i="67"/>
  <c r="AL30" i="67"/>
  <c r="AY10" i="67"/>
  <c r="AW28" i="67"/>
  <c r="S30" i="67"/>
  <c r="U28" i="67"/>
  <c r="M48" i="67"/>
  <c r="K49" i="67"/>
  <c r="Q48" i="67"/>
  <c r="O49" i="67"/>
  <c r="AD48" i="67"/>
  <c r="AB49" i="67"/>
  <c r="AL37" i="67"/>
  <c r="AJ48" i="67"/>
  <c r="Z48" i="67"/>
  <c r="X49" i="67"/>
  <c r="X52" i="67" s="1"/>
  <c r="I48" i="67"/>
  <c r="G49" i="67"/>
  <c r="G52" i="67" s="1"/>
  <c r="AW47" i="67"/>
  <c r="AY47" i="67" s="1"/>
  <c r="AY45" i="67"/>
  <c r="Y52" i="67"/>
  <c r="AX48" i="67"/>
  <c r="AX49" i="67" s="1"/>
  <c r="AW37" i="67"/>
  <c r="AH49" i="67"/>
  <c r="AS49" i="67"/>
  <c r="AU30" i="67"/>
  <c r="AC52" i="67"/>
  <c r="AK52" i="67"/>
  <c r="C49" i="67"/>
  <c r="E30" i="67"/>
  <c r="AO49" i="67"/>
  <c r="R48" i="67"/>
  <c r="R49" i="67" s="1"/>
  <c r="R52" i="67" s="1"/>
  <c r="T49" i="67"/>
  <c r="AY33" i="67"/>
  <c r="C11" i="57"/>
  <c r="C43" i="57" s="1"/>
  <c r="I49" i="67" l="1"/>
  <c r="Z49" i="67"/>
  <c r="S49" i="67"/>
  <c r="AV49" i="67"/>
  <c r="AV52" i="67" s="1"/>
  <c r="AT52" i="70"/>
  <c r="AX49" i="70"/>
  <c r="AW49" i="70"/>
  <c r="AS52" i="70"/>
  <c r="U30" i="67"/>
  <c r="AW30" i="67"/>
  <c r="AY30" i="67" s="1"/>
  <c r="AY28" i="67"/>
  <c r="M49" i="67"/>
  <c r="K52" i="67"/>
  <c r="Q49" i="67"/>
  <c r="O52" i="67"/>
  <c r="AJ49" i="67"/>
  <c r="AL48" i="67"/>
  <c r="AB52" i="67"/>
  <c r="AD49" i="67"/>
  <c r="AW48" i="67"/>
  <c r="AY37" i="67"/>
  <c r="T52" i="67"/>
  <c r="AX52" i="67"/>
  <c r="C52" i="67"/>
  <c r="E49" i="67"/>
  <c r="AS52" i="67"/>
  <c r="AU49" i="67"/>
  <c r="AO52" i="67"/>
  <c r="AQ49" i="67"/>
  <c r="H14" i="65"/>
  <c r="G56" i="40"/>
  <c r="G53" i="40"/>
  <c r="G52" i="40"/>
  <c r="G49" i="40"/>
  <c r="G48" i="40"/>
  <c r="G45" i="40"/>
  <c r="G41" i="40"/>
  <c r="F24" i="25"/>
  <c r="F27" i="25"/>
  <c r="G10" i="9"/>
  <c r="AW49" i="67" l="1"/>
  <c r="AY48" i="67"/>
  <c r="S52" i="67"/>
  <c r="U49" i="67"/>
  <c r="AL49" i="67"/>
  <c r="AJ52" i="67"/>
  <c r="C13" i="66"/>
  <c r="C14" i="66" s="1"/>
  <c r="J27" i="65"/>
  <c r="I27" i="65"/>
  <c r="I28" i="65" s="1"/>
  <c r="K26" i="65"/>
  <c r="H26" i="65"/>
  <c r="F26" i="65"/>
  <c r="H25" i="65"/>
  <c r="K25" i="65" s="1"/>
  <c r="F25" i="65"/>
  <c r="K24" i="65"/>
  <c r="H24" i="65"/>
  <c r="H27" i="65" s="1"/>
  <c r="F24" i="65"/>
  <c r="J23" i="65"/>
  <c r="I23" i="65"/>
  <c r="H22" i="65"/>
  <c r="K22" i="65" s="1"/>
  <c r="F22" i="65"/>
  <c r="K21" i="65"/>
  <c r="H21" i="65"/>
  <c r="F21" i="65"/>
  <c r="H20" i="65"/>
  <c r="K20" i="65" s="1"/>
  <c r="F20" i="65"/>
  <c r="K19" i="65"/>
  <c r="H19" i="65"/>
  <c r="F19" i="65"/>
  <c r="H18" i="65"/>
  <c r="K18" i="65" s="1"/>
  <c r="F18" i="65"/>
  <c r="K17" i="65"/>
  <c r="H17" i="65"/>
  <c r="F17" i="65"/>
  <c r="H16" i="65"/>
  <c r="K16" i="65" s="1"/>
  <c r="F16" i="65"/>
  <c r="I15" i="65"/>
  <c r="K14" i="65"/>
  <c r="F14" i="65"/>
  <c r="H13" i="65"/>
  <c r="K13" i="65" s="1"/>
  <c r="F13" i="65"/>
  <c r="K12" i="65"/>
  <c r="H12" i="65"/>
  <c r="F12" i="65"/>
  <c r="H11" i="65"/>
  <c r="K11" i="65" s="1"/>
  <c r="F11" i="65"/>
  <c r="K10" i="65"/>
  <c r="J10" i="65"/>
  <c r="J15" i="65" s="1"/>
  <c r="J28" i="65" s="1"/>
  <c r="H10" i="65"/>
  <c r="F10" i="65"/>
  <c r="K9" i="65"/>
  <c r="H9" i="65"/>
  <c r="F9" i="65"/>
  <c r="H8" i="65"/>
  <c r="H15" i="65" s="1"/>
  <c r="F8" i="65"/>
  <c r="G90" i="64"/>
  <c r="G89" i="64"/>
  <c r="G88" i="64"/>
  <c r="G87" i="64"/>
  <c r="G86" i="64"/>
  <c r="E85" i="64"/>
  <c r="F85" i="64"/>
  <c r="G76" i="64"/>
  <c r="G75" i="64"/>
  <c r="G74" i="64"/>
  <c r="F73" i="64"/>
  <c r="E73" i="64"/>
  <c r="G71" i="64"/>
  <c r="G70" i="64"/>
  <c r="G69" i="64"/>
  <c r="G68" i="64"/>
  <c r="E67" i="64"/>
  <c r="F67" i="64"/>
  <c r="G59" i="64"/>
  <c r="G55" i="64"/>
  <c r="G53" i="64"/>
  <c r="F53" i="64"/>
  <c r="E53" i="64"/>
  <c r="G49" i="64"/>
  <c r="E49" i="64"/>
  <c r="G48" i="64"/>
  <c r="G47" i="64"/>
  <c r="G46" i="64"/>
  <c r="G45" i="64"/>
  <c r="F45" i="64"/>
  <c r="E45" i="64"/>
  <c r="G44" i="64"/>
  <c r="G43" i="64"/>
  <c r="G42" i="64"/>
  <c r="G41" i="64"/>
  <c r="E40" i="64"/>
  <c r="G36" i="64"/>
  <c r="F36" i="64"/>
  <c r="E36" i="64"/>
  <c r="E27" i="64"/>
  <c r="G20" i="64"/>
  <c r="F20" i="64"/>
  <c r="E20" i="64"/>
  <c r="G15" i="64"/>
  <c r="F15" i="64"/>
  <c r="E15" i="64"/>
  <c r="G11" i="64"/>
  <c r="F11" i="64"/>
  <c r="E11" i="64"/>
  <c r="F17" i="62"/>
  <c r="F13" i="62"/>
  <c r="F18" i="62" s="1"/>
  <c r="F11" i="62"/>
  <c r="E238" i="61"/>
  <c r="C238" i="61"/>
  <c r="E232" i="61"/>
  <c r="C232" i="61"/>
  <c r="E226" i="61"/>
  <c r="C226" i="61"/>
  <c r="E220" i="61"/>
  <c r="C220" i="61"/>
  <c r="E214" i="61"/>
  <c r="C214" i="61"/>
  <c r="E208" i="61"/>
  <c r="C208" i="61"/>
  <c r="E202" i="61"/>
  <c r="C202" i="61"/>
  <c r="E196" i="61"/>
  <c r="C196" i="61"/>
  <c r="E188" i="61"/>
  <c r="C188" i="61"/>
  <c r="E181" i="61"/>
  <c r="C181" i="61"/>
  <c r="E173" i="61"/>
  <c r="C173" i="61"/>
  <c r="E165" i="61"/>
  <c r="C165" i="61"/>
  <c r="E159" i="61"/>
  <c r="C159" i="61"/>
  <c r="E153" i="61"/>
  <c r="C153" i="61"/>
  <c r="E147" i="61"/>
  <c r="C147" i="61"/>
  <c r="C141" i="61"/>
  <c r="E140" i="61"/>
  <c r="E141" i="61" s="1"/>
  <c r="C134" i="61"/>
  <c r="E133" i="61"/>
  <c r="E134" i="61" s="1"/>
  <c r="C128" i="61"/>
  <c r="E127" i="61"/>
  <c r="E128" i="61" s="1"/>
  <c r="C121" i="61"/>
  <c r="E118" i="61"/>
  <c r="E121" i="61" s="1"/>
  <c r="C114" i="61"/>
  <c r="E113" i="61"/>
  <c r="E111" i="61"/>
  <c r="E114" i="61" s="1"/>
  <c r="E106" i="61"/>
  <c r="C106" i="61"/>
  <c r="E98" i="61"/>
  <c r="C98" i="61"/>
  <c r="E88" i="61"/>
  <c r="E91" i="61" s="1"/>
  <c r="C86" i="61"/>
  <c r="C91" i="61" s="1"/>
  <c r="E84" i="61"/>
  <c r="C84" i="61"/>
  <c r="C77" i="61"/>
  <c r="E74" i="61"/>
  <c r="E77" i="61" s="1"/>
  <c r="C70" i="61"/>
  <c r="E69" i="61"/>
  <c r="E70" i="61" s="1"/>
  <c r="E66" i="61"/>
  <c r="E65" i="61"/>
  <c r="C65" i="61"/>
  <c r="C57" i="61"/>
  <c r="E54" i="61"/>
  <c r="E57" i="61" s="1"/>
  <c r="C48" i="61"/>
  <c r="E45" i="61"/>
  <c r="E43" i="61"/>
  <c r="E42" i="61"/>
  <c r="E48" i="61" s="1"/>
  <c r="E41" i="61"/>
  <c r="F34" i="61"/>
  <c r="E34" i="61"/>
  <c r="C34" i="61"/>
  <c r="E28" i="61"/>
  <c r="F17" i="61"/>
  <c r="E17" i="61"/>
  <c r="C17" i="61"/>
  <c r="G71" i="60"/>
  <c r="F71" i="60"/>
  <c r="G70" i="60"/>
  <c r="F70" i="60"/>
  <c r="F72" i="60" s="1"/>
  <c r="G68" i="60"/>
  <c r="F68" i="60"/>
  <c r="G64" i="60"/>
  <c r="F64" i="60"/>
  <c r="G60" i="60"/>
  <c r="F60" i="60"/>
  <c r="G56" i="60"/>
  <c r="F56" i="60"/>
  <c r="G50" i="60"/>
  <c r="F50" i="60"/>
  <c r="G49" i="60"/>
  <c r="F49" i="60"/>
  <c r="G47" i="60"/>
  <c r="F47" i="60"/>
  <c r="G43" i="60"/>
  <c r="F43" i="60"/>
  <c r="G39" i="60"/>
  <c r="F39" i="60"/>
  <c r="G34" i="60"/>
  <c r="F34" i="60"/>
  <c r="G33" i="60"/>
  <c r="F33" i="60"/>
  <c r="G31" i="60"/>
  <c r="F31" i="60"/>
  <c r="G27" i="60"/>
  <c r="F27" i="60"/>
  <c r="G23" i="60"/>
  <c r="F23" i="60"/>
  <c r="G19" i="60"/>
  <c r="F19" i="60"/>
  <c r="G15" i="60"/>
  <c r="F15" i="60"/>
  <c r="G11" i="60"/>
  <c r="F11" i="60"/>
  <c r="G134" i="59"/>
  <c r="F134" i="59"/>
  <c r="G133" i="59"/>
  <c r="F133" i="59"/>
  <c r="G131" i="59"/>
  <c r="F131" i="59"/>
  <c r="G127" i="59"/>
  <c r="F127" i="59"/>
  <c r="G123" i="59"/>
  <c r="F123" i="59"/>
  <c r="G119" i="59"/>
  <c r="F119" i="59"/>
  <c r="G114" i="59"/>
  <c r="F114" i="59"/>
  <c r="G113" i="59"/>
  <c r="F113" i="59"/>
  <c r="G111" i="59"/>
  <c r="F111" i="59"/>
  <c r="G107" i="59"/>
  <c r="F107" i="59"/>
  <c r="G103" i="59"/>
  <c r="F103" i="59"/>
  <c r="G98" i="59"/>
  <c r="F98" i="59"/>
  <c r="F99" i="59"/>
  <c r="G94" i="59"/>
  <c r="F94" i="59"/>
  <c r="G90" i="59"/>
  <c r="F90" i="59"/>
  <c r="G86" i="59"/>
  <c r="F86" i="59"/>
  <c r="G82" i="59"/>
  <c r="F82" i="59"/>
  <c r="G72" i="59"/>
  <c r="F72" i="59"/>
  <c r="G71" i="59"/>
  <c r="F71" i="59"/>
  <c r="F73" i="59" s="1"/>
  <c r="G69" i="59"/>
  <c r="F69" i="59"/>
  <c r="G65" i="59"/>
  <c r="F65" i="59"/>
  <c r="G57" i="59"/>
  <c r="F57" i="59"/>
  <c r="G52" i="59"/>
  <c r="F52" i="59"/>
  <c r="G51" i="59"/>
  <c r="F51" i="59"/>
  <c r="F53" i="59" s="1"/>
  <c r="G49" i="59"/>
  <c r="F49" i="59"/>
  <c r="G45" i="59"/>
  <c r="F45" i="59"/>
  <c r="G40" i="59"/>
  <c r="F40" i="59"/>
  <c r="G39" i="59"/>
  <c r="F39" i="59"/>
  <c r="G37" i="59"/>
  <c r="F37" i="59"/>
  <c r="G33" i="59"/>
  <c r="F33" i="59"/>
  <c r="G29" i="59"/>
  <c r="F29" i="59"/>
  <c r="G25" i="59"/>
  <c r="F25" i="59"/>
  <c r="G20" i="59"/>
  <c r="F20" i="59"/>
  <c r="G19" i="59"/>
  <c r="F19" i="59"/>
  <c r="G17" i="59"/>
  <c r="F17" i="59"/>
  <c r="G13" i="59"/>
  <c r="F13" i="59"/>
  <c r="H9" i="58"/>
  <c r="G9" i="58"/>
  <c r="F9" i="58"/>
  <c r="E9" i="58"/>
  <c r="D9" i="58"/>
  <c r="C16" i="56"/>
  <c r="C5" i="55"/>
  <c r="J20" i="54"/>
  <c r="E20" i="54"/>
  <c r="I18" i="54"/>
  <c r="H18" i="54"/>
  <c r="D18" i="54"/>
  <c r="C18" i="54"/>
  <c r="J17" i="54"/>
  <c r="E17" i="54"/>
  <c r="J16" i="54"/>
  <c r="E16" i="54"/>
  <c r="J15" i="54"/>
  <c r="E15" i="54"/>
  <c r="D14" i="54"/>
  <c r="C14" i="54"/>
  <c r="J13" i="54"/>
  <c r="J12" i="54"/>
  <c r="E12" i="54"/>
  <c r="J11" i="54"/>
  <c r="E11" i="54"/>
  <c r="J10" i="54"/>
  <c r="E10" i="54"/>
  <c r="J9" i="54"/>
  <c r="I14" i="54"/>
  <c r="F27" i="40"/>
  <c r="F28" i="41" s="1"/>
  <c r="E27" i="40"/>
  <c r="E28" i="41" s="1"/>
  <c r="D18" i="13"/>
  <c r="E18" i="13"/>
  <c r="C18" i="13"/>
  <c r="D42" i="11"/>
  <c r="E42" i="11"/>
  <c r="C42" i="11"/>
  <c r="G73" i="64" l="1"/>
  <c r="E10" i="64"/>
  <c r="G40" i="64"/>
  <c r="E19" i="64"/>
  <c r="E18" i="64" s="1"/>
  <c r="F10" i="64"/>
  <c r="G10" i="64"/>
  <c r="AW52" i="67"/>
  <c r="AY49" i="67"/>
  <c r="H19" i="54"/>
  <c r="H21" i="54" s="1"/>
  <c r="E18" i="54"/>
  <c r="C19" i="54"/>
  <c r="C21" i="54" s="1"/>
  <c r="G53" i="59"/>
  <c r="G135" i="59"/>
  <c r="G59" i="59"/>
  <c r="G137" i="59" s="1"/>
  <c r="G72" i="60"/>
  <c r="G74" i="60"/>
  <c r="F75" i="60"/>
  <c r="F51" i="60"/>
  <c r="G75" i="60"/>
  <c r="G51" i="60"/>
  <c r="F74" i="60"/>
  <c r="F76" i="60" s="1"/>
  <c r="G115" i="59"/>
  <c r="G99" i="59"/>
  <c r="G73" i="59"/>
  <c r="G60" i="59"/>
  <c r="G138" i="59" s="1"/>
  <c r="G41" i="59"/>
  <c r="F60" i="59"/>
  <c r="F138" i="59" s="1"/>
  <c r="F135" i="59"/>
  <c r="F115" i="59"/>
  <c r="F41" i="59"/>
  <c r="F21" i="59"/>
  <c r="F18" i="13"/>
  <c r="F42" i="11"/>
  <c r="I19" i="54"/>
  <c r="I21" i="54" s="1"/>
  <c r="J18" i="54"/>
  <c r="J14" i="54"/>
  <c r="E14" i="54"/>
  <c r="F48" i="61"/>
  <c r="F57" i="61" s="1"/>
  <c r="F65" i="61" s="1"/>
  <c r="F70" i="61" s="1"/>
  <c r="F77" i="61" s="1"/>
  <c r="F84" i="61" s="1"/>
  <c r="F91" i="61" s="1"/>
  <c r="F98" i="61" s="1"/>
  <c r="F106" i="61" s="1"/>
  <c r="F114" i="61" s="1"/>
  <c r="F121" i="61" s="1"/>
  <c r="F128" i="61" s="1"/>
  <c r="F134" i="61" s="1"/>
  <c r="F141" i="61" s="1"/>
  <c r="F147" i="61" s="1"/>
  <c r="F153" i="61" s="1"/>
  <c r="F159" i="61" s="1"/>
  <c r="F165" i="61" s="1"/>
  <c r="F173" i="61" s="1"/>
  <c r="F181" i="61" s="1"/>
  <c r="F188" i="61" s="1"/>
  <c r="F196" i="61" s="1"/>
  <c r="F202" i="61" s="1"/>
  <c r="F208" i="61" s="1"/>
  <c r="F214" i="61" s="1"/>
  <c r="F220" i="61" s="1"/>
  <c r="F226" i="61" s="1"/>
  <c r="F232" i="61" s="1"/>
  <c r="F238" i="61" s="1"/>
  <c r="G27" i="64"/>
  <c r="G19" i="64" s="1"/>
  <c r="H28" i="65"/>
  <c r="K23" i="65"/>
  <c r="K27" i="65"/>
  <c r="G15" i="62"/>
  <c r="G12" i="62"/>
  <c r="G17" i="62"/>
  <c r="G14" i="62"/>
  <c r="G11" i="62"/>
  <c r="G18" i="62"/>
  <c r="G16" i="62"/>
  <c r="G10" i="62"/>
  <c r="G67" i="64"/>
  <c r="E13" i="66"/>
  <c r="E11" i="66"/>
  <c r="E9" i="66"/>
  <c r="E12" i="66"/>
  <c r="E10" i="66"/>
  <c r="F35" i="60"/>
  <c r="G35" i="60"/>
  <c r="G13" i="62"/>
  <c r="F27" i="64"/>
  <c r="F19" i="64" s="1"/>
  <c r="F40" i="64"/>
  <c r="K8" i="65"/>
  <c r="K15" i="65" s="1"/>
  <c r="K28" i="65" s="1"/>
  <c r="F59" i="59"/>
  <c r="H23" i="65"/>
  <c r="G21" i="59"/>
  <c r="D19" i="54"/>
  <c r="D21" i="54" s="1"/>
  <c r="E9" i="64" l="1"/>
  <c r="F18" i="64"/>
  <c r="F9" i="64" s="1"/>
  <c r="E21" i="54"/>
  <c r="C4" i="55" s="1"/>
  <c r="J19" i="54"/>
  <c r="J21" i="54" s="1"/>
  <c r="G139" i="59"/>
  <c r="G76" i="60"/>
  <c r="G61" i="59"/>
  <c r="E19" i="54"/>
  <c r="D14" i="66"/>
  <c r="E14" i="66" s="1"/>
  <c r="E8" i="66"/>
  <c r="F61" i="59"/>
  <c r="F137" i="59"/>
  <c r="F139" i="59" s="1"/>
  <c r="I88" i="39"/>
  <c r="I94" i="39"/>
  <c r="F37" i="40"/>
  <c r="F47" i="41"/>
  <c r="L47" i="41"/>
  <c r="H111" i="39"/>
  <c r="H51" i="43"/>
  <c r="F65" i="14"/>
  <c r="F61" i="14"/>
  <c r="F99" i="14"/>
  <c r="F100" i="14"/>
  <c r="F101" i="14"/>
  <c r="F102" i="14"/>
  <c r="F103" i="14"/>
  <c r="J42" i="39"/>
  <c r="J43" i="39"/>
  <c r="J45" i="39"/>
  <c r="J46" i="39"/>
  <c r="J47" i="39"/>
  <c r="M49" i="41"/>
  <c r="G18" i="64" l="1"/>
  <c r="G9" i="64" s="1"/>
  <c r="C8" i="55"/>
  <c r="C9" i="55" s="1"/>
  <c r="M20" i="41"/>
  <c r="M19" i="41"/>
  <c r="H59" i="43"/>
  <c r="H60" i="43"/>
  <c r="H61" i="43"/>
  <c r="H62" i="43"/>
  <c r="H63" i="43"/>
  <c r="H64" i="43"/>
  <c r="H65" i="43"/>
  <c r="H66" i="43"/>
  <c r="H67" i="43"/>
  <c r="H68" i="43"/>
  <c r="H69" i="43"/>
  <c r="H70" i="43"/>
  <c r="H71" i="43"/>
  <c r="H72" i="43"/>
  <c r="H36" i="43"/>
  <c r="G15" i="43"/>
  <c r="E15" i="43"/>
  <c r="F15" i="43"/>
  <c r="G25" i="40"/>
  <c r="G14" i="40"/>
  <c r="J119" i="39"/>
  <c r="J118" i="39"/>
  <c r="J117" i="39"/>
  <c r="J116" i="39"/>
  <c r="J115" i="39"/>
  <c r="J120" i="39"/>
  <c r="I78" i="39" l="1"/>
  <c r="H44" i="43" l="1"/>
  <c r="H45" i="43"/>
  <c r="F94" i="14"/>
  <c r="G48" i="41"/>
  <c r="E22" i="14" l="1"/>
  <c r="F9" i="13"/>
  <c r="F7" i="11"/>
  <c r="G12" i="40"/>
  <c r="G11" i="40"/>
  <c r="G7" i="40"/>
  <c r="G8" i="40"/>
  <c r="G9" i="40"/>
  <c r="G16" i="40"/>
  <c r="G19" i="40"/>
  <c r="G20" i="40"/>
  <c r="G21" i="40"/>
  <c r="G22" i="40"/>
  <c r="G23" i="40"/>
  <c r="G18" i="40"/>
  <c r="G15" i="40"/>
  <c r="G6" i="40"/>
  <c r="G13" i="40"/>
  <c r="G26" i="40"/>
  <c r="G17" i="40"/>
  <c r="G24" i="40"/>
  <c r="G10" i="40"/>
  <c r="F25" i="11"/>
  <c r="F26" i="11"/>
  <c r="F27" i="11"/>
  <c r="F28" i="11"/>
  <c r="F29" i="11"/>
  <c r="F30" i="11"/>
  <c r="F41" i="14" l="1"/>
  <c r="F32" i="11"/>
  <c r="G52" i="41"/>
  <c r="G32" i="40"/>
  <c r="G33" i="40"/>
  <c r="H43" i="43"/>
  <c r="I29" i="39" l="1"/>
  <c r="E105" i="14"/>
  <c r="F40" i="14"/>
  <c r="F98" i="14" l="1"/>
  <c r="H58" i="43" l="1"/>
  <c r="H57" i="43"/>
  <c r="H54" i="43"/>
  <c r="H53" i="43"/>
  <c r="J103" i="39" l="1"/>
  <c r="F21" i="11" l="1"/>
  <c r="H21" i="43" l="1"/>
  <c r="D27" i="40" l="1"/>
  <c r="D28" i="41" s="1"/>
  <c r="J111" i="39" l="1"/>
  <c r="H29" i="39" l="1"/>
  <c r="G73" i="43" l="1"/>
  <c r="H56" i="43"/>
  <c r="H55" i="43"/>
  <c r="H52" i="43"/>
  <c r="H50" i="43"/>
  <c r="J106" i="39"/>
  <c r="F62" i="14"/>
  <c r="F9" i="9" l="1"/>
  <c r="J62" i="39" l="1"/>
  <c r="G63" i="39"/>
  <c r="H63" i="39"/>
  <c r="I63" i="39"/>
  <c r="E25" i="9"/>
  <c r="G16" i="9"/>
  <c r="G17" i="9"/>
  <c r="G18" i="9"/>
  <c r="G19" i="9"/>
  <c r="G20" i="9"/>
  <c r="G22" i="9"/>
  <c r="G23" i="9"/>
  <c r="G24" i="9"/>
  <c r="G21" i="9"/>
  <c r="G30" i="40" l="1"/>
  <c r="G31" i="40"/>
  <c r="G42" i="40"/>
  <c r="G37" i="40"/>
  <c r="J85" i="39"/>
  <c r="F72" i="14"/>
  <c r="F16" i="36"/>
  <c r="I26" i="24" l="1"/>
  <c r="I21" i="24"/>
  <c r="F36" i="14"/>
  <c r="H39" i="43"/>
  <c r="H33" i="43"/>
  <c r="H8" i="43"/>
  <c r="H26" i="24"/>
  <c r="G26" i="24"/>
  <c r="D105" i="14"/>
  <c r="F104" i="14"/>
  <c r="F81" i="14"/>
  <c r="E17" i="36"/>
  <c r="D17" i="36"/>
  <c r="J26" i="24" l="1"/>
  <c r="G21" i="24"/>
  <c r="G27" i="24" s="1"/>
  <c r="H19" i="43"/>
  <c r="F34" i="14" l="1"/>
  <c r="F33" i="14"/>
  <c r="F90" i="14"/>
  <c r="H20" i="43"/>
  <c r="J20" i="24"/>
  <c r="I27" i="24"/>
  <c r="H21" i="24"/>
  <c r="H27" i="24" s="1"/>
  <c r="I25" i="39" l="1"/>
  <c r="J113" i="39"/>
  <c r="J114" i="39"/>
  <c r="J84" i="39" l="1"/>
  <c r="J89" i="39"/>
  <c r="J96" i="39"/>
  <c r="H32" i="43"/>
  <c r="H13" i="43"/>
  <c r="F29" i="25"/>
  <c r="D30" i="25"/>
  <c r="E30" i="25"/>
  <c r="C30" i="25"/>
  <c r="C24" i="22"/>
  <c r="F22" i="14"/>
  <c r="D25" i="12"/>
  <c r="D35" i="11"/>
  <c r="E35" i="11"/>
  <c r="C35" i="11"/>
  <c r="F58" i="36"/>
  <c r="F59" i="36"/>
  <c r="E46" i="36"/>
  <c r="D46" i="36"/>
  <c r="C46" i="36"/>
  <c r="F45" i="36"/>
  <c r="F30" i="36"/>
  <c r="J24" i="39"/>
  <c r="G25" i="39"/>
  <c r="H25" i="39"/>
  <c r="H12" i="39" l="1"/>
  <c r="H41" i="43" l="1"/>
  <c r="J81" i="39" l="1"/>
  <c r="J41" i="39" l="1"/>
  <c r="F23" i="22"/>
  <c r="H27" i="43" l="1"/>
  <c r="H17" i="43"/>
  <c r="H35" i="43"/>
  <c r="F53" i="41"/>
  <c r="J37" i="39"/>
  <c r="M48" i="41"/>
  <c r="F20" i="22" l="1"/>
  <c r="F21" i="22"/>
  <c r="F22" i="22"/>
  <c r="F89" i="14"/>
  <c r="F97" i="14"/>
  <c r="F26" i="14"/>
  <c r="F44" i="36"/>
  <c r="J95" i="39" l="1"/>
  <c r="F96" i="14" l="1"/>
  <c r="J19" i="24"/>
  <c r="F7" i="22"/>
  <c r="F8" i="22"/>
  <c r="F9" i="22"/>
  <c r="F10" i="22"/>
  <c r="F11" i="22"/>
  <c r="F12" i="22"/>
  <c r="F13" i="22"/>
  <c r="F14" i="22"/>
  <c r="F15" i="22"/>
  <c r="F16" i="22"/>
  <c r="F17" i="22"/>
  <c r="F18" i="22"/>
  <c r="F91" i="14"/>
  <c r="G38" i="40"/>
  <c r="F60" i="14" l="1"/>
  <c r="F33" i="11"/>
  <c r="F18" i="36"/>
  <c r="J12" i="24"/>
  <c r="J25" i="24" l="1"/>
  <c r="F52" i="36"/>
  <c r="J110" i="39"/>
  <c r="E20" i="36" l="1"/>
  <c r="E12" i="36"/>
  <c r="F19" i="36"/>
  <c r="E60" i="36"/>
  <c r="D60" i="36"/>
  <c r="C60" i="36"/>
  <c r="F47" i="36"/>
  <c r="E24" i="22"/>
  <c r="D24" i="22"/>
  <c r="E21" i="36" l="1"/>
  <c r="G121" i="39"/>
  <c r="H121" i="39"/>
  <c r="I121" i="39"/>
  <c r="F95" i="14" l="1"/>
  <c r="F39" i="14"/>
  <c r="F27" i="36"/>
  <c r="F27" i="14"/>
  <c r="F75" i="14" l="1"/>
  <c r="F76" i="14"/>
  <c r="F77" i="14"/>
  <c r="F42" i="36" l="1"/>
  <c r="F43" i="36"/>
  <c r="J109" i="39" l="1"/>
  <c r="K22" i="41"/>
  <c r="H31" i="43"/>
  <c r="F31" i="11"/>
  <c r="J52" i="39" l="1"/>
  <c r="J65" i="39"/>
  <c r="J68" i="39"/>
  <c r="J69" i="39"/>
  <c r="J104" i="39"/>
  <c r="J108" i="39"/>
  <c r="J112" i="39"/>
  <c r="J100" i="39"/>
  <c r="J102" i="39"/>
  <c r="D43" i="40" l="1"/>
  <c r="E43" i="40"/>
  <c r="E30" i="41" s="1"/>
  <c r="F43" i="40"/>
  <c r="G46" i="40"/>
  <c r="D86" i="14" l="1"/>
  <c r="F57" i="14"/>
  <c r="J28" i="39" l="1"/>
  <c r="D34" i="40"/>
  <c r="E34" i="40"/>
  <c r="F34" i="40"/>
  <c r="G7" i="9" l="1"/>
  <c r="F64" i="14"/>
  <c r="F82" i="14"/>
  <c r="I97" i="39"/>
  <c r="J74" i="39"/>
  <c r="E48" i="36"/>
  <c r="F83" i="14"/>
  <c r="F14" i="14"/>
  <c r="F38" i="14"/>
  <c r="I134" i="39"/>
  <c r="I48" i="39"/>
  <c r="I19" i="39"/>
  <c r="H30" i="43" l="1"/>
  <c r="H74" i="43"/>
  <c r="H29" i="43"/>
  <c r="F24" i="12"/>
  <c r="H9" i="43"/>
  <c r="G40" i="40"/>
  <c r="G29" i="40"/>
  <c r="F7" i="25" l="1"/>
  <c r="F28" i="25"/>
  <c r="F26" i="25"/>
  <c r="F25" i="25"/>
  <c r="F23" i="25"/>
  <c r="F22" i="25"/>
  <c r="F21" i="25"/>
  <c r="F20" i="25"/>
  <c r="F19" i="25"/>
  <c r="F18" i="25"/>
  <c r="F17" i="25"/>
  <c r="F16" i="25"/>
  <c r="F15" i="25"/>
  <c r="F14" i="25"/>
  <c r="F12" i="25"/>
  <c r="F11" i="25"/>
  <c r="F10" i="25"/>
  <c r="F8" i="25"/>
  <c r="J24" i="24"/>
  <c r="J23" i="24"/>
  <c r="J22" i="24"/>
  <c r="J18" i="24"/>
  <c r="J17" i="24"/>
  <c r="J16" i="24"/>
  <c r="J15" i="24"/>
  <c r="J14" i="24"/>
  <c r="J13" i="24"/>
  <c r="J11" i="24"/>
  <c r="J10" i="24"/>
  <c r="J9" i="24"/>
  <c r="J8" i="24"/>
  <c r="J7" i="24"/>
  <c r="F19" i="22"/>
  <c r="F93" i="14"/>
  <c r="F92" i="14"/>
  <c r="F85" i="14"/>
  <c r="F80" i="14"/>
  <c r="F79" i="14"/>
  <c r="F74" i="14"/>
  <c r="F73" i="14"/>
  <c r="F71" i="14"/>
  <c r="F70" i="14"/>
  <c r="F69" i="14"/>
  <c r="F68" i="14"/>
  <c r="F67" i="14"/>
  <c r="F66" i="14"/>
  <c r="F59" i="14"/>
  <c r="F58" i="14"/>
  <c r="F56" i="14"/>
  <c r="F55" i="14"/>
  <c r="F54" i="14"/>
  <c r="F53" i="14"/>
  <c r="F49" i="14"/>
  <c r="F48" i="14"/>
  <c r="F47" i="14"/>
  <c r="F46" i="14"/>
  <c r="F44" i="14"/>
  <c r="F43" i="14"/>
  <c r="F37" i="14"/>
  <c r="F35" i="14"/>
  <c r="F32" i="14"/>
  <c r="F31" i="14"/>
  <c r="F30" i="14"/>
  <c r="F29" i="14"/>
  <c r="F28" i="14"/>
  <c r="F25" i="14"/>
  <c r="F24" i="14"/>
  <c r="F23" i="14"/>
  <c r="F21" i="14"/>
  <c r="F20" i="14"/>
  <c r="F19" i="14"/>
  <c r="F18" i="14"/>
  <c r="F15" i="14"/>
  <c r="F13" i="14"/>
  <c r="F12" i="14"/>
  <c r="F11" i="14"/>
  <c r="F10" i="14"/>
  <c r="F7" i="14"/>
  <c r="F6" i="14"/>
  <c r="F7" i="13" l="1"/>
  <c r="F17" i="12"/>
  <c r="F16" i="12"/>
  <c r="F15" i="12"/>
  <c r="F14" i="12"/>
  <c r="F13" i="12"/>
  <c r="F12" i="12"/>
  <c r="F11" i="12"/>
  <c r="F7" i="12"/>
  <c r="F34" i="11"/>
  <c r="F23" i="11"/>
  <c r="F22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36"/>
  <c r="F57" i="36"/>
  <c r="F53" i="36"/>
  <c r="F51" i="36"/>
  <c r="F41" i="36"/>
  <c r="F40" i="36"/>
  <c r="F39" i="36"/>
  <c r="F38" i="36"/>
  <c r="F37" i="36"/>
  <c r="F36" i="36"/>
  <c r="F35" i="36"/>
  <c r="F34" i="36"/>
  <c r="F33" i="36"/>
  <c r="F32" i="36"/>
  <c r="F31" i="36"/>
  <c r="F29" i="36"/>
  <c r="F28" i="36"/>
  <c r="F26" i="36"/>
  <c r="F25" i="36"/>
  <c r="F24" i="36"/>
  <c r="F15" i="36"/>
  <c r="F14" i="36"/>
  <c r="F11" i="36"/>
  <c r="F10" i="36"/>
  <c r="F9" i="36"/>
  <c r="G14" i="9"/>
  <c r="G13" i="9"/>
  <c r="G11" i="9"/>
  <c r="G8" i="9"/>
  <c r="J133" i="39"/>
  <c r="J132" i="39"/>
  <c r="J131" i="39"/>
  <c r="J130" i="39"/>
  <c r="J129" i="39"/>
  <c r="J128" i="39"/>
  <c r="J127" i="39"/>
  <c r="J126" i="39"/>
  <c r="J125" i="39"/>
  <c r="J124" i="39"/>
  <c r="J123" i="39"/>
  <c r="J107" i="39"/>
  <c r="J105" i="39"/>
  <c r="J94" i="39"/>
  <c r="J92" i="39"/>
  <c r="J91" i="39"/>
  <c r="J90" i="39"/>
  <c r="J88" i="39"/>
  <c r="J87" i="39"/>
  <c r="J83" i="39"/>
  <c r="J82" i="39"/>
  <c r="J80" i="39"/>
  <c r="J79" i="39"/>
  <c r="J78" i="39"/>
  <c r="J77" i="39"/>
  <c r="J76" i="39"/>
  <c r="J75" i="39"/>
  <c r="J73" i="39"/>
  <c r="J72" i="39"/>
  <c r="J71" i="39"/>
  <c r="J70" i="39"/>
  <c r="J67" i="39"/>
  <c r="J61" i="39"/>
  <c r="J60" i="39"/>
  <c r="J59" i="39"/>
  <c r="J57" i="39"/>
  <c r="J56" i="39"/>
  <c r="J54" i="39"/>
  <c r="J40" i="39"/>
  <c r="J39" i="39"/>
  <c r="J38" i="39"/>
  <c r="J27" i="39"/>
  <c r="J23" i="39"/>
  <c r="J22" i="39"/>
  <c r="J21" i="39"/>
  <c r="J18" i="39"/>
  <c r="J17" i="39"/>
  <c r="J13" i="39"/>
  <c r="J14" i="39"/>
  <c r="J9" i="39"/>
  <c r="J10" i="39"/>
  <c r="J11" i="39"/>
  <c r="J8" i="39"/>
  <c r="G51" i="41"/>
  <c r="M47" i="41"/>
  <c r="M46" i="41"/>
  <c r="G49" i="41"/>
  <c r="G47" i="41"/>
  <c r="G45" i="41"/>
  <c r="M18" i="41"/>
  <c r="M16" i="41"/>
  <c r="D12" i="36" l="1"/>
  <c r="E73" i="43"/>
  <c r="F73" i="43"/>
  <c r="H73" i="43" l="1"/>
  <c r="F12" i="36"/>
  <c r="G43" i="40" l="1"/>
  <c r="H48" i="39" l="1"/>
  <c r="J48" i="39" s="1"/>
  <c r="G48" i="39"/>
  <c r="J29" i="39"/>
  <c r="G29" i="39"/>
  <c r="J25" i="39"/>
  <c r="F112" i="14"/>
  <c r="C12" i="36" l="1"/>
  <c r="H37" i="43" l="1"/>
  <c r="F10" i="43"/>
  <c r="E72" i="36" l="1"/>
  <c r="D72" i="36"/>
  <c r="C72" i="36"/>
  <c r="G10" i="43"/>
  <c r="H38" i="43"/>
  <c r="F72" i="36" l="1"/>
  <c r="E23" i="43"/>
  <c r="F23" i="43"/>
  <c r="F75" i="43" s="1"/>
  <c r="E10" i="43"/>
  <c r="E75" i="43" s="1"/>
  <c r="I12" i="39"/>
  <c r="I15" i="39" s="1"/>
  <c r="I30" i="39" s="1"/>
  <c r="F24" i="22" l="1"/>
  <c r="G27" i="40" l="1"/>
  <c r="F30" i="25" l="1"/>
  <c r="F113" i="14" l="1"/>
  <c r="H48" i="43" l="1"/>
  <c r="E114" i="14" l="1"/>
  <c r="C114" i="14" l="1"/>
  <c r="D114" i="14"/>
  <c r="F114" i="14" s="1"/>
  <c r="E8" i="14"/>
  <c r="D54" i="36"/>
  <c r="E54" i="36"/>
  <c r="C54" i="36"/>
  <c r="D48" i="36"/>
  <c r="F25" i="9"/>
  <c r="D25" i="9"/>
  <c r="G134" i="39"/>
  <c r="F54" i="36" l="1"/>
  <c r="G25" i="9"/>
  <c r="F46" i="36"/>
  <c r="C8" i="14"/>
  <c r="D8" i="14"/>
  <c r="F8" i="14" l="1"/>
  <c r="H7" i="43" l="1"/>
  <c r="G34" i="40" l="1"/>
  <c r="I36" i="39" l="1"/>
  <c r="H36" i="39"/>
  <c r="G36" i="39"/>
  <c r="I33" i="39"/>
  <c r="I34" i="39" s="1"/>
  <c r="H33" i="39"/>
  <c r="G33" i="39"/>
  <c r="G12" i="39"/>
  <c r="I49" i="39" l="1"/>
  <c r="I135" i="39" s="1"/>
  <c r="H15" i="39"/>
  <c r="J12" i="39"/>
  <c r="G15" i="39"/>
  <c r="J63" i="39"/>
  <c r="J121" i="39"/>
  <c r="J15" i="39" l="1"/>
  <c r="C105" i="14" l="1"/>
  <c r="J21" i="24" l="1"/>
  <c r="J27" i="24" l="1"/>
  <c r="D18" i="12" l="1"/>
  <c r="D20" i="36"/>
  <c r="C17" i="36"/>
  <c r="C20" i="36" s="1"/>
  <c r="C21" i="36" s="1"/>
  <c r="D21" i="36" l="1"/>
  <c r="F20" i="36"/>
  <c r="E18" i="12"/>
  <c r="F18" i="12" l="1"/>
  <c r="E19" i="12"/>
  <c r="E55" i="36" l="1"/>
  <c r="E61" i="36" l="1"/>
  <c r="J53" i="41"/>
  <c r="C18" i="12" l="1"/>
  <c r="D55" i="36" l="1"/>
  <c r="D61" i="36" s="1"/>
  <c r="F55" i="36" l="1"/>
  <c r="F35" i="11" l="1"/>
  <c r="F17" i="13" l="1"/>
  <c r="E25" i="12"/>
  <c r="F25" i="12" s="1"/>
  <c r="C25" i="12"/>
  <c r="F34" i="9" l="1"/>
  <c r="F41" i="11"/>
  <c r="G33" i="9" l="1"/>
  <c r="G32" i="9"/>
  <c r="E86" i="14" l="1"/>
  <c r="F86" i="14" s="1"/>
  <c r="C86" i="14"/>
  <c r="E16" i="14" l="1"/>
  <c r="F17" i="36" l="1"/>
  <c r="H49" i="43" l="1"/>
  <c r="H26" i="43"/>
  <c r="H15" i="43" l="1"/>
  <c r="H97" i="39" l="1"/>
  <c r="J97" i="39" s="1"/>
  <c r="F26" i="9" l="1"/>
  <c r="F36" i="9" l="1"/>
  <c r="K40" i="41" l="1"/>
  <c r="L40" i="41"/>
  <c r="J40" i="41"/>
  <c r="M40" i="41" l="1"/>
  <c r="G23" i="43"/>
  <c r="G75" i="43" s="1"/>
  <c r="J38" i="41"/>
  <c r="L37" i="41"/>
  <c r="K37" i="41"/>
  <c r="J37" i="41"/>
  <c r="L36" i="41"/>
  <c r="K36" i="41"/>
  <c r="J36" i="41"/>
  <c r="M37" i="41" l="1"/>
  <c r="M36" i="41"/>
  <c r="L38" i="41"/>
  <c r="K38" i="41"/>
  <c r="K39" i="41"/>
  <c r="L39" i="41"/>
  <c r="J39" i="41"/>
  <c r="H23" i="43"/>
  <c r="H10" i="43"/>
  <c r="H75" i="43" l="1"/>
  <c r="M38" i="41"/>
  <c r="M39" i="41"/>
  <c r="E57" i="40" l="1"/>
  <c r="E58" i="40" s="1"/>
  <c r="F57" i="40"/>
  <c r="F58" i="40" s="1"/>
  <c r="D57" i="40"/>
  <c r="D58" i="40" s="1"/>
  <c r="H134" i="39"/>
  <c r="J134" i="39" s="1"/>
  <c r="E31" i="41" l="1"/>
  <c r="G57" i="40"/>
  <c r="L30" i="41" l="1"/>
  <c r="J30" i="41" l="1"/>
  <c r="K30" i="41" l="1"/>
  <c r="M30" i="41" s="1"/>
  <c r="L22" i="41" l="1"/>
  <c r="M22" i="41" s="1"/>
  <c r="J22" i="41"/>
  <c r="E8" i="41"/>
  <c r="G167" i="41"/>
  <c r="F30" i="41"/>
  <c r="F29" i="41"/>
  <c r="F7" i="41"/>
  <c r="F9" i="41"/>
  <c r="F10" i="41"/>
  <c r="E9" i="9"/>
  <c r="G9" i="9" s="1"/>
  <c r="E34" i="9"/>
  <c r="D16" i="14"/>
  <c r="E7" i="41"/>
  <c r="D7" i="41"/>
  <c r="E11" i="13"/>
  <c r="L31" i="41"/>
  <c r="L32" i="41"/>
  <c r="L34" i="41"/>
  <c r="L53" i="41"/>
  <c r="C55" i="36"/>
  <c r="E9" i="41"/>
  <c r="C16" i="14"/>
  <c r="F31" i="41"/>
  <c r="D9" i="41"/>
  <c r="D10" i="41"/>
  <c r="G97" i="39"/>
  <c r="E10" i="41"/>
  <c r="E53" i="41"/>
  <c r="D9" i="9"/>
  <c r="D11" i="13"/>
  <c r="L33" i="41"/>
  <c r="J12" i="41"/>
  <c r="J14" i="41"/>
  <c r="J34" i="41"/>
  <c r="D30" i="41"/>
  <c r="D31" i="41"/>
  <c r="C11" i="13"/>
  <c r="J33" i="41"/>
  <c r="J32" i="41"/>
  <c r="J31" i="41"/>
  <c r="D34" i="9"/>
  <c r="J29" i="41" s="1"/>
  <c r="D53" i="41"/>
  <c r="K53" i="41"/>
  <c r="F11" i="13" l="1"/>
  <c r="F16" i="14"/>
  <c r="M53" i="41"/>
  <c r="G53" i="41"/>
  <c r="G30" i="41"/>
  <c r="G10" i="41"/>
  <c r="G9" i="41"/>
  <c r="G7" i="41"/>
  <c r="D106" i="14"/>
  <c r="D29" i="41"/>
  <c r="E29" i="41"/>
  <c r="G29" i="41" s="1"/>
  <c r="K33" i="41"/>
  <c r="M33" i="41" s="1"/>
  <c r="K29" i="41"/>
  <c r="G34" i="9"/>
  <c r="K31" i="41"/>
  <c r="M31" i="41" s="1"/>
  <c r="K12" i="41"/>
  <c r="L14" i="41"/>
  <c r="K34" i="41"/>
  <c r="M34" i="41" s="1"/>
  <c r="K32" i="41"/>
  <c r="M32" i="41" s="1"/>
  <c r="F8" i="41"/>
  <c r="G8" i="41" s="1"/>
  <c r="D8" i="41"/>
  <c r="G31" i="41"/>
  <c r="D19" i="12"/>
  <c r="C106" i="14"/>
  <c r="D12" i="13"/>
  <c r="D20" i="13" s="1"/>
  <c r="E26" i="9"/>
  <c r="C19" i="12"/>
  <c r="C27" i="12" s="1"/>
  <c r="J41" i="41"/>
  <c r="K41" i="41"/>
  <c r="J13" i="41"/>
  <c r="C12" i="13"/>
  <c r="E12" i="13"/>
  <c r="E20" i="13" s="1"/>
  <c r="C36" i="11"/>
  <c r="C44" i="11" s="1"/>
  <c r="J35" i="41"/>
  <c r="L29" i="41"/>
  <c r="D26" i="9"/>
  <c r="K14" i="41"/>
  <c r="L12" i="41"/>
  <c r="J10" i="41" l="1"/>
  <c r="C20" i="13"/>
  <c r="G26" i="9"/>
  <c r="F12" i="13"/>
  <c r="M14" i="41"/>
  <c r="F19" i="12"/>
  <c r="L35" i="41"/>
  <c r="M29" i="41"/>
  <c r="M12" i="41"/>
  <c r="C107" i="14"/>
  <c r="J11" i="41" s="1"/>
  <c r="E27" i="12"/>
  <c r="D107" i="14"/>
  <c r="K10" i="41"/>
  <c r="D36" i="11"/>
  <c r="D44" i="11" s="1"/>
  <c r="K9" i="41"/>
  <c r="K35" i="41"/>
  <c r="K42" i="41" s="1"/>
  <c r="K6" i="41"/>
  <c r="D27" i="12"/>
  <c r="J9" i="41"/>
  <c r="E36" i="9"/>
  <c r="L10" i="41"/>
  <c r="L9" i="41"/>
  <c r="E36" i="11"/>
  <c r="E44" i="11" s="1"/>
  <c r="J42" i="41"/>
  <c r="D42" i="41"/>
  <c r="J8" i="41"/>
  <c r="L6" i="41"/>
  <c r="J6" i="41"/>
  <c r="D36" i="9"/>
  <c r="L41" i="41"/>
  <c r="M41" i="41" s="1"/>
  <c r="F48" i="36" l="1"/>
  <c r="F36" i="11"/>
  <c r="F27" i="12"/>
  <c r="F20" i="13"/>
  <c r="F21" i="36"/>
  <c r="M6" i="41"/>
  <c r="C116" i="14"/>
  <c r="M10" i="41"/>
  <c r="M9" i="41"/>
  <c r="M35" i="41"/>
  <c r="L8" i="41"/>
  <c r="K11" i="41"/>
  <c r="D116" i="14"/>
  <c r="K8" i="41"/>
  <c r="G36" i="9"/>
  <c r="K13" i="41"/>
  <c r="L42" i="41"/>
  <c r="M42" i="41" s="1"/>
  <c r="F44" i="11" l="1"/>
  <c r="M8" i="41"/>
  <c r="E42" i="41" l="1"/>
  <c r="L13" i="41" l="1"/>
  <c r="M13" i="41" s="1"/>
  <c r="G19" i="39" l="1"/>
  <c r="G30" i="39" s="1"/>
  <c r="H19" i="39"/>
  <c r="H30" i="39" s="1"/>
  <c r="G34" i="39" l="1"/>
  <c r="G49" i="39" s="1"/>
  <c r="H34" i="39"/>
  <c r="H49" i="39" s="1"/>
  <c r="H135" i="39" s="1"/>
  <c r="J30" i="39"/>
  <c r="J19" i="39"/>
  <c r="D6" i="41" l="1"/>
  <c r="D23" i="41" s="1"/>
  <c r="D56" i="41" s="1"/>
  <c r="G135" i="39"/>
  <c r="J34" i="39"/>
  <c r="E6" i="41"/>
  <c r="E23" i="41" s="1"/>
  <c r="E56" i="41" s="1"/>
  <c r="J49" i="39"/>
  <c r="F6" i="41" l="1"/>
  <c r="G6" i="41" s="1"/>
  <c r="J135" i="39" l="1"/>
  <c r="G58" i="40"/>
  <c r="F23" i="41"/>
  <c r="G23" i="41" s="1"/>
  <c r="G28" i="41"/>
  <c r="F42" i="41" l="1"/>
  <c r="G42" i="41" l="1"/>
  <c r="F56" i="41"/>
  <c r="G56" i="41" l="1"/>
  <c r="D62" i="36" l="1"/>
  <c r="D74" i="36" l="1"/>
  <c r="K7" i="41"/>
  <c r="K23" i="41" s="1"/>
  <c r="K56" i="41" l="1"/>
  <c r="F60" i="36"/>
  <c r="E62" i="36" l="1"/>
  <c r="F61" i="36" l="1"/>
  <c r="E74" i="36"/>
  <c r="L7" i="41"/>
  <c r="F62" i="36"/>
  <c r="M7" i="41" l="1"/>
  <c r="F74" i="36"/>
  <c r="C48" i="36" l="1"/>
  <c r="C61" i="36" l="1"/>
  <c r="C62" i="36" s="1"/>
  <c r="C74" i="36" l="1"/>
  <c r="J7" i="41"/>
  <c r="J23" i="41" s="1"/>
  <c r="J56" i="41" s="1"/>
  <c r="F105" i="14"/>
  <c r="E106" i="14"/>
  <c r="E107" i="14" l="1"/>
  <c r="L11" i="41" s="1"/>
  <c r="L23" i="41" s="1"/>
  <c r="M23" i="41" s="1"/>
  <c r="F106" i="14"/>
  <c r="E116" i="14" l="1"/>
  <c r="F116" i="14" s="1"/>
  <c r="M11" i="41"/>
  <c r="F107" i="14"/>
  <c r="L56" i="41"/>
  <c r="M56" i="41" l="1"/>
</calcChain>
</file>

<file path=xl/sharedStrings.xml><?xml version="1.0" encoding="utf-8"?>
<sst xmlns="http://schemas.openxmlformats.org/spreadsheetml/2006/main" count="2560" uniqueCount="1333">
  <si>
    <t>FELHALMOZÁSI CÉLÚ ÁTVETT PÉNZESZKÖZÖK ÖSSZESEN</t>
  </si>
  <si>
    <t>Arany János ösztöndíj</t>
  </si>
  <si>
    <t>Capella Savaria</t>
  </si>
  <si>
    <t>Ferrum Színházi Társulat</t>
  </si>
  <si>
    <t>Parkolásgazdálkodási kiadás</t>
  </si>
  <si>
    <t>Áfa befizetés (saját bevételből)</t>
  </si>
  <si>
    <t>Intézményi vagyonbiztosítások</t>
  </si>
  <si>
    <t>Oktatási intézmények összesen:</t>
  </si>
  <si>
    <t xml:space="preserve">Oktatási ágazat </t>
  </si>
  <si>
    <t>Helyi iparűzési adó</t>
  </si>
  <si>
    <t>Városi pedagógus nap, tanévnyító ünnepség</t>
  </si>
  <si>
    <t>Szombathely Város Fúvószenekar támogatása</t>
  </si>
  <si>
    <t>ezer forintban</t>
  </si>
  <si>
    <t>Felhalmozási kiadások</t>
  </si>
  <si>
    <t>Önkormányzat egyéb kiadásai (informatikai kiadások)</t>
  </si>
  <si>
    <t>Informatikai fejlesztések</t>
  </si>
  <si>
    <t>Oktatási ágazat kiadásai</t>
  </si>
  <si>
    <t>Szociális ágazat kiadásai</t>
  </si>
  <si>
    <t>Egészségügyi ágazat kiadásai</t>
  </si>
  <si>
    <t>Sport ágazat kiadásai</t>
  </si>
  <si>
    <t>Köztemetés költségeinek megtérítése</t>
  </si>
  <si>
    <t>Kiszámlázott és befizetendő áfa</t>
  </si>
  <si>
    <t>Önkormányzat egyéb kiadásai</t>
  </si>
  <si>
    <t>Önkormányzat egyéb kiadásai (Hatósági kiadások)</t>
  </si>
  <si>
    <t>Önkormányzat egyéb kiadásai (Főépítészi kiadások)</t>
  </si>
  <si>
    <t>Megnevezés</t>
  </si>
  <si>
    <t>Épitményadó</t>
  </si>
  <si>
    <t>Működési célú maradvány</t>
  </si>
  <si>
    <t>Költségvetési szervek beruházásai és felújításai</t>
  </si>
  <si>
    <t>2.</t>
  </si>
  <si>
    <t>Nagyprojektek, projektek</t>
  </si>
  <si>
    <t>Bérleti díj</t>
  </si>
  <si>
    <t>Lakáskölcsöntörlesztés</t>
  </si>
  <si>
    <t xml:space="preserve">     Beruházások  összesen</t>
  </si>
  <si>
    <t>Hézagkiöntés</t>
  </si>
  <si>
    <t>Hídfenntartás</t>
  </si>
  <si>
    <t>Idegenforgalmi adó</t>
  </si>
  <si>
    <t>Polgármesteri Hivatal</t>
  </si>
  <si>
    <t>Pálos K. Szociális Szolgáltató Központ és Gyermekjóléti Szolgálat</t>
  </si>
  <si>
    <t>Esőemberke Alapítvány támogatása</t>
  </si>
  <si>
    <t>Háziorvosi rendelők karbantartása</t>
  </si>
  <si>
    <t>Lelkisegély szolgálat támogatása  (szerződés) - Telehumanitas Szombathelyi Mentálhigiénés Egyesület</t>
  </si>
  <si>
    <t>Víziközmű és szennyvízközmű használati díjbevételhez kapcsolódó áfa visszaigénylés</t>
  </si>
  <si>
    <t>Gyermek és ifjúsági sport támogatása</t>
  </si>
  <si>
    <t>Gyermek és ifjúsági kitüntetések</t>
  </si>
  <si>
    <t>Éves hídvizsgálat</t>
  </si>
  <si>
    <t>Környezetvédelmi birság</t>
  </si>
  <si>
    <t>Tartalékok</t>
  </si>
  <si>
    <t xml:space="preserve"> </t>
  </si>
  <si>
    <t>Munkáltatói kölcsön</t>
  </si>
  <si>
    <t>Szombathelyi Hospice Alapítvány</t>
  </si>
  <si>
    <t>Közterület felügyelet</t>
  </si>
  <si>
    <t>Közterület foglalás</t>
  </si>
  <si>
    <t>Egyéb feladatok</t>
  </si>
  <si>
    <t>Burkolati jelek festése</t>
  </si>
  <si>
    <t>Posta költség</t>
  </si>
  <si>
    <t>Egyesített Bölcsődei Intézmény</t>
  </si>
  <si>
    <t>Vásárcsarnok</t>
  </si>
  <si>
    <t>Helyiségek és lakások bérleti díja</t>
  </si>
  <si>
    <t>Földhaszonbérlet</t>
  </si>
  <si>
    <t>Egészség-hét</t>
  </si>
  <si>
    <t>Segély önkormányzati támogatásból</t>
  </si>
  <si>
    <t>Szociális ágazat</t>
  </si>
  <si>
    <t>Egészségügyi civil szervezetek támogatása</t>
  </si>
  <si>
    <t>Óvodák</t>
  </si>
  <si>
    <t>Finanszírozási műveletek</t>
  </si>
  <si>
    <t>Felhalmozási célú visszatérítendő támogatások, kölcsönök visszatérülése államháztartáson kívülről</t>
  </si>
  <si>
    <t>Egészségügyi ágazat</t>
  </si>
  <si>
    <t>összesen</t>
  </si>
  <si>
    <t>Pénzeszközátadás</t>
  </si>
  <si>
    <t xml:space="preserve">Kommunális városüzemeltetési és környezetvédelmi kiadások  </t>
  </si>
  <si>
    <t>Közhatalmi bevételek</t>
  </si>
  <si>
    <t>Közterület-felügyelet átjátszó bérleti díj</t>
  </si>
  <si>
    <t>Petz ösztöndíj</t>
  </si>
  <si>
    <t>Szolgalmi joggal terhelt épületrész karbantartása</t>
  </si>
  <si>
    <t>mód.ei.</t>
  </si>
  <si>
    <t>teljesítés</t>
  </si>
  <si>
    <t>Teljesítés</t>
  </si>
  <si>
    <t>%-a</t>
  </si>
  <si>
    <t>KÖLTSÉGVETÉSI SZERVEK FELHALMOZÁSI BEVÉTELEI ÖSSZESEN</t>
  </si>
  <si>
    <t>"Szombathely visszavár" ösztöndíjrendszer</t>
  </si>
  <si>
    <t>Működési célú nagyprojektek, projektek</t>
  </si>
  <si>
    <t>Jelzőtáblák (forgalmi rend változás)</t>
  </si>
  <si>
    <t>Kátyúkár - önerő biztosítás</t>
  </si>
  <si>
    <t>Környezetvédelmi kiadások</t>
  </si>
  <si>
    <t>Kommunális és vároüzemeltetési kiadások összesen</t>
  </si>
  <si>
    <t>Városfejlesztési alap</t>
  </si>
  <si>
    <t>ÖNKORMÁNYZATOK MŰKÖDÉSI TÁMOGATÁSAI</t>
  </si>
  <si>
    <t>JÖVEDELEMADÓK</t>
  </si>
  <si>
    <t>VAGYONI TÍPUSÚ ADÓK</t>
  </si>
  <si>
    <t>TERMÉK ÉS SZOLGÁLTATÁSOK ADÓI</t>
  </si>
  <si>
    <t>EGYÉB KÖZHATALMI BEVÉTELEK</t>
  </si>
  <si>
    <t>KÖLTSÉGVETÉSI SZERVEK MŰKÖDÉSI BEVÉTELEI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</si>
  <si>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</si>
  <si>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</si>
  <si>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</si>
  <si>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EGYÉB MŰKÖDÉSI CÉLÚ TÁMOGATÁSOK BEVÉTELEI ÁLLAMHÁZTARTÁSON BELÜLRŐL</t>
  </si>
  <si>
    <t>ELVONÁSOK ÉS BEFIZETÉSEK BEVÉTELEI</t>
  </si>
  <si>
    <t>Kiszámlázott általános forgalmi adó és áfa visszatérítése</t>
  </si>
  <si>
    <t>Kamatbevételek</t>
  </si>
  <si>
    <t>Versenyek rendezvények, támogatások</t>
  </si>
  <si>
    <t>Gyöngyöshermán-Szentkirályi Polgári Kör</t>
  </si>
  <si>
    <t>Herényi Kulturális és Sportegyesület</t>
  </si>
  <si>
    <t>Petőfi Telepért Egyesület</t>
  </si>
  <si>
    <t>vagyongazdálkodási kiadások (ingatlan kisajátítás, vásárlás)</t>
  </si>
  <si>
    <t>Működési célú költségvetési támogatások és kiegészítő támogatások</t>
  </si>
  <si>
    <t>Elszámolásból származó bevételek</t>
  </si>
  <si>
    <t>Folyékony hulladékgyűjtés</t>
  </si>
  <si>
    <t>ISIS Big Band támogatása</t>
  </si>
  <si>
    <t>Office 365 rendszer működtetése</t>
  </si>
  <si>
    <t>Integrált pénzügyi rendszer üzemeltetés az intézményekben</t>
  </si>
  <si>
    <t>Költségvetési szervek beruházásai és felújításai összesen:</t>
  </si>
  <si>
    <t>Szociális hét</t>
  </si>
  <si>
    <t>Működési kiadások</t>
  </si>
  <si>
    <t xml:space="preserve">Áfa visszaigénylés </t>
  </si>
  <si>
    <t>Működési célú támogatások ÁH-on belülről</t>
  </si>
  <si>
    <t>Érzékenyítő programok - Helyi esélyegyenlőségi program keretében</t>
  </si>
  <si>
    <t>Szociális önkormányzati kitüntetések</t>
  </si>
  <si>
    <t>Egészségügyi dolgozók kitüntetése</t>
  </si>
  <si>
    <t>Működési célú átvett pénzeszközök</t>
  </si>
  <si>
    <t>Kommunális, városüzemeltetési és környezetvédelmi kiadások</t>
  </si>
  <si>
    <t>Tartalékok össszesen</t>
  </si>
  <si>
    <t xml:space="preserve"> Működési célú bevételek összesen :</t>
  </si>
  <si>
    <t>FELHALMOZÁSI KIADÁSOK</t>
  </si>
  <si>
    <t>Intézményi felhalmozási kiadások</t>
  </si>
  <si>
    <t>Felhalmozási célú támogatások államháztartáson belülről</t>
  </si>
  <si>
    <t>Felhalmozási célú átvett péneszközök</t>
  </si>
  <si>
    <t>Intézményi felhalmozási kiadások össszesen</t>
  </si>
  <si>
    <t>Önkormányzati felhalmozási kiadások össszesen</t>
  </si>
  <si>
    <t xml:space="preserve">Központi költségvetés részére visszafizetési kötelezettség </t>
  </si>
  <si>
    <t>Felhalmozási bevételek</t>
  </si>
  <si>
    <t xml:space="preserve">Közlekedés, útépítés, közvilágítás, hídfelújítás </t>
  </si>
  <si>
    <t>Közművesítés</t>
  </si>
  <si>
    <t>Egyéb beruházások</t>
  </si>
  <si>
    <t>1.</t>
  </si>
  <si>
    <t>3.</t>
  </si>
  <si>
    <t>4.</t>
  </si>
  <si>
    <t>Vagyongazdálkodás</t>
  </si>
  <si>
    <t>Pénzeszközátadás összesen:</t>
  </si>
  <si>
    <t>Vagyongazdálkodás összesen</t>
  </si>
  <si>
    <t>Beruházások</t>
  </si>
  <si>
    <t xml:space="preserve">SZOMBATHELY MEGYEI JOGÚ VÁROS ÖNKORMÁNYZATÁNAK  PÉNZÜGYI  MÉRLEGE        </t>
  </si>
  <si>
    <t>Út-híd fenntartás</t>
  </si>
  <si>
    <t>Rendőrség támogatása</t>
  </si>
  <si>
    <t>Szökőkutak előre nem látható hibaelhárítása</t>
  </si>
  <si>
    <t xml:space="preserve"> Működési célú kiadások összesen :</t>
  </si>
  <si>
    <t>Sport</t>
  </si>
  <si>
    <t>eredeti ei.</t>
  </si>
  <si>
    <t>Helyreállítások (teljes pályaszerkezet csere)</t>
  </si>
  <si>
    <t>Járdafenntartás</t>
  </si>
  <si>
    <t>Polgármesteri keret</t>
  </si>
  <si>
    <t xml:space="preserve">Technikai, bevétellel 100%-ig fedezett tételek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</si>
  <si>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</si>
  <si>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</si>
  <si>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</si>
  <si>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</si>
  <si>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Egyéb, más ágazathoz nem sorolható intézmények és feladatok kiadásai</t>
  </si>
  <si>
    <t>MŰKÖDÉSI BEVÉTELEK</t>
  </si>
  <si>
    <t>MŰKÖDÉSI KIADÁSOK</t>
  </si>
  <si>
    <t>Egyéb fejlesztések</t>
  </si>
  <si>
    <t>Egyéb adó és bírságok, pótlékok</t>
  </si>
  <si>
    <t>Szombathelyi Civil Kerekasztal támogatása</t>
  </si>
  <si>
    <t>Víziközmű és szennyvízközmű használati díjbevétel</t>
  </si>
  <si>
    <t>Működési bevételek</t>
  </si>
  <si>
    <t>Környezetállapot értékelés (talaj, víz, levegő)</t>
  </si>
  <si>
    <t>Általános tartalék</t>
  </si>
  <si>
    <t>Útigénybevételi díj</t>
  </si>
  <si>
    <t>Vásárok bevétele</t>
  </si>
  <si>
    <t>Munkáltatói kölcsön visszatérülése</t>
  </si>
  <si>
    <t>Mesebolt Bábszínház</t>
  </si>
  <si>
    <t>Önkormányzati napközis tábor megszervezése</t>
  </si>
  <si>
    <t>Tavak haszonbérbe adása</t>
  </si>
  <si>
    <t>SZOVA Zrt. Parkolásgazdálkodásból származó bevétel</t>
  </si>
  <si>
    <t>SZOVA Zrt. Parkolásgazdálkodásból származó ÁFA visszatérülés</t>
  </si>
  <si>
    <t>Vagyongazdálkodásból származó bevétel</t>
  </si>
  <si>
    <t>Nemzetiségi Önkormányzatok támogatása</t>
  </si>
  <si>
    <t xml:space="preserve">Polgárőr szervezetek támogatása </t>
  </si>
  <si>
    <t>Ungaresca Táncegyüttes</t>
  </si>
  <si>
    <t>Önkormányzati felhalmozási kiadások</t>
  </si>
  <si>
    <t>Költségvetési működési bevételek</t>
  </si>
  <si>
    <t xml:space="preserve">Önkormányzat </t>
  </si>
  <si>
    <t>MŰKÖDÉSI CÉLÚ TÁMOGATÁSOK ÁLLAMHÁZTARTÁSON BELÜLRŐL</t>
  </si>
  <si>
    <t>Egyéb kiadások</t>
  </si>
  <si>
    <t>Intézményi működési maradvány</t>
  </si>
  <si>
    <t>Szünidei gyermekétkeztetés</t>
  </si>
  <si>
    <t>MŰKÖDÉSI CÉLÚ ÁTVETT PÉNZESZKÖZÖK</t>
  </si>
  <si>
    <t>KÖZHATALMI BEVÉTELEK</t>
  </si>
  <si>
    <t>KÖZHATALMI BEVÉTELEK ÖSSZESEN</t>
  </si>
  <si>
    <t>KÖLTSÉGVETÉSI SZERVEK BEVÉTELEI</t>
  </si>
  <si>
    <t xml:space="preserve">Savaria Múzeum </t>
  </si>
  <si>
    <t xml:space="preserve">Berzsenyi Dániel könyvtár </t>
  </si>
  <si>
    <t>Zárt csapadék csatorna fenntartása</t>
  </si>
  <si>
    <t>MŰKÖDÉSI BEVÉTELEK ÖSSZESEN</t>
  </si>
  <si>
    <t>FELHALMOZÁSI BEVÉTELEK</t>
  </si>
  <si>
    <t>FELHALMOZÁSI BEVÉTELEK ÖSSZESEN</t>
  </si>
  <si>
    <t xml:space="preserve"> MŰKÖDÉSI BEVÉTELEK</t>
  </si>
  <si>
    <t>FELHALMZÁSI CÉLÚ TÁMOGATÁSOK ÁLLAMHÁZTARTÁSON BELÜLRŐL ÖSSZESEN</t>
  </si>
  <si>
    <t>FELHALMOZÁSI CÉLÚ ÁTVETT PÉNZESZKÖZÖK</t>
  </si>
  <si>
    <t>Vízközmű- és szennyvízközmű használati díj terhére végzett beruházás</t>
  </si>
  <si>
    <t>FELHALMOZÁSI CÉLÚ TÁMOGATÁSOK ÁLLAMHÁZTARTÁSON BELÜLRŐL</t>
  </si>
  <si>
    <t>Egyéb működési célú bevétel</t>
  </si>
  <si>
    <t>Szombathelyi Egészségügyi és Kulturális Intézmények GESZ</t>
  </si>
  <si>
    <t>Működési célú költségvetési támogatások és kiegészítő támogatások összesen:</t>
  </si>
  <si>
    <t>Elszámolásból származó bevételek összesen</t>
  </si>
  <si>
    <t>a.)</t>
  </si>
  <si>
    <t>b.)</t>
  </si>
  <si>
    <t>Elvonások és befizetések bevételei</t>
  </si>
  <si>
    <t>c.)</t>
  </si>
  <si>
    <t>MŰKÖDÉSI CÉLÚ ÁTVETT PÉNZESZKÖZÖK ÖSSZESEN:</t>
  </si>
  <si>
    <t>KÖLTSÉGVETÉSI SZERVEK MŰKÖDÉSI BEVÉTELEI ÖSSZESEN</t>
  </si>
  <si>
    <t xml:space="preserve">Önkormányzati oktatási kiadások összesen </t>
  </si>
  <si>
    <t xml:space="preserve">Kulturális kitüntetés díja, Év Civil Szervezete díja …. </t>
  </si>
  <si>
    <t>Szent Márton Esélyegyenlőségi Támogatási Program</t>
  </si>
  <si>
    <t>Vasi Honvéd Bajtársi Egyesület támogatása</t>
  </si>
  <si>
    <t>Illegális hulladéklerakás</t>
  </si>
  <si>
    <t>Út-híd fenntartási kiadások</t>
  </si>
  <si>
    <t>Központi támogatás elszámolás alapján</t>
  </si>
  <si>
    <t>Kulturális ágazat, média kiadásai</t>
  </si>
  <si>
    <t>II. Települési önkormányzatok egyes köznevelési feladatainak támogatása</t>
  </si>
  <si>
    <t>Szociális ágazati összevont pótlék</t>
  </si>
  <si>
    <t>Hátrányos Helyzetű Roma Fiatalokat Támogató Közhasznú Egyesület támogatása</t>
  </si>
  <si>
    <t>Vas Megyei Tudományos Ismeretterjesztő Egyesület támogatása - közművelődési megállapodás</t>
  </si>
  <si>
    <t>Önkormányzati tulajdonú területek kaszálása</t>
  </si>
  <si>
    <t>Kerékpárút fenntartás</t>
  </si>
  <si>
    <t>Nyilt árok tisztítás, árokrendezés (árvízvédelmi művek, berendezések karbantartása)</t>
  </si>
  <si>
    <t>Intézményi felújítások</t>
  </si>
  <si>
    <t>Működési célú maradvány - projektekhez</t>
  </si>
  <si>
    <t xml:space="preserve">Felhalmozási célú maradvány </t>
  </si>
  <si>
    <t>Felhalmozási célú maradvány - projektekhez</t>
  </si>
  <si>
    <t>HÁROFIT Közhasznú Egyesület - közfoglalkoztatás támogatása</t>
  </si>
  <si>
    <t>Egységes ügyiratkezelő szoftver az önkormányzat által működtetett intézményekben</t>
  </si>
  <si>
    <t>SZMJV Diákönkormányzat - rendezvények, programok, támogatások, egyéb kiadások</t>
  </si>
  <si>
    <t>Önkormányzati, egyéb más ágazathoz nem sorolható kiadások összesen</t>
  </si>
  <si>
    <t>Savaria Városfejlesztési Nonprofit Kft. támogatása</t>
  </si>
  <si>
    <t>Csaba úti felüljáró fenntartása, karbantartása</t>
  </si>
  <si>
    <t>FELHALMOZÁSI CÉLÚ BEVÉTELEK MINDÖSSZESEN</t>
  </si>
  <si>
    <t>Felhalmozási célú bevételek összesen :</t>
  </si>
  <si>
    <t>Felhalmozási célú kiadások összesen :</t>
  </si>
  <si>
    <t>Kiadások és finanszírozási műveletek összesen</t>
  </si>
  <si>
    <t>Bevételek és finanszírozási műveletek összesen</t>
  </si>
  <si>
    <t>I-XII.hó</t>
  </si>
  <si>
    <t>Óvoda Intézményi karbantartás</t>
  </si>
  <si>
    <t>Kátyúzás</t>
  </si>
  <si>
    <t>Kéményseprő ipari közszolgáltatás ellátásának támogatása</t>
  </si>
  <si>
    <t>MŰKÖDÉSI CÉLÚ TÁMOGATÁSOK ÁLLAMHÁZTARTÁSON BELÜLRŐL ÖSSZESEN (a.)+b.)+c.))</t>
  </si>
  <si>
    <t>Köznevelési GAMESZ</t>
  </si>
  <si>
    <t>OKTATÁSI MŰKÖDÉSI CÉLÚ KIADÁSOK ÖSSZESEN</t>
  </si>
  <si>
    <t>OKTATÁSI FELHALMOZÁSI CÉLÚ KIADÁSOK ÖSSZESEN</t>
  </si>
  <si>
    <t>OKTATÁSI ÁGAZAT KIADÁSAI MINDÖSSZESEN</t>
  </si>
  <si>
    <t>KULTURÁLIS INTÉZMÉNYEK FELHALMOZÁSI KIADÁSAI ÖSSZESEN</t>
  </si>
  <si>
    <t>KULTURÁLIS ÁGAZAT, MÉDAI KIADÁSAI MINDÖSSZESEN</t>
  </si>
  <si>
    <t>SZOCIÁLIS MŰKÖDÉSI CÉLÚ KIADÁSOK ÖSSZESEN</t>
  </si>
  <si>
    <t>SZOCIÁLIS ÁGAZAT KIADÁSAI MINDÖSSZESEN</t>
  </si>
  <si>
    <t>EGÉSZSÉGÜGYI MŰKÖDÉSI CÉLÚ KIADÁSOK ÖSSZESEN</t>
  </si>
  <si>
    <t>EGÉSZSÉGÜGYI FELHALMOZÁSI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</si>
  <si>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</si>
  <si>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</si>
  <si>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</si>
  <si>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EGYÉB, MÁS ÁGAZATHOZ NEM SOROLHATÓ INTÉZMÉNYEK ÉS FELADATOK MŰKÖDÉSI CÉLÚ KIADÁSAI ÖSSZESEN</t>
  </si>
  <si>
    <t>EGYÉB, MÁS ÁGAZATHOZ NEM SOROLHATÓ INTÉZMÉNYEK ÉS FELADATOK FELHALMOZÁSI CÉLÚ KIADÁSAI ÖSSZESEN</t>
  </si>
  <si>
    <t>EGYÉB, MÁS ÁGAZATHOZ NEM SOROLHATÓ INÉTZMÉNYEK ÉS FELADATOK KIADÁSAI MINDÖSSZESEN</t>
  </si>
  <si>
    <t>Lakás és helységüzemeltetés veszteségpótlás</t>
  </si>
  <si>
    <t>KOMMUNÁLIS, VÁROSÜZEMELTETÉSI ÉS KÖRNYEZETVÉDELMI KIADÁSOK MINDÖSSZESEN</t>
  </si>
  <si>
    <t>ÚT-HÍD FENNTARTÁSI KIADÁSOK MINDÖSSZESEN</t>
  </si>
  <si>
    <t>Hatósági díjak, egyéb kiadások, szakértői feladatok</t>
  </si>
  <si>
    <t xml:space="preserve">Gyermekvédelmi ágazat </t>
  </si>
  <si>
    <t>Egyéb más ágazathoz nem sorolható intézmények és feladatok</t>
  </si>
  <si>
    <t>Költségvetési szervek működési bevételei</t>
  </si>
  <si>
    <t>Költségvetési szervek felhalmozási bevételei</t>
  </si>
  <si>
    <t>Gyermekvédelmi ágazat</t>
  </si>
  <si>
    <t>Felhalmozási célú bevételek</t>
  </si>
  <si>
    <t>Egyéb, más ágazathoz nem sorolható intézmények összesen</t>
  </si>
  <si>
    <t>Kariatida tanulmányi támogatás rendszerének működtetése - "Szombathely Szent Márton városa" Gyebrovszki János Alapítvány</t>
  </si>
  <si>
    <t>Szombathelyi Egyházmegyei Karitász - Hársfa-ház Pszichiátriai- és Szenvedélybetegek Nappali Ellátója és Átmeneti Otthona, RÉV Szenvedélybeteg-segítő Szolgálat és Közösségi Gondozó</t>
  </si>
  <si>
    <t>Gyermekvédelmi ágazat kiadásai</t>
  </si>
  <si>
    <t>Közösségi Bérlakás Rendszer</t>
  </si>
  <si>
    <t>Egyéb lakásgazdálkodási és szociális kiadások</t>
  </si>
  <si>
    <t>Háziorvosi életpálya modell</t>
  </si>
  <si>
    <t>Bankköltség</t>
  </si>
  <si>
    <t>Bűnmegelőzési és katasztrófavédelmi kiadások</t>
  </si>
  <si>
    <t>ELTE támogatás</t>
  </si>
  <si>
    <t>Szent Márton plasztik kártya készítés</t>
  </si>
  <si>
    <t>Állatvédők Vasi Egyesülete és a Kutyamenhely Alapítvány által közösen működtetett állatmenhely fenntartási költségei, 1 fő alkalmazott bér és járulékainak költsége a Kutyamenhely Alapítvány részére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</si>
  <si>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</si>
  <si>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</si>
  <si>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Padkarendezés</t>
  </si>
  <si>
    <t>Szegélyek javítása, akadálymentesítés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</si>
  <si>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</si>
  <si>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</si>
  <si>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</si>
  <si>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Köztemetés költségeinek megtérítése más önkormányzatoktól</t>
  </si>
  <si>
    <t>Közösségi Bérlakás Rendszer lakbér bevétel</t>
  </si>
  <si>
    <t>Egyéb sportcélú kiadások, támogatások</t>
  </si>
  <si>
    <t>Cserkészház - bérleti díj támogatás - Boldogulás Ösvényein Alapítvány részére</t>
  </si>
  <si>
    <t>Tervezések hatósági díja lejáró engedélyekhez, egyéb díjak</t>
  </si>
  <si>
    <t>Előző évi maradvány terhére teljesíthető működési célú projekt kiadások</t>
  </si>
  <si>
    <t>Parkfenntartás - SZOMPARK Kft.</t>
  </si>
  <si>
    <t>Előző évi maradvány terhére teljesíthető felhalmozási célú projekt kiadások</t>
  </si>
  <si>
    <t>Önkormányzati nagyrendezvények</t>
  </si>
  <si>
    <t>Sport nagyrendezvények</t>
  </si>
  <si>
    <t>ELTE támogatás és gazdaságfejlesztés</t>
  </si>
  <si>
    <t>III. Települési önkormányzatok egyes szociális és gyermekjóléti feladatainak támogatás</t>
  </si>
  <si>
    <t>IV. Települési önkormányzatok gyermekétkeztetési feladatainak támogatása</t>
  </si>
  <si>
    <t>V. Települési önkormányzatok kulturális feladatainak támogatása</t>
  </si>
  <si>
    <t>Zeneművészeti szervek támogatása - Savaria Szimfónikus zenekar központi támogatása</t>
  </si>
  <si>
    <t>Savaria Városfejlesztési Kft. - tagi kölcsön visszatérülése</t>
  </si>
  <si>
    <t xml:space="preserve">KISZ Lakótelepért Egyesület </t>
  </si>
  <si>
    <t>Savaria Történelmi Karnevál Közhasznú Közalapítvány működési támogatása</t>
  </si>
  <si>
    <t>ÖSSZESEN (I.+II.+III.+IV.+V.)</t>
  </si>
  <si>
    <t>Helyi önkormányzatok kiegészítő támogatásai</t>
  </si>
  <si>
    <t>Helyi önkormányzatok kiegészítő támogatásai összesen</t>
  </si>
  <si>
    <t>Bursa Hungarica felsőoktatási ösztöndíj</t>
  </si>
  <si>
    <t>Biztosító térítése egyéb kártérítés, kötbér</t>
  </si>
  <si>
    <t>Vasutas Települések Szövetsége támogatás</t>
  </si>
  <si>
    <t>JUSTNature projekt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</si>
  <si>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</si>
  <si>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</si>
  <si>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PRENOR Kft. által bérelt önk.tulajdonban lévő ingatlan felújítása</t>
  </si>
  <si>
    <t>Könyvtári érdekeltségnövelő támogatás</t>
  </si>
  <si>
    <t>Termőföld bérbeadásából származó jövedelemadó</t>
  </si>
  <si>
    <t>KÖLTSÉGVETÉSI MŰKÖDÉSI BEVÉTELEK MINDÖSSZESEN</t>
  </si>
  <si>
    <t>Szombathelyi Sportközpont és Sportiskola Nonprofit Kft. támogatása</t>
  </si>
  <si>
    <t>vagyongazdálkodási kiadások (ingatlan kisajátítás, vásárlás) fordított áfa kiadás</t>
  </si>
  <si>
    <t>Települési önkormányzatok kulturális feladatainak támogatása</t>
  </si>
  <si>
    <t>Köznevelési feladatellátásra átadott vagyon ellenőrzése</t>
  </si>
  <si>
    <t>Óvodai ellátó rendszerben prognotizált munkaerő-hiány kezelése</t>
  </si>
  <si>
    <t>Egyéb kulturális rendezvények</t>
  </si>
  <si>
    <t>Aktív időskor Szombathelyen program</t>
  </si>
  <si>
    <t>Nemzetközi kapcsolatok</t>
  </si>
  <si>
    <t>Akadálymentesítési koncepció - szakmérnöki vélemények</t>
  </si>
  <si>
    <t>Vásárok, rendezvények, karácsonyi díszkivilágítás</t>
  </si>
  <si>
    <t>Állatvédők Vasi Egyesülete működési támogatás</t>
  </si>
  <si>
    <t>Továbbszámlázott költségek megtérítése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</si>
  <si>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</si>
  <si>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</si>
  <si>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</si>
  <si>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iSi Automotive Hungary Kft. támogatása a 3H jelű autóbusz járat működtetéséhez</t>
  </si>
  <si>
    <t>Veszélyhelyzet ideje alatt a szomszédos országban fennálló humanitárius katasztrófára tekintettel érkező személyek elhelyezésének támogatása (központi támogatásból)</t>
  </si>
  <si>
    <t>Fenntarthatósági és Klímapolitikai célok megvalósulása</t>
  </si>
  <si>
    <t>RRF-1.1.2-21-2021-0007 Demográfiai és köznevelési bölcsődei nevelés fejlesztése - Új bölcsőde építése Szombathely Szentkirályi városrészen</t>
  </si>
  <si>
    <t>Szombathelyi Nemzetiségi Nap</t>
  </si>
  <si>
    <t>Bűnmegelőzési és katasztrófavédelmi kiadások; egyéb kiadások, támogatások</t>
  </si>
  <si>
    <t>Településrendezési terv felülvizsgálata</t>
  </si>
  <si>
    <t>Szombathelyi Szabadidősport rendezvények</t>
  </si>
  <si>
    <t>FALCO KC Kft. Támogatása</t>
  </si>
  <si>
    <t>Önkormányzati sport kitüntetések</t>
  </si>
  <si>
    <t>Szombathelyi Pingvinek Jégkorong Klub támogatása</t>
  </si>
  <si>
    <t>Dobó SE támogatása</t>
  </si>
  <si>
    <t>Csapadékvíz elvezetés (üzemeltetés)</t>
  </si>
  <si>
    <t>Savaria Karnevál megrendezése, kulturális rendezvények, fesztiválok megrendezése (Savaria Turizmus Nkft., egyéb kiadások, stb.)</t>
  </si>
  <si>
    <t>Északi iparterület - közművesítések finanszírozása, fejlesztések finanszírozása, tanulmányterv készítése</t>
  </si>
  <si>
    <t>Berzsenyi Dániel Könyvtár</t>
  </si>
  <si>
    <t>Fonyódi gyermektábor</t>
  </si>
  <si>
    <t>Könyvkiadás</t>
  </si>
  <si>
    <t>SZOVA, Szompark, AGORA, Turizmus Kft, Sportközpont Kft közös raktározás</t>
  </si>
  <si>
    <t xml:space="preserve">Vasi Tekesportért Alapítvány </t>
  </si>
  <si>
    <t>Csatorna fedél javítások</t>
  </si>
  <si>
    <t>Laktanya terület út építési kötelezettség</t>
  </si>
  <si>
    <t>Egyéb rendezvények</t>
  </si>
  <si>
    <t>TOP Plusz 1.3.1.-00001 Fenntartható városfejlesztés</t>
  </si>
  <si>
    <t>INTERREG Europe OD4GROWTH pályázat</t>
  </si>
  <si>
    <t>Vas Vármegyei Markusovszky Egyetemi Oktatókórház (parkoló bérleti díj támogatás)</t>
  </si>
  <si>
    <t>Erdő és vadgazdálkodási költség</t>
  </si>
  <si>
    <t>JUSTNature projekt - fordított áfa</t>
  </si>
  <si>
    <t>ÖSSZESEN</t>
  </si>
  <si>
    <t>2024. évi útfelújítási program</t>
  </si>
  <si>
    <t>Kulturális ágazat, média</t>
  </si>
  <si>
    <t>Támogatások elszámolása államháztartáson kívülről</t>
  </si>
  <si>
    <t>Adventi vásár díszkivilágítás támogatása</t>
  </si>
  <si>
    <t>Országos tanulmányi versenyeken eredményesen szereplő diákok és tanáraik  jutalmazása</t>
  </si>
  <si>
    <t>Zanati Kulturális Egyesület</t>
  </si>
  <si>
    <t xml:space="preserve">Identitás program </t>
  </si>
  <si>
    <t xml:space="preserve">Mesebolt Bábszínház </t>
  </si>
  <si>
    <t>HÁROFIT Közhasznú Egyesület - Rászoruló családoknak nyútott tanévkezdési támogatás</t>
  </si>
  <si>
    <t>Alpokalja Nagycsaládos Egyesület Szombathely részére támogatás</t>
  </si>
  <si>
    <t>Jelzőlámpák üzemeltetése és cseréje</t>
  </si>
  <si>
    <t>Közvilágítási elemek karbantartása, kiegészítése</t>
  </si>
  <si>
    <t xml:space="preserve">1000 fa program </t>
  </si>
  <si>
    <t xml:space="preserve">Közvilágítás pénügyi lízing - kamat </t>
  </si>
  <si>
    <t>Horvát nemzetiségi nap támogatás</t>
  </si>
  <si>
    <t>Közszolgáltatási szerződés helyi közlekedés</t>
  </si>
  <si>
    <t>Nyugdíjas Bérlők Háza - használatba vételi díj visszafizetése</t>
  </si>
  <si>
    <t>Vas Vármegyei Katasztrófavédelmi Igazgatóság - Tűzoltóság támogatása</t>
  </si>
  <si>
    <t>Szombathelyi Kézilabda Klub és Akadémia támogatása</t>
  </si>
  <si>
    <t>SPORT ÁGAZAT KIADÁSAI MINDÖSSZESEN</t>
  </si>
  <si>
    <t>KözvilágÍtás díja</t>
  </si>
  <si>
    <t>Víz használati dij</t>
  </si>
  <si>
    <t>Közösségi közlekedés (buszmegállók kialakítása, leszálló szigetek helyreállítása, kialakítás)</t>
  </si>
  <si>
    <t>Erdei iskola utcai csapadékcsatorna építése</t>
  </si>
  <si>
    <t>Évközi tervezések, útfelújítás tervezések, egyéb tervezések</t>
  </si>
  <si>
    <t>ÖNKORMÁNYZATI FELHALMOZÁSI KIADÁSOK MINDÖSSZESEN</t>
  </si>
  <si>
    <t>Víznyelők tisztítása</t>
  </si>
  <si>
    <t>City-to-city Exchanges (Városok közötti csereprogram) projekt</t>
  </si>
  <si>
    <t>Ingatlancseréből származó bevétel</t>
  </si>
  <si>
    <t xml:space="preserve">Szombathelyi Szépítő Egyesület támogatása </t>
  </si>
  <si>
    <t>Japán nap támogatása</t>
  </si>
  <si>
    <t>Szociális térkép</t>
  </si>
  <si>
    <t>Fekete István Állatvédő Egyesület támogatása</t>
  </si>
  <si>
    <t>Ekata rendszer havi díj</t>
  </si>
  <si>
    <t>VDKSZ  működtetés</t>
  </si>
  <si>
    <t>Szombathelypont működtetés</t>
  </si>
  <si>
    <t xml:space="preserve">Just Climate projekt </t>
  </si>
  <si>
    <t>Olad Városrészért Egyesület</t>
  </si>
  <si>
    <t>2. Önkormányzati gazdasági társaságok összesen</t>
  </si>
  <si>
    <t>I. VÁROSI KULTURÁLIS INTÉZMÉNYEK ÉS ÖNYKORMÁNYZATI GAZDASÁGI TÁRSASÁGOK 
MINDÖSSZESEN (1+2)</t>
  </si>
  <si>
    <t>3. Kulturális és civil szervezetek támogatása összesen</t>
  </si>
  <si>
    <t>4. Kulturális és civil alap</t>
  </si>
  <si>
    <t>II. KULTURÁLIS ÉS CIVIL SZERVEZETEK TÁMOGATÁSA ÉS KULTURÁLIS ÉS CIVIL ALAP 
MINDÖSSZESEN (3+4)</t>
  </si>
  <si>
    <t>5. Városi nagyrendezvények</t>
  </si>
  <si>
    <t>6. Egyéb kulturális rendezvények, programok összesen</t>
  </si>
  <si>
    <t>III. KULTURÁLIS RENDEZVÉNYEK MINDÖSSZESEN (5+6)</t>
  </si>
  <si>
    <t>Vízközmű és szennyvízközmű beruházáshoz kapcsolódóan - gördülő fejlesztési tervmódosítás költségei</t>
  </si>
  <si>
    <t>Zanati városrész útjainak felújításához (Áfonya u., Eper u., Korpás u., Fenyő u.)terület vásárlás, járda felújítás, csapadékvíz szikkasztó medence átalakítása, vízjogi és üzemeltetési engedélyek stb</t>
  </si>
  <si>
    <t xml:space="preserve">Nyugat-dunántúli Regionális Hulladékgazdálkodási Önkormányzati Társulástól támogatás </t>
  </si>
  <si>
    <t>Interreg CE Program - Green LaMiS projekt</t>
  </si>
  <si>
    <t>Pálos Károly Szociális Szolgáltató Központ és Gyermekjóléti Szolgálat</t>
  </si>
  <si>
    <t>Szombathelyi Egyesített Bölcsődei Intézmény</t>
  </si>
  <si>
    <t>Megyei Jogú Városok Szövetsége támogatás</t>
  </si>
  <si>
    <t>Nyugat-dunántúli Regionális Hulladékgazdálkodási Önkormányzati Társulás működési hozzájárulás</t>
  </si>
  <si>
    <t>Fenntartható Energia és Klímavédelmi Cselekvési Terv felülvizsgálata (SECAP)</t>
  </si>
  <si>
    <t>PRENOR Kft. Tagi kölcsön, bérleti díj után járó kamatbevétel</t>
  </si>
  <si>
    <t xml:space="preserve">Vásárcsarnok </t>
  </si>
  <si>
    <t>Projektek - önerő, hozzájárulás, előkészítés, egyéb beruházási feladatok</t>
  </si>
  <si>
    <t xml:space="preserve">Pedagógus kitüntetések </t>
  </si>
  <si>
    <t>Szalézi Rendház Szombathely támogatása (nyári napközis tábor)</t>
  </si>
  <si>
    <t>Prenor tagi kölcsön nyújtása</t>
  </si>
  <si>
    <t>Magyar-magyar közösségi tevékenységek támogatása - Közös értékek találkozása Vajdahunyadon projekt</t>
  </si>
  <si>
    <t>Kiszámlázott és befizetendő áfa bevétel (PRENOR Kft. Bérleti díj után)</t>
  </si>
  <si>
    <t>CERV-2023-CITIZENS-TOWN-TT projekt - Testre szabott energia</t>
  </si>
  <si>
    <t>Horizon Europe WeGenerate ("Társ város") projekt</t>
  </si>
  <si>
    <t>Pécsi Tudományegyetem támogatása</t>
  </si>
  <si>
    <t>HVSE támogatása</t>
  </si>
  <si>
    <t>Szombathelyi Egészségügyi és Kulturális intézmények GESZ</t>
  </si>
  <si>
    <t>Kötváll: 120.750 eFt</t>
  </si>
  <si>
    <t>Egyéb finanszírozási célú bevétel a 2025. évi költségvetési támogatási előleghez</t>
  </si>
  <si>
    <t>Egyéb finanszírozási célú kiadás - 2025. évi költségvetési támogatási előleg</t>
  </si>
  <si>
    <t>Energiaügyi Minisztérium - "Zöld óvoda" program támogatás</t>
  </si>
  <si>
    <t>Egyéb különféle működési célú bevételek</t>
  </si>
  <si>
    <t>Interreg CE Program - Green LaMiS projekt - ERFA támogatás</t>
  </si>
  <si>
    <t>Szociális Szolgáltatók Közhasznú Egyesület részére támogatás (rászorulók karácsonyi ajándékozása)</t>
  </si>
  <si>
    <t xml:space="preserve">INTERREG Europe OD4GROWTH pályázat </t>
  </si>
  <si>
    <t>Halaldás 1919 Labdarúgó Kft. támogatása</t>
  </si>
  <si>
    <t>2025.évi</t>
  </si>
  <si>
    <t>Tartalék - városi cégek, intézmények, szolgáltatások működésére</t>
  </si>
  <si>
    <t>Tartalék - a városi kistelepülési célú könyvtárakat megillető kiegészítő állami támogatás - 
kötött felhasználású támogatás a Berzsenyi D. könyvtár részére</t>
  </si>
  <si>
    <t xml:space="preserve">Tartalék - kulturális intézményekben és cégekben foglalkoztatottak jogszabály szerinti 
bérjellegű kiadásaira kapott állami támogatás tartaléka </t>
  </si>
  <si>
    <t>Vármegyeszékhely megyei jogú városok kulturális feladatainak támogatása</t>
  </si>
  <si>
    <t>Vármegyei hatókörű városi könyvtár kistelepülési könyvtári célú kiegészítő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</si>
  <si>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</si>
  <si>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</si>
  <si>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ELAMEN Zrt.bérleti díj</t>
  </si>
  <si>
    <t>Szombathely, Akacs M. u. 7. épület utáni bérleti díjbevétel</t>
  </si>
  <si>
    <t xml:space="preserve">1. Városi kulturális intézmények </t>
  </si>
  <si>
    <t>Savaria Szimfonikus Zenekar</t>
  </si>
  <si>
    <t>Savaria Múzeum</t>
  </si>
  <si>
    <t>1. Városi kulturális intézmények működési kiadásai össezesen</t>
  </si>
  <si>
    <t>2. Önkormányzati gazdasági társaságok</t>
  </si>
  <si>
    <t>Weöres Sándor Színház Nkft. összesen</t>
  </si>
  <si>
    <t>Savaria Turizmus Nkft támogatása</t>
  </si>
  <si>
    <t>AGORA Savaria Kulturális és Médiaközpont Nkft. támogatása</t>
  </si>
  <si>
    <t xml:space="preserve">Derkovits Városrészért Kulturális és Szociális Egyesület </t>
  </si>
  <si>
    <t>6. Egyéb kulturális rendezvények, programok</t>
  </si>
  <si>
    <t>EGYÉB KULTURÁLIS KIADÁSOK</t>
  </si>
  <si>
    <t xml:space="preserve">IV. EGYÉB KULTURÁLIS KIADÁSOK MINDÖSSSZESEN </t>
  </si>
  <si>
    <t>VI. KULTURÁLIS ÁGAZAT MŰKÖDÉSI CÉLÚ KIADÁSOK MINDÖSSZESEN (I+V)</t>
  </si>
  <si>
    <t>V. ÖNKORMÁNYZATI KULTURÁLIS KIADÁSOK MINDÖSSZESEN (II+III+IV)</t>
  </si>
  <si>
    <t>3. Kulturális és civil szervezetek támogatása</t>
  </si>
  <si>
    <t>Önkormányzati szociális ágazati kiadások összesen</t>
  </si>
  <si>
    <t xml:space="preserve">Szombathelyi Egyesített Bölcsődei Intézmény </t>
  </si>
  <si>
    <t>Bölcsődék karbantartási kiadásai, játszótéri eszközök beszerzése, cseréje</t>
  </si>
  <si>
    <t>Szombathely Városi Vásárcsarnok</t>
  </si>
  <si>
    <t>Önkormányzat működéséhez kapcsolódó, jogszabályon alapuló kiadások, egyéb kiadások</t>
  </si>
  <si>
    <t>VASIVÍZ ZRT. - Szombathelyi Fedett Uszoda és Termálfürdő működési támogatása</t>
  </si>
  <si>
    <t>Közlekedési infrastruktúra fejlesztése, fenntartása</t>
  </si>
  <si>
    <t>Sárdi-éri iparterületen megvalósuló útfejlesztéshez kapcsolódó ingatlan kisajátítás kiadásai</t>
  </si>
  <si>
    <t>Bartók Béla körút híd cél és fővizsgálat</t>
  </si>
  <si>
    <t>Polgármesteri Hivatal épület felújítása I. ütem - balesetveszély elhárítása</t>
  </si>
  <si>
    <t>Savaria Szimfónikus Zenekar</t>
  </si>
  <si>
    <t>Haladás 1919 Kft. Üzletrész értékesítés</t>
  </si>
  <si>
    <t>Hulladékkezelési díj</t>
  </si>
  <si>
    <t>Pénzügyi megállapodás a MÁV Személyszállítási Zrt-vel - törlesztő részlet</t>
  </si>
  <si>
    <t>Pénzügyi megállapodás a MÁV Személyszállítási Zrt-vel - járulékos kiadások</t>
  </si>
  <si>
    <t>Ingatlancsere</t>
  </si>
  <si>
    <t>NetZeroCities Tanulóvárosi projekt</t>
  </si>
  <si>
    <t>Energiaügyi Minisztérium "Zöld Óvoda" program támogatás (Mocorgó Óvoda)</t>
  </si>
  <si>
    <t>Települési önkormányzatok kulturális feladatainak bérjellegű támogatása a 682/2021. (XII.6.) korm.rend.-hez kapcsolódó 20% -  központi támogatás</t>
  </si>
  <si>
    <t>Önkormányzati konferenciák, rendezvények, fogadások</t>
  </si>
  <si>
    <t>Egységes ügyiratkezelő szoftver az önkormányzat által működtetett intézményekben - fordított áfa kiadás</t>
  </si>
  <si>
    <t>Környezetvédelmi kiadások összesen</t>
  </si>
  <si>
    <t>Pénzeszközátadás Dob.u. felújításához</t>
  </si>
  <si>
    <t>Helyi iparűzési adóbevétel többlete alapján meghatározott fitetési kötelezettség</t>
  </si>
  <si>
    <t>Intranet alapú városi hálózat</t>
  </si>
  <si>
    <t>TOP PLUSZ.1.3.2-23-00001 Parkolási infrastruktúra- és zöldfelületfejlesztés a Derkovits városrészen</t>
  </si>
  <si>
    <t>Településképi bírság</t>
  </si>
  <si>
    <t>Pénzeszköz átadás a Nyugat-dunántúli Vízügyi Igazgatóság részére  - Pap árok mederrendezés</t>
  </si>
  <si>
    <t>TOP PLUSZ 1.3.2-23-SH1-2025-00007 Zöldfelületfejlesztés Szombathelyen</t>
  </si>
  <si>
    <t>TOP PLUSZ 1.3.2-23-SH1-2025-00004 Hunyadi út felújítása Szombathelyen I. ütem</t>
  </si>
  <si>
    <t>TOP PLUSZ 1.3.2-23-SH1-2025-00005 Kodály Zoltán utca felújítása Szombathelyen</t>
  </si>
  <si>
    <t>TOP PLUSZ 1.3.2-23-SH1-2025-00012 Belterületi úthálózat fejlesztése</t>
  </si>
  <si>
    <t>TOP PLUSZ 1.3.2-23-SH1-2025-00002 Kerékpárosbarát fejlesztések a déli városrészen</t>
  </si>
  <si>
    <t>TOP PLUSZ 1.3.2-23-SH1-2025-00013 Közúti infrastruktúra fejlesztése</t>
  </si>
  <si>
    <t>TOP PLUSZ 1.3.2-23-SH1-2025-00009 Belterületi utak fejlesztése Szombathelyen</t>
  </si>
  <si>
    <t>TOP PLUSZ 1.3.2-23-SH1-2025-00003 Kerékpárosbarát fejlesztések Szombathelyen</t>
  </si>
  <si>
    <t>TOP PLUSZ 3.4.1-23-SH1-2024-00003 Bölcsődék fejlesztése Szombathelyen</t>
  </si>
  <si>
    <t>TOP PLUSZ 3.4.1-23-SH1-2024-00006 Gyermekjóléti és szociális alapszolgáltatások fejlesztése</t>
  </si>
  <si>
    <t>TOP PLUSZ 3.4.1-23-SH1-2024-00005 Óvoda fejlesztések Szombathelyen</t>
  </si>
  <si>
    <t>TOP PLUSZ 3.4.1-23-SH1-2024-00004 Szociális alapszolgáltatások minőségi fejlesztése</t>
  </si>
  <si>
    <t>TOP PLUSZ 3.4.1-23-SH1-2024-00001 Szociális alapszolgáltatások fejlesztése</t>
  </si>
  <si>
    <t>TOP PLUSZ 3.4.1-23-SH1-2024-00002 Egészségügyi alapellátás fejlesztése</t>
  </si>
  <si>
    <t>TOP PLUSZ 6.2.1-23-SH1-2024-00001 Sárdi-ér iparterület fejlesztése, kivezető út építése</t>
  </si>
  <si>
    <t>TOP PLUSZ 1.3.2-23-SH1-2025-00014 Bartók Béla körút és híd felújítása</t>
  </si>
  <si>
    <t>TOP PLUSZ 1.3.2-23-SH1-2025-00010 Belterületi utak korszerűsítése</t>
  </si>
  <si>
    <t>Versenyképes Járások Program</t>
  </si>
  <si>
    <t xml:space="preserve">Közösségi közlekedés fejlesztése és fenntartása </t>
  </si>
  <si>
    <t xml:space="preserve">Minőségi közétkeztetés biztosítása </t>
  </si>
  <si>
    <t xml:space="preserve">Szombathelyi Fedett Uszoda és Termálfürdő fejlesztése és fenntartása </t>
  </si>
  <si>
    <t>Hulladékgazdálkodási feladatok ellátásához kapcsolódó önkormányatot megillető pénzügyi juttatás (MOHU-tól)</t>
  </si>
  <si>
    <t>Ingatlan cseréből származó áfa bevétel</t>
  </si>
  <si>
    <t>Alpok Energia Kereskedelmi és Szolgáltató Kft. Támogatása</t>
  </si>
  <si>
    <t>TOP – PLUSZ -3.4.1-23-SH1-2024-00001 – Szociális alapszolgáltatások fejlesztése</t>
  </si>
  <si>
    <t>TOP – PLUSZ -6.2.1-23-SH1-2024-00001 – Sárdi-éri iparterület fejlesztése, kivezető út építése</t>
  </si>
  <si>
    <t>TOP – PLUSZ -3.4.1-23-SH1-2024-00002 – Egészségügyi alapellátás fejlesztése</t>
  </si>
  <si>
    <t>TOP – PLUSZ -3.4.1-23-SH1-2024-00006 – Gyermekjóléti és szociális alapszolgáltatások fejlesztése</t>
  </si>
  <si>
    <t>TOP – PLUSZ -3.4.1-23-SH1-2024-00005 – Óvoda fejlesztések Szombathelyen</t>
  </si>
  <si>
    <t>TOP – PLUSZ -3.4.1-23-SH1-2024-00004 – Szociális alapszolgáltatások minőségi fejlesztése</t>
  </si>
  <si>
    <t>TOP – PLUSZ -1.3.2-23-SH1-2025-00013 – Közúti infrastruktúra fejlesztése</t>
  </si>
  <si>
    <t>TOP – PLUSZ -1.3.2-23-SH1-2025-00010 – Belterületi utak korszerűsítése</t>
  </si>
  <si>
    <t>TOP – PLUSZ -1.3.2-23-SH1-2025-00002 – Kerékpárosbarát fejlesztések a déli városrészen</t>
  </si>
  <si>
    <t>TOP – PLUSZ -1.3.2-23-SH1-2025-00004 – Hunyadi út felújítása Szombathelyen I.ütem</t>
  </si>
  <si>
    <t>TOP – PLUSZ -3.4.1-23-SH1-2024-00003 – Bölcsödék fejlesztése Szombathelyen</t>
  </si>
  <si>
    <t>TOP – PLUSZ -1.3.2-23-SH1-2025-00001 – Parkolási infrastruktúra- és zöldfejlesztés a Derkovits városrészen</t>
  </si>
  <si>
    <t>TOP – PLUSZ -1.3.2-23-SH1-2025-00008 –Hunyadi utca felújítása Szombathelyen II.ütem</t>
  </si>
  <si>
    <t>TOP – PLUSZ -1.3.2-23-SH1-2025-00012 –Belterületi úthálózat fejlesztése</t>
  </si>
  <si>
    <t>TOP – PLUSZ -1.3.2-23-SH1-2025-00011 –Markusovszky L. u. felújítása</t>
  </si>
  <si>
    <t>Széll K. u. 51. sz. térfigyelő kamera telepítéséhez társasházak hozzájárulása</t>
  </si>
  <si>
    <t xml:space="preserve">Közösségi Bérlakás Rendszert népszerűsítő kampány                            </t>
  </si>
  <si>
    <t>Sárdi-éri iparterületen megvalósuló útfejlesztéshez kapcsolódó ingatlan kisajátítás kiadásai - fordított áfa</t>
  </si>
  <si>
    <t>Széll K. u. 51. sz. térfigyelő kamera telepítése</t>
  </si>
  <si>
    <t>TOP PLUSZ 1.3.2-23-SH1-2025-00008 Hunyadi utca felújítása Szombathelyen II. ütem</t>
  </si>
  <si>
    <t>Személyi juttatások</t>
  </si>
  <si>
    <t>Dologi kiadások</t>
  </si>
  <si>
    <t>Felújítások</t>
  </si>
  <si>
    <t>Nyugdíjas Bérlők Háza befizetés</t>
  </si>
  <si>
    <t>TOP PLUSZ 1.3.2-23-SH1-2025-00011 Markusovszky L. u. felújítása</t>
  </si>
  <si>
    <t>Kálvária utca közműkivitelezés utáni helyreállítása megállapodás alapján</t>
  </si>
  <si>
    <t>Térfigyelő kamerarendszer tárhely bővítés</t>
  </si>
  <si>
    <t>TOP – PLUSZ -1.3.2-23-SH1-2025-00005 – Kodály Zoltán utca felújítása Szombathelyen</t>
  </si>
  <si>
    <t>TOP – PLUSZ -1.3.2-23-SH1-2025-00009 - Belterületi utak fejlesztése Szombathelyen</t>
  </si>
  <si>
    <t>TOP – PLUSZ -1.3.2-23-SH1-2025-00003 - Kerékpárosbarát fejlesztések Szombathelyen</t>
  </si>
  <si>
    <t>TOP – PLUSZ -1.3.2-23-SH1-2025-00006 -  Belterületi útfelújítások</t>
  </si>
  <si>
    <t>Egyéb finanszírozási célú bevétel a 2026. évi költségvetési támogatási előleghez</t>
  </si>
  <si>
    <t>Forgalomszámláló szenzorok beszerzése és üzemeltetése</t>
  </si>
  <si>
    <t>Prenor Kft. bérleti díj megtérítése 2024. évre</t>
  </si>
  <si>
    <t>EUI (Európai Települési Kezdeményezés) Peer Review projekt</t>
  </si>
  <si>
    <t>Interreg Austria-Hungary NextRegion projekt - támogatás</t>
  </si>
  <si>
    <t>TOP Plusz-3.2.1-23-SH1-2025-00001 Közösségfejlesztés Szombathelyen</t>
  </si>
  <si>
    <t>TOP Plusz-3.2.1-23-SH1-2025-00003 Identitáserősítő folyamatok támogatása, programok megvalósítása</t>
  </si>
  <si>
    <t>TOP Plusz-3.2.1-23-SH1-2025-00002 Helyi humán fejlesztéseket célzó programok megvalósítása</t>
  </si>
  <si>
    <t>TOP – PLUSZ -1.3.2-23-SH1-2025-00007 - Zöldfelületfejlesztés Szombathelyen</t>
  </si>
  <si>
    <t>TOP – PLUSZ -1.3.2-23-SH1-2025-00014 - Bartók B.krt. híd felújítása</t>
  </si>
  <si>
    <t xml:space="preserve">Apáczai Csere János Alapítvány támogatása </t>
  </si>
  <si>
    <t>Interreg Austria-Hungary NextRegion projekt támogatás</t>
  </si>
  <si>
    <t>Interreg Austria-Hungary NextRegion projekt hozzájárulás</t>
  </si>
  <si>
    <t>Zárt csapadék csatorna fenntartása - fordított áfa kiadás</t>
  </si>
  <si>
    <t>Parkoló kialakítása</t>
  </si>
  <si>
    <t>Polgármesteri Hivatal épület felújítása I. ütem - balesetveszély elhárítása - fordított áfa</t>
  </si>
  <si>
    <t>Zanati városrész útjainak felújításához (Áfonya u., Eper u., Korpás u., Fenyő u.)terület vásárlás, járda felújítás, csapadékvíz szikkasztó medence átalakítása, vízjogi és üzemeltetési engedélyek stb - fordított áfa kiadás</t>
  </si>
  <si>
    <t>TOP – PLUSZ -1.3.2-23-SH1-2025-00006 - Belterületi útfelújítások</t>
  </si>
  <si>
    <t xml:space="preserve">Tartalék - önkormányzati szociális bérlakás értékesítéséből származó bevételből </t>
  </si>
  <si>
    <t>Tartalék a 2026. évi költségvetéshez</t>
  </si>
  <si>
    <t>Egyéb finanszírozási célú kiadás - 2026. évi költségvetési támogatási előleg</t>
  </si>
  <si>
    <t>2026. év</t>
  </si>
  <si>
    <t>Egyéb finanszírozási célú bevétel - Önkormányzati Magyar 
Államkötvény visszaváltása</t>
  </si>
  <si>
    <t>Egyéb finanszírozási célú kiadás - Önkormányzati Magyar 
Államkötvény vásárlása</t>
  </si>
  <si>
    <t>Finanszírozási műveletek bevétele összesen</t>
  </si>
  <si>
    <t>Finanszírozási műveletek kiadása összesen</t>
  </si>
  <si>
    <t>Települési önkormányzatok kulturális feladatainak támogatásai összesen</t>
  </si>
  <si>
    <t>Támogatások elszámolása államháztartáson belülről</t>
  </si>
  <si>
    <t>Szent Márton kártya értékesítés</t>
  </si>
  <si>
    <t>Önkormányzat - lekötött Önkormányzati Magyar Államkötvény után</t>
  </si>
  <si>
    <t>Szombathelyi Zsidó Hitközségtől kapott támogatása</t>
  </si>
  <si>
    <t xml:space="preserve">INTERREG VI-A AT-HU 0200115 program - Közös drogprevenciós képzési program megvalósítása az osztrák-magyar határtérségben  </t>
  </si>
  <si>
    <t>Bloomsday fesztivál támogatása</t>
  </si>
  <si>
    <t>Vas megyei Szakképzési Centrum működési hozzájárulás</t>
  </si>
  <si>
    <t>ÖNKORMÁNYZATI KULTURÁLIS KIADÁSOK</t>
  </si>
  <si>
    <t>Joskar-Ola Alapítvány</t>
  </si>
  <si>
    <t>Vas Vármegye és Szombathely Megyei Jogú Város Nyugdíjas Szövetsége támogatása</t>
  </si>
  <si>
    <t>Fáklyavivők Egyesülete támogatás - Szombathelyi Alkotótábor megrendezése</t>
  </si>
  <si>
    <t>Önkormányzati szociális ágazati kiadások</t>
  </si>
  <si>
    <t>"Szombathely Szent Márton városa"  Gyebrovszki János Alapítvány támogatása</t>
  </si>
  <si>
    <t>SZOCIÁLIS FELHALMOZÁSI CÉLÚ KIADÁSOK ÖSSZESEN</t>
  </si>
  <si>
    <t xml:space="preserve">Önkormányzati egészségügyi ágazati kiadásai </t>
  </si>
  <si>
    <t>Szombathely, a segítés városa program</t>
  </si>
  <si>
    <t>Önkormányzati egészségügyi ágazati kiadások összesen</t>
  </si>
  <si>
    <t xml:space="preserve">Önkormányzati gyermekvédelmi ágazati kiadások </t>
  </si>
  <si>
    <t>Önkormányzati gyermekvédelmi ágazati kiadások összesen</t>
  </si>
  <si>
    <t>GYERMEKVÉDELMI FELHALMOZÁSI CÉLÚ KIADÁSOK ÖSSZESEN</t>
  </si>
  <si>
    <t>Megállapodás alapján helyközi autóbuszjáratok helyi tarifával történő igénybevétele - Szombathely, Petőfi telep</t>
  </si>
  <si>
    <t>Szolidaritási hozzájárulás</t>
  </si>
  <si>
    <t>Önkormányzati Magyar Államkötvény vásárlása - névértéken kívüli felhalmozott kamat</t>
  </si>
  <si>
    <t>Állami és önkormányzati adatbázisok használati, tovább vezetési, karbantartási 
és szolgáltatási díja</t>
  </si>
  <si>
    <t>Állami és önkormányzati adatbázisok használati, tovább vezetési, karbantartási 
és szolgáltatási díja - fordított áfa kiadás</t>
  </si>
  <si>
    <t>Önkormányzati pavilonok tárolása, felújítása</t>
  </si>
  <si>
    <t>TOP Plusz 1.3.1.-00001 Fenntartható városfejlesztés - hozzájárulás</t>
  </si>
  <si>
    <t>INTERREG VI-A AT-HU program - Közös drogprevenciós képzési program kialakítása és megvalósítása az osztrák-magyar határtérségben  - támogatás és hozzájárulás</t>
  </si>
  <si>
    <t>Viktória Football Club támogatása</t>
  </si>
  <si>
    <t>Települési hulladékkezelés és köztisztasági tevékenység, síkosság mentesítés</t>
  </si>
  <si>
    <t>Önkormányzati szociális bérlakás értékesítés</t>
  </si>
  <si>
    <t>Felhalmozáci célú pénzeszköz átvétel az MVM Zrt-től a Kálvária utca közműkivitelezés utáni helyreállítás céljából megállapodás alapján</t>
  </si>
  <si>
    <t xml:space="preserve">Söpte Önkormányzatának járó juttatás SZMJV önkormányzati területek után </t>
  </si>
  <si>
    <t>Hajdú utca burkolat javítás, felújítása</t>
  </si>
  <si>
    <t xml:space="preserve">Ernuszt kripta felújításához felmérés és értékleltár készítés </t>
  </si>
  <si>
    <t>I. Települési önkormányzatok működésének általános támogatása</t>
  </si>
  <si>
    <t xml:space="preserve">INTERREG VI-A AT-HU 0200115 program - Közös drogprevenció képzési program és megvalósítása az osztrák-magyar határtérségben  </t>
  </si>
  <si>
    <t>Szombathelyi Köznevelési Gamesz</t>
  </si>
  <si>
    <t>Mesebolt Bábszínház összesen</t>
  </si>
  <si>
    <t>Savaria Szimfonikus Zenekar összesen</t>
  </si>
  <si>
    <t>Berzsenyi Dániel Könyvtár összesen</t>
  </si>
  <si>
    <t>Savaria Múzeum összesen</t>
  </si>
  <si>
    <t xml:space="preserve">Fogyatékossággal Élőket és Hajléktalanokat Ellátó Közhasznú Nkft. támogatása </t>
  </si>
  <si>
    <t>Fogyatékossággal Élőket és Hajléktalanokat Ellátó Közhasznú Nkft. támogatása (célja: tűzifa vásárlás)</t>
  </si>
  <si>
    <t>Lakás bérleti díj támogatás</t>
  </si>
  <si>
    <t>Térfigyelő kamerarendszer üzemeltetése és  adatátviteli hálózat üzemeltetése</t>
  </si>
  <si>
    <t>Szent Márton Smartcity városkártya és portálrendszer üzemeltetése</t>
  </si>
  <si>
    <t>Szombathelyi Szabadidősport Szövetség támogatása - Városi Kispályás Labdarúgó Bajnokság, Városi Tekebajnokság, Nyári lábtenisz bajnokság, Kispályás labdarúgó bajnokság</t>
  </si>
  <si>
    <t>6.</t>
  </si>
  <si>
    <t>Szombathely Megyei Jogú Város Önkormányzata</t>
  </si>
  <si>
    <t>BEVÉTELEK</t>
  </si>
  <si>
    <t xml:space="preserve">Költségvetési </t>
  </si>
  <si>
    <t>Önkormányzat</t>
  </si>
  <si>
    <t>Mindösszesen</t>
  </si>
  <si>
    <t>KIADÁSOK</t>
  </si>
  <si>
    <t>szervek bevételei</t>
  </si>
  <si>
    <t>bevételei</t>
  </si>
  <si>
    <t>bevételek</t>
  </si>
  <si>
    <t>szervek kiadásai</t>
  </si>
  <si>
    <t>kiadásai</t>
  </si>
  <si>
    <t>kiadások</t>
  </si>
  <si>
    <t xml:space="preserve">KÖLTSÉGVETÉSI BEVÉTELEK </t>
  </si>
  <si>
    <t>KÖLTSÉGVETÉSI KIADÁSOK</t>
  </si>
  <si>
    <t>B1</t>
  </si>
  <si>
    <t>Működési célú támogatások államháztartáson belülről</t>
  </si>
  <si>
    <t>K1</t>
  </si>
  <si>
    <t>B3</t>
  </si>
  <si>
    <t>K2</t>
  </si>
  <si>
    <t>Munkaadókat terhelő járulékok és szociális hozzájárulási adó</t>
  </si>
  <si>
    <t>B4</t>
  </si>
  <si>
    <t>Működési bevétel</t>
  </si>
  <si>
    <t>K3</t>
  </si>
  <si>
    <t>B6</t>
  </si>
  <si>
    <t>K4</t>
  </si>
  <si>
    <t>Ellátottak pénzbeli juttatásai</t>
  </si>
  <si>
    <t>K5</t>
  </si>
  <si>
    <t>Egyéb működési célú kiadások</t>
  </si>
  <si>
    <t>Működési bevételek összesen</t>
  </si>
  <si>
    <t>Működési kiadások összesen</t>
  </si>
  <si>
    <t>*</t>
  </si>
  <si>
    <t>B2</t>
  </si>
  <si>
    <t>K6</t>
  </si>
  <si>
    <t>B5</t>
  </si>
  <si>
    <t>K7</t>
  </si>
  <si>
    <t>B7</t>
  </si>
  <si>
    <t>Felhalmozási célú átvett pénzeszközök</t>
  </si>
  <si>
    <t>K8</t>
  </si>
  <si>
    <t>Egyéb felhalmozási célú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</si>
  <si>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</si>
  <si>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</si>
  <si>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</si>
  <si>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</si>
  <si>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B8</t>
  </si>
  <si>
    <t>Finanszírozási bevételek</t>
  </si>
  <si>
    <t>K9</t>
  </si>
  <si>
    <t>Finanszírozási kiadások</t>
  </si>
  <si>
    <t>MINDÖSSZESEN BEVÉTELEK</t>
  </si>
  <si>
    <t>MINDÖSSZESEN KIADÁSOK</t>
  </si>
  <si>
    <r>
      <rPr>
        <sz val="18"/>
        <color theme="1"/>
        <rFont val="Arial CE"/>
        <charset val="238"/>
      </rPr>
      <t>*</t>
    </r>
    <r>
      <rPr>
        <sz val="12"/>
        <color theme="1"/>
        <rFont val="Arial CE"/>
        <family val="2"/>
        <charset val="238"/>
      </rPr>
      <t xml:space="preserve"> Az Európai Uniós fejlesztési projektek bevételi és kiadási számviteli elszámolása a  könyvekben működési és felhalmozási főkönyvi bontásban szerepel mind kiadási mind bevételi oldalon az 1. melléklet szerint. Annak érdekében, hogy a projektek teljes körű költségvetése áttekinthető, átlátható legyen, a rendelet többi mellékleteiben a működési és felhalmozási tételek nem kerültek szétbontásra. Ez magyarázza az eltérést a 2. melléklethez képest.</t>
    </r>
  </si>
  <si>
    <t>Nyitó pénzkészlet</t>
  </si>
  <si>
    <t>+ Bevételek 1.sz.melléklet szerinti összege</t>
  </si>
  <si>
    <t>+-Sajátos elszámolások</t>
  </si>
  <si>
    <t>-2023.évi pénzmaradvány (pénzforgalom nélküli bevétel)</t>
  </si>
  <si>
    <t>+Egyéb pénzeszközök és sajátos elszámolások mérlegfordulónapi értékelése során megállapított (nem realizált) árfolyamnyeresége (9352), árfolyamvesztesége (8552)</t>
  </si>
  <si>
    <t>- Kiadások 1.sz.melléklet szerinti összege</t>
  </si>
  <si>
    <t>Záró pénzkészlet</t>
  </si>
  <si>
    <t>Ebből</t>
  </si>
  <si>
    <t xml:space="preserve">   - intézmények</t>
  </si>
  <si>
    <t xml:space="preserve">   - önkormányzat</t>
  </si>
  <si>
    <t>TÁJÉKOZTATÓ</t>
  </si>
  <si>
    <t>Sorszám</t>
  </si>
  <si>
    <t>Összesen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</si>
  <si>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</si>
  <si>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</si>
  <si>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 mentesség
összege adónemenként</t>
  </si>
  <si>
    <t xml:space="preserve">  - építményadó elengedés méltányosságból</t>
  </si>
  <si>
    <t xml:space="preserve">  - gépjárműadó elengedés méltányosságból</t>
  </si>
  <si>
    <t xml:space="preserve">  - talajterhelési díj elengedés méltányosságból</t>
  </si>
  <si>
    <t xml:space="preserve">  - helyi iparűzési adómentesség</t>
  </si>
  <si>
    <t xml:space="preserve">  - helyi iparűzési adó elengedés méltányosságból</t>
  </si>
  <si>
    <t>helyiségek eszközök hasznosításából származó bevételből nyújott
kedvezmény, mentesség összeg</t>
  </si>
  <si>
    <t>5.</t>
  </si>
  <si>
    <t>egyéb nyújtott kedvezmény vagy kölcsön elengedésének összege:</t>
  </si>
  <si>
    <t>Mindösszen</t>
  </si>
  <si>
    <t>SZÖVEGES INDOKLÁS</t>
  </si>
  <si>
    <t>3. SZMJV Önkormányzatának helyi adókról szóló rendelete alapján adott mentességek és kedvezmények.</t>
  </si>
  <si>
    <t>4. SZMJV Önkormányzatának vagyonrendelete alapján nyújtott kedvezmények, mentességek összege.</t>
  </si>
  <si>
    <t>5. Közterülethasználati díj mentesség az Önkormányzat rendelete alapján.</t>
  </si>
  <si>
    <t>Kimutatás az Európai Unios támogatással megvalósuló projektek</t>
  </si>
  <si>
    <t>Működés</t>
  </si>
  <si>
    <t>Fejlesztés</t>
  </si>
  <si>
    <t>BEVÉTELEK ÖSSZESEN</t>
  </si>
  <si>
    <t>Egyéb más ágazathoz nem sorolható intézmények és feladatok kiadásai</t>
  </si>
  <si>
    <t>KIADÁSOK ÖSSZESEN</t>
  </si>
  <si>
    <t>2024.</t>
  </si>
  <si>
    <t>2025.</t>
  </si>
  <si>
    <t>2026.</t>
  </si>
  <si>
    <t>2027.</t>
  </si>
  <si>
    <t>Szöveges indoklás:</t>
  </si>
  <si>
    <t xml:space="preserve">A többéves kihatással járó költségvetési tételek egyrészt Szombathely Megyei Jogú Város közgyűlésének </t>
  </si>
  <si>
    <t>közgyűlési döntések alapján kerültek beépítésre.</t>
  </si>
  <si>
    <t>ESZKÖZÖK</t>
  </si>
  <si>
    <t xml:space="preserve">2024. </t>
  </si>
  <si>
    <t>zárómérleg</t>
  </si>
  <si>
    <t>2024.12.31</t>
  </si>
  <si>
    <t>Vagyoni értékű jogok</t>
  </si>
  <si>
    <t>intézmények</t>
  </si>
  <si>
    <t>önkormányzat</t>
  </si>
  <si>
    <t>A/I/1.</t>
  </si>
  <si>
    <t>együtt</t>
  </si>
  <si>
    <t>Szellemi termékek</t>
  </si>
  <si>
    <t>A/I/2.</t>
  </si>
  <si>
    <t>Immateriális javak össz.</t>
  </si>
  <si>
    <t>A/I.</t>
  </si>
  <si>
    <t>Immateriális javak összesen</t>
  </si>
  <si>
    <t>Ingatlanok és kapcsolódó vagyoni értékű jogok</t>
  </si>
  <si>
    <t>A/II/1.</t>
  </si>
  <si>
    <t>Ingatlanok</t>
  </si>
  <si>
    <t>Gépek, berendezések, felszerelések, járművek</t>
  </si>
  <si>
    <t>A/II/2</t>
  </si>
  <si>
    <t>Tenyészállatok</t>
  </si>
  <si>
    <t>A/II/3.</t>
  </si>
  <si>
    <t>Beruházások, felújítások</t>
  </si>
  <si>
    <t>A/II/4</t>
  </si>
  <si>
    <t>Tárgyi eszközök össz.</t>
  </si>
  <si>
    <t>A/II.</t>
  </si>
  <si>
    <t>Tartós részesedések</t>
  </si>
  <si>
    <t>A/III/1</t>
  </si>
  <si>
    <t xml:space="preserve">Tartós részesedések </t>
  </si>
  <si>
    <t>Tartós hitelviszonyt megtestesítő értékpapírok</t>
  </si>
  <si>
    <t>A/III/2.</t>
  </si>
  <si>
    <t>Befektetett pénzügyi eszk.összesen</t>
  </si>
  <si>
    <t>A/III.</t>
  </si>
  <si>
    <t>Koncesszióban, Vagyonkezelésbe adott eszközök</t>
  </si>
  <si>
    <t xml:space="preserve">A/IV. </t>
  </si>
  <si>
    <t>Koncesszióba, vagyonkezelésbe adott eszközök összesen</t>
  </si>
  <si>
    <t>Nemzeti Vagyonba tartozó Befektetett Eszközök összesen</t>
  </si>
  <si>
    <t>A.</t>
  </si>
  <si>
    <t>Készletek</t>
  </si>
  <si>
    <t>B/I.</t>
  </si>
  <si>
    <t>Értékpapírok</t>
  </si>
  <si>
    <t>B/II.</t>
  </si>
  <si>
    <t xml:space="preserve">Értékpapírok </t>
  </si>
  <si>
    <t>Nemzeti Vagyonba tartozó Forgóeszközök</t>
  </si>
  <si>
    <t>B</t>
  </si>
  <si>
    <t>Nemzeti Vagyonba Tartozó Forgóeszközök összesen</t>
  </si>
  <si>
    <t>Lekötött bankbetétek</t>
  </si>
  <si>
    <t>C/I.</t>
  </si>
  <si>
    <t>Pénztárak, csekkek, betétkönyvek</t>
  </si>
  <si>
    <t>C/II.</t>
  </si>
  <si>
    <t>Forintszámlák</t>
  </si>
  <si>
    <t>C/III.</t>
  </si>
  <si>
    <t>Devizaszámlák</t>
  </si>
  <si>
    <t>C/IV.</t>
  </si>
  <si>
    <t>Pénzeszközök összesen</t>
  </si>
  <si>
    <t>C</t>
  </si>
  <si>
    <t>Költségvetési évben esedékes követelések</t>
  </si>
  <si>
    <t>D/I.</t>
  </si>
  <si>
    <t>Költségvetési évet követően esedékes követelések</t>
  </si>
  <si>
    <t>D/II.</t>
  </si>
  <si>
    <t>Követelés jellegű sajátos elszámolások</t>
  </si>
  <si>
    <t>D/III.</t>
  </si>
  <si>
    <t>Követelések összesen</t>
  </si>
  <si>
    <t>D</t>
  </si>
  <si>
    <t>Egyéb sajátos elszámolások</t>
  </si>
  <si>
    <t>E</t>
  </si>
  <si>
    <t>Eredményszemléletű bevételek aktív időbeli</t>
  </si>
  <si>
    <t>elhatárolása</t>
  </si>
  <si>
    <t>F/1.</t>
  </si>
  <si>
    <t>Eredményszemléletű bevételek aktív időbeli elhatárolása</t>
  </si>
  <si>
    <t>Költségek, ráfordítások aktív időbeli elhatárolása</t>
  </si>
  <si>
    <t>F/2.</t>
  </si>
  <si>
    <t>Halasztott ráfordítások</t>
  </si>
  <si>
    <t>F/3.</t>
  </si>
  <si>
    <t>Aktív időbeli elhatárolások összesen</t>
  </si>
  <si>
    <t>F</t>
  </si>
  <si>
    <t>ESZKÖZÖK ÖSSZESEN</t>
  </si>
  <si>
    <t>FORRÁSOK</t>
  </si>
  <si>
    <t>Nemzeti vagyon induláskori értéke</t>
  </si>
  <si>
    <t>G/I.</t>
  </si>
  <si>
    <t>Nemzeti vagyon változásai</t>
  </si>
  <si>
    <t>G/II.</t>
  </si>
  <si>
    <t>Egyéb eszközök induláskori értéke és változásai</t>
  </si>
  <si>
    <t>G/III.</t>
  </si>
  <si>
    <t>Felhalmozott eredmény</t>
  </si>
  <si>
    <t>G/IV.</t>
  </si>
  <si>
    <t>Eszközök értékhelyesbítésének forrása</t>
  </si>
  <si>
    <t>G/V.</t>
  </si>
  <si>
    <t>Mérleg szerinti eredmény</t>
  </si>
  <si>
    <t>G/VI.</t>
  </si>
  <si>
    <t>Saját tőke összesen</t>
  </si>
  <si>
    <t>G</t>
  </si>
  <si>
    <t>Saját Tőke összesen</t>
  </si>
  <si>
    <t>Költségvetési évben esedékes kötelezettségek</t>
  </si>
  <si>
    <t>H/I.</t>
  </si>
  <si>
    <t>Költségvetési évet követően esedékes kötelezettségek</t>
  </si>
  <si>
    <t>H/II.</t>
  </si>
  <si>
    <t>Kötelezettség jellegű sajátos elszámolások</t>
  </si>
  <si>
    <t>H/III.</t>
  </si>
  <si>
    <t>Kötelezettségek összesen</t>
  </si>
  <si>
    <t>H</t>
  </si>
  <si>
    <t>Kincstári számlavezetéssel kapcsolatos elszámolások</t>
  </si>
  <si>
    <t>I</t>
  </si>
  <si>
    <t>Eredményszemléletű bevételek passzív időbeli elhatárilása</t>
  </si>
  <si>
    <t>J/1.</t>
  </si>
  <si>
    <t>Eredményszemléletű bevételek passzív időbeli elhatárolása</t>
  </si>
  <si>
    <t>Költségek, ráfordítások passzív időbeli elhatárolása</t>
  </si>
  <si>
    <t>J/2.</t>
  </si>
  <si>
    <t>Halasztott eredményszemléletű bevételek</t>
  </si>
  <si>
    <t>J/3.</t>
  </si>
  <si>
    <t>Passzív időbeli elhatárolások összesen</t>
  </si>
  <si>
    <t>J</t>
  </si>
  <si>
    <t>FORRÁSOK ÖSSZESEN</t>
  </si>
  <si>
    <t xml:space="preserve">                 Az 1993. évi LXXVIII. tv. 62. §. 1 bek. szerint az önkormányzat az állam tulajdonából </t>
  </si>
  <si>
    <t xml:space="preserve">                 az önkormányzat tulajdonába került lakóépületeinek elidegenítéséből származó 1994.</t>
  </si>
  <si>
    <t xml:space="preserve">                 március 31. napját követően befolyó - kiadásokkal csökkentett - bevételeit elkülönített</t>
  </si>
  <si>
    <t xml:space="preserve">                 számlán köteles kezelni.</t>
  </si>
  <si>
    <t>Bevételek</t>
  </si>
  <si>
    <t>e Ft-ban</t>
  </si>
  <si>
    <t xml:space="preserve">Kiadások </t>
  </si>
  <si>
    <t>eFt-ban</t>
  </si>
  <si>
    <t>Egyenleg eFt-ban</t>
  </si>
  <si>
    <t>1994.</t>
  </si>
  <si>
    <t xml:space="preserve">  bérlakás értékesítés</t>
  </si>
  <si>
    <t xml:space="preserve"> lakásmobilitás, érték. stb.</t>
  </si>
  <si>
    <t>Tetőtér beépítés</t>
  </si>
  <si>
    <t xml:space="preserve">Bérlakás építés </t>
  </si>
  <si>
    <t>Zanat lakások közmű</t>
  </si>
  <si>
    <t>Kámon lakások közmű</t>
  </si>
  <si>
    <t>Huszár u. lakások közmű</t>
  </si>
  <si>
    <t>1995.</t>
  </si>
  <si>
    <t xml:space="preserve"> bérlakás értékesítés</t>
  </si>
  <si>
    <t>Lakáselidegenités</t>
  </si>
  <si>
    <t>Privatizációs költségek</t>
  </si>
  <si>
    <t>Oladi  lakások (L7 II.ütem)  közmű</t>
  </si>
  <si>
    <t>Kámon lakások (IV. ütem)  közmű</t>
  </si>
  <si>
    <t>Ingatlanbecslés, szakértői díj</t>
  </si>
  <si>
    <t>Lakóház kisajátitás</t>
  </si>
  <si>
    <t>Szalézi tér, Malom u. lakástervezés</t>
  </si>
  <si>
    <t>Lakóterületi vizhólózat bővités</t>
  </si>
  <si>
    <t xml:space="preserve">                     energia ellátás</t>
  </si>
  <si>
    <t>Szolgálati lakások kiváltása</t>
  </si>
  <si>
    <t>Lakásvásárlás önk. lakásnak</t>
  </si>
  <si>
    <t>Bérleti jog visszavásárlása.</t>
  </si>
  <si>
    <t>Bérlőkijelölési jogról lemondás</t>
  </si>
  <si>
    <t>Lakásvásárlással kapcs. bonyolitási dijak</t>
  </si>
  <si>
    <t>Lakóház felújitás, középmagas házak tűzvéd.</t>
  </si>
  <si>
    <t>1996.</t>
  </si>
  <si>
    <t xml:space="preserve">  bérlakás értékesítés összesen</t>
  </si>
  <si>
    <t>Lakás helyiség elidegenités</t>
  </si>
  <si>
    <t xml:space="preserve">   ebből kárpótlási jeggyel vás.</t>
  </si>
  <si>
    <t>Ingatlanbecslés</t>
  </si>
  <si>
    <t>Lakóházfelújitási alapképzés</t>
  </si>
  <si>
    <t>Lakóházfelújités (Petőfi S. u.)</t>
  </si>
  <si>
    <t>Szalézi téri kisajátitás, épités</t>
  </si>
  <si>
    <t>Lakásép. közmű</t>
  </si>
  <si>
    <t>Bérleti jog visszaváltása</t>
  </si>
  <si>
    <t>Emelt szintű nyugdijas ház</t>
  </si>
  <si>
    <t>Alacsony  fok. szoc. lakások</t>
  </si>
  <si>
    <t>1997.</t>
  </si>
  <si>
    <t>Szalézi téri lakásépítés</t>
  </si>
  <si>
    <t>Petőfi S. u. 31. felújítás tervezés.</t>
  </si>
  <si>
    <t xml:space="preserve">Bérleti jog visszavásárlás, önkorm. lakásvás. </t>
  </si>
  <si>
    <t>Emelt szintű nyugdíjas otthon</t>
  </si>
  <si>
    <t>Kényszerbérlet</t>
  </si>
  <si>
    <t>Bogát lakástervezés</t>
  </si>
  <si>
    <t>lakásprivatizáció</t>
  </si>
  <si>
    <t>Lakás- közműellátás</t>
  </si>
  <si>
    <t>Alacsony komfort. szoc.lakás építés</t>
  </si>
  <si>
    <t>1998.</t>
  </si>
  <si>
    <t>Szalézi tér lapkásépítés</t>
  </si>
  <si>
    <t>Huszár úti lakások felújítása</t>
  </si>
  <si>
    <t>Fejleszthető komfortfokozatő lakások</t>
  </si>
  <si>
    <t>Lakásprivatizáció költségei</t>
  </si>
  <si>
    <t>Körmenti u. lakásépítés</t>
  </si>
  <si>
    <t>Lakáshozjutás támogatása</t>
  </si>
  <si>
    <t>1999.</t>
  </si>
  <si>
    <t>Bérlakás értékesítés bevétele</t>
  </si>
  <si>
    <t>Lakáskölcsön törlesztés</t>
  </si>
  <si>
    <t>Szolgálati lakások kedvezménye</t>
  </si>
  <si>
    <t>Lakásfelújítás, lakásprivatizáció</t>
  </si>
  <si>
    <t>2000.</t>
  </si>
  <si>
    <t>Lakáskölcsön törlesztések kezelési költségei</t>
  </si>
  <si>
    <t>2001.</t>
  </si>
  <si>
    <t>Bérleti jog visszavásárlás</t>
  </si>
  <si>
    <t>Bérlakásépítés, vásárlás</t>
  </si>
  <si>
    <t>Lakásprivatizáció</t>
  </si>
  <si>
    <t>2002.</t>
  </si>
  <si>
    <t>Bérlakásépítés, vásárlás(állami támogatás nélkül)</t>
  </si>
  <si>
    <t>2003.</t>
  </si>
  <si>
    <t>2004.</t>
  </si>
  <si>
    <t>Bérlakás vásárlás (állami támogatás nélkül)</t>
  </si>
  <si>
    <t>Szociális bérlakás vásárlás önk-i forrásból</t>
  </si>
  <si>
    <t>Ip.techn.épült lakások és therm.kémények fú.</t>
  </si>
  <si>
    <t>2005.</t>
  </si>
  <si>
    <t>Szt.Márton u.bérlakás ép. (állami támogatás nélkül)</t>
  </si>
  <si>
    <t>Szolgálati lakások kedvezménye,egyéb</t>
  </si>
  <si>
    <t>2006.</t>
  </si>
  <si>
    <t>2007.</t>
  </si>
  <si>
    <t>2008.</t>
  </si>
  <si>
    <t>lakásvásárlás és bérleti jog lemondás</t>
  </si>
  <si>
    <t>nem önkormányzati tul-ban lévő lakásban lakók 
lakbértámogatás</t>
  </si>
  <si>
    <t>2009.</t>
  </si>
  <si>
    <t>2010.</t>
  </si>
  <si>
    <t>2011.</t>
  </si>
  <si>
    <t>Önkormányzati bérlakás felújítások</t>
  </si>
  <si>
    <t>Lakásbérleti díj támogatás</t>
  </si>
  <si>
    <t>2012.</t>
  </si>
  <si>
    <t>Panel program - 2009. évi</t>
  </si>
  <si>
    <t>2013.</t>
  </si>
  <si>
    <t>2014.</t>
  </si>
  <si>
    <t>Önkormányzati bérlakások felújítása</t>
  </si>
  <si>
    <t>Társasház felújításának támogatása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</si>
  <si>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</si>
  <si>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</si>
  <si>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</si>
  <si>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</si>
  <si>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</si>
  <si>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</si>
  <si>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</si>
  <si>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</si>
  <si>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</si>
  <si>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Bérlakások felújítása</t>
  </si>
  <si>
    <t>Tájékoztató</t>
  </si>
  <si>
    <t xml:space="preserve"> Éves kiadás</t>
  </si>
  <si>
    <t>Megoszlás%-a</t>
  </si>
  <si>
    <t>Egyéb pénzbeli és természetbeni gyermekvédelmi támogatások</t>
  </si>
  <si>
    <t>Családi támogatások összesen:</t>
  </si>
  <si>
    <t>Adósságcsökkentési támogatás [Szoctv. 55/A. § 1. bek. b) pont]</t>
  </si>
  <si>
    <t>Lakhatással kapcsolatos ellátások összesen:</t>
  </si>
  <si>
    <t>Köztemetés (Szoctv. 48.§)</t>
  </si>
  <si>
    <t>Települési támogatás (Szoctv. 45.§)</t>
  </si>
  <si>
    <t>7.</t>
  </si>
  <si>
    <t xml:space="preserve"> Önkormányzat által saját hatáskörben (nem szociális és gyermekvédelmi előírások alapján) adott más ellátás</t>
  </si>
  <si>
    <t>8.</t>
  </si>
  <si>
    <t>Egyéb nem intézményi ellátások</t>
  </si>
  <si>
    <t>9.</t>
  </si>
  <si>
    <t>Kifizetés mindösszesen:</t>
  </si>
  <si>
    <t>Ingatlan-</t>
  </si>
  <si>
    <t>mennyiség</t>
  </si>
  <si>
    <t>érték</t>
  </si>
  <si>
    <t>ingatlanszám</t>
  </si>
  <si>
    <t>földrészlet</t>
  </si>
  <si>
    <t>könyv szerinti</t>
  </si>
  <si>
    <t>becslés szerinti</t>
  </si>
  <si>
    <t>bruttó</t>
  </si>
  <si>
    <t>darab</t>
  </si>
  <si>
    <t>ha</t>
  </si>
  <si>
    <t>m2</t>
  </si>
  <si>
    <t>db</t>
  </si>
  <si>
    <t>e Ft</t>
  </si>
  <si>
    <t>a</t>
  </si>
  <si>
    <t>b</t>
  </si>
  <si>
    <t>c</t>
  </si>
  <si>
    <t>d</t>
  </si>
  <si>
    <t xml:space="preserve">e </t>
  </si>
  <si>
    <t>f</t>
  </si>
  <si>
    <t>g</t>
  </si>
  <si>
    <t>01</t>
  </si>
  <si>
    <t>Rendezett összes ingatlan</t>
  </si>
  <si>
    <t>02</t>
  </si>
  <si>
    <t>Rendezetlen, tulajdonba került ingatlanok</t>
  </si>
  <si>
    <t>03</t>
  </si>
  <si>
    <t>Rendezelten tulajdonból kikerült ingatlanok</t>
  </si>
  <si>
    <t>04</t>
  </si>
  <si>
    <t>Helyrajzi számmal nem rendelkező ingatlanok</t>
  </si>
  <si>
    <t>05</t>
  </si>
  <si>
    <t>Állomány összesen (01+02+04)sorok</t>
  </si>
  <si>
    <t>06</t>
  </si>
  <si>
    <t>07</t>
  </si>
  <si>
    <t>05. sorból külföldi ingatlan</t>
  </si>
  <si>
    <t>08</t>
  </si>
  <si>
    <t>05.</t>
  </si>
  <si>
    <t>belterület</t>
  </si>
  <si>
    <t>09</t>
  </si>
  <si>
    <t>sorból</t>
  </si>
  <si>
    <t>külterület</t>
  </si>
  <si>
    <t>10</t>
  </si>
  <si>
    <t>forgalomképtelen</t>
  </si>
  <si>
    <t>11</t>
  </si>
  <si>
    <t>korlátozottan forgalomképes</t>
  </si>
  <si>
    <t>12</t>
  </si>
  <si>
    <t>forgalomképes</t>
  </si>
  <si>
    <t>13</t>
  </si>
  <si>
    <t>Beépítetlen terület összesen</t>
  </si>
  <si>
    <t>14</t>
  </si>
  <si>
    <t>100 %-os saját tulajdon</t>
  </si>
  <si>
    <t>15</t>
  </si>
  <si>
    <t>13.</t>
  </si>
  <si>
    <t>más önkormányzattal közös tulajdon</t>
  </si>
  <si>
    <t>16</t>
  </si>
  <si>
    <t>egyéb közös tulajdon</t>
  </si>
  <si>
    <t>17</t>
  </si>
  <si>
    <t>Beépített terület összesen</t>
  </si>
  <si>
    <t>18</t>
  </si>
  <si>
    <t>19</t>
  </si>
  <si>
    <t>17.</t>
  </si>
  <si>
    <t>20</t>
  </si>
  <si>
    <t>21</t>
  </si>
  <si>
    <t>más tulajdonos által beépített</t>
  </si>
  <si>
    <t>22</t>
  </si>
  <si>
    <t>Egyéb önálló ingatlan összesen</t>
  </si>
  <si>
    <t>23</t>
  </si>
  <si>
    <t>24</t>
  </si>
  <si>
    <t>22.</t>
  </si>
  <si>
    <t>25</t>
  </si>
  <si>
    <t>26</t>
  </si>
  <si>
    <t>önkormányzat településén kívül fekvő ingatlan</t>
  </si>
  <si>
    <t>27</t>
  </si>
  <si>
    <t xml:space="preserve">05. </t>
  </si>
  <si>
    <t>védett természeti terület</t>
  </si>
  <si>
    <t>műemléki védettségű</t>
  </si>
  <si>
    <t>BRUTTÓ</t>
  </si>
  <si>
    <t>ÉRTÉKCSÖK.</t>
  </si>
  <si>
    <t>NETTÓ</t>
  </si>
  <si>
    <t xml:space="preserve">A </t>
  </si>
  <si>
    <t>NEMZETI VAGYONBA TARTOZÓ BEFEKTETETT ESZKÖZÖK</t>
  </si>
  <si>
    <t>Immateriális javak</t>
  </si>
  <si>
    <t>A/II/1</t>
  </si>
  <si>
    <t>Forgalomképtelen</t>
  </si>
  <si>
    <t>Korlátozottan forgalomképes</t>
  </si>
  <si>
    <t>Üzleti vagyon</t>
  </si>
  <si>
    <t>Tárgyi eszközök</t>
  </si>
  <si>
    <t xml:space="preserve"> Forgalomképtelen</t>
  </si>
  <si>
    <t>-</t>
  </si>
  <si>
    <t>Helyi Közutak és műtárgyaik</t>
  </si>
  <si>
    <t>Terek, parkok</t>
  </si>
  <si>
    <t>Vizek és közcélú (vizi közműnek nem minősülő) vízi létesítmények</t>
  </si>
  <si>
    <t>A helyi önkormányzat felügyelete alá tartozó költségvetési szervek ingatlanai</t>
  </si>
  <si>
    <t>Üzemeltetésre átadott ingatlanok és kapcsolódó vagyoni értékű jogok</t>
  </si>
  <si>
    <t>Egyéb az önkormányzat által forgalomképtelennek minősített ingatlanok és kapcsolódó vagyoni értékű jogok</t>
  </si>
  <si>
    <t xml:space="preserve">Korlátozottan forgalomképes </t>
  </si>
  <si>
    <t>Közművek (Víz, gáz, csatorna, távfűtés,világítás)</t>
  </si>
  <si>
    <t>Védett természeti területek</t>
  </si>
  <si>
    <t>A képviselőtestület (közgyűlés) és szervei, valamint hivatala ingatlanai</t>
  </si>
  <si>
    <t>Műemlék ingatlanok</t>
  </si>
  <si>
    <t>Vagyonkezelésbe vett ingatlanok és kapcsolódó vagyoni értékű jogok</t>
  </si>
  <si>
    <t>Egyéb az önkormányzat által korlátozottan forgalomképesnek minősített ingatlanok és  kapcsolódó vagyoni értékű jogok (lakások,telkek,sportcélú ingatlanok, létesítmények)</t>
  </si>
  <si>
    <t>Telkek, földterületek</t>
  </si>
  <si>
    <t>Egyéb az önkormányzat által forgalomképesnek minősített ingatlanok és kapcsolódó vagyoni értékű jogok</t>
  </si>
  <si>
    <t>A/II/2.</t>
  </si>
  <si>
    <t>Gépek, berendezések felszerelések, járművek</t>
  </si>
  <si>
    <t>Forgalomképtelen gépek, berendezések, felszerelések, járművek</t>
  </si>
  <si>
    <t>Korlátozottan forgalomképes gépek,berendezések, felszerelések, járművek</t>
  </si>
  <si>
    <t>Üzleti vagyon: gépek, berendezések, felszerelések, járművek</t>
  </si>
  <si>
    <t xml:space="preserve">Tenyészállatok </t>
  </si>
  <si>
    <t>A/II/4.</t>
  </si>
  <si>
    <t>Forgalomképtelen eszköz létesítésére irányuló beruházás, felújítás</t>
  </si>
  <si>
    <t>Korlátozottan forgalomképes eszköz létesítésére irányuló beruházás, felújítás</t>
  </si>
  <si>
    <t>A/II/5.</t>
  </si>
  <si>
    <t>Tárgyi eszközök értékhelyesbítése</t>
  </si>
  <si>
    <t xml:space="preserve">Befektetett pénzügyi eszközök </t>
  </si>
  <si>
    <t>A/III/1.</t>
  </si>
  <si>
    <t>Tartós részesedések - korlátozottan forgalomképes</t>
  </si>
  <si>
    <t>Tartós hitelviszonyt megtestesítő értékpapírok (forgalomképes)</t>
  </si>
  <si>
    <t>A/III/3.</t>
  </si>
  <si>
    <t>Befektetett pénzügyi eszközök értékhelyesbítése (forgalomképes)</t>
  </si>
  <si>
    <t>A/IV.</t>
  </si>
  <si>
    <t>Koncesszióba, vagyonkezelésbe adott eszközök</t>
  </si>
  <si>
    <t>A/IV/1</t>
  </si>
  <si>
    <t>Vagyonkezelésbe adott eszközök - forgalomképtelen</t>
  </si>
  <si>
    <t xml:space="preserve">B </t>
  </si>
  <si>
    <t>NEMZETI VAGYONBA TARTOZÓ FORGÓESZKÖZÖK</t>
  </si>
  <si>
    <t>Készletek (forgalomképes)</t>
  </si>
  <si>
    <t>PÉNZESZKÖZÖK - forgalomképes</t>
  </si>
  <si>
    <t>C/IV</t>
  </si>
  <si>
    <t>KÖNYVVITELI MÉRLEGEN KÍVÜLI TÉTELEK</t>
  </si>
  <si>
    <t xml:space="preserve">"0"-ra leírt, de használatban lévő eszközök állománya </t>
  </si>
  <si>
    <t>Ingatlanok és kapcsolódó vagyonértékű jogok</t>
  </si>
  <si>
    <t>Gépek,berendezések,felszerelések, járművek</t>
  </si>
  <si>
    <t>Használatban lévő kisértékű  immateriális javak, tárgyi eszközök, készletek</t>
  </si>
  <si>
    <t>Kisértékű Immateriális javak</t>
  </si>
  <si>
    <t>Kisértékű Ingatlanok és kapcsolódó vagyoniértékű jogok</t>
  </si>
  <si>
    <t>Kisértékű Gépek, berendezések, felszerelések, járművek</t>
  </si>
  <si>
    <t>Kulturális javak körébe tartozó közgyűjtemény, régészeti lelet</t>
  </si>
  <si>
    <t>2011. évi CXCVI. Törvény a nemzeti vagyonról 1. §.  (2) bekezdés g) és h) pontja szerint</t>
  </si>
  <si>
    <t>Berzsenyi Dániel Megyei Hatókörű Városi Könyvtárállományi értéke - Információs adathordozók 
(pl. könyvek, folyóiratok)</t>
  </si>
  <si>
    <t>SAVARIA Megyei Hatókörű Városi Múzeum</t>
  </si>
  <si>
    <t>- infomációs adathordozó (pl. könyvek, folyóiratok)</t>
  </si>
  <si>
    <t>- műtárgy</t>
  </si>
  <si>
    <t>01. számlaosztály Vagyonkezelésben lévő önkormányzati tulajdonú eszközök</t>
  </si>
  <si>
    <t>Szombathelyi Tankerület vagyonkezelésében lévő önkormányzati tulajdonú eszközök</t>
  </si>
  <si>
    <t>Vas Vármegyei Szakképzési Centrum</t>
  </si>
  <si>
    <t>Szombathelyi Élelmiszeripari és Földmérési Szakképző Iskola és Kollégium vagyonkezelésében lévő önkormányzati tulajdonú eszközök</t>
  </si>
  <si>
    <t>Herman Ottó Környezetvédelmi és Mezőgazdasági Szakképző Iskola és Kollégium vagyonkezelésében lévő önkormányzati tulajdonú eszközök</t>
  </si>
  <si>
    <t>SZMJV Önkormányzata intézményeinek vagyonkezelésében</t>
  </si>
  <si>
    <t>Jegyzett tőke</t>
  </si>
  <si>
    <t>Tulajdoni hányad</t>
  </si>
  <si>
    <t>Korábbi évek</t>
  </si>
  <si>
    <t>Tárgyévi</t>
  </si>
  <si>
    <t>Mérleg érték</t>
  </si>
  <si>
    <t xml:space="preserve"> elszámolt</t>
  </si>
  <si>
    <t xml:space="preserve"> Elszámolt</t>
  </si>
  <si>
    <t>%-ban</t>
  </si>
  <si>
    <t>értéke  Ft</t>
  </si>
  <si>
    <t>értékvesztés</t>
  </si>
  <si>
    <t>FALCO KC</t>
  </si>
  <si>
    <t>Vasivíz RT</t>
  </si>
  <si>
    <t>Szhelyi Haladás Labdarúgó és Sportszolg.KFT  "F.A"</t>
  </si>
  <si>
    <t>Prenor KFT</t>
  </si>
  <si>
    <t>Szombathelyi Parkfenntartási Kft</t>
  </si>
  <si>
    <t>Vas Megyei Temetkezési Kft</t>
  </si>
  <si>
    <t>Haladás 1919 Labdarúgó Kft</t>
  </si>
  <si>
    <t>Saját alapítású gazdasági társaságok összesen</t>
  </si>
  <si>
    <t>Szombathelyi Vagyonhasznosító és Városgazd. Nonprofit Zrt.</t>
  </si>
  <si>
    <t>Fogyatékkal Élőket és Hajléktalanokat Ellátó Közhasznú Nonprofit Kft.</t>
  </si>
  <si>
    <t xml:space="preserve">Agora Savaria Kultúrália és Médiaközpont Nonprofit Kft. </t>
  </si>
  <si>
    <t>Szombathelyi Sportközpont és Sportiskola Nonprofit Kft.</t>
  </si>
  <si>
    <t>Weöres Sándor Színház Nonprofit Kft.</t>
  </si>
  <si>
    <t>Savaria Városfejlesztési Nonprofit Kft.</t>
  </si>
  <si>
    <t>Savaria Turizmus Nonprofit Kft</t>
  </si>
  <si>
    <t>Saját alapítású Nonprofit  gazdasági társaságok összesen</t>
  </si>
  <si>
    <t>Hétforrás  zrt</t>
  </si>
  <si>
    <t>Rába Nyrt.</t>
  </si>
  <si>
    <t>Forrás Vagyonkezelési és Befektetési NyRt.</t>
  </si>
  <si>
    <t>Egyéb részesedések:</t>
  </si>
  <si>
    <t>Kimutatás a pénzügyi lízingből eredő fizetési kötelezettség állományról</t>
  </si>
  <si>
    <t>K&amp;H Bank Zrt - Keretszerződés száma: IBD-MUN-17-0122/OHD</t>
  </si>
  <si>
    <t>Forintban</t>
  </si>
  <si>
    <t>Esedékesség (Év)</t>
  </si>
  <si>
    <t>Tervezett</t>
  </si>
  <si>
    <t>Tőke</t>
  </si>
  <si>
    <t>Kamat
(BUBOR+1,85%)</t>
  </si>
  <si>
    <t>2027. év</t>
  </si>
  <si>
    <t>2028. év</t>
  </si>
  <si>
    <t>2029. év</t>
  </si>
  <si>
    <t>2030. év</t>
  </si>
  <si>
    <t>2031. év</t>
  </si>
  <si>
    <t xml:space="preserve">2025. évi  kiadásai kiemelt előirányzatonként </t>
  </si>
  <si>
    <t xml:space="preserve">2025. évi bevételei  kiemelt előirányzatonként </t>
  </si>
  <si>
    <t>2025. évi közvetett támogatásairól</t>
  </si>
  <si>
    <t>1. Az ÁHT-ra való hivatkozással, a személyes gondoskodást nyújtó szociális és gyermekjóléti ellátások térítési díjáról szóló   11/1993. (IV.1.) sz. önkormányzati rendelet alapján a térítési díj méltányossági alapon történő csökkentése, illetve elengedése.</t>
  </si>
  <si>
    <t>Részesedések, üzletrészek állománya 2025. december 31-én</t>
  </si>
  <si>
    <t>2025. évi bevételeiről és kiadásairól</t>
  </si>
  <si>
    <t>2025 évi segély kifizetésekről</t>
  </si>
  <si>
    <t xml:space="preserve">2025. </t>
  </si>
  <si>
    <t>2025.12.31</t>
  </si>
  <si>
    <t>Szombathely Megyei Jogú Város Önkormányzatának mérlegadatai 2025.évben</t>
  </si>
  <si>
    <t>Pénzeszközök változásának bemutatása 2025</t>
  </si>
  <si>
    <t>Költségvetési szervek 2025. évi bevételei</t>
  </si>
  <si>
    <t xml:space="preserve"> Működési bevételek</t>
  </si>
  <si>
    <t>Működési célú átvett  pénzeszközök</t>
  </si>
  <si>
    <t>Előző év költségvetési maradványának igénybevétele</t>
  </si>
  <si>
    <t>Központi irányítószervtől kapott támogatás összesen</t>
  </si>
  <si>
    <t>Költségvetési bevételek összesen</t>
  </si>
  <si>
    <t>I N T É Z M É N Y</t>
  </si>
  <si>
    <t>Eredeti előirányzat</t>
  </si>
  <si>
    <t>Módosított előirányzat 
RM IV.</t>
  </si>
  <si>
    <t>Teljesítés  
%-a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</si>
  <si>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</si>
  <si>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</si>
  <si>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</si>
  <si>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</si>
  <si>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</si>
  <si>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</si>
  <si>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</si>
  <si>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</si>
  <si>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</si>
  <si>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</si>
  <si>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</si>
  <si>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</si>
  <si>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</si>
  <si>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</si>
  <si>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</si>
  <si>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</si>
  <si>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>Mocorgó Óvoda</t>
  </si>
  <si>
    <t>Benczúr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</si>
  <si>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</si>
  <si>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</si>
  <si>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</si>
  <si>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</si>
  <si>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</si>
  <si>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</si>
  <si>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 xml:space="preserve">Összesen                             </t>
  </si>
  <si>
    <t>Szociális intézmény</t>
  </si>
  <si>
    <t>Egészségügyi intézmény</t>
  </si>
  <si>
    <t>Szombathelyi Egészségügyi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</si>
  <si>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</si>
  <si>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</si>
  <si>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</si>
  <si>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</si>
  <si>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</si>
  <si>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2025. évi kiadásai</t>
  </si>
  <si>
    <t xml:space="preserve">Dologi kiadások </t>
  </si>
  <si>
    <t>Költségvetési kiadások összesen</t>
  </si>
  <si>
    <t>Teljesítés          
%-a</t>
  </si>
  <si>
    <t>Eredeti ei</t>
  </si>
  <si>
    <t>Módosított ei</t>
  </si>
  <si>
    <t xml:space="preserve">Mocorgó Óvoda </t>
  </si>
  <si>
    <t>Szombathely Megyei Jogú Város Önkormányzatának</t>
  </si>
  <si>
    <t>2025. évi  engedélyezett záró létszámelőirányzata</t>
  </si>
  <si>
    <t>fő</t>
  </si>
  <si>
    <t>Intézmény</t>
  </si>
  <si>
    <t>2025. évi záró előirányzat</t>
  </si>
  <si>
    <t>2025. évi záró előirányzat funkciócsoportokba sorolt létszám megoszlása bérrendszerek szerint</t>
  </si>
  <si>
    <t>Köztisztviselők</t>
  </si>
  <si>
    <t>Egészségügyi szolgálati jogviszonyban foglalkoztatottak</t>
  </si>
  <si>
    <t>Közalkalmazottak</t>
  </si>
  <si>
    <t>Pedagógus életpálya alapján foglalkoztatottak</t>
  </si>
  <si>
    <t>Munka Törvénykönyve hatálya alá tartozók</t>
  </si>
  <si>
    <t>Választott tisztségviselők</t>
  </si>
  <si>
    <t>ebből: 
közfoglalkoztatottak</t>
  </si>
  <si>
    <t>Ó v o d á k :</t>
  </si>
  <si>
    <t>Kőrösi Csoma Sándor utcai Óvoda</t>
  </si>
  <si>
    <t>Benczúr Gyula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</si>
  <si>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</si>
  <si>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</si>
  <si>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</si>
  <si>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</si>
  <si>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</si>
  <si>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 xml:space="preserve">Összesen                                       </t>
  </si>
  <si>
    <t xml:space="preserve">Szombathely Megyei Jogú Város Önkormányzata ingatlanvagyon-kataszter összesítője 2025. év </t>
  </si>
  <si>
    <t>Üzemeltetésre, vagyonkezelésbe adott ingatlanok</t>
  </si>
  <si>
    <t>Szombathely Megyei Jogú Város vagyonkimutatása 2025. év</t>
  </si>
  <si>
    <t xml:space="preserve">       A " Lakásalap" 1994-2025. közötti bevételeiről és kiadásairól</t>
  </si>
  <si>
    <t>Szombathely Megyei Jogú Város Önkormányzata 2025.évi fejlesztési kiadásainak</t>
  </si>
  <si>
    <t>2028.</t>
  </si>
  <si>
    <t xml:space="preserve"> 2026.évi költségvetési rendelettervezetében meghatározott feladatok, illetve korábbi</t>
  </si>
  <si>
    <t>Záróállomány 2025.12.31. mindösszesen:</t>
  </si>
  <si>
    <t>Önkormányzat egyéb kiadásai (Városüzemeltetési, vagyongazdálkodási kiadások)</t>
  </si>
  <si>
    <r>
      <t>következő évekre áthúzódó hatásairól</t>
    </r>
    <r>
      <rPr>
        <b/>
        <sz val="16"/>
        <color rgb="FFFF0000"/>
        <rFont val="Calibri"/>
        <family val="2"/>
        <charset val="238"/>
      </rPr>
      <t xml:space="preserve"> </t>
    </r>
  </si>
  <si>
    <t>Települési önkormányzatok kulturális feladatainak bérjellegű támogatása (682/2021.(XII.6.) korm.rend.szerinti 20% és minimálbér és garantált bérminimum emelés)</t>
  </si>
  <si>
    <r>
      <t>Weöres Sándor Színház Nkft.</t>
    </r>
    <r>
      <rPr>
        <b/>
        <i/>
        <sz val="13"/>
        <rFont val="Calibri"/>
        <family val="2"/>
        <charset val="238"/>
        <scheme val="minor"/>
      </rPr>
      <t xml:space="preserve"> önkormányzati támogatása</t>
    </r>
  </si>
  <si>
    <r>
      <t>Önkormányzati fenntartású Weöres Sándor Színház Nkft.</t>
    </r>
    <r>
      <rPr>
        <i/>
        <sz val="13"/>
        <rFont val="Calibri"/>
        <family val="2"/>
        <charset val="238"/>
        <scheme val="minor"/>
      </rPr>
      <t xml:space="preserve"> közös működtetési támogatása</t>
    </r>
  </si>
  <si>
    <r>
      <t>Szombathelyi Egészségügyi és Kulturális Intézmények GESZ</t>
    </r>
    <r>
      <rPr>
        <b/>
        <sz val="13"/>
        <rFont val="Calibri"/>
        <family val="2"/>
        <charset val="238"/>
      </rPr>
      <t xml:space="preserve"> </t>
    </r>
  </si>
  <si>
    <r>
      <t>Szombathelyi Egészségügyi és Kulturális Intézmények GESZ</t>
    </r>
    <r>
      <rPr>
        <b/>
        <sz val="13"/>
        <rFont val="Calibri"/>
        <family val="2"/>
        <charset val="238"/>
        <scheme val="minor"/>
      </rPr>
      <t xml:space="preserve"> </t>
    </r>
  </si>
  <si>
    <t>Szombathely Megyei Jogú Város Önkormányzata általános működésének és ágazati feladatainak támogatása</t>
  </si>
  <si>
    <t>és a helyi önkormányzatok kiegészítő támogatásai</t>
  </si>
  <si>
    <t>MEGNEVEZÉS</t>
  </si>
  <si>
    <t>2024. év  teljesítés</t>
  </si>
  <si>
    <t xml:space="preserve">2025. év  eredeti előirányzat </t>
  </si>
  <si>
    <t xml:space="preserve">2025. év  I. sz. módosított előirányzat </t>
  </si>
  <si>
    <t xml:space="preserve">2025. év  II. sz. módosított előirányzat </t>
  </si>
  <si>
    <t xml:space="preserve">2025. év  III. sz. módosított előirányzat </t>
  </si>
  <si>
    <t xml:space="preserve">2025. év  IV. sz. módosított előirányzat </t>
  </si>
  <si>
    <t>elszámolás</t>
  </si>
  <si>
    <t>eltérés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</si>
  <si>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</si>
  <si>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</si>
  <si>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</si>
  <si>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</si>
  <si>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</si>
  <si>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</si>
  <si>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</si>
  <si>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</si>
  <si>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</si>
  <si>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</si>
  <si>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</si>
  <si>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</si>
  <si>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</si>
  <si>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</si>
  <si>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</si>
  <si>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</si>
  <si>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</si>
  <si>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</si>
  <si>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</si>
  <si>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</si>
  <si>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</si>
  <si>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</si>
  <si>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</si>
  <si>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</si>
  <si>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</si>
  <si>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</si>
  <si>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</si>
  <si>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</si>
  <si>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</si>
  <si>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</si>
  <si>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</si>
  <si>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</si>
  <si>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</si>
  <si>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</si>
  <si>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</si>
  <si>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</si>
  <si>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</si>
  <si>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</si>
  <si>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</si>
  <si>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</si>
  <si>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</si>
  <si>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</si>
  <si>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</si>
  <si>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</si>
  <si>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</si>
  <si>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</si>
  <si>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</si>
  <si>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</si>
  <si>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</si>
  <si>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</si>
  <si>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</si>
  <si>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</si>
  <si>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</si>
  <si>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</si>
  <si>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</si>
  <si>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</si>
  <si>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</si>
  <si>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</si>
  <si>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</si>
  <si>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</si>
  <si>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GYERMEKÉTKEZTETÉSI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</si>
  <si>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</si>
  <si>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</si>
  <si>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</si>
  <si>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</si>
  <si>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</si>
  <si>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</si>
  <si>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>2.3.2. Szociális ágazati pótlék és egészségügyi kiegészítő pótlék</t>
  </si>
  <si>
    <t>Egyes szociális és gyermekjóléti feldatok működési célú támogatása összesen</t>
  </si>
  <si>
    <t>2.4.2. Vármegyei hatókörű városi múzeumok feladatainak támogatása</t>
  </si>
  <si>
    <t>2.4.3. Vármegyei hatókörű városi  könyvtárak feladatainak támogatása</t>
  </si>
  <si>
    <t>2.4.8.Könyvtári érdekeltségnövelő támogatás</t>
  </si>
  <si>
    <t xml:space="preserve">2.4.7.  Települési önkormányzatok kulturális feladatainak bérjellegű támogatása  </t>
  </si>
  <si>
    <t xml:space="preserve">2.4.6.  Zeneművészeti szervezetek  támogatása  </t>
  </si>
  <si>
    <t>Kulturális feladatok támogatása összesen</t>
  </si>
  <si>
    <t>A kéményseprő ipari közszolgáltatás helyi önkormányzat általi ellátásának támogatása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</si>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</sst>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238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4"/>
      <color indexed="10"/>
      <name val="Arial CE"/>
      <family val="2"/>
      <charset val="238"/>
    </font>
    <font>
      <sz val="12"/>
      <name val="Arial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i/>
      <sz val="12"/>
      <name val="Arial CE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sz val="12"/>
      <color indexed="20"/>
      <name val="garamond"/>
      <family val="2"/>
      <charset val="238"/>
    </font>
    <font>
      <b/>
      <sz val="12"/>
      <color indexed="52"/>
      <name val="garamond"/>
      <family val="2"/>
      <charset val="238"/>
    </font>
    <font>
      <b/>
      <sz val="12"/>
      <color indexed="9"/>
      <name val="garamond"/>
      <family val="2"/>
      <charset val="238"/>
    </font>
    <font>
      <i/>
      <sz val="12"/>
      <color indexed="23"/>
      <name val="garamond"/>
      <family val="2"/>
      <charset val="238"/>
    </font>
    <font>
      <sz val="12"/>
      <color indexed="17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sz val="12"/>
      <color indexed="60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b/>
      <i/>
      <sz val="12"/>
      <name val="Arial"/>
      <family val="2"/>
      <charset val="238"/>
    </font>
    <font>
      <b/>
      <sz val="16"/>
      <name val="Arial CE"/>
      <family val="2"/>
      <charset val="238"/>
    </font>
    <font>
      <sz val="14"/>
      <name val="Arial CE"/>
      <charset val="238"/>
    </font>
    <font>
      <sz val="16"/>
      <name val="Arial CE"/>
      <family val="2"/>
      <charset val="238"/>
    </font>
    <font>
      <u/>
      <sz val="14"/>
      <name val="Arial CE"/>
      <family val="2"/>
      <charset val="238"/>
    </font>
    <font>
      <sz val="11"/>
      <color indexed="8"/>
      <name val="Calibri"/>
      <family val="2"/>
    </font>
    <font>
      <b/>
      <i/>
      <sz val="16"/>
      <name val="Arial CE"/>
      <charset val="238"/>
    </font>
    <font>
      <sz val="16"/>
      <name val="Times New Roman CE"/>
      <charset val="238"/>
    </font>
    <font>
      <b/>
      <sz val="16"/>
      <name val="Arial CE"/>
      <charset val="238"/>
    </font>
    <font>
      <b/>
      <sz val="16"/>
      <name val="Times New Roman CE"/>
      <charset val="238"/>
    </font>
    <font>
      <sz val="12"/>
      <color rgb="FFFF0000"/>
      <name val="Arial CE"/>
      <family val="2"/>
      <charset val="238"/>
    </font>
    <font>
      <sz val="14"/>
      <color rgb="FFFF0000"/>
      <name val="Arial CE"/>
      <family val="2"/>
      <charset val="238"/>
    </font>
    <font>
      <sz val="14"/>
      <color theme="1"/>
      <name val="Arial CE"/>
      <family val="2"/>
      <charset val="238"/>
    </font>
    <font>
      <sz val="12"/>
      <color theme="1"/>
      <name val="Arial CE"/>
      <family val="2"/>
      <charset val="238"/>
    </font>
    <font>
      <sz val="12"/>
      <color theme="1"/>
      <name val="Arial CE"/>
      <charset val="238"/>
    </font>
    <font>
      <b/>
      <i/>
      <u/>
      <sz val="14"/>
      <color rgb="FFFF0000"/>
      <name val="Arial CE"/>
      <charset val="238"/>
    </font>
    <font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sz val="14"/>
      <name val="Times New Roman CE"/>
      <charset val="238"/>
    </font>
    <font>
      <b/>
      <i/>
      <u/>
      <sz val="20"/>
      <color rgb="FFFF0000"/>
      <name val="Arial CE"/>
      <charset val="238"/>
    </font>
    <font>
      <sz val="14"/>
      <color rgb="FFEE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6"/>
      <name val="Calibri"/>
      <family val="2"/>
      <charset val="238"/>
      <scheme val="minor"/>
    </font>
    <font>
      <sz val="14"/>
      <color rgb="FF92D05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u/>
      <sz val="14"/>
      <name val="Arial CE"/>
      <charset val="238"/>
    </font>
    <font>
      <u/>
      <sz val="12"/>
      <name val="Arial CE"/>
      <family val="2"/>
      <charset val="238"/>
    </font>
    <font>
      <sz val="10"/>
      <name val="Arial"/>
      <family val="2"/>
      <charset val="238"/>
    </font>
    <font>
      <sz val="14"/>
      <color theme="1"/>
      <name val="Calibri"/>
      <family val="2"/>
      <charset val="238"/>
    </font>
    <font>
      <sz val="18"/>
      <color theme="1"/>
      <name val="Arial CE"/>
      <family val="2"/>
      <charset val="238"/>
    </font>
    <font>
      <b/>
      <sz val="14"/>
      <color theme="1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8"/>
      <color rgb="FFFF0000"/>
      <name val="Arial CE"/>
      <charset val="238"/>
    </font>
    <font>
      <sz val="18"/>
      <color theme="1"/>
      <name val="Arial CE"/>
      <charset val="238"/>
    </font>
    <font>
      <sz val="14"/>
      <color rgb="FFFF0000"/>
      <name val="Arial"/>
      <family val="2"/>
      <charset val="238"/>
    </font>
    <font>
      <sz val="11"/>
      <name val="Calibri"/>
      <family val="2"/>
      <charset val="238"/>
    </font>
    <font>
      <i/>
      <sz val="14"/>
      <name val="Calibri"/>
      <family val="2"/>
      <charset val="238"/>
    </font>
    <font>
      <i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u/>
      <sz val="11"/>
      <name val="Calibri"/>
      <family val="2"/>
      <charset val="238"/>
      <scheme val="minor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2"/>
      <name val="Arial"/>
      <family val="2"/>
    </font>
    <font>
      <b/>
      <sz val="11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</font>
    <font>
      <sz val="16"/>
      <color rgb="FFFF0000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b/>
      <i/>
      <sz val="11"/>
      <name val="Calibri"/>
      <family val="2"/>
      <charset val="238"/>
    </font>
    <font>
      <sz val="11"/>
      <name val="Arial"/>
      <family val="2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sz val="12"/>
      <color indexed="10"/>
      <name val="Times New Roman CE"/>
      <charset val="238"/>
    </font>
    <font>
      <sz val="13"/>
      <name val="Arial CE"/>
      <family val="2"/>
      <charset val="238"/>
    </font>
    <font>
      <sz val="14"/>
      <color indexed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  <charset val="238"/>
    </font>
    <font>
      <b/>
      <sz val="14"/>
      <color theme="1"/>
      <name val="Arial"/>
      <family val="2"/>
    </font>
    <font>
      <sz val="10"/>
      <color rgb="FFFF0000"/>
      <name val="Arial CE"/>
      <charset val="238"/>
    </font>
    <font>
      <b/>
      <sz val="10"/>
      <name val="Arial CE"/>
      <family val="2"/>
      <charset val="238"/>
    </font>
    <font>
      <sz val="12"/>
      <color theme="1"/>
      <name val="Arial"/>
      <family val="2"/>
    </font>
    <font>
      <sz val="12"/>
      <color indexed="10"/>
      <name val="Arial"/>
      <family val="2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name val="Arial CE"/>
      <family val="2"/>
      <charset val="238"/>
    </font>
    <font>
      <sz val="11"/>
      <color rgb="FFFF0000"/>
      <name val="Arial CE"/>
      <family val="2"/>
      <charset val="238"/>
    </font>
    <font>
      <sz val="8"/>
      <name val="Arial CE"/>
      <family val="2"/>
      <charset val="238"/>
    </font>
    <font>
      <sz val="10"/>
      <color indexed="8"/>
      <name val="MS Sans Serif"/>
      <charset val="238"/>
    </font>
    <font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36"/>
      <name val="Calibri"/>
      <family val="2"/>
      <charset val="238"/>
      <scheme val="minor"/>
    </font>
    <font>
      <b/>
      <sz val="30"/>
      <name val="Calibri"/>
      <family val="2"/>
      <charset val="238"/>
      <scheme val="minor"/>
    </font>
    <font>
      <b/>
      <sz val="36"/>
      <name val="Arial CE"/>
      <charset val="238"/>
    </font>
    <font>
      <b/>
      <sz val="44"/>
      <name val="Calibri"/>
      <family val="2"/>
      <charset val="238"/>
      <scheme val="minor"/>
    </font>
    <font>
      <b/>
      <sz val="44"/>
      <name val="Arial CE"/>
      <charset val="238"/>
    </font>
    <font>
      <sz val="36"/>
      <name val="Calibri"/>
      <family val="2"/>
      <charset val="238"/>
      <scheme val="minor"/>
    </font>
    <font>
      <sz val="36"/>
      <color rgb="FFFF0000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b/>
      <sz val="36"/>
      <color indexed="10"/>
      <name val="Calibri"/>
      <family val="2"/>
      <charset val="238"/>
      <scheme val="minor"/>
    </font>
    <font>
      <b/>
      <sz val="36"/>
      <color indexed="10"/>
      <name val="Arial CE"/>
      <charset val="238"/>
    </font>
    <font>
      <b/>
      <sz val="30"/>
      <name val="Arial CE"/>
      <charset val="238"/>
    </font>
    <font>
      <b/>
      <sz val="16"/>
      <name val="Calibri"/>
      <family val="2"/>
      <charset val="238"/>
      <scheme val="minor"/>
    </font>
    <font>
      <sz val="44"/>
      <name val="Calibri"/>
      <family val="2"/>
      <charset val="238"/>
      <scheme val="minor"/>
    </font>
    <font>
      <sz val="44"/>
      <name val="Arial CE"/>
      <family val="2"/>
      <charset val="238"/>
    </font>
    <font>
      <sz val="36"/>
      <color indexed="10"/>
      <name val="Calibri"/>
      <family val="2"/>
      <charset val="238"/>
      <scheme val="minor"/>
    </font>
    <font>
      <b/>
      <sz val="36"/>
      <color rgb="FFFF000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0"/>
      <color indexed="10"/>
      <name val="Calibri"/>
      <family val="2"/>
      <charset val="238"/>
      <scheme val="minor"/>
    </font>
    <font>
      <b/>
      <sz val="20"/>
      <color indexed="10"/>
      <name val="Arial CE"/>
      <charset val="238"/>
    </font>
    <font>
      <b/>
      <sz val="36"/>
      <name val="Arial CE"/>
      <family val="2"/>
      <charset val="238"/>
    </font>
    <font>
      <sz val="36"/>
      <name val="Arial CE"/>
      <family val="2"/>
      <charset val="238"/>
    </font>
    <font>
      <sz val="36"/>
      <name val="Arial CE"/>
      <charset val="238"/>
    </font>
    <font>
      <sz val="16"/>
      <name val="Arial CE"/>
      <charset val="238"/>
    </font>
    <font>
      <sz val="26"/>
      <name val="Times New Roman CE"/>
      <charset val="238"/>
    </font>
    <font>
      <b/>
      <sz val="26"/>
      <name val="Arial CE"/>
      <family val="2"/>
      <charset val="238"/>
    </font>
    <font>
      <b/>
      <sz val="2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6"/>
      <name val="Times New Roman CE"/>
      <charset val="238"/>
    </font>
    <font>
      <b/>
      <sz val="22"/>
      <name val="Calibri"/>
      <family val="2"/>
      <charset val="238"/>
      <scheme val="minor"/>
    </font>
    <font>
      <b/>
      <u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8"/>
      <color indexed="10"/>
      <name val="Calibri"/>
      <family val="2"/>
      <charset val="238"/>
      <scheme val="minor"/>
    </font>
    <font>
      <b/>
      <sz val="22"/>
      <color indexed="10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sz val="16"/>
      <color indexed="10"/>
      <name val="Times New Roman CE"/>
      <charset val="238"/>
    </font>
    <font>
      <b/>
      <sz val="16"/>
      <color indexed="10"/>
      <name val="Arial CE"/>
      <family val="2"/>
      <charset val="238"/>
    </font>
    <font>
      <b/>
      <sz val="28"/>
      <color indexed="10"/>
      <name val="Calibri"/>
      <family val="2"/>
      <charset val="238"/>
      <scheme val="minor"/>
    </font>
    <font>
      <b/>
      <u/>
      <sz val="26"/>
      <color rgb="FFFF0000"/>
      <name val="Calibri"/>
      <family val="2"/>
      <charset val="238"/>
      <scheme val="minor"/>
    </font>
    <font>
      <b/>
      <sz val="26"/>
      <color indexed="10"/>
      <name val="Calibri"/>
      <family val="2"/>
      <charset val="238"/>
      <scheme val="minor"/>
    </font>
    <font>
      <b/>
      <u/>
      <sz val="26"/>
      <color indexed="10"/>
      <name val="Calibri"/>
      <family val="2"/>
      <charset val="238"/>
      <scheme val="minor"/>
    </font>
    <font>
      <b/>
      <sz val="22"/>
      <color indexed="10"/>
      <name val="Arial CE"/>
      <family val="2"/>
      <charset val="238"/>
    </font>
    <font>
      <b/>
      <u/>
      <sz val="26"/>
      <name val="Arial CE"/>
      <family val="2"/>
      <charset val="238"/>
    </font>
    <font>
      <b/>
      <sz val="26"/>
      <color indexed="10"/>
      <name val="Arial CE"/>
      <family val="2"/>
      <charset val="238"/>
    </font>
    <font>
      <b/>
      <sz val="40"/>
      <name val="Calibri"/>
      <family val="2"/>
      <charset val="238"/>
      <scheme val="minor"/>
    </font>
    <font>
      <b/>
      <sz val="40"/>
      <name val="Arial CE"/>
      <charset val="238"/>
    </font>
    <font>
      <sz val="40"/>
      <name val="Calibri"/>
      <family val="2"/>
      <charset val="238"/>
      <scheme val="minor"/>
    </font>
    <font>
      <sz val="40"/>
      <color rgb="FFFF0000"/>
      <name val="Calibri"/>
      <family val="2"/>
      <charset val="238"/>
      <scheme val="minor"/>
    </font>
    <font>
      <b/>
      <i/>
      <sz val="4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u/>
      <sz val="13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u/>
      <sz val="14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6"/>
      <color rgb="FFFF0000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3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i/>
      <sz val="13"/>
      <name val="Arial CE"/>
      <charset val="238"/>
    </font>
    <font>
      <sz val="13"/>
      <name val="Times New Roman CE"/>
      <charset val="238"/>
    </font>
    <font>
      <b/>
      <sz val="13"/>
      <name val="Calibri"/>
      <family val="2"/>
      <charset val="238"/>
    </font>
    <font>
      <b/>
      <sz val="22"/>
      <name val="Calibri"/>
      <family val="2"/>
      <charset val="238"/>
    </font>
    <font>
      <b/>
      <sz val="22"/>
      <color theme="1"/>
      <name val="Calibri"/>
      <family val="2"/>
      <charset val="238"/>
    </font>
    <font>
      <sz val="22"/>
      <color theme="1"/>
      <name val="Calibri"/>
      <family val="2"/>
      <charset val="238"/>
    </font>
    <font>
      <sz val="22"/>
      <name val="Calibri"/>
      <family val="2"/>
      <charset val="238"/>
    </font>
    <font>
      <b/>
      <i/>
      <sz val="22"/>
      <name val="Calibri"/>
      <family val="2"/>
      <charset val="238"/>
    </font>
    <font>
      <b/>
      <sz val="28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6"/>
      <color indexed="8"/>
      <name val="Calibri"/>
      <family val="2"/>
      <charset val="238"/>
    </font>
    <font>
      <b/>
      <sz val="26"/>
      <color indexed="8"/>
      <name val="Arial"/>
      <family val="2"/>
      <charset val="238"/>
    </font>
    <font>
      <b/>
      <sz val="26"/>
      <color theme="1"/>
      <name val="Calibri"/>
      <family val="2"/>
      <charset val="238"/>
    </font>
    <font>
      <sz val="26"/>
      <color theme="1"/>
      <name val="Calibri"/>
      <family val="2"/>
      <charset val="238"/>
    </font>
    <font>
      <sz val="26"/>
      <color indexed="8"/>
      <name val="Calibri"/>
      <family val="2"/>
      <charset val="238"/>
    </font>
    <font>
      <b/>
      <sz val="26"/>
      <color theme="1"/>
      <name val="Arial"/>
      <family val="2"/>
      <charset val="238"/>
    </font>
    <font>
      <sz val="26"/>
      <name val="Calibri"/>
      <family val="2"/>
      <charset val="238"/>
    </font>
    <font>
      <b/>
      <i/>
      <sz val="26"/>
      <name val="Calibri"/>
      <family val="2"/>
      <charset val="238"/>
    </font>
    <font>
      <b/>
      <sz val="30"/>
      <name val="Calibri"/>
      <family val="2"/>
      <charset val="238"/>
    </font>
    <font>
      <b/>
      <sz val="30"/>
      <color indexed="8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</fills>
  <borders count="1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106">
    <xf numFmtId="0" fontId="0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8" borderId="0" applyNumberFormat="0" applyBorder="0" applyAlignment="0" applyProtection="0"/>
    <xf numFmtId="0" fontId="36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15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4" borderId="0" applyNumberFormat="0" applyBorder="0" applyAlignment="0" applyProtection="0"/>
    <xf numFmtId="0" fontId="3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37" fillId="19" borderId="0" applyNumberFormat="0" applyBorder="0" applyAlignment="0" applyProtection="0"/>
    <xf numFmtId="0" fontId="37" fillId="5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3" borderId="0" applyNumberFormat="0" applyBorder="0" applyAlignment="0" applyProtection="0"/>
    <xf numFmtId="0" fontId="38" fillId="10" borderId="0" applyNumberFormat="0" applyBorder="0" applyAlignment="0" applyProtection="0"/>
    <xf numFmtId="0" fontId="17" fillId="15" borderId="1" applyNumberFormat="0" applyAlignment="0" applyProtection="0"/>
    <xf numFmtId="0" fontId="39" fillId="24" borderId="1" applyNumberFormat="0" applyAlignment="0" applyProtection="0"/>
    <xf numFmtId="0" fontId="40" fillId="25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25" borderId="2" applyNumberFormat="0" applyAlignment="0" applyProtection="0"/>
    <xf numFmtId="0" fontId="4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5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46" fillId="7" borderId="1" applyNumberFormat="0" applyAlignment="0" applyProtection="0"/>
    <xf numFmtId="0" fontId="4" fillId="6" borderId="10" applyNumberFormat="0" applyFont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4" fillId="8" borderId="0" applyNumberFormat="0" applyBorder="0" applyAlignment="0" applyProtection="0"/>
    <xf numFmtId="0" fontId="25" fillId="26" borderId="11" applyNumberFormat="0" applyAlignment="0" applyProtection="0"/>
    <xf numFmtId="0" fontId="47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36" fillId="6" borderId="10" applyNumberFormat="0" applyFont="0" applyAlignment="0" applyProtection="0"/>
    <xf numFmtId="0" fontId="49" fillId="24" borderId="11" applyNumberFormat="0" applyAlignment="0" applyProtection="0"/>
    <xf numFmtId="0" fontId="27" fillId="0" borderId="13" applyNumberFormat="0" applyFill="0" applyAlignment="0" applyProtection="0"/>
    <xf numFmtId="0" fontId="28" fillId="12" borderId="0" applyNumberFormat="0" applyBorder="0" applyAlignment="0" applyProtection="0"/>
    <xf numFmtId="0" fontId="29" fillId="15" borderId="0" applyNumberFormat="0" applyBorder="0" applyAlignment="0" applyProtection="0"/>
    <xf numFmtId="0" fontId="30" fillId="26" borderId="1" applyNumberFormat="0" applyAlignment="0" applyProtection="0"/>
    <xf numFmtId="0" fontId="50" fillId="0" borderId="0" applyNumberFormat="0" applyFill="0" applyBorder="0" applyAlignment="0" applyProtection="0"/>
    <xf numFmtId="0" fontId="51" fillId="0" borderId="14" applyNumberFormat="0" applyFill="0" applyAlignment="0" applyProtection="0"/>
    <xf numFmtId="0" fontId="52" fillId="0" borderId="0" applyNumberFormat="0" applyFill="0" applyBorder="0" applyAlignment="0" applyProtection="0"/>
    <xf numFmtId="0" fontId="4" fillId="0" borderId="0"/>
    <xf numFmtId="0" fontId="97" fillId="0" borderId="0"/>
    <xf numFmtId="0" fontId="9" fillId="0" borderId="0"/>
    <xf numFmtId="0" fontId="5" fillId="0" borderId="0"/>
    <xf numFmtId="0" fontId="5" fillId="0" borderId="0"/>
    <xf numFmtId="0" fontId="90" fillId="0" borderId="0"/>
    <xf numFmtId="0" fontId="90" fillId="0" borderId="0"/>
    <xf numFmtId="0" fontId="5" fillId="0" borderId="0"/>
    <xf numFmtId="0" fontId="5" fillId="0" borderId="0"/>
    <xf numFmtId="0" fontId="90" fillId="0" borderId="0"/>
    <xf numFmtId="0" fontId="90" fillId="0" borderId="0"/>
    <xf numFmtId="0" fontId="90" fillId="0" borderId="0"/>
    <xf numFmtId="0" fontId="146" fillId="0" borderId="0"/>
    <xf numFmtId="0" fontId="5" fillId="0" borderId="0"/>
    <xf numFmtId="0" fontId="90" fillId="0" borderId="0"/>
    <xf numFmtId="0" fontId="90" fillId="0" borderId="0"/>
    <xf numFmtId="0" fontId="97" fillId="0" borderId="0"/>
    <xf numFmtId="0" fontId="1" fillId="0" borderId="0"/>
  </cellStyleXfs>
  <cellXfs count="2102">
    <xf numFmtId="0" fontId="0" fillId="0" borderId="0" xfId="0"/>
    <xf numFmtId="0" fontId="7" fillId="0" borderId="0" xfId="0" applyFont="1"/>
    <xf numFmtId="3" fontId="6" fillId="0" borderId="0" xfId="0" applyNumberFormat="1" applyFont="1"/>
    <xf numFmtId="3" fontId="7" fillId="0" borderId="0" xfId="0" applyNumberFormat="1" applyFont="1"/>
    <xf numFmtId="0" fontId="6" fillId="0" borderId="0" xfId="0" applyFont="1"/>
    <xf numFmtId="3" fontId="7" fillId="0" borderId="0" xfId="0" applyNumberFormat="1" applyFont="1" applyProtection="1"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3" fontId="8" fillId="0" borderId="0" xfId="0" applyNumberFormat="1" applyFont="1"/>
    <xf numFmtId="0" fontId="7" fillId="0" borderId="0" xfId="77" applyFont="1"/>
    <xf numFmtId="3" fontId="7" fillId="0" borderId="0" xfId="77" applyNumberFormat="1" applyFont="1"/>
    <xf numFmtId="3" fontId="11" fillId="0" borderId="0" xfId="0" applyNumberFormat="1" applyFont="1"/>
    <xf numFmtId="0" fontId="14" fillId="0" borderId="0" xfId="0" applyFont="1"/>
    <xf numFmtId="0" fontId="6" fillId="27" borderId="0" xfId="0" applyFont="1" applyFill="1" applyAlignment="1">
      <alignment horizontal="center"/>
    </xf>
    <xf numFmtId="3" fontId="33" fillId="0" borderId="0" xfId="0" applyNumberFormat="1" applyFont="1" applyAlignment="1">
      <alignment horizontal="right"/>
    </xf>
    <xf numFmtId="0" fontId="35" fillId="0" borderId="0" xfId="0" applyFont="1"/>
    <xf numFmtId="0" fontId="10" fillId="0" borderId="0" xfId="77" applyFont="1"/>
    <xf numFmtId="3" fontId="7" fillId="0" borderId="0" xfId="77" applyNumberFormat="1" applyFont="1" applyAlignment="1">
      <alignment horizontal="right"/>
    </xf>
    <xf numFmtId="0" fontId="7" fillId="0" borderId="0" xfId="77" applyFont="1" applyAlignment="1">
      <alignment horizontal="center"/>
    </xf>
    <xf numFmtId="0" fontId="6" fillId="0" borderId="0" xfId="77" applyFont="1" applyAlignment="1">
      <alignment horizontal="center"/>
    </xf>
    <xf numFmtId="3" fontId="33" fillId="0" borderId="0" xfId="0" applyNumberFormat="1" applyFont="1"/>
    <xf numFmtId="3" fontId="31" fillId="0" borderId="0" xfId="0" applyNumberFormat="1" applyFont="1"/>
    <xf numFmtId="0" fontId="12" fillId="0" borderId="0" xfId="0" applyFont="1" applyAlignment="1">
      <alignment horizontal="center"/>
    </xf>
    <xf numFmtId="3" fontId="54" fillId="0" borderId="0" xfId="0" applyNumberFormat="1" applyFont="1"/>
    <xf numFmtId="3" fontId="7" fillId="0" borderId="0" xfId="0" applyNumberFormat="1" applyFont="1" applyAlignment="1">
      <alignment wrapText="1"/>
    </xf>
    <xf numFmtId="0" fontId="35" fillId="0" borderId="0" xfId="77" applyFont="1" applyAlignment="1">
      <alignment horizontal="left"/>
    </xf>
    <xf numFmtId="0" fontId="8" fillId="0" borderId="0" xfId="0" applyFont="1" applyAlignment="1">
      <alignment horizontal="justify"/>
    </xf>
    <xf numFmtId="0" fontId="14" fillId="0" borderId="0" xfId="77" applyFont="1"/>
    <xf numFmtId="0" fontId="35" fillId="0" borderId="0" xfId="77" applyFont="1"/>
    <xf numFmtId="3" fontId="53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center"/>
    </xf>
    <xf numFmtId="0" fontId="56" fillId="0" borderId="0" xfId="0" applyFont="1"/>
    <xf numFmtId="0" fontId="33" fillId="0" borderId="0" xfId="0" applyFont="1"/>
    <xf numFmtId="0" fontId="7" fillId="0" borderId="0" xfId="0" applyFont="1" applyAlignment="1">
      <alignment horizontal="justify"/>
    </xf>
    <xf numFmtId="3" fontId="56" fillId="0" borderId="0" xfId="0" applyNumberFormat="1" applyFont="1"/>
    <xf numFmtId="0" fontId="59" fillId="0" borderId="0" xfId="0" applyFont="1"/>
    <xf numFmtId="3" fontId="60" fillId="0" borderId="0" xfId="0" applyNumberFormat="1" applyFont="1"/>
    <xf numFmtId="0" fontId="60" fillId="0" borderId="0" xfId="0" applyFont="1"/>
    <xf numFmtId="0" fontId="61" fillId="0" borderId="0" xfId="0" applyFont="1"/>
    <xf numFmtId="0" fontId="54" fillId="0" borderId="0" xfId="0" applyFont="1"/>
    <xf numFmtId="3" fontId="62" fillId="0" borderId="0" xfId="0" applyNumberFormat="1" applyFont="1"/>
    <xf numFmtId="0" fontId="62" fillId="0" borderId="0" xfId="0" applyFont="1"/>
    <xf numFmtId="0" fontId="9" fillId="0" borderId="0" xfId="77" applyFont="1"/>
    <xf numFmtId="0" fontId="55" fillId="0" borderId="0" xfId="77" applyFont="1"/>
    <xf numFmtId="3" fontId="65" fillId="0" borderId="0" xfId="77" applyNumberFormat="1" applyFont="1"/>
    <xf numFmtId="3" fontId="68" fillId="0" borderId="0" xfId="0" applyNumberFormat="1" applyFont="1"/>
    <xf numFmtId="3" fontId="32" fillId="0" borderId="0" xfId="0" applyNumberFormat="1" applyFont="1"/>
    <xf numFmtId="3" fontId="64" fillId="0" borderId="0" xfId="0" applyNumberFormat="1" applyFont="1"/>
    <xf numFmtId="4" fontId="7" fillId="0" borderId="0" xfId="0" applyNumberFormat="1" applyFont="1"/>
    <xf numFmtId="4" fontId="35" fillId="0" borderId="0" xfId="0" applyNumberFormat="1" applyFont="1"/>
    <xf numFmtId="2" fontId="7" fillId="0" borderId="0" xfId="77" applyNumberFormat="1" applyFont="1"/>
    <xf numFmtId="4" fontId="62" fillId="0" borderId="0" xfId="0" applyNumberFormat="1" applyFont="1"/>
    <xf numFmtId="0" fontId="70" fillId="0" borderId="0" xfId="0" applyFont="1" applyAlignment="1">
      <alignment horizontal="center"/>
    </xf>
    <xf numFmtId="0" fontId="71" fillId="0" borderId="0" xfId="0" applyFont="1"/>
    <xf numFmtId="0" fontId="71" fillId="0" borderId="16" xfId="0" applyFont="1" applyBorder="1"/>
    <xf numFmtId="0" fontId="70" fillId="0" borderId="16" xfId="0" applyFont="1" applyBorder="1"/>
    <xf numFmtId="3" fontId="7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0" fillId="0" borderId="23" xfId="0" applyNumberFormat="1" applyFont="1" applyBorder="1"/>
    <xf numFmtId="3" fontId="70" fillId="0" borderId="0" xfId="0" applyNumberFormat="1" applyFont="1"/>
    <xf numFmtId="0" fontId="70" fillId="0" borderId="0" xfId="0" applyFont="1"/>
    <xf numFmtId="3" fontId="70" fillId="0" borderId="0" xfId="0" applyNumberFormat="1" applyFont="1" applyAlignment="1">
      <alignment wrapText="1"/>
    </xf>
    <xf numFmtId="3" fontId="72" fillId="0" borderId="0" xfId="0" applyNumberFormat="1" applyFont="1"/>
    <xf numFmtId="3" fontId="71" fillId="0" borderId="0" xfId="0" applyNumberFormat="1" applyFont="1"/>
    <xf numFmtId="3" fontId="71" fillId="0" borderId="0" xfId="0" applyNumberFormat="1" applyFont="1" applyAlignment="1">
      <alignment wrapText="1"/>
    </xf>
    <xf numFmtId="0" fontId="71" fillId="0" borderId="0" xfId="0" applyFont="1" applyAlignment="1">
      <alignment horizontal="right"/>
    </xf>
    <xf numFmtId="0" fontId="71" fillId="0" borderId="0" xfId="0" applyFont="1" applyAlignment="1">
      <alignment wrapText="1"/>
    </xf>
    <xf numFmtId="3" fontId="70" fillId="0" borderId="0" xfId="0" applyNumberFormat="1" applyFont="1" applyAlignment="1">
      <alignment horizontal="center"/>
    </xf>
    <xf numFmtId="3" fontId="73" fillId="0" borderId="0" xfId="0" applyNumberFormat="1" applyFont="1" applyAlignment="1">
      <alignment horizontal="center"/>
    </xf>
    <xf numFmtId="0" fontId="70" fillId="0" borderId="19" xfId="0" applyFont="1" applyBorder="1" applyAlignment="1">
      <alignment horizontal="left"/>
    </xf>
    <xf numFmtId="3" fontId="70" fillId="0" borderId="16" xfId="0" applyNumberFormat="1" applyFont="1" applyBorder="1" applyAlignment="1">
      <alignment horizontal="center"/>
    </xf>
    <xf numFmtId="3" fontId="70" fillId="0" borderId="0" xfId="0" applyNumberFormat="1" applyFont="1" applyAlignment="1">
      <alignment horizontal="left"/>
    </xf>
    <xf numFmtId="0" fontId="71" fillId="0" borderId="0" xfId="77" applyFont="1"/>
    <xf numFmtId="0" fontId="2" fillId="0" borderId="0" xfId="0" applyFont="1" applyAlignment="1">
      <alignment horizontal="right"/>
    </xf>
    <xf numFmtId="3" fontId="74" fillId="0" borderId="0" xfId="0" applyNumberFormat="1" applyFont="1"/>
    <xf numFmtId="0" fontId="74" fillId="0" borderId="0" xfId="0" applyFont="1"/>
    <xf numFmtId="2" fontId="70" fillId="0" borderId="0" xfId="0" applyNumberFormat="1" applyFont="1"/>
    <xf numFmtId="0" fontId="73" fillId="0" borderId="0" xfId="77" applyFont="1"/>
    <xf numFmtId="3" fontId="71" fillId="0" borderId="0" xfId="77" applyNumberFormat="1" applyFont="1" applyAlignment="1">
      <alignment horizontal="right"/>
    </xf>
    <xf numFmtId="3" fontId="71" fillId="0" borderId="0" xfId="77" applyNumberFormat="1" applyFont="1"/>
    <xf numFmtId="3" fontId="2" fillId="0" borderId="0" xfId="77" applyNumberFormat="1" applyFont="1"/>
    <xf numFmtId="0" fontId="71" fillId="0" borderId="16" xfId="77" applyFont="1" applyBorder="1" applyAlignment="1">
      <alignment horizontal="justify"/>
    </xf>
    <xf numFmtId="3" fontId="2" fillId="0" borderId="0" xfId="77" applyNumberFormat="1" applyFont="1" applyAlignment="1">
      <alignment wrapText="1"/>
    </xf>
    <xf numFmtId="0" fontId="74" fillId="0" borderId="0" xfId="77" applyFont="1"/>
    <xf numFmtId="0" fontId="2" fillId="0" borderId="0" xfId="77" applyFont="1"/>
    <xf numFmtId="3" fontId="75" fillId="0" borderId="0" xfId="77" applyNumberFormat="1" applyFont="1"/>
    <xf numFmtId="3" fontId="76" fillId="0" borderId="15" xfId="0" applyNumberFormat="1" applyFont="1" applyBorder="1"/>
    <xf numFmtId="2" fontId="76" fillId="0" borderId="98" xfId="0" applyNumberFormat="1" applyFont="1" applyBorder="1"/>
    <xf numFmtId="3" fontId="76" fillId="0" borderId="36" xfId="0" applyNumberFormat="1" applyFont="1" applyBorder="1"/>
    <xf numFmtId="2" fontId="76" fillId="0" borderId="68" xfId="0" applyNumberFormat="1" applyFont="1" applyBorder="1"/>
    <xf numFmtId="3" fontId="76" fillId="0" borderId="83" xfId="0" applyNumberFormat="1" applyFont="1" applyBorder="1"/>
    <xf numFmtId="3" fontId="77" fillId="0" borderId="97" xfId="0" applyNumberFormat="1" applyFont="1" applyBorder="1"/>
    <xf numFmtId="3" fontId="77" fillId="0" borderId="96" xfId="0" applyNumberFormat="1" applyFont="1" applyBorder="1"/>
    <xf numFmtId="3" fontId="77" fillId="0" borderId="43" xfId="0" applyNumberFormat="1" applyFont="1" applyBorder="1"/>
    <xf numFmtId="4" fontId="77" fillId="0" borderId="77" xfId="0" applyNumberFormat="1" applyFont="1" applyBorder="1"/>
    <xf numFmtId="3" fontId="77" fillId="0" borderId="16" xfId="0" applyNumberFormat="1" applyFont="1" applyBorder="1" applyAlignment="1">
      <alignment horizontal="center"/>
    </xf>
    <xf numFmtId="0" fontId="77" fillId="27" borderId="45" xfId="0" applyFont="1" applyFill="1" applyBorder="1" applyAlignment="1">
      <alignment horizontal="center"/>
    </xf>
    <xf numFmtId="0" fontId="77" fillId="27" borderId="63" xfId="0" applyFont="1" applyFill="1" applyBorder="1" applyAlignment="1">
      <alignment horizontal="center"/>
    </xf>
    <xf numFmtId="0" fontId="77" fillId="0" borderId="55" xfId="0" applyFont="1" applyBorder="1" applyAlignment="1">
      <alignment horizontal="center"/>
    </xf>
    <xf numFmtId="0" fontId="77" fillId="27" borderId="15" xfId="0" applyFont="1" applyFill="1" applyBorder="1" applyAlignment="1">
      <alignment horizontal="center"/>
    </xf>
    <xf numFmtId="0" fontId="77" fillId="0" borderId="61" xfId="0" applyFont="1" applyBorder="1" applyAlignment="1">
      <alignment horizontal="center"/>
    </xf>
    <xf numFmtId="0" fontId="77" fillId="0" borderId="81" xfId="0" applyFont="1" applyBorder="1" applyAlignment="1">
      <alignment horizontal="center"/>
    </xf>
    <xf numFmtId="4" fontId="76" fillId="0" borderId="68" xfId="0" applyNumberFormat="1" applyFont="1" applyBorder="1"/>
    <xf numFmtId="3" fontId="76" fillId="0" borderId="36" xfId="0" applyNumberFormat="1" applyFont="1" applyBorder="1" applyAlignment="1">
      <alignment horizontal="right"/>
    </xf>
    <xf numFmtId="0" fontId="77" fillId="0" borderId="15" xfId="0" applyFont="1" applyBorder="1" applyAlignment="1">
      <alignment horizontal="center"/>
    </xf>
    <xf numFmtId="0" fontId="77" fillId="0" borderId="83" xfId="0" applyFont="1" applyBorder="1" applyAlignment="1">
      <alignment horizontal="center"/>
    </xf>
    <xf numFmtId="0" fontId="77" fillId="0" borderId="0" xfId="0" applyFont="1" applyAlignment="1">
      <alignment horizontal="center"/>
    </xf>
    <xf numFmtId="3" fontId="77" fillId="0" borderId="21" xfId="0" applyNumberFormat="1" applyFont="1" applyBorder="1"/>
    <xf numFmtId="4" fontId="77" fillId="0" borderId="78" xfId="0" applyNumberFormat="1" applyFont="1" applyBorder="1"/>
    <xf numFmtId="3" fontId="77" fillId="0" borderId="45" xfId="0" applyNumberFormat="1" applyFont="1" applyBorder="1"/>
    <xf numFmtId="3" fontId="77" fillId="0" borderId="46" xfId="0" applyNumberFormat="1" applyFont="1" applyBorder="1"/>
    <xf numFmtId="3" fontId="76" fillId="0" borderId="104" xfId="77" applyNumberFormat="1" applyFont="1" applyBorder="1" applyAlignment="1">
      <alignment horizontal="right"/>
    </xf>
    <xf numFmtId="3" fontId="76" fillId="0" borderId="51" xfId="0" applyNumberFormat="1" applyFont="1" applyBorder="1"/>
    <xf numFmtId="4" fontId="76" fillId="0" borderId="67" xfId="0" applyNumberFormat="1" applyFont="1" applyBorder="1"/>
    <xf numFmtId="3" fontId="76" fillId="0" borderId="34" xfId="0" applyNumberFormat="1" applyFont="1" applyBorder="1"/>
    <xf numFmtId="3" fontId="77" fillId="0" borderId="15" xfId="0" applyNumberFormat="1" applyFont="1" applyBorder="1"/>
    <xf numFmtId="3" fontId="77" fillId="0" borderId="83" xfId="0" applyNumberFormat="1" applyFont="1" applyBorder="1"/>
    <xf numFmtId="3" fontId="76" fillId="0" borderId="61" xfId="0" applyNumberFormat="1" applyFont="1" applyBorder="1"/>
    <xf numFmtId="3" fontId="76" fillId="0" borderId="81" xfId="0" applyNumberFormat="1" applyFont="1" applyBorder="1"/>
    <xf numFmtId="3" fontId="76" fillId="0" borderId="15" xfId="0" applyNumberFormat="1" applyFont="1" applyBorder="1" applyAlignment="1">
      <alignment horizontal="right"/>
    </xf>
    <xf numFmtId="4" fontId="76" fillId="0" borderId="98" xfId="0" applyNumberFormat="1" applyFont="1" applyBorder="1" applyAlignment="1">
      <alignment horizontal="right"/>
    </xf>
    <xf numFmtId="4" fontId="76" fillId="0" borderId="68" xfId="0" applyNumberFormat="1" applyFont="1" applyBorder="1" applyAlignment="1">
      <alignment horizontal="right"/>
    </xf>
    <xf numFmtId="3" fontId="76" fillId="0" borderId="88" xfId="0" applyNumberFormat="1" applyFont="1" applyBorder="1"/>
    <xf numFmtId="4" fontId="76" fillId="0" borderId="60" xfId="0" applyNumberFormat="1" applyFont="1" applyBorder="1" applyAlignment="1">
      <alignment horizontal="right"/>
    </xf>
    <xf numFmtId="3" fontId="77" fillId="0" borderId="61" xfId="0" applyNumberFormat="1" applyFont="1" applyBorder="1"/>
    <xf numFmtId="4" fontId="77" fillId="0" borderId="81" xfId="0" applyNumberFormat="1" applyFont="1" applyBorder="1"/>
    <xf numFmtId="4" fontId="76" fillId="0" borderId="0" xfId="0" applyNumberFormat="1" applyFont="1" applyAlignment="1">
      <alignment horizontal="right"/>
    </xf>
    <xf numFmtId="4" fontId="77" fillId="27" borderId="27" xfId="0" applyNumberFormat="1" applyFont="1" applyFill="1" applyBorder="1" applyAlignment="1">
      <alignment horizontal="center"/>
    </xf>
    <xf numFmtId="4" fontId="77" fillId="27" borderId="59" xfId="0" applyNumberFormat="1" applyFont="1" applyFill="1" applyBorder="1" applyAlignment="1">
      <alignment horizontal="center"/>
    </xf>
    <xf numFmtId="4" fontId="77" fillId="0" borderId="81" xfId="0" applyNumberFormat="1" applyFont="1" applyBorder="1" applyAlignment="1">
      <alignment horizontal="center"/>
    </xf>
    <xf numFmtId="4" fontId="77" fillId="0" borderId="83" xfId="0" applyNumberFormat="1" applyFont="1" applyBorder="1" applyAlignment="1">
      <alignment horizontal="center"/>
    </xf>
    <xf numFmtId="3" fontId="77" fillId="0" borderId="21" xfId="0" applyNumberFormat="1" applyFont="1" applyBorder="1" applyAlignment="1">
      <alignment horizontal="right"/>
    </xf>
    <xf numFmtId="3" fontId="77" fillId="0" borderId="32" xfId="0" applyNumberFormat="1" applyFont="1" applyBorder="1" applyAlignment="1">
      <alignment horizontal="right"/>
    </xf>
    <xf numFmtId="4" fontId="77" fillId="0" borderId="54" xfId="0" applyNumberFormat="1" applyFont="1" applyBorder="1"/>
    <xf numFmtId="4" fontId="77" fillId="0" borderId="46" xfId="0" applyNumberFormat="1" applyFont="1" applyBorder="1"/>
    <xf numFmtId="4" fontId="77" fillId="0" borderId="53" xfId="0" applyNumberFormat="1" applyFont="1" applyBorder="1"/>
    <xf numFmtId="4" fontId="76" fillId="0" borderId="67" xfId="0" applyNumberFormat="1" applyFont="1" applyBorder="1" applyAlignment="1">
      <alignment horizontal="right"/>
    </xf>
    <xf numFmtId="3" fontId="76" fillId="29" borderId="36" xfId="0" applyNumberFormat="1" applyFont="1" applyFill="1" applyBorder="1"/>
    <xf numFmtId="4" fontId="76" fillId="0" borderId="83" xfId="0" applyNumberFormat="1" applyFont="1" applyBorder="1"/>
    <xf numFmtId="4" fontId="76" fillId="0" borderId="81" xfId="0" applyNumberFormat="1" applyFont="1" applyBorder="1"/>
    <xf numFmtId="3" fontId="77" fillId="0" borderId="53" xfId="0" applyNumberFormat="1" applyFont="1" applyBorder="1"/>
    <xf numFmtId="3" fontId="77" fillId="0" borderId="18" xfId="0" applyNumberFormat="1" applyFont="1" applyBorder="1"/>
    <xf numFmtId="3" fontId="76" fillId="0" borderId="18" xfId="0" applyNumberFormat="1" applyFont="1" applyBorder="1"/>
    <xf numFmtId="3" fontId="76" fillId="0" borderId="16" xfId="0" applyNumberFormat="1" applyFont="1" applyBorder="1"/>
    <xf numFmtId="3" fontId="77" fillId="0" borderId="89" xfId="0" applyNumberFormat="1" applyFont="1" applyBorder="1"/>
    <xf numFmtId="4" fontId="76" fillId="0" borderId="82" xfId="0" applyNumberFormat="1" applyFont="1" applyBorder="1"/>
    <xf numFmtId="3" fontId="77" fillId="0" borderId="0" xfId="0" applyNumberFormat="1" applyFont="1"/>
    <xf numFmtId="4" fontId="77" fillId="0" borderId="83" xfId="0" applyNumberFormat="1" applyFont="1" applyBorder="1"/>
    <xf numFmtId="4" fontId="76" fillId="0" borderId="76" xfId="0" applyNumberFormat="1" applyFont="1" applyBorder="1"/>
    <xf numFmtId="0" fontId="77" fillId="0" borderId="53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27" borderId="61" xfId="0" applyFont="1" applyFill="1" applyBorder="1" applyAlignment="1">
      <alignment horizontal="center"/>
    </xf>
    <xf numFmtId="0" fontId="77" fillId="0" borderId="28" xfId="0" applyFont="1" applyBorder="1" applyAlignment="1">
      <alignment horizontal="center"/>
    </xf>
    <xf numFmtId="2" fontId="76" fillId="0" borderId="67" xfId="0" applyNumberFormat="1" applyFont="1" applyBorder="1"/>
    <xf numFmtId="3" fontId="77" fillId="0" borderId="44" xfId="0" applyNumberFormat="1" applyFont="1" applyBorder="1"/>
    <xf numFmtId="2" fontId="77" fillId="0" borderId="54" xfId="0" applyNumberFormat="1" applyFont="1" applyBorder="1"/>
    <xf numFmtId="3" fontId="76" fillId="0" borderId="104" xfId="0" applyNumberFormat="1" applyFont="1" applyBorder="1"/>
    <xf numFmtId="3" fontId="76" fillId="0" borderId="29" xfId="0" applyNumberFormat="1" applyFont="1" applyBorder="1"/>
    <xf numFmtId="2" fontId="77" fillId="0" borderId="56" xfId="0" applyNumberFormat="1" applyFont="1" applyBorder="1"/>
    <xf numFmtId="2" fontId="77" fillId="0" borderId="60" xfId="0" applyNumberFormat="1" applyFont="1" applyBorder="1"/>
    <xf numFmtId="0" fontId="77" fillId="27" borderId="53" xfId="0" applyFont="1" applyFill="1" applyBorder="1" applyAlignment="1">
      <alignment horizontal="center"/>
    </xf>
    <xf numFmtId="0" fontId="77" fillId="27" borderId="28" xfId="0" applyFont="1" applyFill="1" applyBorder="1" applyAlignment="1">
      <alignment horizontal="center"/>
    </xf>
    <xf numFmtId="0" fontId="77" fillId="0" borderId="0" xfId="0" applyFont="1"/>
    <xf numFmtId="4" fontId="77" fillId="0" borderId="0" xfId="0" applyNumberFormat="1" applyFont="1"/>
    <xf numFmtId="3" fontId="77" fillId="0" borderId="60" xfId="0" applyNumberFormat="1" applyFont="1" applyBorder="1"/>
    <xf numFmtId="4" fontId="77" fillId="0" borderId="60" xfId="0" applyNumberFormat="1" applyFont="1" applyBorder="1"/>
    <xf numFmtId="3" fontId="76" fillId="0" borderId="45" xfId="0" applyNumberFormat="1" applyFont="1" applyBorder="1"/>
    <xf numFmtId="3" fontId="76" fillId="0" borderId="46" xfId="0" applyNumberFormat="1" applyFont="1" applyBorder="1"/>
    <xf numFmtId="4" fontId="76" fillId="0" borderId="27" xfId="0" applyNumberFormat="1" applyFont="1" applyBorder="1"/>
    <xf numFmtId="3" fontId="76" fillId="0" borderId="39" xfId="0" applyNumberFormat="1" applyFont="1" applyBorder="1"/>
    <xf numFmtId="4" fontId="76" fillId="0" borderId="71" xfId="0" applyNumberFormat="1" applyFont="1" applyBorder="1"/>
    <xf numFmtId="3" fontId="76" fillId="0" borderId="52" xfId="0" applyNumberFormat="1" applyFont="1" applyBorder="1"/>
    <xf numFmtId="0" fontId="77" fillId="0" borderId="27" xfId="0" applyFont="1" applyBorder="1" applyAlignment="1">
      <alignment horizontal="center"/>
    </xf>
    <xf numFmtId="3" fontId="76" fillId="0" borderId="0" xfId="0" applyNumberFormat="1" applyFont="1"/>
    <xf numFmtId="3" fontId="77" fillId="0" borderId="48" xfId="0" applyNumberFormat="1" applyFont="1" applyBorder="1"/>
    <xf numFmtId="3" fontId="77" fillId="0" borderId="33" xfId="0" applyNumberFormat="1" applyFont="1" applyBorder="1"/>
    <xf numFmtId="0" fontId="77" fillId="0" borderId="89" xfId="0" applyFont="1" applyBorder="1"/>
    <xf numFmtId="3" fontId="76" fillId="0" borderId="68" xfId="0" applyNumberFormat="1" applyFont="1" applyBorder="1"/>
    <xf numFmtId="3" fontId="76" fillId="0" borderId="107" xfId="0" applyNumberFormat="1" applyFont="1" applyBorder="1"/>
    <xf numFmtId="3" fontId="76" fillId="0" borderId="21" xfId="0" applyNumberFormat="1" applyFont="1" applyBorder="1"/>
    <xf numFmtId="2" fontId="76" fillId="0" borderId="60" xfId="0" applyNumberFormat="1" applyFont="1" applyBorder="1"/>
    <xf numFmtId="2" fontId="76" fillId="0" borderId="27" xfId="0" applyNumberFormat="1" applyFont="1" applyBorder="1"/>
    <xf numFmtId="3" fontId="77" fillId="0" borderId="32" xfId="0" applyNumberFormat="1" applyFont="1" applyBorder="1"/>
    <xf numFmtId="3" fontId="77" fillId="0" borderId="49" xfId="0" applyNumberFormat="1" applyFont="1" applyBorder="1"/>
    <xf numFmtId="4" fontId="77" fillId="0" borderId="58" xfId="0" applyNumberFormat="1" applyFont="1" applyBorder="1"/>
    <xf numFmtId="3" fontId="80" fillId="0" borderId="36" xfId="0" applyNumberFormat="1" applyFont="1" applyBorder="1"/>
    <xf numFmtId="4" fontId="80" fillId="0" borderId="68" xfId="0" applyNumberFormat="1" applyFont="1" applyBorder="1"/>
    <xf numFmtId="2" fontId="80" fillId="0" borderId="67" xfId="0" applyNumberFormat="1" applyFont="1" applyBorder="1"/>
    <xf numFmtId="3" fontId="80" fillId="0" borderId="65" xfId="0" applyNumberFormat="1" applyFont="1" applyBorder="1"/>
    <xf numFmtId="3" fontId="80" fillId="0" borderId="34" xfId="0" applyNumberFormat="1" applyFont="1" applyBorder="1"/>
    <xf numFmtId="2" fontId="80" fillId="0" borderId="68" xfId="0" applyNumberFormat="1" applyFont="1" applyBorder="1"/>
    <xf numFmtId="3" fontId="80" fillId="0" borderId="104" xfId="0" applyNumberFormat="1" applyFont="1" applyBorder="1"/>
    <xf numFmtId="3" fontId="76" fillId="0" borderId="65" xfId="0" applyNumberFormat="1" applyFont="1" applyBorder="1"/>
    <xf numFmtId="3" fontId="77" fillId="0" borderId="79" xfId="0" applyNumberFormat="1" applyFont="1" applyBorder="1"/>
    <xf numFmtId="3" fontId="78" fillId="0" borderId="79" xfId="0" applyNumberFormat="1" applyFont="1" applyBorder="1"/>
    <xf numFmtId="2" fontId="78" fillId="0" borderId="56" xfId="0" applyNumberFormat="1" applyFont="1" applyBorder="1"/>
    <xf numFmtId="3" fontId="77" fillId="0" borderId="47" xfId="0" applyNumberFormat="1" applyFont="1" applyBorder="1"/>
    <xf numFmtId="3" fontId="78" fillId="0" borderId="47" xfId="0" applyNumberFormat="1" applyFont="1" applyBorder="1"/>
    <xf numFmtId="2" fontId="78" fillId="0" borderId="27" xfId="0" applyNumberFormat="1" applyFont="1" applyBorder="1"/>
    <xf numFmtId="3" fontId="78" fillId="0" borderId="48" xfId="0" applyNumberFormat="1" applyFont="1" applyBorder="1"/>
    <xf numFmtId="2" fontId="78" fillId="0" borderId="60" xfId="0" applyNumberFormat="1" applyFont="1" applyBorder="1"/>
    <xf numFmtId="2" fontId="76" fillId="0" borderId="71" xfId="0" applyNumberFormat="1" applyFont="1" applyBorder="1"/>
    <xf numFmtId="3" fontId="76" fillId="0" borderId="109" xfId="0" applyNumberFormat="1" applyFont="1" applyBorder="1" applyProtection="1">
      <protection locked="0"/>
    </xf>
    <xf numFmtId="3" fontId="76" fillId="0" borderId="34" xfId="0" applyNumberFormat="1" applyFont="1" applyBorder="1" applyProtection="1">
      <protection locked="0"/>
    </xf>
    <xf numFmtId="3" fontId="76" fillId="0" borderId="15" xfId="77" applyNumberFormat="1" applyFont="1" applyBorder="1" applyAlignment="1">
      <alignment horizontal="center"/>
    </xf>
    <xf numFmtId="3" fontId="76" fillId="0" borderId="15" xfId="77" applyNumberFormat="1" applyFont="1" applyBorder="1"/>
    <xf numFmtId="3" fontId="76" fillId="0" borderId="36" xfId="77" applyNumberFormat="1" applyFont="1" applyBorder="1" applyAlignment="1">
      <alignment horizontal="right"/>
    </xf>
    <xf numFmtId="3" fontId="80" fillId="0" borderId="36" xfId="77" applyNumberFormat="1" applyFont="1" applyBorder="1"/>
    <xf numFmtId="3" fontId="76" fillId="0" borderId="15" xfId="77" applyNumberFormat="1" applyFont="1" applyBorder="1" applyAlignment="1">
      <alignment horizontal="right"/>
    </xf>
    <xf numFmtId="3" fontId="77" fillId="0" borderId="32" xfId="77" applyNumberFormat="1" applyFont="1" applyBorder="1"/>
    <xf numFmtId="3" fontId="76" fillId="0" borderId="36" xfId="77" applyNumberFormat="1" applyFont="1" applyBorder="1"/>
    <xf numFmtId="3" fontId="76" fillId="0" borderId="52" xfId="77" applyNumberFormat="1" applyFont="1" applyBorder="1" applyAlignment="1">
      <alignment horizontal="right"/>
    </xf>
    <xf numFmtId="3" fontId="76" fillId="0" borderId="51" xfId="77" applyNumberFormat="1" applyFont="1" applyBorder="1"/>
    <xf numFmtId="3" fontId="76" fillId="0" borderId="39" xfId="77" applyNumberFormat="1" applyFont="1" applyBorder="1"/>
    <xf numFmtId="3" fontId="80" fillId="0" borderId="51" xfId="77" applyNumberFormat="1" applyFont="1" applyBorder="1"/>
    <xf numFmtId="3" fontId="80" fillId="0" borderId="114" xfId="77" applyNumberFormat="1" applyFont="1" applyBorder="1"/>
    <xf numFmtId="3" fontId="76" fillId="0" borderId="51" xfId="77" applyNumberFormat="1" applyFont="1" applyBorder="1" applyAlignment="1">
      <alignment horizontal="right"/>
    </xf>
    <xf numFmtId="3" fontId="76" fillId="0" borderId="52" xfId="77" applyNumberFormat="1" applyFont="1" applyBorder="1"/>
    <xf numFmtId="3" fontId="77" fillId="0" borderId="36" xfId="77" applyNumberFormat="1" applyFont="1" applyBorder="1" applyAlignment="1">
      <alignment horizontal="right"/>
    </xf>
    <xf numFmtId="3" fontId="76" fillId="0" borderId="88" xfId="77" applyNumberFormat="1" applyFont="1" applyBorder="1"/>
    <xf numFmtId="3" fontId="80" fillId="0" borderId="52" xfId="77" applyNumberFormat="1" applyFont="1" applyBorder="1"/>
    <xf numFmtId="3" fontId="77" fillId="0" borderId="21" xfId="77" applyNumberFormat="1" applyFont="1" applyBorder="1"/>
    <xf numFmtId="2" fontId="77" fillId="0" borderId="54" xfId="77" applyNumberFormat="1" applyFont="1" applyBorder="1"/>
    <xf numFmtId="3" fontId="77" fillId="0" borderId="63" xfId="0" applyNumberFormat="1" applyFont="1" applyBorder="1"/>
    <xf numFmtId="3" fontId="77" fillId="0" borderId="16" xfId="0" applyNumberFormat="1" applyFont="1" applyBorder="1" applyAlignment="1">
      <alignment horizontal="left"/>
    </xf>
    <xf numFmtId="0" fontId="77" fillId="27" borderId="95" xfId="0" applyFont="1" applyFill="1" applyBorder="1" applyAlignment="1">
      <alignment horizontal="center"/>
    </xf>
    <xf numFmtId="0" fontId="77" fillId="0" borderId="23" xfId="0" applyFont="1" applyBorder="1" applyAlignment="1">
      <alignment horizontal="left"/>
    </xf>
    <xf numFmtId="3" fontId="77" fillId="0" borderId="46" xfId="0" applyNumberFormat="1" applyFont="1" applyBorder="1" applyAlignment="1">
      <alignment horizontal="left"/>
    </xf>
    <xf numFmtId="0" fontId="77" fillId="0" borderId="18" xfId="0" applyFont="1" applyBorder="1" applyAlignment="1">
      <alignment horizontal="left"/>
    </xf>
    <xf numFmtId="3" fontId="77" fillId="0" borderId="0" xfId="0" applyNumberFormat="1" applyFont="1" applyAlignment="1">
      <alignment horizontal="left"/>
    </xf>
    <xf numFmtId="3" fontId="77" fillId="0" borderId="19" xfId="0" applyNumberFormat="1" applyFont="1" applyBorder="1" applyAlignment="1">
      <alignment horizontal="centerContinuous"/>
    </xf>
    <xf numFmtId="3" fontId="77" fillId="0" borderId="16" xfId="0" applyNumberFormat="1" applyFont="1" applyBorder="1" applyAlignment="1">
      <alignment horizontal="centerContinuous"/>
    </xf>
    <xf numFmtId="0" fontId="77" fillId="27" borderId="81" xfId="0" applyFont="1" applyFill="1" applyBorder="1" applyAlignment="1">
      <alignment horizontal="center"/>
    </xf>
    <xf numFmtId="0" fontId="77" fillId="0" borderId="46" xfId="0" applyFont="1" applyBorder="1" applyAlignment="1">
      <alignment horizontal="left"/>
    </xf>
    <xf numFmtId="0" fontId="77" fillId="0" borderId="0" xfId="0" applyFont="1" applyAlignment="1">
      <alignment horizontal="left"/>
    </xf>
    <xf numFmtId="0" fontId="76" fillId="0" borderId="16" xfId="0" applyFont="1" applyBorder="1"/>
    <xf numFmtId="3" fontId="77" fillId="0" borderId="16" xfId="0" applyNumberFormat="1" applyFont="1" applyBorder="1" applyAlignment="1">
      <alignment horizontal="right"/>
    </xf>
    <xf numFmtId="3" fontId="76" fillId="29" borderId="51" xfId="0" applyNumberFormat="1" applyFont="1" applyFill="1" applyBorder="1"/>
    <xf numFmtId="3" fontId="77" fillId="0" borderId="58" xfId="77" applyNumberFormat="1" applyFont="1" applyBorder="1"/>
    <xf numFmtId="2" fontId="76" fillId="0" borderId="68" xfId="77" applyNumberFormat="1" applyFont="1" applyBorder="1"/>
    <xf numFmtId="3" fontId="76" fillId="29" borderId="39" xfId="77" applyNumberFormat="1" applyFont="1" applyFill="1" applyBorder="1"/>
    <xf numFmtId="3" fontId="76" fillId="29" borderId="65" xfId="0" applyNumberFormat="1" applyFont="1" applyFill="1" applyBorder="1"/>
    <xf numFmtId="3" fontId="80" fillId="29" borderId="65" xfId="0" applyNumberFormat="1" applyFont="1" applyFill="1" applyBorder="1"/>
    <xf numFmtId="3" fontId="76" fillId="29" borderId="36" xfId="77" applyNumberFormat="1" applyFont="1" applyFill="1" applyBorder="1"/>
    <xf numFmtId="3" fontId="76" fillId="29" borderId="88" xfId="77" applyNumberFormat="1" applyFont="1" applyFill="1" applyBorder="1"/>
    <xf numFmtId="3" fontId="76" fillId="29" borderId="36" xfId="77" applyNumberFormat="1" applyFont="1" applyFill="1" applyBorder="1" applyAlignment="1">
      <alignment horizontal="right"/>
    </xf>
    <xf numFmtId="3" fontId="76" fillId="0" borderId="37" xfId="0" applyNumberFormat="1" applyFont="1" applyBorder="1"/>
    <xf numFmtId="3" fontId="76" fillId="29" borderId="104" xfId="0" applyNumberFormat="1" applyFont="1" applyFill="1" applyBorder="1"/>
    <xf numFmtId="2" fontId="76" fillId="29" borderId="67" xfId="0" applyNumberFormat="1" applyFont="1" applyFill="1" applyBorder="1"/>
    <xf numFmtId="3" fontId="76" fillId="29" borderId="65" xfId="0" applyNumberFormat="1" applyFont="1" applyFill="1" applyBorder="1" applyProtection="1">
      <protection locked="0"/>
    </xf>
    <xf numFmtId="3" fontId="76" fillId="29" borderId="52" xfId="0" applyNumberFormat="1" applyFont="1" applyFill="1" applyBorder="1"/>
    <xf numFmtId="2" fontId="76" fillId="0" borderId="120" xfId="0" applyNumberFormat="1" applyFont="1" applyBorder="1"/>
    <xf numFmtId="2" fontId="76" fillId="29" borderId="68" xfId="0" applyNumberFormat="1" applyFont="1" applyFill="1" applyBorder="1"/>
    <xf numFmtId="3" fontId="77" fillId="0" borderId="59" xfId="0" applyNumberFormat="1" applyFont="1" applyBorder="1" applyAlignment="1">
      <alignment horizontal="center"/>
    </xf>
    <xf numFmtId="4" fontId="76" fillId="29" borderId="71" xfId="0" applyNumberFormat="1" applyFont="1" applyFill="1" applyBorder="1"/>
    <xf numFmtId="3" fontId="80" fillId="29" borderId="36" xfId="0" applyNumberFormat="1" applyFont="1" applyFill="1" applyBorder="1"/>
    <xf numFmtId="4" fontId="80" fillId="29" borderId="68" xfId="0" applyNumberFormat="1" applyFont="1" applyFill="1" applyBorder="1"/>
    <xf numFmtId="3" fontId="81" fillId="0" borderId="29" xfId="0" applyNumberFormat="1" applyFont="1" applyBorder="1"/>
    <xf numFmtId="3" fontId="7" fillId="29" borderId="0" xfId="0" applyNumberFormat="1" applyFont="1" applyFill="1"/>
    <xf numFmtId="4" fontId="76" fillId="0" borderId="59" xfId="0" applyNumberFormat="1" applyFont="1" applyBorder="1"/>
    <xf numFmtId="3" fontId="77" fillId="0" borderId="0" xfId="0" applyNumberFormat="1" applyFont="1" applyAlignment="1">
      <alignment horizontal="right"/>
    </xf>
    <xf numFmtId="3" fontId="76" fillId="0" borderId="117" xfId="0" applyNumberFormat="1" applyFont="1" applyBorder="1" applyProtection="1">
      <protection locked="0"/>
    </xf>
    <xf numFmtId="2" fontId="77" fillId="0" borderId="58" xfId="77" applyNumberFormat="1" applyFont="1" applyBorder="1"/>
    <xf numFmtId="2" fontId="76" fillId="0" borderId="59" xfId="77" applyNumberFormat="1" applyFont="1" applyBorder="1"/>
    <xf numFmtId="3" fontId="76" fillId="0" borderId="64" xfId="77" applyNumberFormat="1" applyFont="1" applyBorder="1" applyAlignment="1">
      <alignment horizontal="right"/>
    </xf>
    <xf numFmtId="3" fontId="80" fillId="0" borderId="64" xfId="77" applyNumberFormat="1" applyFont="1" applyBorder="1"/>
    <xf numFmtId="3" fontId="76" fillId="0" borderId="43" xfId="0" applyNumberFormat="1" applyFont="1" applyBorder="1"/>
    <xf numFmtId="2" fontId="76" fillId="0" borderId="54" xfId="0" applyNumberFormat="1" applyFont="1" applyBorder="1"/>
    <xf numFmtId="3" fontId="76" fillId="0" borderId="44" xfId="0" applyNumberFormat="1" applyFont="1" applyBorder="1"/>
    <xf numFmtId="3" fontId="77" fillId="0" borderId="15" xfId="0" applyNumberFormat="1" applyFont="1" applyBorder="1" applyAlignment="1">
      <alignment horizontal="center"/>
    </xf>
    <xf numFmtId="3" fontId="76" fillId="0" borderId="122" xfId="0" applyNumberFormat="1" applyFont="1" applyBorder="1"/>
    <xf numFmtId="3" fontId="76" fillId="30" borderId="107" xfId="0" applyNumberFormat="1" applyFont="1" applyFill="1" applyBorder="1"/>
    <xf numFmtId="2" fontId="76" fillId="30" borderId="98" xfId="0" applyNumberFormat="1" applyFont="1" applyFill="1" applyBorder="1"/>
    <xf numFmtId="3" fontId="76" fillId="30" borderId="36" xfId="0" applyNumberFormat="1" applyFont="1" applyFill="1" applyBorder="1"/>
    <xf numFmtId="3" fontId="76" fillId="0" borderId="51" xfId="0" applyNumberFormat="1" applyFont="1" applyBorder="1" applyAlignment="1">
      <alignment horizontal="right"/>
    </xf>
    <xf numFmtId="4" fontId="80" fillId="29" borderId="67" xfId="0" applyNumberFormat="1" applyFont="1" applyFill="1" applyBorder="1" applyAlignment="1">
      <alignment horizontal="right"/>
    </xf>
    <xf numFmtId="3" fontId="76" fillId="0" borderId="51" xfId="78" applyNumberFormat="1" applyFont="1" applyBorder="1" applyAlignment="1">
      <alignment horizontal="right" wrapText="1"/>
    </xf>
    <xf numFmtId="3" fontId="80" fillId="29" borderId="36" xfId="0" applyNumberFormat="1" applyFont="1" applyFill="1" applyBorder="1" applyAlignment="1">
      <alignment horizontal="right"/>
    </xf>
    <xf numFmtId="3" fontId="77" fillId="0" borderId="61" xfId="0" applyNumberFormat="1" applyFont="1" applyBorder="1" applyAlignment="1">
      <alignment horizontal="right"/>
    </xf>
    <xf numFmtId="4" fontId="77" fillId="0" borderId="54" xfId="0" applyNumberFormat="1" applyFont="1" applyBorder="1" applyAlignment="1">
      <alignment horizontal="right"/>
    </xf>
    <xf numFmtId="3" fontId="77" fillId="0" borderId="55" xfId="0" applyNumberFormat="1" applyFont="1" applyBorder="1"/>
    <xf numFmtId="4" fontId="77" fillId="0" borderId="56" xfId="0" applyNumberFormat="1" applyFont="1" applyBorder="1"/>
    <xf numFmtId="3" fontId="76" fillId="0" borderId="55" xfId="0" applyNumberFormat="1" applyFont="1" applyBorder="1"/>
    <xf numFmtId="4" fontId="76" fillId="0" borderId="56" xfId="0" applyNumberFormat="1" applyFont="1" applyBorder="1"/>
    <xf numFmtId="4" fontId="80" fillId="29" borderId="68" xfId="0" applyNumberFormat="1" applyFont="1" applyFill="1" applyBorder="1" applyAlignment="1">
      <alignment horizontal="right"/>
    </xf>
    <xf numFmtId="4" fontId="77" fillId="0" borderId="59" xfId="0" applyNumberFormat="1" applyFont="1" applyBorder="1"/>
    <xf numFmtId="3" fontId="80" fillId="29" borderId="51" xfId="78" applyNumberFormat="1" applyFont="1" applyFill="1" applyBorder="1" applyAlignment="1">
      <alignment horizontal="right" wrapText="1"/>
    </xf>
    <xf numFmtId="3" fontId="77" fillId="0" borderId="43" xfId="0" applyNumberFormat="1" applyFont="1" applyBorder="1" applyAlignment="1">
      <alignment horizontal="right"/>
    </xf>
    <xf numFmtId="3" fontId="76" fillId="29" borderId="51" xfId="78" applyNumberFormat="1" applyFont="1" applyFill="1" applyBorder="1" applyAlignment="1">
      <alignment horizontal="right" wrapText="1"/>
    </xf>
    <xf numFmtId="3" fontId="76" fillId="0" borderId="117" xfId="0" applyNumberFormat="1" applyFont="1" applyBorder="1"/>
    <xf numFmtId="3" fontId="76" fillId="30" borderId="109" xfId="0" applyNumberFormat="1" applyFont="1" applyFill="1" applyBorder="1"/>
    <xf numFmtId="3" fontId="76" fillId="30" borderId="34" xfId="0" applyNumberFormat="1" applyFont="1" applyFill="1" applyBorder="1"/>
    <xf numFmtId="3" fontId="76" fillId="0" borderId="33" xfId="0" applyNumberFormat="1" applyFont="1" applyBorder="1"/>
    <xf numFmtId="3" fontId="76" fillId="0" borderId="47" xfId="0" applyNumberFormat="1" applyFont="1" applyBorder="1"/>
    <xf numFmtId="3" fontId="76" fillId="0" borderId="104" xfId="78" applyNumberFormat="1" applyFont="1" applyBorder="1" applyAlignment="1">
      <alignment horizontal="right" wrapText="1"/>
    </xf>
    <xf numFmtId="3" fontId="76" fillId="0" borderId="34" xfId="0" applyNumberFormat="1" applyFont="1" applyBorder="1" applyAlignment="1">
      <alignment horizontal="right"/>
    </xf>
    <xf numFmtId="3" fontId="77" fillId="0" borderId="33" xfId="0" applyNumberFormat="1" applyFont="1" applyBorder="1" applyAlignment="1">
      <alignment horizontal="right"/>
    </xf>
    <xf numFmtId="3" fontId="77" fillId="0" borderId="48" xfId="0" applyNumberFormat="1" applyFont="1" applyBorder="1" applyAlignment="1">
      <alignment horizontal="right"/>
    </xf>
    <xf numFmtId="3" fontId="76" fillId="0" borderId="79" xfId="0" applyNumberFormat="1" applyFont="1" applyBorder="1"/>
    <xf numFmtId="3" fontId="77" fillId="0" borderId="44" xfId="0" applyNumberFormat="1" applyFont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27" borderId="27" xfId="0" applyFont="1" applyFill="1" applyBorder="1" applyAlignment="1">
      <alignment horizontal="center"/>
    </xf>
    <xf numFmtId="3" fontId="77" fillId="0" borderId="59" xfId="0" applyNumberFormat="1" applyFont="1" applyBorder="1"/>
    <xf numFmtId="3" fontId="77" fillId="0" borderId="68" xfId="0" applyNumberFormat="1" applyFont="1" applyBorder="1"/>
    <xf numFmtId="2" fontId="77" fillId="0" borderId="89" xfId="0" applyNumberFormat="1" applyFont="1" applyBorder="1"/>
    <xf numFmtId="3" fontId="77" fillId="0" borderId="113" xfId="0" applyNumberFormat="1" applyFont="1" applyBorder="1"/>
    <xf numFmtId="0" fontId="76" fillId="0" borderId="89" xfId="0" applyFont="1" applyBorder="1"/>
    <xf numFmtId="3" fontId="78" fillId="0" borderId="104" xfId="0" applyNumberFormat="1" applyFont="1" applyBorder="1"/>
    <xf numFmtId="2" fontId="76" fillId="0" borderId="56" xfId="0" applyNumberFormat="1" applyFont="1" applyBorder="1"/>
    <xf numFmtId="3" fontId="76" fillId="0" borderId="45" xfId="77" applyNumberFormat="1" applyFont="1" applyBorder="1" applyAlignment="1">
      <alignment horizontal="center"/>
    </xf>
    <xf numFmtId="3" fontId="76" fillId="0" borderId="45" xfId="77" applyNumberFormat="1" applyFont="1" applyBorder="1"/>
    <xf numFmtId="3" fontId="80" fillId="29" borderId="51" xfId="77" applyNumberFormat="1" applyFont="1" applyFill="1" applyBorder="1"/>
    <xf numFmtId="3" fontId="77" fillId="0" borderId="55" xfId="77" applyNumberFormat="1" applyFont="1" applyBorder="1"/>
    <xf numFmtId="2" fontId="77" fillId="0" borderId="56" xfId="77" applyNumberFormat="1" applyFont="1" applyBorder="1"/>
    <xf numFmtId="2" fontId="76" fillId="0" borderId="67" xfId="77" applyNumberFormat="1" applyFont="1" applyBorder="1"/>
    <xf numFmtId="4" fontId="76" fillId="0" borderId="71" xfId="0" applyNumberFormat="1" applyFont="1" applyBorder="1" applyAlignment="1">
      <alignment horizontal="right"/>
    </xf>
    <xf numFmtId="3" fontId="77" fillId="0" borderId="27" xfId="0" applyNumberFormat="1" applyFont="1" applyBorder="1"/>
    <xf numFmtId="0" fontId="77" fillId="27" borderId="59" xfId="0" applyFont="1" applyFill="1" applyBorder="1" applyAlignment="1">
      <alignment horizontal="center"/>
    </xf>
    <xf numFmtId="3" fontId="76" fillId="29" borderId="21" xfId="0" applyNumberFormat="1" applyFont="1" applyFill="1" applyBorder="1"/>
    <xf numFmtId="4" fontId="76" fillId="0" borderId="60" xfId="0" applyNumberFormat="1" applyFont="1" applyBorder="1"/>
    <xf numFmtId="0" fontId="9" fillId="0" borderId="0" xfId="0" applyFont="1"/>
    <xf numFmtId="0" fontId="75" fillId="0" borderId="0" xfId="0" applyFont="1"/>
    <xf numFmtId="2" fontId="78" fillId="0" borderId="120" xfId="0" applyNumberFormat="1" applyFont="1" applyBorder="1"/>
    <xf numFmtId="3" fontId="76" fillId="29" borderId="34" xfId="0" applyNumberFormat="1" applyFont="1" applyFill="1" applyBorder="1"/>
    <xf numFmtId="3" fontId="83" fillId="0" borderId="18" xfId="0" applyNumberFormat="1" applyFont="1" applyBorder="1"/>
    <xf numFmtId="0" fontId="82" fillId="0" borderId="0" xfId="0" applyFont="1"/>
    <xf numFmtId="0" fontId="82" fillId="0" borderId="18" xfId="0" applyFont="1" applyBorder="1"/>
    <xf numFmtId="3" fontId="83" fillId="0" borderId="94" xfId="0" applyNumberFormat="1" applyFont="1" applyBorder="1"/>
    <xf numFmtId="0" fontId="83" fillId="0" borderId="87" xfId="0" applyFont="1" applyBorder="1"/>
    <xf numFmtId="0" fontId="76" fillId="0" borderId="18" xfId="0" applyFont="1" applyBorder="1"/>
    <xf numFmtId="0" fontId="76" fillId="0" borderId="40" xfId="0" applyFont="1" applyBorder="1"/>
    <xf numFmtId="0" fontId="76" fillId="0" borderId="37" xfId="0" applyFont="1" applyBorder="1"/>
    <xf numFmtId="0" fontId="76" fillId="0" borderId="0" xfId="0" applyFont="1"/>
    <xf numFmtId="3" fontId="77" fillId="0" borderId="37" xfId="0" applyNumberFormat="1" applyFont="1" applyBorder="1"/>
    <xf numFmtId="3" fontId="79" fillId="0" borderId="37" xfId="0" applyNumberFormat="1" applyFont="1" applyBorder="1" applyAlignment="1">
      <alignment horizontal="left"/>
    </xf>
    <xf numFmtId="3" fontId="76" fillId="0" borderId="37" xfId="0" applyNumberFormat="1" applyFont="1" applyBorder="1" applyAlignment="1">
      <alignment horizontal="left"/>
    </xf>
    <xf numFmtId="0" fontId="76" fillId="0" borderId="50" xfId="0" applyFont="1" applyBorder="1"/>
    <xf numFmtId="0" fontId="77" fillId="0" borderId="20" xfId="0" applyFont="1" applyBorder="1"/>
    <xf numFmtId="3" fontId="76" fillId="0" borderId="18" xfId="0" applyNumberFormat="1" applyFont="1" applyBorder="1" applyAlignment="1">
      <alignment horizontal="left"/>
    </xf>
    <xf numFmtId="3" fontId="76" fillId="0" borderId="0" xfId="0" applyNumberFormat="1" applyFont="1" applyAlignment="1">
      <alignment horizontal="left"/>
    </xf>
    <xf numFmtId="3" fontId="76" fillId="0" borderId="40" xfId="0" applyNumberFormat="1" applyFont="1" applyBorder="1" applyAlignment="1">
      <alignment horizontal="left"/>
    </xf>
    <xf numFmtId="3" fontId="76" fillId="0" borderId="37" xfId="0" applyNumberFormat="1" applyFont="1" applyBorder="1" applyAlignment="1">
      <alignment horizontal="centerContinuous"/>
    </xf>
    <xf numFmtId="0" fontId="76" fillId="0" borderId="40" xfId="0" applyFont="1" applyBorder="1" applyAlignment="1">
      <alignment horizontal="left"/>
    </xf>
    <xf numFmtId="3" fontId="76" fillId="0" borderId="37" xfId="0" applyNumberFormat="1" applyFont="1" applyBorder="1" applyAlignment="1">
      <alignment horizontal="right"/>
    </xf>
    <xf numFmtId="3" fontId="76" fillId="0" borderId="18" xfId="0" applyNumberFormat="1" applyFont="1" applyBorder="1" applyAlignment="1">
      <alignment horizontal="centerContinuous"/>
    </xf>
    <xf numFmtId="3" fontId="77" fillId="0" borderId="18" xfId="0" applyNumberFormat="1" applyFont="1" applyBorder="1" applyAlignment="1">
      <alignment horizontal="centerContinuous"/>
    </xf>
    <xf numFmtId="3" fontId="77" fillId="0" borderId="18" xfId="0" applyNumberFormat="1" applyFont="1" applyBorder="1" applyAlignment="1">
      <alignment horizontal="left"/>
    </xf>
    <xf numFmtId="0" fontId="76" fillId="0" borderId="0" xfId="77" applyFont="1" applyAlignment="1">
      <alignment horizontal="left"/>
    </xf>
    <xf numFmtId="3" fontId="77" fillId="0" borderId="25" xfId="0" applyNumberFormat="1" applyFont="1" applyBorder="1"/>
    <xf numFmtId="0" fontId="76" fillId="0" borderId="50" xfId="77" applyFont="1" applyBorder="1" applyAlignment="1">
      <alignment horizontal="justify"/>
    </xf>
    <xf numFmtId="0" fontId="76" fillId="0" borderId="37" xfId="77" applyFont="1" applyBorder="1" applyAlignment="1">
      <alignment horizontal="justify"/>
    </xf>
    <xf numFmtId="3" fontId="77" fillId="0" borderId="19" xfId="0" applyNumberFormat="1" applyFont="1" applyBorder="1"/>
    <xf numFmtId="0" fontId="76" fillId="0" borderId="38" xfId="0" applyFont="1" applyBorder="1"/>
    <xf numFmtId="3" fontId="77" fillId="0" borderId="50" xfId="0" applyNumberFormat="1" applyFont="1" applyBorder="1" applyAlignment="1">
      <alignment horizontal="right"/>
    </xf>
    <xf numFmtId="3" fontId="77" fillId="0" borderId="37" xfId="0" applyNumberFormat="1" applyFont="1" applyBorder="1" applyAlignment="1">
      <alignment horizontal="right"/>
    </xf>
    <xf numFmtId="3" fontId="77" fillId="0" borderId="89" xfId="0" applyNumberFormat="1" applyFont="1" applyBorder="1" applyAlignment="1">
      <alignment horizontal="right"/>
    </xf>
    <xf numFmtId="0" fontId="77" fillId="0" borderId="49" xfId="0" applyFont="1" applyBorder="1"/>
    <xf numFmtId="3" fontId="77" fillId="0" borderId="24" xfId="0" applyNumberFormat="1" applyFont="1" applyBorder="1" applyAlignment="1">
      <alignment horizontal="right"/>
    </xf>
    <xf numFmtId="3" fontId="77" fillId="0" borderId="47" xfId="0" applyNumberFormat="1" applyFont="1" applyBorder="1" applyAlignment="1">
      <alignment horizontal="left"/>
    </xf>
    <xf numFmtId="3" fontId="76" fillId="0" borderId="38" xfId="0" applyNumberFormat="1" applyFont="1" applyBorder="1" applyAlignment="1">
      <alignment horizontal="left"/>
    </xf>
    <xf numFmtId="3" fontId="77" fillId="0" borderId="50" xfId="0" applyNumberFormat="1" applyFont="1" applyBorder="1" applyAlignment="1">
      <alignment horizontal="left"/>
    </xf>
    <xf numFmtId="3" fontId="80" fillId="0" borderId="40" xfId="0" applyNumberFormat="1" applyFont="1" applyBorder="1" applyAlignment="1">
      <alignment horizontal="left"/>
    </xf>
    <xf numFmtId="3" fontId="80" fillId="0" borderId="37" xfId="0" applyNumberFormat="1" applyFont="1" applyBorder="1" applyAlignment="1">
      <alignment horizontal="left"/>
    </xf>
    <xf numFmtId="3" fontId="77" fillId="0" borderId="23" xfId="0" applyNumberFormat="1" applyFont="1" applyBorder="1" applyAlignment="1">
      <alignment horizontal="left"/>
    </xf>
    <xf numFmtId="0" fontId="76" fillId="0" borderId="19" xfId="0" applyFont="1" applyBorder="1" applyAlignment="1">
      <alignment horizontal="left"/>
    </xf>
    <xf numFmtId="3" fontId="76" fillId="29" borderId="104" xfId="0" applyNumberFormat="1" applyFont="1" applyFill="1" applyBorder="1" applyAlignment="1">
      <alignment horizontal="right"/>
    </xf>
    <xf numFmtId="3" fontId="76" fillId="29" borderId="51" xfId="0" applyNumberFormat="1" applyFont="1" applyFill="1" applyBorder="1" applyAlignment="1">
      <alignment horizontal="right"/>
    </xf>
    <xf numFmtId="3" fontId="76" fillId="29" borderId="104" xfId="78" applyNumberFormat="1" applyFont="1" applyFill="1" applyBorder="1" applyAlignment="1">
      <alignment horizontal="right" wrapText="1"/>
    </xf>
    <xf numFmtId="3" fontId="76" fillId="29" borderId="34" xfId="0" applyNumberFormat="1" applyFont="1" applyFill="1" applyBorder="1" applyAlignment="1">
      <alignment horizontal="right"/>
    </xf>
    <xf numFmtId="3" fontId="76" fillId="29" borderId="36" xfId="0" applyNumberFormat="1" applyFont="1" applyFill="1" applyBorder="1" applyAlignment="1">
      <alignment horizontal="right"/>
    </xf>
    <xf numFmtId="3" fontId="76" fillId="29" borderId="29" xfId="0" applyNumberFormat="1" applyFont="1" applyFill="1" applyBorder="1" applyAlignment="1">
      <alignment horizontal="right"/>
    </xf>
    <xf numFmtId="3" fontId="76" fillId="29" borderId="15" xfId="0" applyNumberFormat="1" applyFont="1" applyFill="1" applyBorder="1" applyAlignment="1">
      <alignment horizontal="right"/>
    </xf>
    <xf numFmtId="3" fontId="76" fillId="29" borderId="65" xfId="0" applyNumberFormat="1" applyFont="1" applyFill="1" applyBorder="1" applyAlignment="1">
      <alignment horizontal="right"/>
    </xf>
    <xf numFmtId="3" fontId="76" fillId="29" borderId="52" xfId="0" applyNumberFormat="1" applyFont="1" applyFill="1" applyBorder="1" applyAlignment="1">
      <alignment horizontal="right"/>
    </xf>
    <xf numFmtId="0" fontId="76" fillId="0" borderId="0" xfId="0" applyFont="1" applyAlignment="1">
      <alignment wrapText="1"/>
    </xf>
    <xf numFmtId="0" fontId="76" fillId="0" borderId="37" xfId="0" applyFont="1" applyBorder="1" applyAlignment="1">
      <alignment wrapText="1"/>
    </xf>
    <xf numFmtId="4" fontId="77" fillId="0" borderId="28" xfId="0" applyNumberFormat="1" applyFont="1" applyBorder="1"/>
    <xf numFmtId="3" fontId="77" fillId="0" borderId="45" xfId="0" applyNumberFormat="1" applyFont="1" applyBorder="1" applyAlignment="1">
      <alignment horizontal="center"/>
    </xf>
    <xf numFmtId="3" fontId="76" fillId="29" borderId="36" xfId="78" applyNumberFormat="1" applyFont="1" applyFill="1" applyBorder="1" applyAlignment="1">
      <alignment horizontal="right" wrapText="1"/>
    </xf>
    <xf numFmtId="4" fontId="80" fillId="29" borderId="59" xfId="0" applyNumberFormat="1" applyFont="1" applyFill="1" applyBorder="1" applyAlignment="1">
      <alignment horizontal="right"/>
    </xf>
    <xf numFmtId="3" fontId="77" fillId="0" borderId="117" xfId="0" applyNumberFormat="1" applyFont="1" applyBorder="1" applyAlignment="1">
      <alignment horizontal="right"/>
    </xf>
    <xf numFmtId="4" fontId="77" fillId="0" borderId="120" xfId="0" applyNumberFormat="1" applyFont="1" applyBorder="1" applyAlignment="1">
      <alignment horizontal="right"/>
    </xf>
    <xf numFmtId="3" fontId="76" fillId="0" borderId="34" xfId="78" applyNumberFormat="1" applyFont="1" applyBorder="1" applyAlignment="1">
      <alignment horizontal="right" wrapText="1"/>
    </xf>
    <xf numFmtId="3" fontId="76" fillId="0" borderId="36" xfId="78" applyNumberFormat="1" applyFont="1" applyBorder="1" applyAlignment="1">
      <alignment horizontal="right" wrapText="1"/>
    </xf>
    <xf numFmtId="3" fontId="80" fillId="29" borderId="36" xfId="78" applyNumberFormat="1" applyFont="1" applyFill="1" applyBorder="1" applyAlignment="1">
      <alignment horizontal="right" wrapText="1"/>
    </xf>
    <xf numFmtId="3" fontId="77" fillId="30" borderId="21" xfId="0" applyNumberFormat="1" applyFont="1" applyFill="1" applyBorder="1"/>
    <xf numFmtId="4" fontId="77" fillId="30" borderId="60" xfId="0" applyNumberFormat="1" applyFont="1" applyFill="1" applyBorder="1"/>
    <xf numFmtId="3" fontId="77" fillId="30" borderId="48" xfId="0" applyNumberFormat="1" applyFont="1" applyFill="1" applyBorder="1"/>
    <xf numFmtId="3" fontId="76" fillId="30" borderId="52" xfId="0" applyNumberFormat="1" applyFont="1" applyFill="1" applyBorder="1"/>
    <xf numFmtId="3" fontId="76" fillId="30" borderId="71" xfId="0" applyNumberFormat="1" applyFont="1" applyFill="1" applyBorder="1"/>
    <xf numFmtId="3" fontId="76" fillId="30" borderId="15" xfId="0" applyNumberFormat="1" applyFont="1" applyFill="1" applyBorder="1"/>
    <xf numFmtId="3" fontId="76" fillId="30" borderId="29" xfId="0" applyNumberFormat="1" applyFont="1" applyFill="1" applyBorder="1"/>
    <xf numFmtId="4" fontId="76" fillId="30" borderId="68" xfId="0" applyNumberFormat="1" applyFont="1" applyFill="1" applyBorder="1"/>
    <xf numFmtId="3" fontId="76" fillId="30" borderId="64" xfId="0" applyNumberFormat="1" applyFont="1" applyFill="1" applyBorder="1"/>
    <xf numFmtId="3" fontId="76" fillId="30" borderId="35" xfId="0" applyNumberFormat="1" applyFont="1" applyFill="1" applyBorder="1"/>
    <xf numFmtId="4" fontId="76" fillId="30" borderId="103" xfId="0" applyNumberFormat="1" applyFont="1" applyFill="1" applyBorder="1"/>
    <xf numFmtId="3" fontId="76" fillId="30" borderId="68" xfId="0" applyNumberFormat="1" applyFont="1" applyFill="1" applyBorder="1"/>
    <xf numFmtId="3" fontId="76" fillId="30" borderId="45" xfId="0" applyNumberFormat="1" applyFont="1" applyFill="1" applyBorder="1" applyAlignment="1">
      <alignment horizontal="right"/>
    </xf>
    <xf numFmtId="4" fontId="76" fillId="30" borderId="27" xfId="0" applyNumberFormat="1" applyFont="1" applyFill="1" applyBorder="1" applyAlignment="1">
      <alignment horizontal="right"/>
    </xf>
    <xf numFmtId="3" fontId="76" fillId="30" borderId="97" xfId="0" applyNumberFormat="1" applyFont="1" applyFill="1" applyBorder="1"/>
    <xf numFmtId="4" fontId="76" fillId="30" borderId="103" xfId="0" applyNumberFormat="1" applyFont="1" applyFill="1" applyBorder="1" applyAlignment="1">
      <alignment horizontal="right"/>
    </xf>
    <xf numFmtId="3" fontId="76" fillId="30" borderId="51" xfId="0" applyNumberFormat="1" applyFont="1" applyFill="1" applyBorder="1"/>
    <xf numFmtId="2" fontId="76" fillId="30" borderId="67" xfId="0" applyNumberFormat="1" applyFont="1" applyFill="1" applyBorder="1"/>
    <xf numFmtId="2" fontId="76" fillId="30" borderId="71" xfId="0" applyNumberFormat="1" applyFont="1" applyFill="1" applyBorder="1"/>
    <xf numFmtId="4" fontId="76" fillId="30" borderId="67" xfId="0" applyNumberFormat="1" applyFont="1" applyFill="1" applyBorder="1"/>
    <xf numFmtId="2" fontId="77" fillId="30" borderId="60" xfId="0" applyNumberFormat="1" applyFont="1" applyFill="1" applyBorder="1"/>
    <xf numFmtId="2" fontId="77" fillId="0" borderId="28" xfId="0" applyNumberFormat="1" applyFont="1" applyBorder="1"/>
    <xf numFmtId="3" fontId="76" fillId="30" borderId="21" xfId="0" applyNumberFormat="1" applyFont="1" applyFill="1" applyBorder="1"/>
    <xf numFmtId="4" fontId="76" fillId="30" borderId="60" xfId="0" applyNumberFormat="1" applyFont="1" applyFill="1" applyBorder="1"/>
    <xf numFmtId="4" fontId="80" fillId="30" borderId="67" xfId="0" applyNumberFormat="1" applyFont="1" applyFill="1" applyBorder="1"/>
    <xf numFmtId="4" fontId="80" fillId="30" borderId="59" xfId="0" applyNumberFormat="1" applyFont="1" applyFill="1" applyBorder="1"/>
    <xf numFmtId="4" fontId="80" fillId="30" borderId="68" xfId="0" applyNumberFormat="1" applyFont="1" applyFill="1" applyBorder="1"/>
    <xf numFmtId="3" fontId="76" fillId="30" borderId="65" xfId="0" applyNumberFormat="1" applyFont="1" applyFill="1" applyBorder="1" applyProtection="1">
      <protection locked="0"/>
    </xf>
    <xf numFmtId="2" fontId="76" fillId="30" borderId="68" xfId="0" applyNumberFormat="1" applyFont="1" applyFill="1" applyBorder="1"/>
    <xf numFmtId="3" fontId="76" fillId="30" borderId="109" xfId="0" applyNumberFormat="1" applyFont="1" applyFill="1" applyBorder="1" applyProtection="1">
      <protection locked="0"/>
    </xf>
    <xf numFmtId="3" fontId="76" fillId="30" borderId="29" xfId="0" applyNumberFormat="1" applyFont="1" applyFill="1" applyBorder="1" applyProtection="1">
      <protection locked="0"/>
    </xf>
    <xf numFmtId="3" fontId="76" fillId="30" borderId="34" xfId="0" applyNumberFormat="1" applyFont="1" applyFill="1" applyBorder="1" applyProtection="1">
      <protection locked="0"/>
    </xf>
    <xf numFmtId="3" fontId="76" fillId="30" borderId="65" xfId="0" applyNumberFormat="1" applyFont="1" applyFill="1" applyBorder="1"/>
    <xf numFmtId="2" fontId="76" fillId="29" borderId="71" xfId="0" applyNumberFormat="1" applyFont="1" applyFill="1" applyBorder="1"/>
    <xf numFmtId="3" fontId="76" fillId="29" borderId="117" xfId="0" applyNumberFormat="1" applyFont="1" applyFill="1" applyBorder="1" applyProtection="1">
      <protection locked="0"/>
    </xf>
    <xf numFmtId="3" fontId="76" fillId="29" borderId="117" xfId="0" applyNumberFormat="1" applyFont="1" applyFill="1" applyBorder="1"/>
    <xf numFmtId="3" fontId="77" fillId="0" borderId="33" xfId="0" applyNumberFormat="1" applyFont="1" applyBorder="1" applyProtection="1">
      <protection locked="0"/>
    </xf>
    <xf numFmtId="3" fontId="80" fillId="29" borderId="15" xfId="77" applyNumberFormat="1" applyFont="1" applyFill="1" applyBorder="1"/>
    <xf numFmtId="3" fontId="87" fillId="0" borderId="0" xfId="0" applyNumberFormat="1" applyFont="1"/>
    <xf numFmtId="3" fontId="33" fillId="0" borderId="66" xfId="0" applyNumberFormat="1" applyFont="1" applyBorder="1"/>
    <xf numFmtId="3" fontId="33" fillId="0" borderId="52" xfId="0" applyNumberFormat="1" applyFont="1" applyBorder="1"/>
    <xf numFmtId="3" fontId="33" fillId="0" borderId="71" xfId="0" applyNumberFormat="1" applyFont="1" applyBorder="1"/>
    <xf numFmtId="3" fontId="33" fillId="0" borderId="15" xfId="0" applyNumberFormat="1" applyFont="1" applyBorder="1"/>
    <xf numFmtId="3" fontId="33" fillId="0" borderId="59" xfId="0" applyNumberFormat="1" applyFont="1" applyBorder="1"/>
    <xf numFmtId="3" fontId="33" fillId="0" borderId="31" xfId="0" applyNumberFormat="1" applyFont="1" applyBorder="1"/>
    <xf numFmtId="3" fontId="33" fillId="0" borderId="18" xfId="0" applyNumberFormat="1" applyFont="1" applyBorder="1"/>
    <xf numFmtId="3" fontId="76" fillId="0" borderId="89" xfId="0" applyNumberFormat="1" applyFont="1" applyBorder="1"/>
    <xf numFmtId="4" fontId="76" fillId="0" borderId="72" xfId="0" applyNumberFormat="1" applyFont="1" applyBorder="1"/>
    <xf numFmtId="3" fontId="88" fillId="0" borderId="65" xfId="0" applyNumberFormat="1" applyFont="1" applyBorder="1"/>
    <xf numFmtId="0" fontId="83" fillId="0" borderId="18" xfId="0" applyFont="1" applyBorder="1"/>
    <xf numFmtId="3" fontId="82" fillId="0" borderId="46" xfId="0" applyNumberFormat="1" applyFont="1" applyBorder="1"/>
    <xf numFmtId="0" fontId="82" fillId="0" borderId="23" xfId="77" applyFont="1" applyBorder="1"/>
    <xf numFmtId="0" fontId="83" fillId="0" borderId="46" xfId="77" applyFont="1" applyBorder="1" applyAlignment="1">
      <alignment horizontal="center"/>
    </xf>
    <xf numFmtId="0" fontId="82" fillId="0" borderId="19" xfId="77" applyFont="1" applyBorder="1"/>
    <xf numFmtId="0" fontId="82" fillId="0" borderId="16" xfId="77" applyFont="1" applyBorder="1" applyAlignment="1">
      <alignment horizontal="center"/>
    </xf>
    <xf numFmtId="0" fontId="83" fillId="0" borderId="18" xfId="77" applyFont="1" applyBorder="1"/>
    <xf numFmtId="0" fontId="82" fillId="0" borderId="0" xfId="77" applyFont="1" applyAlignment="1">
      <alignment horizontal="center"/>
    </xf>
    <xf numFmtId="3" fontId="82" fillId="0" borderId="18" xfId="77" applyNumberFormat="1" applyFont="1" applyBorder="1"/>
    <xf numFmtId="0" fontId="83" fillId="0" borderId="0" xfId="77" applyFont="1"/>
    <xf numFmtId="0" fontId="76" fillId="0" borderId="37" xfId="77" applyFont="1" applyBorder="1" applyAlignment="1">
      <alignment wrapText="1"/>
    </xf>
    <xf numFmtId="0" fontId="7" fillId="29" borderId="0" xfId="0" applyFont="1" applyFill="1"/>
    <xf numFmtId="2" fontId="80" fillId="29" borderId="67" xfId="0" applyNumberFormat="1" applyFont="1" applyFill="1" applyBorder="1"/>
    <xf numFmtId="3" fontId="92" fillId="0" borderId="88" xfId="77" applyNumberFormat="1" applyFont="1" applyBorder="1"/>
    <xf numFmtId="3" fontId="80" fillId="29" borderId="51" xfId="0" applyNumberFormat="1" applyFont="1" applyFill="1" applyBorder="1" applyAlignment="1">
      <alignment horizontal="right"/>
    </xf>
    <xf numFmtId="3" fontId="80" fillId="29" borderId="15" xfId="0" applyNumberFormat="1" applyFont="1" applyFill="1" applyBorder="1" applyAlignment="1">
      <alignment horizontal="right"/>
    </xf>
    <xf numFmtId="3" fontId="80" fillId="29" borderId="52" xfId="0" applyNumberFormat="1" applyFont="1" applyFill="1" applyBorder="1" applyAlignment="1">
      <alignment horizontal="right"/>
    </xf>
    <xf numFmtId="3" fontId="80" fillId="29" borderId="104" xfId="0" applyNumberFormat="1" applyFont="1" applyFill="1" applyBorder="1"/>
    <xf numFmtId="4" fontId="76" fillId="29" borderId="82" xfId="0" applyNumberFormat="1" applyFont="1" applyFill="1" applyBorder="1"/>
    <xf numFmtId="3" fontId="76" fillId="0" borderId="112" xfId="0" applyNumberFormat="1" applyFont="1" applyBorder="1" applyAlignment="1">
      <alignment horizontal="left" wrapText="1"/>
    </xf>
    <xf numFmtId="4" fontId="76" fillId="0" borderId="16" xfId="0" applyNumberFormat="1" applyFont="1" applyBorder="1"/>
    <xf numFmtId="3" fontId="76" fillId="29" borderId="47" xfId="0" applyNumberFormat="1" applyFont="1" applyFill="1" applyBorder="1"/>
    <xf numFmtId="3" fontId="76" fillId="29" borderId="29" xfId="0" applyNumberFormat="1" applyFont="1" applyFill="1" applyBorder="1"/>
    <xf numFmtId="2" fontId="76" fillId="29" borderId="59" xfId="0" applyNumberFormat="1" applyFont="1" applyFill="1" applyBorder="1"/>
    <xf numFmtId="3" fontId="77" fillId="29" borderId="29" xfId="0" applyNumberFormat="1" applyFont="1" applyFill="1" applyBorder="1"/>
    <xf numFmtId="2" fontId="77" fillId="29" borderId="59" xfId="0" applyNumberFormat="1" applyFont="1" applyFill="1" applyBorder="1"/>
    <xf numFmtId="0" fontId="77" fillId="0" borderId="16" xfId="0" applyFont="1" applyBorder="1"/>
    <xf numFmtId="3" fontId="77" fillId="0" borderId="16" xfId="0" applyNumberFormat="1" applyFont="1" applyBorder="1"/>
    <xf numFmtId="0" fontId="76" fillId="0" borderId="50" xfId="77" applyFont="1" applyBorder="1" applyAlignment="1">
      <alignment wrapText="1"/>
    </xf>
    <xf numFmtId="3" fontId="80" fillId="29" borderId="88" xfId="77" applyNumberFormat="1" applyFont="1" applyFill="1" applyBorder="1"/>
    <xf numFmtId="3" fontId="77" fillId="0" borderId="61" xfId="77" applyNumberFormat="1" applyFont="1" applyBorder="1"/>
    <xf numFmtId="3" fontId="77" fillId="29" borderId="61" xfId="77" applyNumberFormat="1" applyFont="1" applyFill="1" applyBorder="1"/>
    <xf numFmtId="2" fontId="77" fillId="0" borderId="28" xfId="77" applyNumberFormat="1" applyFont="1" applyBorder="1"/>
    <xf numFmtId="3" fontId="77" fillId="0" borderId="21" xfId="77" applyNumberFormat="1" applyFont="1" applyBorder="1" applyAlignment="1">
      <alignment horizontal="right"/>
    </xf>
    <xf numFmtId="3" fontId="77" fillId="0" borderId="99" xfId="77" applyNumberFormat="1" applyFont="1" applyBorder="1" applyAlignment="1">
      <alignment horizontal="right"/>
    </xf>
    <xf numFmtId="3" fontId="77" fillId="0" borderId="113" xfId="77" applyNumberFormat="1" applyFont="1" applyBorder="1" applyAlignment="1">
      <alignment horizontal="right"/>
    </xf>
    <xf numFmtId="0" fontId="8" fillId="0" borderId="0" xfId="88" applyFont="1"/>
    <xf numFmtId="0" fontId="94" fillId="0" borderId="0" xfId="88" applyFont="1"/>
    <xf numFmtId="0" fontId="93" fillId="0" borderId="0" xfId="88" applyFont="1"/>
    <xf numFmtId="0" fontId="93" fillId="0" borderId="0" xfId="88" applyFont="1" applyAlignment="1">
      <alignment horizontal="right"/>
    </xf>
    <xf numFmtId="0" fontId="7" fillId="0" borderId="0" xfId="88" applyFont="1"/>
    <xf numFmtId="0" fontId="34" fillId="0" borderId="80" xfId="88" applyFont="1" applyBorder="1" applyAlignment="1">
      <alignment horizontal="center"/>
    </xf>
    <xf numFmtId="0" fontId="93" fillId="0" borderId="23" xfId="88" applyFont="1" applyBorder="1" applyAlignment="1">
      <alignment horizontal="center"/>
    </xf>
    <xf numFmtId="0" fontId="93" fillId="0" borderId="80" xfId="88" applyFont="1" applyBorder="1" applyAlignment="1">
      <alignment horizontal="center"/>
    </xf>
    <xf numFmtId="0" fontId="93" fillId="0" borderId="53" xfId="88" applyFont="1" applyBorder="1" applyAlignment="1">
      <alignment horizontal="center"/>
    </xf>
    <xf numFmtId="0" fontId="93" fillId="0" borderId="46" xfId="88" applyFont="1" applyBorder="1" applyAlignment="1">
      <alignment horizontal="center"/>
    </xf>
    <xf numFmtId="0" fontId="55" fillId="0" borderId="0" xfId="88" applyFont="1"/>
    <xf numFmtId="0" fontId="34" fillId="0" borderId="69" xfId="88" applyFont="1" applyBorder="1" applyAlignment="1">
      <alignment horizontal="center"/>
    </xf>
    <xf numFmtId="0" fontId="94" fillId="0" borderId="18" xfId="88" applyFont="1" applyBorder="1"/>
    <xf numFmtId="0" fontId="93" fillId="0" borderId="69" xfId="88" applyFont="1" applyBorder="1" applyAlignment="1">
      <alignment horizontal="center"/>
    </xf>
    <xf numFmtId="0" fontId="93" fillId="0" borderId="83" xfId="88" applyFont="1" applyBorder="1" applyAlignment="1">
      <alignment horizontal="center"/>
    </xf>
    <xf numFmtId="0" fontId="93" fillId="0" borderId="0" xfId="88" applyFont="1" applyAlignment="1">
      <alignment horizontal="center"/>
    </xf>
    <xf numFmtId="0" fontId="34" fillId="0" borderId="70" xfId="88" applyFont="1" applyBorder="1" applyAlignment="1">
      <alignment horizontal="center"/>
    </xf>
    <xf numFmtId="0" fontId="94" fillId="0" borderId="19" xfId="88" applyFont="1" applyBorder="1"/>
    <xf numFmtId="0" fontId="93" fillId="0" borderId="70" xfId="88" applyFont="1" applyBorder="1" applyAlignment="1">
      <alignment horizontal="center" vertical="center" wrapText="1"/>
    </xf>
    <xf numFmtId="0" fontId="93" fillId="0" borderId="81" xfId="88" applyFont="1" applyBorder="1" applyAlignment="1">
      <alignment horizontal="center" vertical="center" wrapText="1"/>
    </xf>
    <xf numFmtId="0" fontId="93" fillId="0" borderId="81" xfId="88" applyFont="1" applyBorder="1" applyAlignment="1">
      <alignment horizontal="justify"/>
    </xf>
    <xf numFmtId="0" fontId="93" fillId="0" borderId="70" xfId="88" applyFont="1" applyBorder="1" applyAlignment="1">
      <alignment horizontal="center"/>
    </xf>
    <xf numFmtId="0" fontId="94" fillId="0" borderId="16" xfId="88" applyFont="1" applyBorder="1"/>
    <xf numFmtId="0" fontId="93" fillId="0" borderId="16" xfId="88" applyFont="1" applyBorder="1" applyAlignment="1">
      <alignment horizontal="center" vertical="center" wrapText="1"/>
    </xf>
    <xf numFmtId="0" fontId="93" fillId="0" borderId="70" xfId="88" applyFont="1" applyBorder="1" applyAlignment="1">
      <alignment horizontal="justify"/>
    </xf>
    <xf numFmtId="0" fontId="95" fillId="0" borderId="0" xfId="88" applyFont="1" applyAlignment="1">
      <alignment horizontal="center"/>
    </xf>
    <xf numFmtId="0" fontId="14" fillId="0" borderId="69" xfId="88" applyFont="1" applyBorder="1" applyAlignment="1">
      <alignment horizontal="center"/>
    </xf>
    <xf numFmtId="0" fontId="93" fillId="0" borderId="18" xfId="88" applyFont="1" applyBorder="1" applyAlignment="1">
      <alignment horizontal="center"/>
    </xf>
    <xf numFmtId="0" fontId="94" fillId="0" borderId="80" xfId="88" applyFont="1" applyBorder="1" applyAlignment="1">
      <alignment horizontal="center"/>
    </xf>
    <xf numFmtId="0" fontId="94" fillId="0" borderId="53" xfId="88" applyFont="1" applyBorder="1" applyAlignment="1">
      <alignment horizontal="center"/>
    </xf>
    <xf numFmtId="0" fontId="94" fillId="0" borderId="69" xfId="88" applyFont="1" applyBorder="1" applyAlignment="1">
      <alignment horizontal="center"/>
    </xf>
    <xf numFmtId="0" fontId="94" fillId="0" borderId="83" xfId="88" applyFont="1" applyBorder="1" applyAlignment="1">
      <alignment horizontal="center"/>
    </xf>
    <xf numFmtId="0" fontId="96" fillId="0" borderId="0" xfId="88" applyFont="1" applyAlignment="1">
      <alignment horizontal="center"/>
    </xf>
    <xf numFmtId="3" fontId="34" fillId="0" borderId="106" xfId="88" applyNumberFormat="1" applyFont="1" applyBorder="1" applyAlignment="1">
      <alignment horizontal="center"/>
    </xf>
    <xf numFmtId="0" fontId="94" fillId="0" borderId="94" xfId="89" applyFont="1" applyBorder="1"/>
    <xf numFmtId="3" fontId="98" fillId="0" borderId="106" xfId="88" applyNumberFormat="1" applyFont="1" applyBorder="1"/>
    <xf numFmtId="3" fontId="93" fillId="0" borderId="106" xfId="88" applyNumberFormat="1" applyFont="1" applyBorder="1"/>
    <xf numFmtId="3" fontId="93" fillId="0" borderId="69" xfId="88" applyNumberFormat="1" applyFont="1" applyBorder="1" applyAlignment="1">
      <alignment horizontal="center"/>
    </xf>
    <xf numFmtId="3" fontId="98" fillId="0" borderId="69" xfId="88" applyNumberFormat="1" applyFont="1" applyBorder="1"/>
    <xf numFmtId="3" fontId="66" fillId="0" borderId="0" xfId="88" applyNumberFormat="1" applyFont="1"/>
    <xf numFmtId="3" fontId="7" fillId="0" borderId="0" xfId="88" applyNumberFormat="1" applyFont="1"/>
    <xf numFmtId="3" fontId="63" fillId="0" borderId="0" xfId="88" applyNumberFormat="1" applyFont="1"/>
    <xf numFmtId="3" fontId="93" fillId="0" borderId="75" xfId="88" applyNumberFormat="1" applyFont="1" applyBorder="1" applyAlignment="1">
      <alignment horizontal="center"/>
    </xf>
    <xf numFmtId="0" fontId="94" fillId="0" borderId="26" xfId="89" applyFont="1" applyBorder="1"/>
    <xf numFmtId="3" fontId="98" fillId="0" borderId="75" xfId="88" applyNumberFormat="1" applyFont="1" applyBorder="1"/>
    <xf numFmtId="3" fontId="94" fillId="0" borderId="75" xfId="88" applyNumberFormat="1" applyFont="1" applyBorder="1"/>
    <xf numFmtId="3" fontId="34" fillId="0" borderId="75" xfId="88" applyNumberFormat="1" applyFont="1" applyBorder="1" applyAlignment="1">
      <alignment horizontal="center"/>
    </xf>
    <xf numFmtId="3" fontId="94" fillId="0" borderId="106" xfId="88" applyNumberFormat="1" applyFont="1" applyBorder="1"/>
    <xf numFmtId="3" fontId="93" fillId="0" borderId="85" xfId="88" applyNumberFormat="1" applyFont="1" applyBorder="1" applyAlignment="1">
      <alignment horizontal="center"/>
    </xf>
    <xf numFmtId="0" fontId="94" fillId="0" borderId="57" xfId="89" applyFont="1" applyBorder="1"/>
    <xf numFmtId="3" fontId="99" fillId="0" borderId="0" xfId="88" applyNumberFormat="1" applyFont="1"/>
    <xf numFmtId="3" fontId="34" fillId="0" borderId="74" xfId="88" applyNumberFormat="1" applyFont="1" applyBorder="1" applyAlignment="1">
      <alignment horizontal="center"/>
    </xf>
    <xf numFmtId="0" fontId="93" fillId="0" borderId="20" xfId="88" applyFont="1" applyBorder="1"/>
    <xf numFmtId="3" fontId="93" fillId="0" borderId="74" xfId="88" applyNumberFormat="1" applyFont="1" applyBorder="1"/>
    <xf numFmtId="3" fontId="93" fillId="0" borderId="74" xfId="88" applyNumberFormat="1" applyFont="1" applyBorder="1" applyAlignment="1">
      <alignment horizontal="center"/>
    </xf>
    <xf numFmtId="3" fontId="100" fillId="0" borderId="74" xfId="88" applyNumberFormat="1" applyFont="1" applyBorder="1"/>
    <xf numFmtId="3" fontId="93" fillId="0" borderId="128" xfId="88" applyNumberFormat="1" applyFont="1" applyBorder="1" applyAlignment="1">
      <alignment horizontal="center"/>
    </xf>
    <xf numFmtId="0" fontId="94" fillId="0" borderId="23" xfId="89" applyFont="1" applyBorder="1"/>
    <xf numFmtId="3" fontId="98" fillId="0" borderId="80" xfId="88" applyNumberFormat="1" applyFont="1" applyBorder="1"/>
    <xf numFmtId="0" fontId="14" fillId="0" borderId="0" xfId="88" applyFont="1"/>
    <xf numFmtId="3" fontId="14" fillId="0" borderId="0" xfId="88" applyNumberFormat="1" applyFont="1"/>
    <xf numFmtId="3" fontId="93" fillId="0" borderId="106" xfId="88" applyNumberFormat="1" applyFont="1" applyBorder="1" applyAlignment="1">
      <alignment horizontal="center"/>
    </xf>
    <xf numFmtId="0" fontId="94" fillId="0" borderId="18" xfId="89" applyFont="1" applyBorder="1"/>
    <xf numFmtId="3" fontId="14" fillId="0" borderId="74" xfId="88" applyNumberFormat="1" applyFont="1" applyBorder="1" applyAlignment="1">
      <alignment horizontal="center"/>
    </xf>
    <xf numFmtId="0" fontId="93" fillId="0" borderId="20" xfId="88" applyFont="1" applyBorder="1" applyAlignment="1">
      <alignment horizontal="justify"/>
    </xf>
    <xf numFmtId="3" fontId="14" fillId="0" borderId="69" xfId="88" applyNumberFormat="1" applyFont="1" applyBorder="1" applyAlignment="1">
      <alignment horizontal="center"/>
    </xf>
    <xf numFmtId="0" fontId="93" fillId="0" borderId="18" xfId="88" applyFont="1" applyBorder="1" applyAlignment="1">
      <alignment horizontal="justify"/>
    </xf>
    <xf numFmtId="3" fontId="98" fillId="0" borderId="83" xfId="88" applyNumberFormat="1" applyFont="1" applyBorder="1"/>
    <xf numFmtId="3" fontId="93" fillId="0" borderId="80" xfId="88" applyNumberFormat="1" applyFont="1" applyBorder="1" applyAlignment="1">
      <alignment horizontal="center"/>
    </xf>
    <xf numFmtId="0" fontId="93" fillId="0" borderId="23" xfId="88" applyFont="1" applyBorder="1" applyAlignment="1">
      <alignment horizontal="justify"/>
    </xf>
    <xf numFmtId="3" fontId="6" fillId="0" borderId="74" xfId="88" applyNumberFormat="1" applyFont="1" applyBorder="1" applyAlignment="1">
      <alignment horizontal="center"/>
    </xf>
    <xf numFmtId="3" fontId="6" fillId="0" borderId="0" xfId="88" applyNumberFormat="1" applyFont="1"/>
    <xf numFmtId="3" fontId="102" fillId="0" borderId="46" xfId="88" applyNumberFormat="1" applyFont="1" applyBorder="1"/>
    <xf numFmtId="3" fontId="7" fillId="0" borderId="46" xfId="88" applyNumberFormat="1" applyFont="1" applyBorder="1"/>
    <xf numFmtId="3" fontId="8" fillId="0" borderId="0" xfId="88" applyNumberFormat="1" applyFont="1"/>
    <xf numFmtId="0" fontId="7" fillId="0" borderId="0" xfId="88" applyFont="1" applyAlignment="1">
      <alignment horizontal="right"/>
    </xf>
    <xf numFmtId="0" fontId="7" fillId="0" borderId="0" xfId="88" applyFont="1" applyAlignment="1">
      <alignment horizontal="left"/>
    </xf>
    <xf numFmtId="49" fontId="7" fillId="0" borderId="0" xfId="88" applyNumberFormat="1" applyFont="1" applyAlignment="1">
      <alignment horizontal="left"/>
    </xf>
    <xf numFmtId="0" fontId="6" fillId="0" borderId="0" xfId="88" applyFont="1"/>
    <xf numFmtId="0" fontId="104" fillId="0" borderId="0" xfId="0" applyFont="1"/>
    <xf numFmtId="0" fontId="32" fillId="0" borderId="0" xfId="0" applyFont="1"/>
    <xf numFmtId="0" fontId="105" fillId="0" borderId="0" xfId="0" applyFont="1"/>
    <xf numFmtId="0" fontId="105" fillId="0" borderId="0" xfId="78" applyFont="1" applyAlignment="1">
      <alignment horizontal="right"/>
    </xf>
    <xf numFmtId="0" fontId="106" fillId="0" borderId="23" xfId="0" applyFont="1" applyBorder="1"/>
    <xf numFmtId="3" fontId="107" fillId="0" borderId="0" xfId="0" applyNumberFormat="1" applyFont="1" applyAlignment="1">
      <alignment horizontal="right"/>
    </xf>
    <xf numFmtId="0" fontId="93" fillId="0" borderId="26" xfId="0" quotePrefix="1" applyFont="1" applyBorder="1"/>
    <xf numFmtId="3" fontId="12" fillId="0" borderId="0" xfId="0" applyNumberFormat="1" applyFont="1"/>
    <xf numFmtId="3" fontId="12" fillId="0" borderId="0" xfId="0" quotePrefix="1" applyNumberFormat="1" applyFont="1" applyAlignment="1">
      <alignment horizontal="right"/>
    </xf>
    <xf numFmtId="0" fontId="12" fillId="0" borderId="0" xfId="0" applyFont="1"/>
    <xf numFmtId="49" fontId="94" fillId="0" borderId="18" xfId="0" applyNumberFormat="1" applyFont="1" applyBorder="1"/>
    <xf numFmtId="3" fontId="32" fillId="0" borderId="0" xfId="0" quotePrefix="1" applyNumberFormat="1" applyFont="1" applyAlignment="1">
      <alignment horizontal="right"/>
    </xf>
    <xf numFmtId="0" fontId="94" fillId="0" borderId="26" xfId="0" quotePrefix="1" applyFont="1" applyBorder="1"/>
    <xf numFmtId="49" fontId="94" fillId="0" borderId="26" xfId="0" quotePrefix="1" applyNumberFormat="1" applyFont="1" applyBorder="1" applyAlignment="1">
      <alignment wrapText="1"/>
    </xf>
    <xf numFmtId="0" fontId="106" fillId="0" borderId="17" xfId="0" applyFont="1" applyBorder="1"/>
    <xf numFmtId="3" fontId="107" fillId="0" borderId="0" xfId="0" quotePrefix="1" applyNumberFormat="1" applyFont="1" applyAlignment="1">
      <alignment horizontal="right"/>
    </xf>
    <xf numFmtId="0" fontId="94" fillId="0" borderId="18" xfId="0" applyFont="1" applyBorder="1"/>
    <xf numFmtId="3" fontId="94" fillId="0" borderId="59" xfId="0" applyNumberFormat="1" applyFont="1" applyBorder="1" applyAlignment="1">
      <alignment horizontal="right"/>
    </xf>
    <xf numFmtId="0" fontId="94" fillId="0" borderId="26" xfId="0" applyFont="1" applyBorder="1"/>
    <xf numFmtId="0" fontId="94" fillId="0" borderId="19" xfId="0" applyFont="1" applyBorder="1"/>
    <xf numFmtId="0" fontId="109" fillId="0" borderId="0" xfId="0" applyFont="1"/>
    <xf numFmtId="0" fontId="32" fillId="0" borderId="0" xfId="0" applyFont="1" applyAlignment="1">
      <alignment wrapText="1"/>
    </xf>
    <xf numFmtId="49" fontId="32" fillId="0" borderId="0" xfId="0" applyNumberFormat="1" applyFont="1"/>
    <xf numFmtId="0" fontId="5" fillId="0" borderId="0" xfId="78"/>
    <xf numFmtId="0" fontId="71" fillId="0" borderId="0" xfId="78" applyFont="1"/>
    <xf numFmtId="0" fontId="71" fillId="0" borderId="0" xfId="78" applyFont="1" applyAlignment="1">
      <alignment horizontal="right"/>
    </xf>
    <xf numFmtId="0" fontId="70" fillId="0" borderId="74" xfId="78" applyFont="1" applyBorder="1" applyAlignment="1">
      <alignment horizontal="center"/>
    </xf>
    <xf numFmtId="0" fontId="71" fillId="0" borderId="128" xfId="78" applyFont="1" applyBorder="1" applyAlignment="1">
      <alignment horizontal="center" vertical="center"/>
    </xf>
    <xf numFmtId="0" fontId="71" fillId="0" borderId="128" xfId="78" applyFont="1" applyBorder="1" applyAlignment="1">
      <alignment wrapText="1"/>
    </xf>
    <xf numFmtId="3" fontId="71" fillId="0" borderId="128" xfId="78" applyNumberFormat="1" applyFont="1" applyBorder="1"/>
    <xf numFmtId="0" fontId="71" fillId="0" borderId="69" xfId="78" applyFont="1" applyBorder="1" applyAlignment="1">
      <alignment horizontal="center" vertical="center"/>
    </xf>
    <xf numFmtId="0" fontId="71" fillId="0" borderId="0" xfId="78" applyFont="1" applyAlignment="1">
      <alignment wrapText="1"/>
    </xf>
    <xf numFmtId="3" fontId="71" fillId="0" borderId="69" xfId="78" applyNumberFormat="1" applyFont="1" applyBorder="1"/>
    <xf numFmtId="0" fontId="71" fillId="0" borderId="85" xfId="78" applyFont="1" applyBorder="1" applyAlignment="1">
      <alignment horizontal="center" vertical="center"/>
    </xf>
    <xf numFmtId="0" fontId="71" fillId="0" borderId="100" xfId="78" applyFont="1" applyBorder="1" applyAlignment="1">
      <alignment wrapText="1"/>
    </xf>
    <xf numFmtId="3" fontId="71" fillId="0" borderId="85" xfId="78" applyNumberFormat="1" applyFont="1" applyBorder="1"/>
    <xf numFmtId="49" fontId="71" fillId="0" borderId="0" xfId="78" applyNumberFormat="1" applyFont="1"/>
    <xf numFmtId="0" fontId="71" fillId="0" borderId="75" xfId="78" applyFont="1" applyBorder="1" applyAlignment="1">
      <alignment horizontal="center" vertical="center"/>
    </xf>
    <xf numFmtId="0" fontId="71" fillId="0" borderId="24" xfId="78" applyFont="1" applyBorder="1" applyAlignment="1">
      <alignment wrapText="1"/>
    </xf>
    <xf numFmtId="3" fontId="71" fillId="0" borderId="75" xfId="78" applyNumberFormat="1" applyFont="1" applyBorder="1"/>
    <xf numFmtId="0" fontId="71" fillId="0" borderId="74" xfId="78" applyFont="1" applyBorder="1"/>
    <xf numFmtId="0" fontId="70" fillId="0" borderId="89" xfId="78" applyFont="1" applyBorder="1"/>
    <xf numFmtId="3" fontId="70" fillId="0" borderId="74" xfId="78" applyNumberFormat="1" applyFont="1" applyBorder="1"/>
    <xf numFmtId="0" fontId="110" fillId="0" borderId="0" xfId="78" applyFont="1"/>
    <xf numFmtId="0" fontId="72" fillId="0" borderId="0" xfId="90" applyFont="1"/>
    <xf numFmtId="0" fontId="71" fillId="0" borderId="0" xfId="90" applyFont="1" applyAlignment="1">
      <alignment wrapText="1"/>
    </xf>
    <xf numFmtId="0" fontId="71" fillId="0" borderId="0" xfId="90" applyFont="1"/>
    <xf numFmtId="0" fontId="11" fillId="0" borderId="0" xfId="78" applyFont="1"/>
    <xf numFmtId="0" fontId="111" fillId="0" borderId="0" xfId="77" applyFont="1"/>
    <xf numFmtId="3" fontId="77" fillId="0" borderId="44" xfId="77" applyNumberFormat="1" applyFont="1" applyBorder="1"/>
    <xf numFmtId="3" fontId="77" fillId="0" borderId="54" xfId="77" applyNumberFormat="1" applyFont="1" applyBorder="1"/>
    <xf numFmtId="3" fontId="76" fillId="0" borderId="71" xfId="0" applyNumberFormat="1" applyFont="1" applyBorder="1"/>
    <xf numFmtId="3" fontId="76" fillId="29" borderId="76" xfId="77" applyNumberFormat="1" applyFont="1" applyFill="1" applyBorder="1"/>
    <xf numFmtId="3" fontId="80" fillId="29" borderId="76" xfId="77" applyNumberFormat="1" applyFont="1" applyFill="1" applyBorder="1"/>
    <xf numFmtId="3" fontId="111" fillId="0" borderId="0" xfId="77" applyNumberFormat="1" applyFont="1"/>
    <xf numFmtId="0" fontId="113" fillId="0" borderId="0" xfId="91" applyFont="1"/>
    <xf numFmtId="0" fontId="114" fillId="0" borderId="16" xfId="91" applyFont="1" applyBorder="1" applyAlignment="1">
      <alignment horizontal="center"/>
    </xf>
    <xf numFmtId="0" fontId="105" fillId="0" borderId="0" xfId="0" applyFont="1" applyAlignment="1">
      <alignment horizontal="right"/>
    </xf>
    <xf numFmtId="0" fontId="115" fillId="0" borderId="0" xfId="91" applyFont="1"/>
    <xf numFmtId="0" fontId="115" fillId="0" borderId="0" xfId="92" applyFont="1" applyAlignment="1">
      <alignment horizontal="center"/>
    </xf>
    <xf numFmtId="0" fontId="115" fillId="0" borderId="0" xfId="92" applyFont="1"/>
    <xf numFmtId="0" fontId="117" fillId="0" borderId="0" xfId="92" applyFont="1"/>
    <xf numFmtId="0" fontId="118" fillId="0" borderId="0" xfId="92" applyFont="1"/>
    <xf numFmtId="0" fontId="119" fillId="0" borderId="0" xfId="92" applyFont="1"/>
    <xf numFmtId="0" fontId="114" fillId="0" borderId="16" xfId="92" applyFont="1" applyBorder="1" applyAlignment="1">
      <alignment horizontal="center"/>
    </xf>
    <xf numFmtId="0" fontId="114" fillId="0" borderId="23" xfId="92" applyFont="1" applyBorder="1" applyAlignment="1">
      <alignment horizontal="center"/>
    </xf>
    <xf numFmtId="0" fontId="114" fillId="0" borderId="80" xfId="92" applyFont="1" applyBorder="1"/>
    <xf numFmtId="49" fontId="114" fillId="0" borderId="80" xfId="92" applyNumberFormat="1" applyFont="1" applyBorder="1" applyAlignment="1">
      <alignment horizontal="center"/>
    </xf>
    <xf numFmtId="0" fontId="114" fillId="0" borderId="18" xfId="92" applyFont="1" applyBorder="1" applyAlignment="1">
      <alignment horizontal="center"/>
    </xf>
    <xf numFmtId="0" fontId="114" fillId="0" borderId="83" xfId="92" applyFont="1" applyBorder="1" applyAlignment="1">
      <alignment horizontal="center"/>
    </xf>
    <xf numFmtId="0" fontId="114" fillId="0" borderId="69" xfId="92" applyFont="1" applyBorder="1"/>
    <xf numFmtId="2" fontId="114" fillId="0" borderId="69" xfId="92" applyNumberFormat="1" applyFont="1" applyBorder="1" applyAlignment="1">
      <alignment horizontal="center"/>
    </xf>
    <xf numFmtId="0" fontId="114" fillId="0" borderId="19" xfId="92" applyFont="1" applyBorder="1" applyAlignment="1">
      <alignment horizontal="center"/>
    </xf>
    <xf numFmtId="0" fontId="114" fillId="0" borderId="81" xfId="92" applyFont="1" applyBorder="1" applyAlignment="1">
      <alignment horizontal="center"/>
    </xf>
    <xf numFmtId="0" fontId="114" fillId="0" borderId="70" xfId="92" applyFont="1" applyBorder="1"/>
    <xf numFmtId="49" fontId="114" fillId="0" borderId="70" xfId="92" applyNumberFormat="1" applyFont="1" applyBorder="1" applyAlignment="1">
      <alignment horizontal="center"/>
    </xf>
    <xf numFmtId="49" fontId="114" fillId="0" borderId="83" xfId="92" applyNumberFormat="1" applyFont="1" applyBorder="1" applyAlignment="1">
      <alignment horizontal="center"/>
    </xf>
    <xf numFmtId="3" fontId="105" fillId="0" borderId="18" xfId="92" applyNumberFormat="1" applyFont="1" applyBorder="1" applyAlignment="1">
      <alignment horizontal="center"/>
    </xf>
    <xf numFmtId="0" fontId="105" fillId="0" borderId="18" xfId="92" applyFont="1" applyBorder="1"/>
    <xf numFmtId="0" fontId="105" fillId="0" borderId="83" xfId="92" applyFont="1" applyBorder="1"/>
    <xf numFmtId="0" fontId="105" fillId="0" borderId="69" xfId="92" applyFont="1" applyBorder="1"/>
    <xf numFmtId="3" fontId="105" fillId="0" borderId="59" xfId="92" applyNumberFormat="1" applyFont="1" applyBorder="1"/>
    <xf numFmtId="0" fontId="120" fillId="0" borderId="0" xfId="92" quotePrefix="1" applyFont="1"/>
    <xf numFmtId="3" fontId="114" fillId="0" borderId="26" xfId="92" applyNumberFormat="1" applyFont="1" applyBorder="1" applyAlignment="1">
      <alignment horizontal="center"/>
    </xf>
    <xf numFmtId="0" fontId="114" fillId="0" borderId="26" xfId="92" applyFont="1" applyBorder="1"/>
    <xf numFmtId="0" fontId="114" fillId="0" borderId="84" xfId="92" applyFont="1" applyBorder="1"/>
    <xf numFmtId="0" fontId="114" fillId="0" borderId="75" xfId="92" applyFont="1" applyBorder="1"/>
    <xf numFmtId="3" fontId="114" fillId="0" borderId="58" xfId="92" applyNumberFormat="1" applyFont="1" applyBorder="1"/>
    <xf numFmtId="3" fontId="114" fillId="0" borderId="18" xfId="92" applyNumberFormat="1" applyFont="1" applyBorder="1" applyAlignment="1">
      <alignment horizontal="center"/>
    </xf>
    <xf numFmtId="0" fontId="114" fillId="0" borderId="18" xfId="92" applyFont="1" applyBorder="1"/>
    <xf numFmtId="0" fontId="114" fillId="0" borderId="83" xfId="92" applyFont="1" applyBorder="1"/>
    <xf numFmtId="3" fontId="114" fillId="0" borderId="59" xfId="92" applyNumberFormat="1" applyFont="1" applyBorder="1"/>
    <xf numFmtId="3" fontId="114" fillId="0" borderId="17" xfId="92" applyNumberFormat="1" applyFont="1" applyBorder="1" applyAlignment="1">
      <alignment horizontal="center"/>
    </xf>
    <xf numFmtId="0" fontId="114" fillId="0" borderId="17" xfId="92" applyFont="1" applyBorder="1"/>
    <xf numFmtId="0" fontId="114" fillId="0" borderId="77" xfId="92" applyFont="1" applyBorder="1"/>
    <xf numFmtId="0" fontId="114" fillId="0" borderId="73" xfId="92" applyFont="1" applyBorder="1"/>
    <xf numFmtId="3" fontId="114" fillId="0" borderId="54" xfId="92" applyNumberFormat="1" applyFont="1" applyBorder="1"/>
    <xf numFmtId="3" fontId="114" fillId="0" borderId="80" xfId="92" applyNumberFormat="1" applyFont="1" applyBorder="1"/>
    <xf numFmtId="3" fontId="105" fillId="0" borderId="69" xfId="92" applyNumberFormat="1" applyFont="1" applyBorder="1"/>
    <xf numFmtId="3" fontId="114" fillId="0" borderId="75" xfId="92" applyNumberFormat="1" applyFont="1" applyBorder="1"/>
    <xf numFmtId="3" fontId="114" fillId="0" borderId="69" xfId="92" applyNumberFormat="1" applyFont="1" applyBorder="1"/>
    <xf numFmtId="3" fontId="118" fillId="0" borderId="0" xfId="92" applyNumberFormat="1" applyFont="1"/>
    <xf numFmtId="3" fontId="114" fillId="0" borderId="73" xfId="92" applyNumberFormat="1" applyFont="1" applyBorder="1"/>
    <xf numFmtId="3" fontId="114" fillId="0" borderId="83" xfId="92" applyNumberFormat="1" applyFont="1" applyBorder="1"/>
    <xf numFmtId="3" fontId="114" fillId="0" borderId="57" xfId="92" applyNumberFormat="1" applyFont="1" applyBorder="1" applyAlignment="1">
      <alignment horizontal="center"/>
    </xf>
    <xf numFmtId="0" fontId="114" fillId="0" borderId="85" xfId="92" applyFont="1" applyBorder="1"/>
    <xf numFmtId="3" fontId="114" fillId="0" borderId="56" xfId="92" applyNumberFormat="1" applyFont="1" applyBorder="1"/>
    <xf numFmtId="3" fontId="114" fillId="0" borderId="23" xfId="92" applyNumberFormat="1" applyFont="1" applyBorder="1" applyAlignment="1">
      <alignment horizontal="center"/>
    </xf>
    <xf numFmtId="0" fontId="114" fillId="0" borderId="23" xfId="92" applyFont="1" applyBorder="1"/>
    <xf numFmtId="0" fontId="114" fillId="0" borderId="53" xfId="92" applyFont="1" applyBorder="1"/>
    <xf numFmtId="0" fontId="105" fillId="0" borderId="83" xfId="0" applyFont="1" applyBorder="1" applyAlignment="1">
      <alignment wrapText="1"/>
    </xf>
    <xf numFmtId="3" fontId="105" fillId="0" borderId="19" xfId="92" applyNumberFormat="1" applyFont="1" applyBorder="1" applyAlignment="1">
      <alignment horizontal="center"/>
    </xf>
    <xf numFmtId="0" fontId="105" fillId="0" borderId="19" xfId="92" applyFont="1" applyBorder="1"/>
    <xf numFmtId="0" fontId="105" fillId="0" borderId="81" xfId="92" applyFont="1" applyBorder="1"/>
    <xf numFmtId="0" fontId="105" fillId="0" borderId="70" xfId="92" applyFont="1" applyBorder="1"/>
    <xf numFmtId="3" fontId="105" fillId="0" borderId="70" xfId="92" applyNumberFormat="1" applyFont="1" applyBorder="1"/>
    <xf numFmtId="3" fontId="121" fillId="0" borderId="18" xfId="92" applyNumberFormat="1" applyFont="1" applyBorder="1" applyAlignment="1">
      <alignment horizontal="center"/>
    </xf>
    <xf numFmtId="0" fontId="121" fillId="0" borderId="18" xfId="92" applyFont="1" applyBorder="1" applyAlignment="1">
      <alignment wrapText="1"/>
    </xf>
    <xf numFmtId="0" fontId="121" fillId="0" borderId="69" xfId="92" applyFont="1" applyBorder="1"/>
    <xf numFmtId="3" fontId="121" fillId="0" borderId="59" xfId="92" applyNumberFormat="1" applyFont="1" applyBorder="1"/>
    <xf numFmtId="0" fontId="114" fillId="0" borderId="53" xfId="92" applyFont="1" applyBorder="1" applyAlignment="1">
      <alignment horizontal="center"/>
    </xf>
    <xf numFmtId="3" fontId="105" fillId="0" borderId="106" xfId="92" applyNumberFormat="1" applyFont="1" applyBorder="1" applyAlignment="1">
      <alignment horizontal="center"/>
    </xf>
    <xf numFmtId="3" fontId="114" fillId="0" borderId="19" xfId="92" applyNumberFormat="1" applyFont="1" applyBorder="1" applyAlignment="1">
      <alignment horizontal="center"/>
    </xf>
    <xf numFmtId="3" fontId="121" fillId="0" borderId="20" xfId="92" applyNumberFormat="1" applyFont="1" applyBorder="1" applyAlignment="1">
      <alignment horizontal="center"/>
    </xf>
    <xf numFmtId="0" fontId="121" fillId="0" borderId="74" xfId="92" applyFont="1" applyBorder="1"/>
    <xf numFmtId="3" fontId="121" fillId="0" borderId="60" xfId="92" applyNumberFormat="1" applyFont="1" applyBorder="1"/>
    <xf numFmtId="3" fontId="121" fillId="0" borderId="0" xfId="92" applyNumberFormat="1" applyFont="1" applyAlignment="1">
      <alignment horizontal="center"/>
    </xf>
    <xf numFmtId="0" fontId="121" fillId="0" borderId="0" xfId="92" applyFont="1" applyAlignment="1">
      <alignment wrapText="1"/>
    </xf>
    <xf numFmtId="0" fontId="105" fillId="0" borderId="0" xfId="0" applyFont="1" applyAlignment="1">
      <alignment wrapText="1"/>
    </xf>
    <xf numFmtId="0" fontId="121" fillId="0" borderId="0" xfId="92" applyFont="1"/>
    <xf numFmtId="3" fontId="121" fillId="0" borderId="0" xfId="92" applyNumberFormat="1" applyFont="1"/>
    <xf numFmtId="0" fontId="114" fillId="0" borderId="46" xfId="92" applyFont="1" applyBorder="1"/>
    <xf numFmtId="0" fontId="114" fillId="0" borderId="0" xfId="92" applyFont="1"/>
    <xf numFmtId="0" fontId="114" fillId="0" borderId="16" xfId="92" applyFont="1" applyBorder="1"/>
    <xf numFmtId="0" fontId="105" fillId="0" borderId="0" xfId="92" applyFont="1"/>
    <xf numFmtId="0" fontId="114" fillId="0" borderId="24" xfId="92" applyFont="1" applyBorder="1"/>
    <xf numFmtId="0" fontId="105" fillId="0" borderId="94" xfId="92" applyFont="1" applyBorder="1"/>
    <xf numFmtId="0" fontId="121" fillId="0" borderId="89" xfId="92" applyFont="1" applyBorder="1"/>
    <xf numFmtId="0" fontId="122" fillId="0" borderId="0" xfId="92" applyFont="1" applyAlignment="1">
      <alignment horizontal="center"/>
    </xf>
    <xf numFmtId="0" fontId="122" fillId="0" borderId="0" xfId="92" applyFont="1"/>
    <xf numFmtId="0" fontId="12" fillId="0" borderId="0" xfId="92" applyFont="1"/>
    <xf numFmtId="0" fontId="114" fillId="0" borderId="0" xfId="92" applyFont="1" applyAlignment="1">
      <alignment horizontal="center"/>
    </xf>
    <xf numFmtId="3" fontId="122" fillId="0" borderId="0" xfId="92" applyNumberFormat="1" applyFont="1"/>
    <xf numFmtId="0" fontId="7" fillId="0" borderId="0" xfId="93" applyFont="1"/>
    <xf numFmtId="0" fontId="6" fillId="0" borderId="0" xfId="93" applyFont="1"/>
    <xf numFmtId="0" fontId="123" fillId="0" borderId="20" xfId="93" applyFont="1" applyBorder="1" applyAlignment="1">
      <alignment horizontal="centerContinuous"/>
    </xf>
    <xf numFmtId="3" fontId="123" fillId="0" borderId="113" xfId="93" applyNumberFormat="1" applyFont="1" applyBorder="1" applyAlignment="1">
      <alignment horizontal="centerContinuous"/>
    </xf>
    <xf numFmtId="0" fontId="123" fillId="0" borderId="89" xfId="93" applyFont="1" applyBorder="1" applyAlignment="1">
      <alignment horizontal="centerContinuous"/>
    </xf>
    <xf numFmtId="3" fontId="123" fillId="0" borderId="89" xfId="93" applyNumberFormat="1" applyFont="1" applyBorder="1" applyAlignment="1">
      <alignment horizontal="centerContinuous"/>
    </xf>
    <xf numFmtId="3" fontId="123" fillId="0" borderId="78" xfId="93" applyNumberFormat="1" applyFont="1" applyBorder="1" applyAlignment="1">
      <alignment horizontal="justify"/>
    </xf>
    <xf numFmtId="0" fontId="123" fillId="0" borderId="18" xfId="93" applyFont="1" applyBorder="1"/>
    <xf numFmtId="3" fontId="123" fillId="0" borderId="31" xfId="93" applyNumberFormat="1" applyFont="1" applyBorder="1"/>
    <xf numFmtId="0" fontId="123" fillId="0" borderId="0" xfId="93" applyFont="1"/>
    <xf numFmtId="3" fontId="123" fillId="0" borderId="0" xfId="93" applyNumberFormat="1" applyFont="1"/>
    <xf numFmtId="0" fontId="124" fillId="0" borderId="83" xfId="93" applyFont="1" applyBorder="1"/>
    <xf numFmtId="0" fontId="124" fillId="0" borderId="18" xfId="93" applyFont="1" applyBorder="1"/>
    <xf numFmtId="3" fontId="124" fillId="0" borderId="31" xfId="93" applyNumberFormat="1" applyFont="1" applyBorder="1" applyAlignment="1">
      <alignment horizontal="center"/>
    </xf>
    <xf numFmtId="0" fontId="124" fillId="0" borderId="0" xfId="93" applyFont="1"/>
    <xf numFmtId="3" fontId="124" fillId="0" borderId="0" xfId="93" applyNumberFormat="1" applyFont="1"/>
    <xf numFmtId="3" fontId="124" fillId="0" borderId="31" xfId="93" applyNumberFormat="1" applyFont="1" applyBorder="1"/>
    <xf numFmtId="0" fontId="123" fillId="0" borderId="17" xfId="93" applyFont="1" applyBorder="1"/>
    <xf numFmtId="3" fontId="123" fillId="0" borderId="115" xfId="93" applyNumberFormat="1" applyFont="1" applyBorder="1" applyAlignment="1">
      <alignment horizontal="center"/>
    </xf>
    <xf numFmtId="0" fontId="123" fillId="0" borderId="22" xfId="93" applyFont="1" applyBorder="1"/>
    <xf numFmtId="3" fontId="123" fillId="0" borderId="22" xfId="93" applyNumberFormat="1" applyFont="1" applyBorder="1"/>
    <xf numFmtId="3" fontId="123" fillId="0" borderId="77" xfId="93" applyNumberFormat="1" applyFont="1" applyBorder="1"/>
    <xf numFmtId="0" fontId="123" fillId="0" borderId="83" xfId="93" applyFont="1" applyBorder="1"/>
    <xf numFmtId="3" fontId="123" fillId="0" borderId="31" xfId="93" applyNumberFormat="1" applyFont="1" applyBorder="1" applyAlignment="1">
      <alignment horizontal="center"/>
    </xf>
    <xf numFmtId="3" fontId="124" fillId="0" borderId="83" xfId="93" applyNumberFormat="1" applyFont="1" applyBorder="1"/>
    <xf numFmtId="3" fontId="7" fillId="0" borderId="0" xfId="93" applyNumberFormat="1" applyFont="1"/>
    <xf numFmtId="3" fontId="6" fillId="0" borderId="0" xfId="93" applyNumberFormat="1" applyFont="1"/>
    <xf numFmtId="0" fontId="124" fillId="0" borderId="47" xfId="93" applyFont="1" applyBorder="1"/>
    <xf numFmtId="3" fontId="124" fillId="0" borderId="31" xfId="93" applyNumberFormat="1" applyFont="1" applyBorder="1" applyAlignment="1">
      <alignment horizontal="right"/>
    </xf>
    <xf numFmtId="0" fontId="124" fillId="0" borderId="18" xfId="93" applyFont="1" applyBorder="1" applyAlignment="1">
      <alignment horizontal="left"/>
    </xf>
    <xf numFmtId="3" fontId="123" fillId="0" borderId="115" xfId="93" applyNumberFormat="1" applyFont="1" applyBorder="1" applyAlignment="1">
      <alignment horizontal="right"/>
    </xf>
    <xf numFmtId="0" fontId="124" fillId="0" borderId="0" xfId="93" applyFont="1" applyAlignment="1">
      <alignment horizontal="right"/>
    </xf>
    <xf numFmtId="0" fontId="123" fillId="0" borderId="23" xfId="93" applyFont="1" applyBorder="1"/>
    <xf numFmtId="3" fontId="124" fillId="0" borderId="63" xfId="93" applyNumberFormat="1" applyFont="1" applyBorder="1" applyAlignment="1">
      <alignment horizontal="right"/>
    </xf>
    <xf numFmtId="0" fontId="124" fillId="0" borderId="46" xfId="93" applyFont="1" applyBorder="1"/>
    <xf numFmtId="3" fontId="124" fillId="0" borderId="46" xfId="93" applyNumberFormat="1" applyFont="1" applyBorder="1"/>
    <xf numFmtId="0" fontId="124" fillId="0" borderId="53" xfId="93" applyFont="1" applyBorder="1"/>
    <xf numFmtId="0" fontId="125" fillId="0" borderId="18" xfId="93" applyFont="1" applyBorder="1"/>
    <xf numFmtId="0" fontId="124" fillId="0" borderId="29" xfId="93" applyFont="1" applyBorder="1"/>
    <xf numFmtId="0" fontId="123" fillId="0" borderId="0" xfId="77" applyFont="1"/>
    <xf numFmtId="0" fontId="8" fillId="0" borderId="0" xfId="93" applyFont="1"/>
    <xf numFmtId="0" fontId="124" fillId="0" borderId="0" xfId="93" applyFont="1" applyAlignment="1">
      <alignment wrapText="1"/>
    </xf>
    <xf numFmtId="3" fontId="124" fillId="0" borderId="31" xfId="77" applyNumberFormat="1" applyFont="1" applyBorder="1"/>
    <xf numFmtId="0" fontId="126" fillId="0" borderId="0" xfId="0" applyFont="1"/>
    <xf numFmtId="0" fontId="124" fillId="0" borderId="0" xfId="77" applyFont="1"/>
    <xf numFmtId="3" fontId="123" fillId="0" borderId="53" xfId="93" applyNumberFormat="1" applyFont="1" applyBorder="1"/>
    <xf numFmtId="3" fontId="123" fillId="0" borderId="83" xfId="93" applyNumberFormat="1" applyFont="1" applyBorder="1"/>
    <xf numFmtId="0" fontId="125" fillId="0" borderId="94" xfId="93" applyFont="1" applyBorder="1"/>
    <xf numFmtId="3" fontId="124" fillId="0" borderId="133" xfId="93" applyNumberFormat="1" applyFont="1" applyBorder="1" applyAlignment="1">
      <alignment horizontal="right"/>
    </xf>
    <xf numFmtId="0" fontId="123" fillId="0" borderId="87" xfId="77" applyFont="1" applyBorder="1"/>
    <xf numFmtId="3" fontId="123" fillId="0" borderId="87" xfId="93" applyNumberFormat="1" applyFont="1" applyBorder="1"/>
    <xf numFmtId="3" fontId="123" fillId="0" borderId="96" xfId="93" applyNumberFormat="1" applyFont="1" applyBorder="1"/>
    <xf numFmtId="0" fontId="123" fillId="0" borderId="19" xfId="93" applyFont="1" applyBorder="1"/>
    <xf numFmtId="3" fontId="123" fillId="0" borderId="95" xfId="93" applyNumberFormat="1" applyFont="1" applyBorder="1" applyAlignment="1">
      <alignment horizontal="right"/>
    </xf>
    <xf numFmtId="0" fontId="123" fillId="0" borderId="16" xfId="93" applyFont="1" applyBorder="1"/>
    <xf numFmtId="3" fontId="123" fillId="0" borderId="16" xfId="93" applyNumberFormat="1" applyFont="1" applyBorder="1"/>
    <xf numFmtId="3" fontId="123" fillId="0" borderId="81" xfId="93" applyNumberFormat="1" applyFont="1" applyBorder="1"/>
    <xf numFmtId="3" fontId="124" fillId="29" borderId="0" xfId="93" applyNumberFormat="1" applyFont="1" applyFill="1"/>
    <xf numFmtId="3" fontId="124" fillId="29" borderId="31" xfId="93" applyNumberFormat="1" applyFont="1" applyFill="1" applyBorder="1" applyAlignment="1">
      <alignment horizontal="right"/>
    </xf>
    <xf numFmtId="0" fontId="63" fillId="0" borderId="0" xfId="93" applyFont="1"/>
    <xf numFmtId="0" fontId="127" fillId="0" borderId="0" xfId="93" applyFont="1"/>
    <xf numFmtId="3" fontId="127" fillId="0" borderId="0" xfId="93" applyNumberFormat="1" applyFont="1"/>
    <xf numFmtId="0" fontId="118" fillId="0" borderId="0" xfId="94" applyFont="1"/>
    <xf numFmtId="3" fontId="118" fillId="0" borderId="0" xfId="94" applyNumberFormat="1" applyFont="1"/>
    <xf numFmtId="0" fontId="128" fillId="0" borderId="0" xfId="92" applyFont="1"/>
    <xf numFmtId="0" fontId="129" fillId="0" borderId="0" xfId="94" applyFont="1" applyAlignment="1">
      <alignment horizontal="center"/>
    </xf>
    <xf numFmtId="0" fontId="130" fillId="0" borderId="0" xfId="94" applyFont="1" applyAlignment="1">
      <alignment horizontal="center"/>
    </xf>
    <xf numFmtId="0" fontId="105" fillId="0" borderId="0" xfId="94" applyFont="1"/>
    <xf numFmtId="0" fontId="114" fillId="0" borderId="0" xfId="94" applyFont="1"/>
    <xf numFmtId="3" fontId="105" fillId="0" borderId="0" xfId="94" applyNumberFormat="1" applyFont="1"/>
    <xf numFmtId="3" fontId="114" fillId="0" borderId="0" xfId="94" applyNumberFormat="1" applyFont="1"/>
    <xf numFmtId="0" fontId="105" fillId="0" borderId="0" xfId="94" applyFont="1" applyAlignment="1">
      <alignment horizontal="right"/>
    </xf>
    <xf numFmtId="0" fontId="118" fillId="0" borderId="0" xfId="94" applyFont="1" applyAlignment="1">
      <alignment horizontal="right"/>
    </xf>
    <xf numFmtId="0" fontId="94" fillId="0" borderId="23" xfId="94" applyFont="1" applyBorder="1"/>
    <xf numFmtId="0" fontId="94" fillId="0" borderId="46" xfId="94" applyFont="1" applyBorder="1" applyAlignment="1">
      <alignment horizontal="centerContinuous"/>
    </xf>
    <xf numFmtId="0" fontId="94" fillId="0" borderId="47" xfId="0" applyFont="1" applyBorder="1"/>
    <xf numFmtId="0" fontId="94" fillId="0" borderId="53" xfId="0" applyFont="1" applyBorder="1"/>
    <xf numFmtId="0" fontId="86" fillId="0" borderId="0" xfId="0" applyFont="1"/>
    <xf numFmtId="0" fontId="131" fillId="0" borderId="0" xfId="94" applyFont="1"/>
    <xf numFmtId="0" fontId="94" fillId="0" borderId="19" xfId="94" applyFont="1" applyBorder="1"/>
    <xf numFmtId="0" fontId="94" fillId="0" borderId="16" xfId="94" applyFont="1" applyBorder="1"/>
    <xf numFmtId="3" fontId="93" fillId="0" borderId="61" xfId="94" applyNumberFormat="1" applyFont="1" applyBorder="1" applyAlignment="1">
      <alignment horizontal="center"/>
    </xf>
    <xf numFmtId="3" fontId="93" fillId="0" borderId="28" xfId="94" applyNumberFormat="1" applyFont="1" applyBorder="1" applyAlignment="1">
      <alignment horizontal="center"/>
    </xf>
    <xf numFmtId="3" fontId="129" fillId="0" borderId="0" xfId="94" applyNumberFormat="1" applyFont="1" applyAlignment="1">
      <alignment horizontal="justify"/>
    </xf>
    <xf numFmtId="3" fontId="129" fillId="0" borderId="0" xfId="94" applyNumberFormat="1" applyFont="1"/>
    <xf numFmtId="0" fontId="7" fillId="0" borderId="0" xfId="0" applyFont="1" applyAlignment="1">
      <alignment horizontal="left"/>
    </xf>
    <xf numFmtId="0" fontId="94" fillId="0" borderId="26" xfId="94" applyFont="1" applyBorder="1"/>
    <xf numFmtId="0" fontId="94" fillId="0" borderId="87" xfId="94" applyFont="1" applyBorder="1"/>
    <xf numFmtId="0" fontId="94" fillId="0" borderId="24" xfId="94" applyFont="1" applyBorder="1"/>
    <xf numFmtId="3" fontId="94" fillId="0" borderId="32" xfId="94" applyNumberFormat="1" applyFont="1" applyBorder="1"/>
    <xf numFmtId="4" fontId="94" fillId="0" borderId="58" xfId="94" applyNumberFormat="1" applyFont="1" applyBorder="1"/>
    <xf numFmtId="4" fontId="131" fillId="0" borderId="0" xfId="94" applyNumberFormat="1" applyFont="1"/>
    <xf numFmtId="3" fontId="131" fillId="0" borderId="0" xfId="94" applyNumberFormat="1" applyFont="1"/>
    <xf numFmtId="0" fontId="93" fillId="0" borderId="19" xfId="94" applyFont="1" applyBorder="1"/>
    <xf numFmtId="0" fontId="93" fillId="0" borderId="16" xfId="94" applyFont="1" applyBorder="1"/>
    <xf numFmtId="3" fontId="93" fillId="0" borderId="61" xfId="94" applyNumberFormat="1" applyFont="1" applyBorder="1"/>
    <xf numFmtId="4" fontId="93" fillId="0" borderId="28" xfId="94" applyNumberFormat="1" applyFont="1" applyBorder="1"/>
    <xf numFmtId="0" fontId="69" fillId="0" borderId="0" xfId="0" applyFont="1" applyAlignment="1">
      <alignment vertical="center" wrapText="1"/>
    </xf>
    <xf numFmtId="0" fontId="69" fillId="0" borderId="0" xfId="94" applyFont="1"/>
    <xf numFmtId="0" fontId="93" fillId="0" borderId="22" xfId="94" applyFont="1" applyBorder="1"/>
    <xf numFmtId="3" fontId="93" fillId="0" borderId="43" xfId="94" applyNumberFormat="1" applyFont="1" applyBorder="1"/>
    <xf numFmtId="0" fontId="94" fillId="0" borderId="18" xfId="94" applyFont="1" applyBorder="1"/>
    <xf numFmtId="3" fontId="98" fillId="0" borderId="32" xfId="94" applyNumberFormat="1" applyFont="1" applyBorder="1"/>
    <xf numFmtId="4" fontId="94" fillId="0" borderId="134" xfId="94" applyNumberFormat="1" applyFont="1" applyBorder="1"/>
    <xf numFmtId="3" fontId="69" fillId="0" borderId="0" xfId="0" applyNumberFormat="1" applyFont="1" applyAlignment="1">
      <alignment vertical="center" wrapText="1"/>
    </xf>
    <xf numFmtId="4" fontId="132" fillId="0" borderId="0" xfId="94" applyNumberFormat="1" applyFont="1"/>
    <xf numFmtId="3" fontId="133" fillId="0" borderId="0" xfId="94" applyNumberFormat="1" applyFont="1"/>
    <xf numFmtId="0" fontId="132" fillId="0" borderId="0" xfId="94" applyFont="1"/>
    <xf numFmtId="0" fontId="134" fillId="0" borderId="0" xfId="95" applyFont="1"/>
    <xf numFmtId="0" fontId="5" fillId="0" borderId="0" xfId="95"/>
    <xf numFmtId="0" fontId="135" fillId="0" borderId="0" xfId="95" applyFont="1" applyAlignment="1">
      <alignment horizontal="center"/>
    </xf>
    <xf numFmtId="0" fontId="5" fillId="0" borderId="0" xfId="95" applyAlignment="1">
      <alignment horizontal="center"/>
    </xf>
    <xf numFmtId="0" fontId="71" fillId="0" borderId="32" xfId="95" applyFont="1" applyBorder="1" applyAlignment="1">
      <alignment horizontal="center"/>
    </xf>
    <xf numFmtId="0" fontId="71" fillId="0" borderId="58" xfId="95" applyFont="1" applyBorder="1" applyAlignment="1">
      <alignment horizontal="center"/>
    </xf>
    <xf numFmtId="0" fontId="70" fillId="0" borderId="43" xfId="95" applyFont="1" applyBorder="1" applyAlignment="1">
      <alignment horizontal="center"/>
    </xf>
    <xf numFmtId="0" fontId="70" fillId="0" borderId="54" xfId="95" applyFont="1" applyBorder="1" applyAlignment="1">
      <alignment horizontal="center"/>
    </xf>
    <xf numFmtId="3" fontId="71" fillId="0" borderId="87" xfId="95" applyNumberFormat="1" applyFont="1" applyBorder="1"/>
    <xf numFmtId="3" fontId="71" fillId="0" borderId="97" xfId="95" applyNumberFormat="1" applyFont="1" applyBorder="1"/>
    <xf numFmtId="3" fontId="71" fillId="0" borderId="96" xfId="95" applyNumberFormat="1" applyFont="1" applyBorder="1"/>
    <xf numFmtId="3" fontId="71" fillId="0" borderId="24" xfId="95" applyNumberFormat="1" applyFont="1" applyBorder="1"/>
    <xf numFmtId="3" fontId="71" fillId="0" borderId="32" xfId="95" applyNumberFormat="1" applyFont="1" applyBorder="1"/>
    <xf numFmtId="3" fontId="71" fillId="0" borderId="84" xfId="95" applyNumberFormat="1" applyFont="1" applyBorder="1"/>
    <xf numFmtId="3" fontId="71" fillId="0" borderId="43" xfId="95" applyNumberFormat="1" applyFont="1" applyBorder="1"/>
    <xf numFmtId="3" fontId="71" fillId="0" borderId="54" xfId="95" applyNumberFormat="1" applyFont="1" applyBorder="1"/>
    <xf numFmtId="0" fontId="71" fillId="0" borderId="121" xfId="95" applyFont="1" applyBorder="1" applyAlignment="1">
      <alignment horizontal="left"/>
    </xf>
    <xf numFmtId="0" fontId="71" fillId="0" borderId="111" xfId="95" applyFont="1" applyBorder="1" applyAlignment="1">
      <alignment horizontal="left"/>
    </xf>
    <xf numFmtId="3" fontId="71" fillId="0" borderId="121" xfId="95" applyNumberFormat="1" applyFont="1" applyBorder="1"/>
    <xf numFmtId="3" fontId="71" fillId="0" borderId="116" xfId="95" applyNumberFormat="1" applyFont="1" applyBorder="1"/>
    <xf numFmtId="3" fontId="71" fillId="0" borderId="129" xfId="95" applyNumberFormat="1" applyFont="1" applyBorder="1"/>
    <xf numFmtId="0" fontId="71" fillId="0" borderId="0" xfId="95" applyFont="1"/>
    <xf numFmtId="0" fontId="71" fillId="0" borderId="32" xfId="95" applyFont="1" applyBorder="1"/>
    <xf numFmtId="0" fontId="71" fillId="0" borderId="133" xfId="95" applyFont="1" applyBorder="1"/>
    <xf numFmtId="3" fontId="5" fillId="0" borderId="0" xfId="95" applyNumberFormat="1"/>
    <xf numFmtId="0" fontId="71" fillId="0" borderId="0" xfId="95" applyFont="1" applyAlignment="1">
      <alignment vertical="center"/>
    </xf>
    <xf numFmtId="0" fontId="71" fillId="0" borderId="55" xfId="95" applyFont="1" applyBorder="1"/>
    <xf numFmtId="3" fontId="71" fillId="0" borderId="0" xfId="95" applyNumberFormat="1" applyFont="1"/>
    <xf numFmtId="3" fontId="71" fillId="0" borderId="15" xfId="95" applyNumberFormat="1" applyFont="1" applyBorder="1"/>
    <xf numFmtId="3" fontId="71" fillId="0" borderId="83" xfId="95" applyNumberFormat="1" applyFont="1" applyBorder="1"/>
    <xf numFmtId="0" fontId="71" fillId="0" borderId="0" xfId="95" applyFont="1" applyAlignment="1">
      <alignment horizontal="left" vertical="center"/>
    </xf>
    <xf numFmtId="3" fontId="71" fillId="0" borderId="49" xfId="95" applyNumberFormat="1" applyFont="1" applyBorder="1"/>
    <xf numFmtId="0" fontId="71" fillId="0" borderId="87" xfId="95" applyFont="1" applyBorder="1" applyAlignment="1">
      <alignment horizontal="left" vertical="center"/>
    </xf>
    <xf numFmtId="0" fontId="71" fillId="0" borderId="97" xfId="95" applyFont="1" applyBorder="1"/>
    <xf numFmtId="0" fontId="71" fillId="0" borderId="15" xfId="95" applyFont="1" applyBorder="1"/>
    <xf numFmtId="0" fontId="71" fillId="0" borderId="79" xfId="95" applyFont="1" applyBorder="1"/>
    <xf numFmtId="0" fontId="71" fillId="0" borderId="61" xfId="95" applyFont="1" applyBorder="1"/>
    <xf numFmtId="0" fontId="71" fillId="0" borderId="95" xfId="95" applyFont="1" applyBorder="1"/>
    <xf numFmtId="3" fontId="71" fillId="0" borderId="16" xfId="95" applyNumberFormat="1" applyFont="1" applyBorder="1"/>
    <xf numFmtId="3" fontId="71" fillId="0" borderId="61" xfId="95" applyNumberFormat="1" applyFont="1" applyBorder="1"/>
    <xf numFmtId="3" fontId="71" fillId="0" borderId="81" xfId="95" applyNumberFormat="1" applyFont="1" applyBorder="1"/>
    <xf numFmtId="3" fontId="118" fillId="0" borderId="0" xfId="96" applyNumberFormat="1" applyFont="1" applyAlignment="1">
      <alignment horizontal="center"/>
    </xf>
    <xf numFmtId="3" fontId="118" fillId="0" borderId="0" xfId="96" applyNumberFormat="1" applyFont="1"/>
    <xf numFmtId="3" fontId="136" fillId="0" borderId="0" xfId="96" applyNumberFormat="1" applyFont="1"/>
    <xf numFmtId="3" fontId="131" fillId="0" borderId="0" xfId="96" applyNumberFormat="1" applyFont="1"/>
    <xf numFmtId="3" fontId="137" fillId="0" borderId="0" xfId="96" applyNumberFormat="1" applyFont="1"/>
    <xf numFmtId="3" fontId="105" fillId="0" borderId="0" xfId="96" applyNumberFormat="1" applyFont="1" applyAlignment="1">
      <alignment horizontal="center"/>
    </xf>
    <xf numFmtId="3" fontId="105" fillId="0" borderId="0" xfId="96" applyNumberFormat="1" applyFont="1"/>
    <xf numFmtId="3" fontId="138" fillId="0" borderId="0" xfId="96" applyNumberFormat="1" applyFont="1"/>
    <xf numFmtId="3" fontId="139" fillId="0" borderId="0" xfId="96" applyNumberFormat="1" applyFont="1"/>
    <xf numFmtId="3" fontId="140" fillId="0" borderId="0" xfId="96" applyNumberFormat="1" applyFont="1"/>
    <xf numFmtId="3" fontId="133" fillId="0" borderId="0" xfId="96" applyNumberFormat="1" applyFont="1"/>
    <xf numFmtId="3" fontId="129" fillId="0" borderId="0" xfId="96" applyNumberFormat="1" applyFont="1"/>
    <xf numFmtId="3" fontId="113" fillId="0" borderId="0" xfId="96" applyNumberFormat="1" applyFont="1"/>
    <xf numFmtId="3" fontId="141" fillId="0" borderId="0" xfId="96" applyNumberFormat="1" applyFont="1"/>
    <xf numFmtId="3" fontId="132" fillId="0" borderId="0" xfId="96" applyNumberFormat="1" applyFont="1"/>
    <xf numFmtId="3" fontId="12" fillId="0" borderId="0" xfId="96" applyNumberFormat="1" applyFont="1"/>
    <xf numFmtId="3" fontId="142" fillId="0" borderId="0" xfId="96" applyNumberFormat="1" applyFont="1"/>
    <xf numFmtId="3" fontId="32" fillId="0" borderId="0" xfId="96" applyNumberFormat="1" applyFont="1"/>
    <xf numFmtId="3" fontId="120" fillId="0" borderId="0" xfId="96" applyNumberFormat="1" applyFont="1"/>
    <xf numFmtId="0" fontId="111" fillId="0" borderId="0" xfId="98" applyFont="1"/>
    <xf numFmtId="0" fontId="143" fillId="0" borderId="0" xfId="98" applyFont="1"/>
    <xf numFmtId="3" fontId="111" fillId="0" borderId="0" xfId="98" applyNumberFormat="1" applyFont="1"/>
    <xf numFmtId="0" fontId="144" fillId="0" borderId="0" xfId="98" applyFont="1"/>
    <xf numFmtId="3" fontId="143" fillId="0" borderId="0" xfId="98" applyNumberFormat="1" applyFont="1"/>
    <xf numFmtId="0" fontId="112" fillId="0" borderId="0" xfId="98" applyFont="1" applyAlignment="1">
      <alignment horizontal="center"/>
    </xf>
    <xf numFmtId="0" fontId="70" fillId="0" borderId="80" xfId="98" applyFont="1" applyBorder="1" applyAlignment="1">
      <alignment horizontal="center" vertical="center"/>
    </xf>
    <xf numFmtId="3" fontId="70" fillId="0" borderId="23" xfId="98" applyNumberFormat="1" applyFont="1" applyBorder="1" applyAlignment="1">
      <alignment horizontal="center" vertical="center"/>
    </xf>
    <xf numFmtId="0" fontId="70" fillId="0" borderId="18" xfId="98" applyFont="1" applyBorder="1" applyAlignment="1">
      <alignment horizontal="center" vertical="center"/>
    </xf>
    <xf numFmtId="3" fontId="70" fillId="0" borderId="18" xfId="98" applyNumberFormat="1" applyFont="1" applyBorder="1" applyAlignment="1">
      <alignment horizontal="center" vertical="center"/>
    </xf>
    <xf numFmtId="0" fontId="70" fillId="0" borderId="44" xfId="98" applyFont="1" applyBorder="1" applyAlignment="1">
      <alignment horizontal="center" vertical="center" wrapText="1"/>
    </xf>
    <xf numFmtId="0" fontId="70" fillId="0" borderId="54" xfId="98" applyFont="1" applyBorder="1" applyAlignment="1">
      <alignment horizontal="center" vertical="center" wrapText="1"/>
    </xf>
    <xf numFmtId="3" fontId="70" fillId="0" borderId="19" xfId="98" applyNumberFormat="1" applyFont="1" applyBorder="1" applyAlignment="1">
      <alignment horizontal="center" vertical="center"/>
    </xf>
    <xf numFmtId="0" fontId="70" fillId="0" borderId="70" xfId="98" applyFont="1" applyBorder="1" applyAlignment="1">
      <alignment horizontal="center" vertical="center"/>
    </xf>
    <xf numFmtId="0" fontId="71" fillId="0" borderId="26" xfId="98" applyFont="1" applyBorder="1"/>
    <xf numFmtId="0" fontId="71" fillId="0" borderId="24" xfId="98" applyFont="1" applyBorder="1"/>
    <xf numFmtId="0" fontId="71" fillId="0" borderId="123" xfId="98" applyFont="1" applyBorder="1"/>
    <xf numFmtId="3" fontId="71" fillId="0" borderId="32" xfId="98" applyNumberFormat="1" applyFont="1" applyBorder="1"/>
    <xf numFmtId="2" fontId="71" fillId="0" borderId="49" xfId="98" applyNumberFormat="1" applyFont="1" applyBorder="1"/>
    <xf numFmtId="3" fontId="71" fillId="0" borderId="58" xfId="98" applyNumberFormat="1" applyFont="1" applyBorder="1"/>
    <xf numFmtId="3" fontId="71" fillId="0" borderId="26" xfId="98" applyNumberFormat="1" applyFont="1" applyBorder="1"/>
    <xf numFmtId="3" fontId="71" fillId="0" borderId="128" xfId="98" applyNumberFormat="1" applyFont="1" applyBorder="1"/>
    <xf numFmtId="3" fontId="71" fillId="0" borderId="75" xfId="98" applyNumberFormat="1" applyFont="1" applyBorder="1"/>
    <xf numFmtId="0" fontId="71" fillId="0" borderId="40" xfId="98" applyFont="1" applyBorder="1"/>
    <xf numFmtId="0" fontId="71" fillId="0" borderId="57" xfId="98" applyFont="1" applyBorder="1"/>
    <xf numFmtId="0" fontId="71" fillId="0" borderId="100" xfId="98" applyFont="1" applyBorder="1"/>
    <xf numFmtId="0" fontId="71" fillId="0" borderId="126" xfId="98" applyFont="1" applyBorder="1"/>
    <xf numFmtId="3" fontId="71" fillId="0" borderId="55" xfId="98" applyNumberFormat="1" applyFont="1" applyBorder="1"/>
    <xf numFmtId="2" fontId="71" fillId="0" borderId="79" xfId="98" applyNumberFormat="1" applyFont="1" applyBorder="1"/>
    <xf numFmtId="3" fontId="71" fillId="0" borderId="56" xfId="98" applyNumberFormat="1" applyFont="1" applyBorder="1"/>
    <xf numFmtId="3" fontId="71" fillId="0" borderId="57" xfId="98" applyNumberFormat="1" applyFont="1" applyBorder="1"/>
    <xf numFmtId="3" fontId="71" fillId="0" borderId="85" xfId="98" applyNumberFormat="1" applyFont="1" applyBorder="1"/>
    <xf numFmtId="3" fontId="71" fillId="0" borderId="24" xfId="98" applyNumberFormat="1" applyFont="1" applyBorder="1"/>
    <xf numFmtId="3" fontId="71" fillId="0" borderId="84" xfId="98" applyNumberFormat="1" applyFont="1" applyBorder="1"/>
    <xf numFmtId="0" fontId="70" fillId="0" borderId="26" xfId="98" applyFont="1" applyBorder="1" applyAlignment="1">
      <alignment horizontal="left"/>
    </xf>
    <xf numFmtId="3" fontId="70" fillId="0" borderId="58" xfId="98" applyNumberFormat="1" applyFont="1" applyBorder="1"/>
    <xf numFmtId="3" fontId="70" fillId="0" borderId="24" xfId="98" applyNumberFormat="1" applyFont="1" applyBorder="1"/>
    <xf numFmtId="3" fontId="70" fillId="0" borderId="75" xfId="98" applyNumberFormat="1" applyFont="1" applyBorder="1"/>
    <xf numFmtId="3" fontId="70" fillId="0" borderId="84" xfId="98" applyNumberFormat="1" applyFont="1" applyBorder="1"/>
    <xf numFmtId="0" fontId="71" fillId="0" borderId="94" xfId="98" applyFont="1" applyBorder="1"/>
    <xf numFmtId="0" fontId="71" fillId="0" borderId="87" xfId="98" applyFont="1" applyBorder="1"/>
    <xf numFmtId="0" fontId="71" fillId="0" borderId="133" xfId="98" applyFont="1" applyBorder="1"/>
    <xf numFmtId="3" fontId="71" fillId="0" borderId="97" xfId="98" applyNumberFormat="1" applyFont="1" applyBorder="1"/>
    <xf numFmtId="2" fontId="71" fillId="0" borderId="127" xfId="98" applyNumberFormat="1" applyFont="1" applyBorder="1"/>
    <xf numFmtId="3" fontId="71" fillId="0" borderId="134" xfId="98" applyNumberFormat="1" applyFont="1" applyBorder="1"/>
    <xf numFmtId="3" fontId="71" fillId="0" borderId="94" xfId="98" applyNumberFormat="1" applyFont="1" applyBorder="1"/>
    <xf numFmtId="3" fontId="71" fillId="0" borderId="106" xfId="98" applyNumberFormat="1" applyFont="1" applyBorder="1"/>
    <xf numFmtId="0" fontId="70" fillId="0" borderId="26" xfId="98" applyFont="1" applyBorder="1"/>
    <xf numFmtId="0" fontId="71" fillId="0" borderId="49" xfId="98" applyFont="1" applyBorder="1"/>
    <xf numFmtId="164" fontId="71" fillId="0" borderId="79" xfId="98" applyNumberFormat="1" applyFont="1" applyBorder="1"/>
    <xf numFmtId="0" fontId="70" fillId="0" borderId="17" xfId="98" applyFont="1" applyBorder="1"/>
    <xf numFmtId="0" fontId="70" fillId="0" borderId="22" xfId="98" applyFont="1" applyBorder="1"/>
    <xf numFmtId="3" fontId="70" fillId="0" borderId="43" xfId="98" applyNumberFormat="1" applyFont="1" applyBorder="1"/>
    <xf numFmtId="165" fontId="70" fillId="0" borderId="43" xfId="98" applyNumberFormat="1" applyFont="1" applyBorder="1"/>
    <xf numFmtId="3" fontId="70" fillId="0" borderId="54" xfId="98" applyNumberFormat="1" applyFont="1" applyBorder="1"/>
    <xf numFmtId="3" fontId="70" fillId="0" borderId="44" xfId="98" applyNumberFormat="1" applyFont="1" applyBorder="1"/>
    <xf numFmtId="3" fontId="70" fillId="0" borderId="73" xfId="98" applyNumberFormat="1" applyFont="1" applyBorder="1"/>
    <xf numFmtId="3" fontId="70" fillId="0" borderId="77" xfId="98" applyNumberFormat="1" applyFont="1" applyBorder="1"/>
    <xf numFmtId="0" fontId="70" fillId="0" borderId="20" xfId="98" applyFont="1" applyBorder="1"/>
    <xf numFmtId="0" fontId="71" fillId="0" borderId="89" xfId="98" applyFont="1" applyBorder="1"/>
    <xf numFmtId="3" fontId="71" fillId="0" borderId="21" xfId="98" applyNumberFormat="1" applyFont="1" applyBorder="1"/>
    <xf numFmtId="2" fontId="71" fillId="0" borderId="21" xfId="98" applyNumberFormat="1" applyFont="1" applyBorder="1"/>
    <xf numFmtId="3" fontId="70" fillId="0" borderId="60" xfId="98" applyNumberFormat="1" applyFont="1" applyBorder="1"/>
    <xf numFmtId="3" fontId="70" fillId="0" borderId="89" xfId="98" applyNumberFormat="1" applyFont="1" applyBorder="1"/>
    <xf numFmtId="3" fontId="70" fillId="0" borderId="74" xfId="98" applyNumberFormat="1" applyFont="1" applyBorder="1"/>
    <xf numFmtId="3" fontId="70" fillId="0" borderId="78" xfId="98" applyNumberFormat="1" applyFont="1" applyBorder="1"/>
    <xf numFmtId="3" fontId="145" fillId="0" borderId="0" xfId="98" applyNumberFormat="1" applyFont="1"/>
    <xf numFmtId="0" fontId="147" fillId="0" borderId="0" xfId="100" applyFont="1"/>
    <xf numFmtId="0" fontId="109" fillId="0" borderId="0" xfId="100" applyFont="1"/>
    <xf numFmtId="0" fontId="149" fillId="0" borderId="0" xfId="100" applyFont="1"/>
    <xf numFmtId="0" fontId="148" fillId="0" borderId="0" xfId="100" applyFont="1" applyAlignment="1">
      <alignment horizontal="center"/>
    </xf>
    <xf numFmtId="0" fontId="15" fillId="0" borderId="0" xfId="100" applyFont="1"/>
    <xf numFmtId="0" fontId="15" fillId="0" borderId="0" xfId="100" applyFont="1" applyAlignment="1">
      <alignment horizontal="right"/>
    </xf>
    <xf numFmtId="0" fontId="148" fillId="0" borderId="90" xfId="100" applyFont="1" applyBorder="1" applyAlignment="1">
      <alignment horizontal="center" vertical="center"/>
    </xf>
    <xf numFmtId="0" fontId="148" fillId="0" borderId="61" xfId="100" applyFont="1" applyBorder="1" applyAlignment="1">
      <alignment horizontal="center" vertical="center" wrapText="1"/>
    </xf>
    <xf numFmtId="0" fontId="148" fillId="0" borderId="28" xfId="100" applyFont="1" applyBorder="1" applyAlignment="1">
      <alignment horizontal="center" vertical="center"/>
    </xf>
    <xf numFmtId="0" fontId="148" fillId="0" borderId="75" xfId="100" applyFont="1" applyBorder="1"/>
    <xf numFmtId="3" fontId="116" fillId="0" borderId="131" xfId="100" applyNumberFormat="1" applyFont="1" applyBorder="1"/>
    <xf numFmtId="3" fontId="105" fillId="0" borderId="32" xfId="100" applyNumberFormat="1" applyFont="1" applyBorder="1"/>
    <xf numFmtId="3" fontId="116" fillId="0" borderId="58" xfId="100" applyNumberFormat="1" applyFont="1" applyBorder="1"/>
    <xf numFmtId="0" fontId="148" fillId="0" borderId="85" xfId="100" applyFont="1" applyBorder="1"/>
    <xf numFmtId="3" fontId="116" fillId="0" borderId="125" xfId="100" applyNumberFormat="1" applyFont="1" applyBorder="1"/>
    <xf numFmtId="3" fontId="105" fillId="0" borderId="55" xfId="100" applyNumberFormat="1" applyFont="1" applyBorder="1"/>
    <xf numFmtId="3" fontId="116" fillId="0" borderId="56" xfId="100" applyNumberFormat="1" applyFont="1" applyBorder="1"/>
    <xf numFmtId="0" fontId="114" fillId="0" borderId="74" xfId="100" applyFont="1" applyBorder="1" applyAlignment="1">
      <alignment horizontal="left" vertical="center" wrapText="1"/>
    </xf>
    <xf numFmtId="3" fontId="148" fillId="0" borderId="99" xfId="100" applyNumberFormat="1" applyFont="1" applyBorder="1" applyAlignment="1">
      <alignment horizontal="right" vertical="center"/>
    </xf>
    <xf numFmtId="3" fontId="148" fillId="0" borderId="21" xfId="100" applyNumberFormat="1" applyFont="1" applyBorder="1" applyAlignment="1">
      <alignment horizontal="right" vertical="center"/>
    </xf>
    <xf numFmtId="3" fontId="148" fillId="0" borderId="60" xfId="100" applyNumberFormat="1" applyFont="1" applyBorder="1" applyAlignment="1">
      <alignment horizontal="right" vertical="center"/>
    </xf>
    <xf numFmtId="3" fontId="147" fillId="0" borderId="0" xfId="100" applyNumberFormat="1" applyFont="1" applyAlignment="1">
      <alignment horizontal="right" vertical="center"/>
    </xf>
    <xf numFmtId="0" fontId="147" fillId="0" borderId="0" xfId="100" applyFont="1" applyAlignment="1">
      <alignment horizontal="right" vertical="center"/>
    </xf>
    <xf numFmtId="3" fontId="147" fillId="0" borderId="0" xfId="100" applyNumberFormat="1" applyFont="1"/>
    <xf numFmtId="3" fontId="32" fillId="0" borderId="0" xfId="100" applyNumberFormat="1" applyFont="1"/>
    <xf numFmtId="3" fontId="32" fillId="0" borderId="0" xfId="100" applyNumberFormat="1" applyFont="1" applyAlignment="1">
      <alignment horizontal="center"/>
    </xf>
    <xf numFmtId="0" fontId="32" fillId="0" borderId="0" xfId="100" applyFont="1"/>
    <xf numFmtId="0" fontId="147" fillId="0" borderId="0" xfId="100" applyFont="1" applyAlignment="1">
      <alignment horizontal="right"/>
    </xf>
    <xf numFmtId="3" fontId="76" fillId="29" borderId="15" xfId="0" applyNumberFormat="1" applyFont="1" applyFill="1" applyBorder="1"/>
    <xf numFmtId="3" fontId="77" fillId="29" borderId="61" xfId="0" applyNumberFormat="1" applyFont="1" applyFill="1" applyBorder="1" applyAlignment="1">
      <alignment horizontal="right"/>
    </xf>
    <xf numFmtId="3" fontId="76" fillId="29" borderId="45" xfId="0" applyNumberFormat="1" applyFont="1" applyFill="1" applyBorder="1"/>
    <xf numFmtId="0" fontId="77" fillId="0" borderId="45" xfId="0" applyFont="1" applyBorder="1" applyAlignment="1">
      <alignment horizontal="center"/>
    </xf>
    <xf numFmtId="3" fontId="91" fillId="0" borderId="36" xfId="77" applyNumberFormat="1" applyFont="1" applyBorder="1"/>
    <xf numFmtId="3" fontId="91" fillId="0" borderId="51" xfId="77" applyNumberFormat="1" applyFont="1" applyBorder="1"/>
    <xf numFmtId="2" fontId="76" fillId="0" borderId="27" xfId="77" applyNumberFormat="1" applyFont="1" applyBorder="1"/>
    <xf numFmtId="2" fontId="76" fillId="0" borderId="103" xfId="77" applyNumberFormat="1" applyFont="1" applyBorder="1"/>
    <xf numFmtId="2" fontId="76" fillId="0" borderId="56" xfId="77" applyNumberFormat="1" applyFont="1" applyBorder="1"/>
    <xf numFmtId="2" fontId="76" fillId="0" borderId="71" xfId="77" applyNumberFormat="1" applyFont="1" applyBorder="1"/>
    <xf numFmtId="2" fontId="77" fillId="0" borderId="60" xfId="77" applyNumberFormat="1" applyFont="1" applyBorder="1"/>
    <xf numFmtId="3" fontId="80" fillId="29" borderId="36" xfId="77" applyNumberFormat="1" applyFont="1" applyFill="1" applyBorder="1"/>
    <xf numFmtId="3" fontId="76" fillId="29" borderId="104" xfId="77" applyNumberFormat="1" applyFont="1" applyFill="1" applyBorder="1" applyAlignment="1">
      <alignment horizontal="right"/>
    </xf>
    <xf numFmtId="3" fontId="80" fillId="0" borderId="36" xfId="77" applyNumberFormat="1" applyFont="1" applyBorder="1" applyAlignment="1">
      <alignment horizontal="right" wrapText="1"/>
    </xf>
    <xf numFmtId="3" fontId="80" fillId="0" borderId="68" xfId="77" applyNumberFormat="1" applyFont="1" applyBorder="1" applyAlignment="1">
      <alignment horizontal="right" wrapText="1"/>
    </xf>
    <xf numFmtId="3" fontId="80" fillId="0" borderId="15" xfId="77" applyNumberFormat="1" applyFont="1" applyBorder="1" applyAlignment="1">
      <alignment horizontal="right" wrapText="1"/>
    </xf>
    <xf numFmtId="3" fontId="80" fillId="0" borderId="59" xfId="77" applyNumberFormat="1" applyFont="1" applyBorder="1" applyAlignment="1">
      <alignment horizontal="right" wrapText="1"/>
    </xf>
    <xf numFmtId="3" fontId="80" fillId="0" borderId="51" xfId="77" applyNumberFormat="1" applyFont="1" applyBorder="1" applyAlignment="1">
      <alignment horizontal="right" wrapText="1"/>
    </xf>
    <xf numFmtId="3" fontId="80" fillId="0" borderId="67" xfId="77" applyNumberFormat="1" applyFont="1" applyBorder="1" applyAlignment="1">
      <alignment horizontal="right" wrapText="1"/>
    </xf>
    <xf numFmtId="3" fontId="76" fillId="0" borderId="71" xfId="77" applyNumberFormat="1" applyFont="1" applyBorder="1" applyAlignment="1">
      <alignment horizontal="right"/>
    </xf>
    <xf numFmtId="3" fontId="76" fillId="0" borderId="67" xfId="0" applyNumberFormat="1" applyFont="1" applyBorder="1"/>
    <xf numFmtId="3" fontId="77" fillId="0" borderId="78" xfId="77" applyNumberFormat="1" applyFont="1" applyBorder="1"/>
    <xf numFmtId="3" fontId="79" fillId="0" borderId="51" xfId="0" applyNumberFormat="1" applyFont="1" applyBorder="1"/>
    <xf numFmtId="3" fontId="79" fillId="0" borderId="32" xfId="0" applyNumberFormat="1" applyFont="1" applyBorder="1"/>
    <xf numFmtId="3" fontId="79" fillId="0" borderId="136" xfId="0" applyNumberFormat="1" applyFont="1" applyBorder="1"/>
    <xf numFmtId="3" fontId="76" fillId="0" borderId="64" xfId="0" applyNumberFormat="1" applyFont="1" applyBorder="1"/>
    <xf numFmtId="3" fontId="79" fillId="0" borderId="55" xfId="0" applyNumberFormat="1" applyFont="1" applyBorder="1"/>
    <xf numFmtId="3" fontId="79" fillId="0" borderId="32" xfId="0" applyNumberFormat="1" applyFont="1" applyBorder="1" applyProtection="1">
      <protection locked="0"/>
    </xf>
    <xf numFmtId="3" fontId="77" fillId="0" borderId="51" xfId="0" applyNumberFormat="1" applyFont="1" applyBorder="1"/>
    <xf numFmtId="3" fontId="77" fillId="0" borderId="21" xfId="0" applyNumberFormat="1" applyFont="1" applyBorder="1" applyProtection="1">
      <protection locked="0"/>
    </xf>
    <xf numFmtId="3" fontId="77" fillId="0" borderId="45" xfId="0" applyNumberFormat="1" applyFont="1" applyBorder="1" applyProtection="1">
      <protection locked="0"/>
    </xf>
    <xf numFmtId="3" fontId="77" fillId="0" borderId="15" xfId="0" applyNumberFormat="1" applyFont="1" applyBorder="1" applyProtection="1">
      <protection locked="0"/>
    </xf>
    <xf numFmtId="3" fontId="76" fillId="0" borderId="36" xfId="0" applyNumberFormat="1" applyFont="1" applyBorder="1" applyProtection="1">
      <protection locked="0"/>
    </xf>
    <xf numFmtId="3" fontId="77" fillId="0" borderId="43" xfId="0" applyNumberFormat="1" applyFont="1" applyBorder="1" applyProtection="1">
      <protection locked="0"/>
    </xf>
    <xf numFmtId="3" fontId="77" fillId="0" borderId="36" xfId="0" applyNumberFormat="1" applyFont="1" applyBorder="1" applyProtection="1">
      <protection locked="0"/>
    </xf>
    <xf numFmtId="3" fontId="76" fillId="0" borderId="51" xfId="0" applyNumberFormat="1" applyFont="1" applyBorder="1" applyProtection="1">
      <protection locked="0"/>
    </xf>
    <xf numFmtId="3" fontId="76" fillId="0" borderId="15" xfId="0" applyNumberFormat="1" applyFont="1" applyBorder="1" applyProtection="1">
      <protection locked="0"/>
    </xf>
    <xf numFmtId="3" fontId="76" fillId="0" borderId="52" xfId="0" applyNumberFormat="1" applyFont="1" applyBorder="1" applyProtection="1">
      <protection locked="0"/>
    </xf>
    <xf numFmtId="0" fontId="76" fillId="0" borderId="36" xfId="0" applyFont="1" applyBorder="1"/>
    <xf numFmtId="0" fontId="76" fillId="0" borderId="52" xfId="0" applyFont="1" applyBorder="1"/>
    <xf numFmtId="0" fontId="76" fillId="0" borderId="45" xfId="0" applyFont="1" applyBorder="1"/>
    <xf numFmtId="4" fontId="77" fillId="0" borderId="96" xfId="0" applyNumberFormat="1" applyFont="1" applyBorder="1"/>
    <xf numFmtId="4" fontId="77" fillId="0" borderId="84" xfId="0" applyNumberFormat="1" applyFont="1" applyBorder="1"/>
    <xf numFmtId="4" fontId="77" fillId="0" borderId="82" xfId="0" applyNumberFormat="1" applyFont="1" applyBorder="1"/>
    <xf numFmtId="4" fontId="79" fillId="0" borderId="139" xfId="0" applyNumberFormat="1" applyFont="1" applyBorder="1"/>
    <xf numFmtId="4" fontId="77" fillId="0" borderId="119" xfId="0" applyNumberFormat="1" applyFont="1" applyBorder="1"/>
    <xf numFmtId="4" fontId="76" fillId="0" borderId="140" xfId="0" applyNumberFormat="1" applyFont="1" applyBorder="1"/>
    <xf numFmtId="4" fontId="77" fillId="0" borderId="140" xfId="0" applyNumberFormat="1" applyFont="1" applyBorder="1"/>
    <xf numFmtId="4" fontId="77" fillId="0" borderId="76" xfId="0" applyNumberFormat="1" applyFont="1" applyBorder="1"/>
    <xf numFmtId="0" fontId="76" fillId="0" borderId="83" xfId="0" applyFont="1" applyBorder="1"/>
    <xf numFmtId="3" fontId="80" fillId="0" borderId="51" xfId="0" applyNumberFormat="1" applyFont="1" applyBorder="1"/>
    <xf numFmtId="3" fontId="76" fillId="29" borderId="36" xfId="0" applyNumberFormat="1" applyFont="1" applyFill="1" applyBorder="1" applyProtection="1">
      <protection locked="0"/>
    </xf>
    <xf numFmtId="0" fontId="63" fillId="0" borderId="0" xfId="77" applyFont="1"/>
    <xf numFmtId="0" fontId="150" fillId="0" borderId="0" xfId="92" applyFont="1"/>
    <xf numFmtId="3" fontId="32" fillId="0" borderId="0" xfId="0" applyNumberFormat="1" applyFont="1" applyAlignment="1">
      <alignment horizontal="center"/>
    </xf>
    <xf numFmtId="3" fontId="94" fillId="0" borderId="69" xfId="88" applyNumberFormat="1" applyFont="1" applyBorder="1"/>
    <xf numFmtId="3" fontId="93" fillId="0" borderId="58" xfId="0" quotePrefix="1" applyNumberFormat="1" applyFont="1" applyBorder="1" applyAlignment="1">
      <alignment horizontal="right"/>
    </xf>
    <xf numFmtId="3" fontId="94" fillId="0" borderId="58" xfId="0" quotePrefix="1" applyNumberFormat="1" applyFont="1" applyBorder="1" applyAlignment="1">
      <alignment horizontal="right"/>
    </xf>
    <xf numFmtId="3" fontId="106" fillId="0" borderId="27" xfId="0" applyNumberFormat="1" applyFont="1" applyBorder="1" applyAlignment="1">
      <alignment horizontal="right"/>
    </xf>
    <xf numFmtId="3" fontId="94" fillId="0" borderId="59" xfId="0" applyNumberFormat="1" applyFont="1" applyBorder="1"/>
    <xf numFmtId="0" fontId="108" fillId="0" borderId="0" xfId="0" applyFont="1"/>
    <xf numFmtId="0" fontId="101" fillId="0" borderId="0" xfId="0" applyFont="1"/>
    <xf numFmtId="3" fontId="120" fillId="0" borderId="0" xfId="92" applyNumberFormat="1" applyFont="1"/>
    <xf numFmtId="3" fontId="151" fillId="0" borderId="0" xfId="76" applyNumberFormat="1" applyFont="1"/>
    <xf numFmtId="3" fontId="151" fillId="0" borderId="0" xfId="76" applyNumberFormat="1" applyFont="1" applyAlignment="1">
      <alignment horizontal="right"/>
    </xf>
    <xf numFmtId="3" fontId="152" fillId="0" borderId="0" xfId="76" applyNumberFormat="1" applyFont="1"/>
    <xf numFmtId="3" fontId="151" fillId="0" borderId="0" xfId="76" applyNumberFormat="1" applyFont="1" applyAlignment="1">
      <alignment horizontal="center"/>
    </xf>
    <xf numFmtId="3" fontId="153" fillId="0" borderId="0" xfId="76" applyNumberFormat="1" applyFont="1"/>
    <xf numFmtId="3" fontId="154" fillId="0" borderId="0" xfId="76" applyNumberFormat="1" applyFont="1" applyAlignment="1">
      <alignment horizontal="center"/>
    </xf>
    <xf numFmtId="3" fontId="155" fillId="0" borderId="0" xfId="76" applyNumberFormat="1" applyFont="1"/>
    <xf numFmtId="3" fontId="151" fillId="0" borderId="23" xfId="76" applyNumberFormat="1" applyFont="1" applyBorder="1" applyAlignment="1">
      <alignment horizontal="center"/>
    </xf>
    <xf numFmtId="3" fontId="151" fillId="0" borderId="53" xfId="76" applyNumberFormat="1" applyFont="1" applyBorder="1" applyAlignment="1">
      <alignment horizontal="center" vertical="center"/>
    </xf>
    <xf numFmtId="3" fontId="151" fillId="0" borderId="18" xfId="76" applyNumberFormat="1" applyFont="1" applyBorder="1" applyAlignment="1">
      <alignment horizontal="center" vertical="center"/>
    </xf>
    <xf numFmtId="3" fontId="151" fillId="0" borderId="19" xfId="76" applyNumberFormat="1" applyFont="1" applyBorder="1" applyAlignment="1">
      <alignment horizontal="center" vertical="center"/>
    </xf>
    <xf numFmtId="3" fontId="151" fillId="0" borderId="0" xfId="76" applyNumberFormat="1" applyFont="1" applyAlignment="1">
      <alignment horizontal="justify"/>
    </xf>
    <xf numFmtId="3" fontId="151" fillId="0" borderId="70" xfId="76" applyNumberFormat="1" applyFont="1" applyBorder="1" applyAlignment="1">
      <alignment horizontal="center" vertical="center" wrapText="1"/>
    </xf>
    <xf numFmtId="3" fontId="151" fillId="0" borderId="80" xfId="76" applyNumberFormat="1" applyFont="1" applyBorder="1" applyAlignment="1">
      <alignment horizontal="center" vertical="center"/>
    </xf>
    <xf numFmtId="3" fontId="151" fillId="0" borderId="80" xfId="76" applyNumberFormat="1" applyFont="1" applyBorder="1" applyAlignment="1">
      <alignment horizontal="right"/>
    </xf>
    <xf numFmtId="3" fontId="156" fillId="0" borderId="106" xfId="76" applyNumberFormat="1" applyFont="1" applyBorder="1" applyAlignment="1">
      <alignment horizontal="left"/>
    </xf>
    <xf numFmtId="3" fontId="156" fillId="0" borderId="106" xfId="76" applyNumberFormat="1" applyFont="1" applyBorder="1" applyAlignment="1">
      <alignment horizontal="right"/>
    </xf>
    <xf numFmtId="10" fontId="156" fillId="0" borderId="106" xfId="76" applyNumberFormat="1" applyFont="1" applyBorder="1" applyAlignment="1">
      <alignment horizontal="right"/>
    </xf>
    <xf numFmtId="3" fontId="151" fillId="0" borderId="106" xfId="76" applyNumberFormat="1" applyFont="1" applyBorder="1" applyAlignment="1">
      <alignment horizontal="right"/>
    </xf>
    <xf numFmtId="10" fontId="151" fillId="0" borderId="106" xfId="76" applyNumberFormat="1" applyFont="1" applyBorder="1" applyAlignment="1">
      <alignment horizontal="right"/>
    </xf>
    <xf numFmtId="3" fontId="157" fillId="0" borderId="106" xfId="76" applyNumberFormat="1" applyFont="1" applyBorder="1" applyAlignment="1">
      <alignment horizontal="right"/>
    </xf>
    <xf numFmtId="3" fontId="156" fillId="0" borderId="70" xfId="76" applyNumberFormat="1" applyFont="1" applyBorder="1" applyAlignment="1">
      <alignment horizontal="left"/>
    </xf>
    <xf numFmtId="3" fontId="156" fillId="0" borderId="69" xfId="76" applyNumberFormat="1" applyFont="1" applyBorder="1" applyAlignment="1">
      <alignment horizontal="right"/>
    </xf>
    <xf numFmtId="10" fontId="156" fillId="0" borderId="69" xfId="76" applyNumberFormat="1" applyFont="1" applyBorder="1" applyAlignment="1">
      <alignment horizontal="right"/>
    </xf>
    <xf numFmtId="10" fontId="151" fillId="0" borderId="69" xfId="76" applyNumberFormat="1" applyFont="1" applyBorder="1" applyAlignment="1">
      <alignment horizontal="right"/>
    </xf>
    <xf numFmtId="10" fontId="156" fillId="0" borderId="73" xfId="76" applyNumberFormat="1" applyFont="1" applyBorder="1" applyAlignment="1">
      <alignment horizontal="right"/>
    </xf>
    <xf numFmtId="3" fontId="151" fillId="0" borderId="17" xfId="76" applyNumberFormat="1" applyFont="1" applyBorder="1" applyAlignment="1">
      <alignment horizontal="left"/>
    </xf>
    <xf numFmtId="3" fontId="151" fillId="0" borderId="74" xfId="76" applyNumberFormat="1" applyFont="1" applyBorder="1" applyAlignment="1">
      <alignment horizontal="right"/>
    </xf>
    <xf numFmtId="10" fontId="151" fillId="0" borderId="74" xfId="76" applyNumberFormat="1" applyFont="1" applyBorder="1" applyAlignment="1">
      <alignment horizontal="right"/>
    </xf>
    <xf numFmtId="3" fontId="156" fillId="0" borderId="17" xfId="76" applyNumberFormat="1" applyFont="1" applyBorder="1" applyAlignment="1">
      <alignment horizontal="left"/>
    </xf>
    <xf numFmtId="3" fontId="156" fillId="0" borderId="74" xfId="76" applyNumberFormat="1" applyFont="1" applyBorder="1" applyAlignment="1">
      <alignment horizontal="right"/>
    </xf>
    <xf numFmtId="10" fontId="156" fillId="0" borderId="74" xfId="76" applyNumberFormat="1" applyFont="1" applyBorder="1" applyAlignment="1">
      <alignment horizontal="right"/>
    </xf>
    <xf numFmtId="10" fontId="151" fillId="0" borderId="70" xfId="76" applyNumberFormat="1" applyFont="1" applyBorder="1" applyAlignment="1">
      <alignment horizontal="right"/>
    </xf>
    <xf numFmtId="3" fontId="151" fillId="0" borderId="69" xfId="76" applyNumberFormat="1" applyFont="1" applyBorder="1" applyAlignment="1">
      <alignment horizontal="center" vertical="center"/>
    </xf>
    <xf numFmtId="3" fontId="151" fillId="0" borderId="69" xfId="76" applyNumberFormat="1" applyFont="1" applyBorder="1" applyAlignment="1">
      <alignment horizontal="right"/>
    </xf>
    <xf numFmtId="3" fontId="158" fillId="0" borderId="69" xfId="76" applyNumberFormat="1" applyFont="1" applyBorder="1" applyAlignment="1">
      <alignment horizontal="center"/>
    </xf>
    <xf numFmtId="3" fontId="156" fillId="0" borderId="69" xfId="76" applyNumberFormat="1" applyFont="1" applyBorder="1" applyAlignment="1">
      <alignment horizontal="justify"/>
    </xf>
    <xf numFmtId="3" fontId="156" fillId="0" borderId="75" xfId="76" applyNumberFormat="1" applyFont="1" applyBorder="1" applyAlignment="1">
      <alignment horizontal="left"/>
    </xf>
    <xf numFmtId="3" fontId="156" fillId="0" borderId="75" xfId="76" applyNumberFormat="1" applyFont="1" applyBorder="1" applyAlignment="1">
      <alignment horizontal="right"/>
    </xf>
    <xf numFmtId="3" fontId="156" fillId="0" borderId="85" xfId="76" applyNumberFormat="1" applyFont="1" applyBorder="1" applyAlignment="1">
      <alignment horizontal="left"/>
    </xf>
    <xf numFmtId="3" fontId="151" fillId="0" borderId="74" xfId="76" applyNumberFormat="1" applyFont="1" applyBorder="1" applyAlignment="1">
      <alignment horizontal="left"/>
    </xf>
    <xf numFmtId="3" fontId="158" fillId="0" borderId="80" xfId="76" applyNumberFormat="1" applyFont="1" applyBorder="1" applyAlignment="1">
      <alignment horizontal="center"/>
    </xf>
    <xf numFmtId="10" fontId="156" fillId="0" borderId="70" xfId="76" applyNumberFormat="1" applyFont="1" applyBorder="1" applyAlignment="1">
      <alignment horizontal="right"/>
    </xf>
    <xf numFmtId="3" fontId="156" fillId="0" borderId="141" xfId="76" applyNumberFormat="1" applyFont="1" applyBorder="1" applyAlignment="1">
      <alignment horizontal="right"/>
    </xf>
    <xf numFmtId="3" fontId="156" fillId="0" borderId="141" xfId="76" applyNumberFormat="1" applyFont="1" applyBorder="1"/>
    <xf numFmtId="3" fontId="156" fillId="0" borderId="106" xfId="76" applyNumberFormat="1" applyFont="1" applyBorder="1" applyAlignment="1">
      <alignment horizontal="justify"/>
    </xf>
    <xf numFmtId="3" fontId="156" fillId="0" borderId="106" xfId="76" applyNumberFormat="1" applyFont="1" applyBorder="1"/>
    <xf numFmtId="3" fontId="156" fillId="0" borderId="73" xfId="76" applyNumberFormat="1" applyFont="1" applyBorder="1" applyAlignment="1">
      <alignment horizontal="justify"/>
    </xf>
    <xf numFmtId="3" fontId="156" fillId="0" borderId="73" xfId="76" applyNumberFormat="1" applyFont="1" applyBorder="1" applyAlignment="1">
      <alignment horizontal="right"/>
    </xf>
    <xf numFmtId="3" fontId="151" fillId="0" borderId="73" xfId="76" applyNumberFormat="1" applyFont="1" applyBorder="1" applyAlignment="1">
      <alignment horizontal="right"/>
    </xf>
    <xf numFmtId="10" fontId="151" fillId="0" borderId="73" xfId="76" applyNumberFormat="1" applyFont="1" applyBorder="1" applyAlignment="1">
      <alignment horizontal="right"/>
    </xf>
    <xf numFmtId="3" fontId="151" fillId="0" borderId="70" xfId="76" applyNumberFormat="1" applyFont="1" applyBorder="1" applyAlignment="1">
      <alignment horizontal="left"/>
    </xf>
    <xf numFmtId="3" fontId="151" fillId="0" borderId="70" xfId="76" applyNumberFormat="1" applyFont="1" applyBorder="1" applyAlignment="1">
      <alignment horizontal="right"/>
    </xf>
    <xf numFmtId="3" fontId="151" fillId="0" borderId="74" xfId="76" applyNumberFormat="1" applyFont="1" applyBorder="1" applyAlignment="1">
      <alignment horizontal="left" vertical="center"/>
    </xf>
    <xf numFmtId="0" fontId="151" fillId="0" borderId="0" xfId="76" applyFont="1" applyAlignment="1">
      <alignment horizontal="left"/>
    </xf>
    <xf numFmtId="3" fontId="159" fillId="0" borderId="0" xfId="76" applyNumberFormat="1" applyFont="1" applyAlignment="1">
      <alignment horizontal="right"/>
    </xf>
    <xf numFmtId="3" fontId="159" fillId="0" borderId="0" xfId="76" applyNumberFormat="1" applyFont="1" applyAlignment="1">
      <alignment horizontal="center"/>
    </xf>
    <xf numFmtId="3" fontId="159" fillId="0" borderId="0" xfId="76" applyNumberFormat="1" applyFont="1"/>
    <xf numFmtId="3" fontId="160" fillId="0" borderId="0" xfId="76" applyNumberFormat="1" applyFont="1"/>
    <xf numFmtId="0" fontId="159" fillId="0" borderId="0" xfId="76" applyFont="1"/>
    <xf numFmtId="0" fontId="151" fillId="0" borderId="0" xfId="76" applyFont="1"/>
    <xf numFmtId="0" fontId="153" fillId="0" borderId="0" xfId="76" applyFont="1"/>
    <xf numFmtId="3" fontId="153" fillId="0" borderId="0" xfId="76" applyNumberFormat="1" applyFont="1" applyAlignment="1">
      <alignment horizontal="right"/>
    </xf>
    <xf numFmtId="3" fontId="153" fillId="0" borderId="0" xfId="76" applyNumberFormat="1" applyFont="1" applyAlignment="1">
      <alignment horizontal="center"/>
    </xf>
    <xf numFmtId="3" fontId="161" fillId="0" borderId="0" xfId="76" applyNumberFormat="1" applyFont="1"/>
    <xf numFmtId="3" fontId="162" fillId="0" borderId="0" xfId="76" applyNumberFormat="1" applyFont="1"/>
    <xf numFmtId="3" fontId="82" fillId="0" borderId="0" xfId="76" applyNumberFormat="1" applyFont="1" applyAlignment="1">
      <alignment horizontal="right"/>
    </xf>
    <xf numFmtId="3" fontId="91" fillId="0" borderId="0" xfId="76" applyNumberFormat="1" applyFont="1" applyAlignment="1">
      <alignment horizontal="left"/>
    </xf>
    <xf numFmtId="3" fontId="82" fillId="0" borderId="0" xfId="76" applyNumberFormat="1" applyFont="1"/>
    <xf numFmtId="3" fontId="7" fillId="0" borderId="0" xfId="76" applyNumberFormat="1" applyFont="1"/>
    <xf numFmtId="3" fontId="163" fillId="0" borderId="0" xfId="76" applyNumberFormat="1" applyFont="1"/>
    <xf numFmtId="3" fontId="164" fillId="0" borderId="0" xfId="76" applyNumberFormat="1" applyFont="1"/>
    <xf numFmtId="3" fontId="156" fillId="0" borderId="23" xfId="76" applyNumberFormat="1" applyFont="1" applyBorder="1" applyAlignment="1">
      <alignment horizontal="left"/>
    </xf>
    <xf numFmtId="3" fontId="83" fillId="0" borderId="0" xfId="76" applyNumberFormat="1" applyFont="1" applyAlignment="1">
      <alignment horizontal="center"/>
    </xf>
    <xf numFmtId="3" fontId="14" fillId="0" borderId="0" xfId="76" applyNumberFormat="1" applyFont="1" applyAlignment="1">
      <alignment horizontal="center"/>
    </xf>
    <xf numFmtId="3" fontId="151" fillId="0" borderId="18" xfId="76" applyNumberFormat="1" applyFont="1" applyBorder="1" applyAlignment="1">
      <alignment horizontal="center"/>
    </xf>
    <xf numFmtId="3" fontId="151" fillId="0" borderId="83" xfId="76" applyNumberFormat="1" applyFont="1" applyBorder="1" applyAlignment="1">
      <alignment horizontal="center" vertical="center"/>
    </xf>
    <xf numFmtId="3" fontId="156" fillId="0" borderId="18" xfId="76" applyNumberFormat="1" applyFont="1" applyBorder="1" applyAlignment="1">
      <alignment horizontal="left"/>
    </xf>
    <xf numFmtId="3" fontId="83" fillId="0" borderId="0" xfId="76" applyNumberFormat="1" applyFont="1" applyAlignment="1">
      <alignment horizontal="justify"/>
    </xf>
    <xf numFmtId="3" fontId="14" fillId="0" borderId="0" xfId="76" applyNumberFormat="1" applyFont="1" applyAlignment="1">
      <alignment horizontal="justify"/>
    </xf>
    <xf numFmtId="3" fontId="151" fillId="0" borderId="74" xfId="76" applyNumberFormat="1" applyFont="1" applyBorder="1" applyAlignment="1">
      <alignment horizontal="center"/>
    </xf>
    <xf numFmtId="3" fontId="152" fillId="0" borderId="0" xfId="76" applyNumberFormat="1" applyFont="1" applyAlignment="1">
      <alignment horizontal="justify"/>
    </xf>
    <xf numFmtId="3" fontId="161" fillId="0" borderId="0" xfId="76" applyNumberFormat="1" applyFont="1" applyAlignment="1">
      <alignment horizontal="justify"/>
    </xf>
    <xf numFmtId="3" fontId="83" fillId="0" borderId="0" xfId="76" applyNumberFormat="1" applyFont="1"/>
    <xf numFmtId="3" fontId="14" fillId="0" borderId="0" xfId="76" applyNumberFormat="1" applyFont="1"/>
    <xf numFmtId="3" fontId="151" fillId="0" borderId="75" xfId="76" applyNumberFormat="1" applyFont="1" applyBorder="1" applyAlignment="1">
      <alignment horizontal="right"/>
    </xf>
    <xf numFmtId="3" fontId="165" fillId="0" borderId="0" xfId="76" applyNumberFormat="1" applyFont="1" applyAlignment="1">
      <alignment horizontal="right"/>
    </xf>
    <xf numFmtId="0" fontId="156" fillId="0" borderId="0" xfId="76" applyFont="1" applyAlignment="1">
      <alignment horizontal="left"/>
    </xf>
    <xf numFmtId="0" fontId="166" fillId="0" borderId="0" xfId="76" applyFont="1" applyAlignment="1">
      <alignment horizontal="right"/>
    </xf>
    <xf numFmtId="3" fontId="151" fillId="0" borderId="0" xfId="76" applyNumberFormat="1" applyFont="1" applyAlignment="1">
      <alignment horizontal="left"/>
    </xf>
    <xf numFmtId="3" fontId="165" fillId="0" borderId="0" xfId="76" applyNumberFormat="1" applyFont="1"/>
    <xf numFmtId="3" fontId="167" fillId="0" borderId="0" xfId="76" applyNumberFormat="1" applyFont="1"/>
    <xf numFmtId="3" fontId="8" fillId="0" borderId="0" xfId="76" applyNumberFormat="1" applyFont="1"/>
    <xf numFmtId="0" fontId="159" fillId="0" borderId="0" xfId="76" applyFont="1" applyAlignment="1">
      <alignment horizontal="left"/>
    </xf>
    <xf numFmtId="3" fontId="159" fillId="0" borderId="74" xfId="76" applyNumberFormat="1" applyFont="1" applyBorder="1"/>
    <xf numFmtId="3" fontId="168" fillId="0" borderId="0" xfId="76" applyNumberFormat="1" applyFont="1"/>
    <xf numFmtId="3" fontId="169" fillId="0" borderId="0" xfId="76" applyNumberFormat="1" applyFont="1"/>
    <xf numFmtId="3" fontId="156" fillId="0" borderId="0" xfId="76" applyNumberFormat="1" applyFont="1" applyAlignment="1">
      <alignment horizontal="right"/>
    </xf>
    <xf numFmtId="3" fontId="156" fillId="0" borderId="0" xfId="76" applyNumberFormat="1" applyFont="1"/>
    <xf numFmtId="3" fontId="156" fillId="0" borderId="0" xfId="76" applyNumberFormat="1" applyFont="1" applyAlignment="1">
      <alignment horizontal="left"/>
    </xf>
    <xf numFmtId="3" fontId="170" fillId="0" borderId="0" xfId="76" applyNumberFormat="1" applyFont="1"/>
    <xf numFmtId="3" fontId="171" fillId="0" borderId="0" xfId="76" applyNumberFormat="1" applyFont="1" applyAlignment="1">
      <alignment horizontal="right"/>
    </xf>
    <xf numFmtId="3" fontId="172" fillId="0" borderId="0" xfId="76" applyNumberFormat="1" applyFont="1" applyAlignment="1">
      <alignment horizontal="left"/>
    </xf>
    <xf numFmtId="3" fontId="171" fillId="0" borderId="0" xfId="76" applyNumberFormat="1" applyFont="1"/>
    <xf numFmtId="3" fontId="54" fillId="0" borderId="0" xfId="76" applyNumberFormat="1" applyFont="1"/>
    <xf numFmtId="3" fontId="7" fillId="0" borderId="0" xfId="76" applyNumberFormat="1" applyFont="1" applyAlignment="1">
      <alignment horizontal="right"/>
    </xf>
    <xf numFmtId="3" fontId="173" fillId="0" borderId="0" xfId="76" applyNumberFormat="1" applyFont="1" applyAlignment="1">
      <alignment horizontal="left"/>
    </xf>
    <xf numFmtId="3" fontId="61" fillId="0" borderId="0" xfId="76" applyNumberFormat="1" applyFont="1"/>
    <xf numFmtId="0" fontId="174" fillId="0" borderId="0" xfId="102" applyFont="1"/>
    <xf numFmtId="0" fontId="175" fillId="0" borderId="0" xfId="101" applyFont="1"/>
    <xf numFmtId="0" fontId="176" fillId="0" borderId="0" xfId="101" applyFont="1"/>
    <xf numFmtId="0" fontId="177" fillId="0" borderId="0" xfId="101" applyFont="1"/>
    <xf numFmtId="0" fontId="176" fillId="0" borderId="0" xfId="101" applyFont="1" applyAlignment="1">
      <alignment horizontal="right"/>
    </xf>
    <xf numFmtId="0" fontId="90" fillId="0" borderId="0" xfId="102"/>
    <xf numFmtId="0" fontId="13" fillId="0" borderId="0" xfId="101" applyFont="1"/>
    <xf numFmtId="4" fontId="176" fillId="0" borderId="78" xfId="101" applyNumberFormat="1" applyFont="1" applyBorder="1" applyAlignment="1">
      <alignment horizontal="center"/>
    </xf>
    <xf numFmtId="0" fontId="178" fillId="0" borderId="0" xfId="102" applyFont="1"/>
    <xf numFmtId="4" fontId="176" fillId="0" borderId="74" xfId="101" applyNumberFormat="1" applyFont="1" applyBorder="1" applyAlignment="1">
      <alignment horizontal="center" wrapText="1"/>
    </xf>
    <xf numFmtId="4" fontId="176" fillId="0" borderId="20" xfId="101" applyNumberFormat="1" applyFont="1" applyBorder="1" applyAlignment="1">
      <alignment horizontal="center" wrapText="1"/>
    </xf>
    <xf numFmtId="4" fontId="176" fillId="0" borderId="78" xfId="101" applyNumberFormat="1" applyFont="1" applyBorder="1" applyAlignment="1">
      <alignment horizontal="center" wrapText="1"/>
    </xf>
    <xf numFmtId="3" fontId="176" fillId="0" borderId="99" xfId="101" applyNumberFormat="1" applyFont="1" applyBorder="1" applyAlignment="1">
      <alignment horizontal="center" vertical="center" wrapText="1"/>
    </xf>
    <xf numFmtId="3" fontId="176" fillId="0" borderId="78" xfId="101" applyNumberFormat="1" applyFont="1" applyBorder="1" applyAlignment="1">
      <alignment vertical="center" wrapText="1"/>
    </xf>
    <xf numFmtId="4" fontId="176" fillId="0" borderId="99" xfId="101" applyNumberFormat="1" applyFont="1" applyBorder="1" applyAlignment="1">
      <alignment horizontal="center" wrapText="1"/>
    </xf>
    <xf numFmtId="4" fontId="176" fillId="0" borderId="89" xfId="101" applyNumberFormat="1" applyFont="1" applyBorder="1" applyAlignment="1">
      <alignment horizontal="center" wrapText="1"/>
    </xf>
    <xf numFmtId="4" fontId="179" fillId="0" borderId="78" xfId="101" applyNumberFormat="1" applyFont="1" applyBorder="1" applyAlignment="1">
      <alignment horizontal="center" wrapText="1"/>
    </xf>
    <xf numFmtId="4" fontId="180" fillId="0" borderId="69" xfId="101" applyNumberFormat="1" applyFont="1" applyBorder="1" applyAlignment="1">
      <alignment horizontal="center"/>
    </xf>
    <xf numFmtId="4" fontId="162" fillId="0" borderId="80" xfId="101" applyNumberFormat="1" applyFont="1" applyBorder="1" applyAlignment="1">
      <alignment horizontal="justify"/>
    </xf>
    <xf numFmtId="0" fontId="179" fillId="0" borderId="80" xfId="0" applyFont="1" applyBorder="1" applyAlignment="1">
      <alignment horizontal="center" vertical="center" wrapText="1"/>
    </xf>
    <xf numFmtId="0" fontId="179" fillId="0" borderId="53" xfId="0" applyFont="1" applyBorder="1" applyAlignment="1">
      <alignment horizontal="center" vertical="center" wrapText="1"/>
    </xf>
    <xf numFmtId="4" fontId="162" fillId="0" borderId="53" xfId="101" applyNumberFormat="1" applyFont="1" applyBorder="1" applyAlignment="1">
      <alignment horizontal="justify"/>
    </xf>
    <xf numFmtId="0" fontId="90" fillId="0" borderId="0" xfId="102" applyAlignment="1">
      <alignment horizontal="justify"/>
    </xf>
    <xf numFmtId="0" fontId="54" fillId="0" borderId="0" xfId="101" applyFont="1" applyAlignment="1">
      <alignment horizontal="justify"/>
    </xf>
    <xf numFmtId="3" fontId="181" fillId="0" borderId="106" xfId="0" applyNumberFormat="1" applyFont="1" applyBorder="1" applyAlignment="1">
      <alignment horizontal="left"/>
    </xf>
    <xf numFmtId="1" fontId="182" fillId="0" borderId="69" xfId="101" applyNumberFormat="1" applyFont="1" applyBorder="1"/>
    <xf numFmtId="1" fontId="183" fillId="0" borderId="69" xfId="101" applyNumberFormat="1" applyFont="1" applyBorder="1"/>
    <xf numFmtId="1" fontId="183" fillId="0" borderId="83" xfId="101" applyNumberFormat="1" applyFont="1" applyBorder="1"/>
    <xf numFmtId="0" fontId="54" fillId="0" borderId="0" xfId="101" applyFont="1"/>
    <xf numFmtId="3" fontId="181" fillId="0" borderId="75" xfId="0" applyNumberFormat="1" applyFont="1" applyBorder="1" applyAlignment="1">
      <alignment horizontal="left"/>
    </xf>
    <xf numFmtId="1" fontId="182" fillId="0" borderId="85" xfId="101" applyNumberFormat="1" applyFont="1" applyBorder="1"/>
    <xf numFmtId="1" fontId="183" fillId="0" borderId="85" xfId="101" applyNumberFormat="1" applyFont="1" applyBorder="1"/>
    <xf numFmtId="1" fontId="183" fillId="0" borderId="119" xfId="101" applyNumberFormat="1" applyFont="1" applyBorder="1"/>
    <xf numFmtId="1" fontId="183" fillId="0" borderId="75" xfId="101" applyNumberFormat="1" applyFont="1" applyBorder="1"/>
    <xf numFmtId="1" fontId="183" fillId="0" borderId="84" xfId="101" applyNumberFormat="1" applyFont="1" applyBorder="1"/>
    <xf numFmtId="1" fontId="182" fillId="0" borderId="75" xfId="101" applyNumberFormat="1" applyFont="1" applyBorder="1"/>
    <xf numFmtId="1" fontId="184" fillId="0" borderId="75" xfId="101" applyNumberFormat="1" applyFont="1" applyBorder="1"/>
    <xf numFmtId="1" fontId="184" fillId="0" borderId="84" xfId="101" applyNumberFormat="1" applyFont="1" applyBorder="1"/>
    <xf numFmtId="1" fontId="183" fillId="0" borderId="85" xfId="101" applyNumberFormat="1" applyFont="1" applyBorder="1" applyAlignment="1">
      <alignment horizontal="justify"/>
    </xf>
    <xf numFmtId="1" fontId="183" fillId="0" borderId="119" xfId="101" applyNumberFormat="1" applyFont="1" applyBorder="1" applyAlignment="1">
      <alignment horizontal="justify"/>
    </xf>
    <xf numFmtId="1" fontId="185" fillId="0" borderId="75" xfId="101" applyNumberFormat="1" applyFont="1" applyBorder="1"/>
    <xf numFmtId="1" fontId="182" fillId="0" borderId="106" xfId="101" applyNumberFormat="1" applyFont="1" applyBorder="1"/>
    <xf numFmtId="1" fontId="183" fillId="0" borderId="106" xfId="101" applyNumberFormat="1" applyFont="1" applyBorder="1"/>
    <xf numFmtId="1" fontId="183" fillId="0" borderId="96" xfId="101" applyNumberFormat="1" applyFont="1" applyBorder="1"/>
    <xf numFmtId="3" fontId="181" fillId="0" borderId="69" xfId="0" applyNumberFormat="1" applyFont="1" applyBorder="1" applyAlignment="1">
      <alignment horizontal="left"/>
    </xf>
    <xf numFmtId="1" fontId="183" fillId="0" borderId="70" xfId="101" applyNumberFormat="1" applyFont="1" applyBorder="1"/>
    <xf numFmtId="1" fontId="185" fillId="0" borderId="70" xfId="101" applyNumberFormat="1" applyFont="1" applyBorder="1"/>
    <xf numFmtId="4" fontId="176" fillId="0" borderId="74" xfId="101" applyNumberFormat="1" applyFont="1" applyBorder="1"/>
    <xf numFmtId="1" fontId="182" fillId="0" borderId="74" xfId="101" applyNumberFormat="1" applyFont="1" applyBorder="1"/>
    <xf numFmtId="4" fontId="181" fillId="0" borderId="74" xfId="101" applyNumberFormat="1" applyFont="1" applyBorder="1"/>
    <xf numFmtId="1" fontId="183" fillId="0" borderId="74" xfId="101" applyNumberFormat="1" applyFont="1" applyBorder="1"/>
    <xf numFmtId="1" fontId="182" fillId="0" borderId="78" xfId="101" applyNumberFormat="1" applyFont="1" applyBorder="1"/>
    <xf numFmtId="4" fontId="180" fillId="0" borderId="80" xfId="101" applyNumberFormat="1" applyFont="1" applyBorder="1" applyAlignment="1">
      <alignment horizontal="center"/>
    </xf>
    <xf numFmtId="1" fontId="182" fillId="0" borderId="83" xfId="101" applyNumberFormat="1" applyFont="1" applyBorder="1"/>
    <xf numFmtId="1" fontId="182" fillId="0" borderId="96" xfId="101" applyNumberFormat="1" applyFont="1" applyBorder="1"/>
    <xf numFmtId="3" fontId="181" fillId="0" borderId="73" xfId="0" applyNumberFormat="1" applyFont="1" applyBorder="1" applyAlignment="1">
      <alignment horizontal="left"/>
    </xf>
    <xf numFmtId="1" fontId="182" fillId="0" borderId="80" xfId="101" applyNumberFormat="1" applyFont="1" applyBorder="1"/>
    <xf numFmtId="1" fontId="182" fillId="0" borderId="53" xfId="101" applyNumberFormat="1" applyFont="1" applyBorder="1"/>
    <xf numFmtId="3" fontId="181" fillId="0" borderId="141" xfId="0" applyNumberFormat="1" applyFont="1" applyBorder="1" applyAlignment="1">
      <alignment horizontal="left" wrapText="1"/>
    </xf>
    <xf numFmtId="1" fontId="183" fillId="0" borderId="81" xfId="101" applyNumberFormat="1" applyFont="1" applyBorder="1"/>
    <xf numFmtId="3" fontId="181" fillId="0" borderId="141" xfId="0" applyNumberFormat="1" applyFont="1" applyBorder="1" applyAlignment="1">
      <alignment horizontal="left"/>
    </xf>
    <xf numFmtId="1" fontId="182" fillId="0" borderId="70" xfId="101" applyNumberFormat="1" applyFont="1" applyBorder="1"/>
    <xf numFmtId="1" fontId="185" fillId="0" borderId="83" xfId="101" applyNumberFormat="1" applyFont="1" applyBorder="1"/>
    <xf numFmtId="0" fontId="181" fillId="0" borderId="75" xfId="0" applyFont="1" applyBorder="1" applyAlignment="1">
      <alignment horizontal="left"/>
    </xf>
    <xf numFmtId="1" fontId="182" fillId="0" borderId="73" xfId="101" applyNumberFormat="1" applyFont="1" applyBorder="1"/>
    <xf numFmtId="1" fontId="183" fillId="0" borderId="77" xfId="101" applyNumberFormat="1" applyFont="1" applyBorder="1"/>
    <xf numFmtId="1" fontId="182" fillId="0" borderId="77" xfId="101" applyNumberFormat="1" applyFont="1" applyBorder="1"/>
    <xf numFmtId="1" fontId="182" fillId="0" borderId="81" xfId="101" applyNumberFormat="1" applyFont="1" applyBorder="1"/>
    <xf numFmtId="4" fontId="176" fillId="0" borderId="70" xfId="101" applyNumberFormat="1" applyFont="1" applyBorder="1"/>
    <xf numFmtId="3" fontId="182" fillId="0" borderId="70" xfId="101" applyNumberFormat="1" applyFont="1" applyBorder="1"/>
    <xf numFmtId="3" fontId="182" fillId="0" borderId="81" xfId="101" applyNumberFormat="1" applyFont="1" applyBorder="1"/>
    <xf numFmtId="4" fontId="176" fillId="0" borderId="70" xfId="101" applyNumberFormat="1" applyFont="1" applyBorder="1" applyAlignment="1">
      <alignment horizontal="left"/>
    </xf>
    <xf numFmtId="49" fontId="176" fillId="0" borderId="0" xfId="101" applyNumberFormat="1" applyFont="1"/>
    <xf numFmtId="3" fontId="168" fillId="0" borderId="0" xfId="101" applyNumberFormat="1" applyFont="1"/>
    <xf numFmtId="0" fontId="162" fillId="0" borderId="0" xfId="101" applyFont="1"/>
    <xf numFmtId="0" fontId="60" fillId="0" borderId="0" xfId="102" applyFont="1"/>
    <xf numFmtId="0" fontId="176" fillId="0" borderId="0" xfId="101" applyFont="1" applyAlignment="1">
      <alignment wrapText="1"/>
    </xf>
    <xf numFmtId="0" fontId="186" fillId="0" borderId="0" xfId="101" applyFont="1"/>
    <xf numFmtId="49" fontId="187" fillId="0" borderId="0" xfId="101" applyNumberFormat="1" applyFont="1"/>
    <xf numFmtId="0" fontId="187" fillId="0" borderId="0" xfId="101" applyFont="1"/>
    <xf numFmtId="0" fontId="188" fillId="0" borderId="0" xfId="102" applyFont="1"/>
    <xf numFmtId="0" fontId="189" fillId="0" borderId="0" xfId="101" applyFont="1"/>
    <xf numFmtId="0" fontId="179" fillId="0" borderId="0" xfId="101" applyFont="1" applyAlignment="1">
      <alignment wrapText="1"/>
    </xf>
    <xf numFmtId="0" fontId="190" fillId="0" borderId="0" xfId="101" applyFont="1"/>
    <xf numFmtId="0" fontId="191" fillId="0" borderId="0" xfId="101" applyFont="1"/>
    <xf numFmtId="49" fontId="162" fillId="0" borderId="0" xfId="101" applyNumberFormat="1" applyFont="1"/>
    <xf numFmtId="49" fontId="176" fillId="0" borderId="0" xfId="101" applyNumberFormat="1" applyFont="1" applyAlignment="1">
      <alignment wrapText="1"/>
    </xf>
    <xf numFmtId="0" fontId="192" fillId="0" borderId="0" xfId="101" applyFont="1"/>
    <xf numFmtId="4" fontId="186" fillId="31" borderId="0" xfId="101" applyNumberFormat="1" applyFont="1" applyFill="1"/>
    <xf numFmtId="0" fontId="193" fillId="28" borderId="0" xfId="101" applyFont="1" applyFill="1"/>
    <xf numFmtId="0" fontId="191" fillId="28" borderId="0" xfId="101" applyFont="1" applyFill="1"/>
    <xf numFmtId="0" fontId="194" fillId="0" borderId="0" xfId="101" applyFont="1" applyAlignment="1">
      <alignment wrapText="1"/>
    </xf>
    <xf numFmtId="0" fontId="175" fillId="28" borderId="0" xfId="101" applyFont="1" applyFill="1" applyAlignment="1">
      <alignment wrapText="1"/>
    </xf>
    <xf numFmtId="0" fontId="195" fillId="28" borderId="0" xfId="101" applyFont="1" applyFill="1"/>
    <xf numFmtId="0" fontId="175" fillId="32" borderId="0" xfId="101" applyFont="1" applyFill="1"/>
    <xf numFmtId="0" fontId="196" fillId="32" borderId="0" xfId="101" applyFont="1" applyFill="1" applyAlignment="1">
      <alignment horizontal="left"/>
    </xf>
    <xf numFmtId="0" fontId="196" fillId="0" borderId="0" xfId="101" applyFont="1"/>
    <xf numFmtId="0" fontId="77" fillId="0" borderId="0" xfId="101" applyFont="1"/>
    <xf numFmtId="3" fontId="94" fillId="0" borderId="80" xfId="88" applyNumberFormat="1" applyFont="1" applyBorder="1"/>
    <xf numFmtId="3" fontId="106" fillId="0" borderId="54" xfId="0" quotePrefix="1" applyNumberFormat="1" applyFont="1" applyBorder="1" applyAlignment="1">
      <alignment horizontal="right"/>
    </xf>
    <xf numFmtId="3" fontId="94" fillId="0" borderId="58" xfId="0" applyNumberFormat="1" applyFont="1" applyBorder="1" applyAlignment="1">
      <alignment horizontal="right"/>
    </xf>
    <xf numFmtId="3" fontId="94" fillId="0" borderId="28" xfId="0" applyNumberFormat="1" applyFont="1" applyBorder="1" applyAlignment="1">
      <alignment horizontal="right"/>
    </xf>
    <xf numFmtId="3" fontId="136" fillId="29" borderId="0" xfId="96" applyNumberFormat="1" applyFont="1" applyFill="1"/>
    <xf numFmtId="3" fontId="77" fillId="0" borderId="95" xfId="0" applyNumberFormat="1" applyFont="1" applyBorder="1" applyAlignment="1">
      <alignment horizontal="left"/>
    </xf>
    <xf numFmtId="0" fontId="76" fillId="0" borderId="39" xfId="0" applyFont="1" applyBorder="1"/>
    <xf numFmtId="3" fontId="79" fillId="0" borderId="0" xfId="0" applyNumberFormat="1" applyFont="1"/>
    <xf numFmtId="3" fontId="79" fillId="0" borderId="31" xfId="0" applyNumberFormat="1" applyFont="1" applyBorder="1"/>
    <xf numFmtId="3" fontId="33" fillId="0" borderId="62" xfId="0" applyNumberFormat="1" applyFont="1" applyBorder="1"/>
    <xf numFmtId="3" fontId="33" fillId="0" borderId="88" xfId="0" applyNumberFormat="1" applyFont="1" applyBorder="1"/>
    <xf numFmtId="3" fontId="82" fillId="0" borderId="0" xfId="0" applyNumberFormat="1" applyFont="1"/>
    <xf numFmtId="0" fontId="82" fillId="0" borderId="31" xfId="0" applyFont="1" applyBorder="1"/>
    <xf numFmtId="3" fontId="85" fillId="0" borderId="0" xfId="0" applyNumberFormat="1" applyFont="1"/>
    <xf numFmtId="3" fontId="85" fillId="0" borderId="31" xfId="0" applyNumberFormat="1" applyFont="1" applyBorder="1"/>
    <xf numFmtId="3" fontId="83" fillId="0" borderId="133" xfId="0" applyNumberFormat="1" applyFont="1" applyBorder="1"/>
    <xf numFmtId="3" fontId="77" fillId="0" borderId="63" xfId="0" applyNumberFormat="1" applyFont="1" applyBorder="1" applyAlignment="1">
      <alignment horizontal="left"/>
    </xf>
    <xf numFmtId="3" fontId="77" fillId="0" borderId="31" xfId="0" applyNumberFormat="1" applyFont="1" applyBorder="1" applyAlignment="1">
      <alignment horizontal="left"/>
    </xf>
    <xf numFmtId="3" fontId="77" fillId="0" borderId="95" xfId="0" applyNumberFormat="1" applyFont="1" applyBorder="1" applyAlignment="1">
      <alignment horizontal="centerContinuous"/>
    </xf>
    <xf numFmtId="3" fontId="76" fillId="0" borderId="39" xfId="0" applyNumberFormat="1" applyFont="1" applyBorder="1" applyAlignment="1">
      <alignment horizontal="centerContinuous"/>
    </xf>
    <xf numFmtId="3" fontId="76" fillId="0" borderId="31" xfId="0" applyNumberFormat="1" applyFont="1" applyBorder="1" applyAlignment="1">
      <alignment horizontal="centerContinuous"/>
    </xf>
    <xf numFmtId="3" fontId="76" fillId="0" borderId="39" xfId="0" applyNumberFormat="1" applyFont="1" applyBorder="1" applyAlignment="1">
      <alignment horizontal="right"/>
    </xf>
    <xf numFmtId="3" fontId="76" fillId="0" borderId="0" xfId="0" applyNumberFormat="1" applyFont="1" applyAlignment="1">
      <alignment horizontal="centerContinuous"/>
    </xf>
    <xf numFmtId="3" fontId="77" fillId="0" borderId="0" xfId="0" applyNumberFormat="1" applyFont="1" applyAlignment="1">
      <alignment horizontal="centerContinuous"/>
    </xf>
    <xf numFmtId="3" fontId="77" fillId="0" borderId="31" xfId="0" applyNumberFormat="1" applyFont="1" applyBorder="1" applyAlignment="1">
      <alignment horizontal="centerContinuous"/>
    </xf>
    <xf numFmtId="3" fontId="76" fillId="0" borderId="31" xfId="0" applyNumberFormat="1" applyFont="1" applyBorder="1"/>
    <xf numFmtId="0" fontId="76" fillId="0" borderId="0" xfId="77" applyFont="1"/>
    <xf numFmtId="3" fontId="76" fillId="0" borderId="31" xfId="0" applyNumberFormat="1" applyFont="1" applyBorder="1" applyAlignment="1">
      <alignment horizontal="center"/>
    </xf>
    <xf numFmtId="0" fontId="79" fillId="0" borderId="20" xfId="0" applyFont="1" applyBorder="1" applyAlignment="1">
      <alignment horizontal="left"/>
    </xf>
    <xf numFmtId="0" fontId="77" fillId="0" borderId="0" xfId="77" applyFont="1" applyAlignment="1">
      <alignment horizontal="center"/>
    </xf>
    <xf numFmtId="3" fontId="197" fillId="0" borderId="23" xfId="76" applyNumberFormat="1" applyFont="1" applyBorder="1" applyAlignment="1">
      <alignment horizontal="center"/>
    </xf>
    <xf numFmtId="3" fontId="197" fillId="0" borderId="0" xfId="76" applyNumberFormat="1" applyFont="1" applyAlignment="1">
      <alignment horizontal="center"/>
    </xf>
    <xf numFmtId="3" fontId="198" fillId="0" borderId="0" xfId="76" applyNumberFormat="1" applyFont="1" applyAlignment="1">
      <alignment horizontal="center"/>
    </xf>
    <xf numFmtId="3" fontId="197" fillId="0" borderId="18" xfId="76" applyNumberFormat="1" applyFont="1" applyBorder="1" applyAlignment="1">
      <alignment horizontal="center" vertical="center"/>
    </xf>
    <xf numFmtId="3" fontId="197" fillId="0" borderId="0" xfId="76" applyNumberFormat="1" applyFont="1" applyAlignment="1">
      <alignment horizontal="justify"/>
    </xf>
    <xf numFmtId="3" fontId="198" fillId="0" borderId="0" xfId="76" applyNumberFormat="1" applyFont="1" applyAlignment="1">
      <alignment horizontal="justify"/>
    </xf>
    <xf numFmtId="3" fontId="197" fillId="29" borderId="70" xfId="76" applyNumberFormat="1" applyFont="1" applyFill="1" applyBorder="1" applyAlignment="1">
      <alignment horizontal="center" vertical="center"/>
    </xf>
    <xf numFmtId="3" fontId="197" fillId="0" borderId="70" xfId="76" applyNumberFormat="1" applyFont="1" applyBorder="1" applyAlignment="1">
      <alignment horizontal="center" vertical="center" wrapText="1"/>
    </xf>
    <xf numFmtId="3" fontId="197" fillId="0" borderId="70" xfId="76" applyNumberFormat="1" applyFont="1" applyBorder="1" applyAlignment="1">
      <alignment horizontal="center" vertical="center"/>
    </xf>
    <xf numFmtId="3" fontId="197" fillId="0" borderId="80" xfId="76" applyNumberFormat="1" applyFont="1" applyBorder="1" applyAlignment="1">
      <alignment horizontal="center" vertical="center"/>
    </xf>
    <xf numFmtId="3" fontId="197" fillId="0" borderId="80" xfId="76" applyNumberFormat="1" applyFont="1" applyBorder="1" applyAlignment="1">
      <alignment horizontal="right"/>
    </xf>
    <xf numFmtId="3" fontId="197" fillId="0" borderId="80" xfId="76" applyNumberFormat="1" applyFont="1" applyBorder="1" applyAlignment="1">
      <alignment horizontal="center"/>
    </xf>
    <xf numFmtId="3" fontId="197" fillId="0" borderId="0" xfId="76" applyNumberFormat="1" applyFont="1"/>
    <xf numFmtId="3" fontId="198" fillId="0" borderId="0" xfId="76" applyNumberFormat="1" applyFont="1"/>
    <xf numFmtId="3" fontId="199" fillId="0" borderId="106" xfId="76" applyNumberFormat="1" applyFont="1" applyBorder="1" applyAlignment="1">
      <alignment horizontal="left"/>
    </xf>
    <xf numFmtId="3" fontId="199" fillId="0" borderId="106" xfId="76" applyNumberFormat="1" applyFont="1" applyBorder="1" applyAlignment="1">
      <alignment horizontal="right"/>
    </xf>
    <xf numFmtId="10" fontId="199" fillId="0" borderId="106" xfId="76" applyNumberFormat="1" applyFont="1" applyBorder="1" applyAlignment="1">
      <alignment horizontal="right"/>
    </xf>
    <xf numFmtId="3" fontId="197" fillId="0" borderId="106" xfId="76" applyNumberFormat="1" applyFont="1" applyBorder="1" applyAlignment="1">
      <alignment horizontal="right"/>
    </xf>
    <xf numFmtId="10" fontId="197" fillId="0" borderId="106" xfId="76" applyNumberFormat="1" applyFont="1" applyBorder="1" applyAlignment="1">
      <alignment horizontal="right"/>
    </xf>
    <xf numFmtId="3" fontId="200" fillId="0" borderId="106" xfId="76" applyNumberFormat="1" applyFont="1" applyBorder="1" applyAlignment="1">
      <alignment horizontal="right"/>
    </xf>
    <xf numFmtId="3" fontId="199" fillId="0" borderId="70" xfId="76" applyNumberFormat="1" applyFont="1" applyBorder="1" applyAlignment="1">
      <alignment horizontal="left"/>
    </xf>
    <xf numFmtId="3" fontId="199" fillId="0" borderId="69" xfId="76" applyNumberFormat="1" applyFont="1" applyBorder="1" applyAlignment="1">
      <alignment horizontal="right"/>
    </xf>
    <xf numFmtId="10" fontId="199" fillId="0" borderId="69" xfId="76" applyNumberFormat="1" applyFont="1" applyBorder="1" applyAlignment="1">
      <alignment horizontal="right"/>
    </xf>
    <xf numFmtId="10" fontId="197" fillId="0" borderId="69" xfId="76" applyNumberFormat="1" applyFont="1" applyBorder="1" applyAlignment="1">
      <alignment horizontal="right"/>
    </xf>
    <xf numFmtId="10" fontId="199" fillId="0" borderId="73" xfId="76" applyNumberFormat="1" applyFont="1" applyBorder="1" applyAlignment="1">
      <alignment horizontal="right"/>
    </xf>
    <xf numFmtId="3" fontId="197" fillId="0" borderId="17" xfId="76" applyNumberFormat="1" applyFont="1" applyBorder="1" applyAlignment="1">
      <alignment horizontal="left"/>
    </xf>
    <xf numFmtId="3" fontId="197" fillId="0" borderId="74" xfId="76" applyNumberFormat="1" applyFont="1" applyBorder="1" applyAlignment="1">
      <alignment horizontal="right"/>
    </xf>
    <xf numFmtId="10" fontId="197" fillId="0" borderId="74" xfId="76" applyNumberFormat="1" applyFont="1" applyBorder="1" applyAlignment="1">
      <alignment horizontal="right"/>
    </xf>
    <xf numFmtId="3" fontId="199" fillId="0" borderId="17" xfId="76" applyNumberFormat="1" applyFont="1" applyBorder="1" applyAlignment="1">
      <alignment horizontal="left"/>
    </xf>
    <xf numFmtId="3" fontId="199" fillId="0" borderId="74" xfId="76" applyNumberFormat="1" applyFont="1" applyBorder="1" applyAlignment="1">
      <alignment horizontal="right"/>
    </xf>
    <xf numFmtId="10" fontId="199" fillId="0" borderId="74" xfId="76" applyNumberFormat="1" applyFont="1" applyBorder="1" applyAlignment="1">
      <alignment horizontal="right"/>
    </xf>
    <xf numFmtId="10" fontId="197" fillId="0" borderId="70" xfId="76" applyNumberFormat="1" applyFont="1" applyBorder="1" applyAlignment="1">
      <alignment horizontal="right"/>
    </xf>
    <xf numFmtId="3" fontId="197" fillId="0" borderId="69" xfId="76" applyNumberFormat="1" applyFont="1" applyBorder="1" applyAlignment="1">
      <alignment horizontal="center" vertical="center"/>
    </xf>
    <xf numFmtId="3" fontId="197" fillId="0" borderId="69" xfId="76" applyNumberFormat="1" applyFont="1" applyBorder="1" applyAlignment="1">
      <alignment horizontal="right"/>
    </xf>
    <xf numFmtId="3" fontId="201" fillId="0" borderId="69" xfId="76" applyNumberFormat="1" applyFont="1" applyBorder="1" applyAlignment="1">
      <alignment horizontal="center"/>
    </xf>
    <xf numFmtId="3" fontId="199" fillId="0" borderId="69" xfId="76" applyNumberFormat="1" applyFont="1" applyBorder="1" applyAlignment="1">
      <alignment horizontal="justify"/>
    </xf>
    <xf numFmtId="10" fontId="199" fillId="29" borderId="106" xfId="76" applyNumberFormat="1" applyFont="1" applyFill="1" applyBorder="1" applyAlignment="1">
      <alignment horizontal="right"/>
    </xf>
    <xf numFmtId="3" fontId="199" fillId="0" borderId="75" xfId="76" applyNumberFormat="1" applyFont="1" applyBorder="1" applyAlignment="1">
      <alignment horizontal="left"/>
    </xf>
    <xf numFmtId="3" fontId="199" fillId="0" borderId="75" xfId="76" applyNumberFormat="1" applyFont="1" applyBorder="1" applyAlignment="1">
      <alignment horizontal="right"/>
    </xf>
    <xf numFmtId="10" fontId="199" fillId="0" borderId="75" xfId="76" applyNumberFormat="1" applyFont="1" applyBorder="1" applyAlignment="1">
      <alignment horizontal="right"/>
    </xf>
    <xf numFmtId="3" fontId="199" fillId="0" borderId="85" xfId="76" applyNumberFormat="1" applyFont="1" applyBorder="1" applyAlignment="1">
      <alignment horizontal="left"/>
    </xf>
    <xf numFmtId="3" fontId="199" fillId="29" borderId="75" xfId="76" applyNumberFormat="1" applyFont="1" applyFill="1" applyBorder="1" applyAlignment="1">
      <alignment horizontal="right"/>
    </xf>
    <xf numFmtId="3" fontId="199" fillId="0" borderId="85" xfId="76" applyNumberFormat="1" applyFont="1" applyBorder="1" applyAlignment="1">
      <alignment horizontal="right"/>
    </xf>
    <xf numFmtId="3" fontId="197" fillId="0" borderId="74" xfId="76" applyNumberFormat="1" applyFont="1" applyBorder="1" applyAlignment="1">
      <alignment horizontal="left"/>
    </xf>
    <xf numFmtId="3" fontId="201" fillId="0" borderId="80" xfId="76" applyNumberFormat="1" applyFont="1" applyBorder="1" applyAlignment="1">
      <alignment horizontal="center"/>
    </xf>
    <xf numFmtId="10" fontId="199" fillId="0" borderId="70" xfId="76" applyNumberFormat="1" applyFont="1" applyBorder="1" applyAlignment="1">
      <alignment horizontal="right"/>
    </xf>
    <xf numFmtId="3" fontId="199" fillId="0" borderId="80" xfId="76" applyNumberFormat="1" applyFont="1" applyBorder="1" applyAlignment="1">
      <alignment horizontal="right"/>
    </xf>
    <xf numFmtId="3" fontId="199" fillId="0" borderId="141" xfId="76" applyNumberFormat="1" applyFont="1" applyBorder="1" applyAlignment="1">
      <alignment wrapText="1"/>
    </xf>
    <xf numFmtId="3" fontId="199" fillId="0" borderId="141" xfId="76" applyNumberFormat="1" applyFont="1" applyBorder="1" applyAlignment="1">
      <alignment horizontal="right"/>
    </xf>
    <xf numFmtId="3" fontId="199" fillId="0" borderId="141" xfId="76" applyNumberFormat="1" applyFont="1" applyBorder="1"/>
    <xf numFmtId="3" fontId="199" fillId="0" borderId="106" xfId="76" applyNumberFormat="1" applyFont="1" applyBorder="1" applyAlignment="1">
      <alignment horizontal="justify"/>
    </xf>
    <xf numFmtId="3" fontId="199" fillId="0" borderId="134" xfId="76" applyNumberFormat="1" applyFont="1" applyBorder="1" applyAlignment="1">
      <alignment horizontal="right"/>
    </xf>
    <xf numFmtId="3" fontId="199" fillId="0" borderId="106" xfId="76" applyNumberFormat="1" applyFont="1" applyBorder="1"/>
    <xf numFmtId="3" fontId="199" fillId="0" borderId="73" xfId="76" applyNumberFormat="1" applyFont="1" applyBorder="1" applyAlignment="1">
      <alignment horizontal="justify"/>
    </xf>
    <xf numFmtId="3" fontId="199" fillId="0" borderId="73" xfId="76" applyNumberFormat="1" applyFont="1" applyBorder="1" applyAlignment="1">
      <alignment horizontal="right"/>
    </xf>
    <xf numFmtId="3" fontId="197" fillId="0" borderId="73" xfId="76" applyNumberFormat="1" applyFont="1" applyBorder="1" applyAlignment="1">
      <alignment horizontal="right"/>
    </xf>
    <xf numFmtId="10" fontId="197" fillId="0" borderId="73" xfId="76" applyNumberFormat="1" applyFont="1" applyBorder="1" applyAlignment="1">
      <alignment horizontal="right"/>
    </xf>
    <xf numFmtId="3" fontId="197" fillId="0" borderId="70" xfId="76" applyNumberFormat="1" applyFont="1" applyBorder="1" applyAlignment="1">
      <alignment horizontal="left"/>
    </xf>
    <xf numFmtId="3" fontId="197" fillId="0" borderId="70" xfId="76" applyNumberFormat="1" applyFont="1" applyBorder="1" applyAlignment="1">
      <alignment horizontal="right"/>
    </xf>
    <xf numFmtId="3" fontId="197" fillId="0" borderId="74" xfId="76" applyNumberFormat="1" applyFont="1" applyBorder="1" applyAlignment="1">
      <alignment horizontal="left" vertical="center"/>
    </xf>
    <xf numFmtId="0" fontId="77" fillId="0" borderId="20" xfId="77" applyFont="1" applyBorder="1" applyAlignment="1">
      <alignment horizontal="left"/>
    </xf>
    <xf numFmtId="0" fontId="79" fillId="0" borderId="89" xfId="77" applyFont="1" applyBorder="1" applyAlignment="1">
      <alignment horizontal="left"/>
    </xf>
    <xf numFmtId="0" fontId="77" fillId="0" borderId="18" xfId="77" applyFont="1" applyBorder="1"/>
    <xf numFmtId="0" fontId="76" fillId="0" borderId="50" xfId="77" applyFont="1" applyBorder="1" applyAlignment="1">
      <alignment horizontal="center"/>
    </xf>
    <xf numFmtId="0" fontId="76" fillId="0" borderId="18" xfId="77" applyFont="1" applyBorder="1" applyAlignment="1">
      <alignment horizontal="right"/>
    </xf>
    <xf numFmtId="0" fontId="76" fillId="0" borderId="50" xfId="77" applyFont="1" applyBorder="1" applyAlignment="1">
      <alignment horizontal="left" wrapText="1"/>
    </xf>
    <xf numFmtId="0" fontId="77" fillId="0" borderId="20" xfId="77" applyFont="1" applyBorder="1"/>
    <xf numFmtId="0" fontId="76" fillId="0" borderId="89" xfId="77" applyFont="1" applyBorder="1" applyAlignment="1">
      <alignment horizontal="center"/>
    </xf>
    <xf numFmtId="0" fontId="77" fillId="0" borderId="18" xfId="77" applyFont="1" applyBorder="1" applyAlignment="1">
      <alignment horizontal="left"/>
    </xf>
    <xf numFmtId="0" fontId="77" fillId="0" borderId="46" xfId="77" applyFont="1" applyBorder="1" applyAlignment="1">
      <alignment horizontal="center"/>
    </xf>
    <xf numFmtId="0" fontId="77" fillId="0" borderId="50" xfId="77" applyFont="1" applyBorder="1" applyAlignment="1">
      <alignment horizontal="justify"/>
    </xf>
    <xf numFmtId="0" fontId="76" fillId="0" borderId="37" xfId="77" applyFont="1" applyBorder="1" applyAlignment="1">
      <alignment horizontal="left"/>
    </xf>
    <xf numFmtId="0" fontId="77" fillId="0" borderId="37" xfId="77" applyFont="1" applyBorder="1" applyAlignment="1">
      <alignment horizontal="justify"/>
    </xf>
    <xf numFmtId="0" fontId="77" fillId="0" borderId="18" xfId="0" applyFont="1" applyBorder="1"/>
    <xf numFmtId="0" fontId="77" fillId="0" borderId="0" xfId="77" applyFont="1" applyAlignment="1">
      <alignment horizontal="left"/>
    </xf>
    <xf numFmtId="0" fontId="76" fillId="0" borderId="0" xfId="0" applyFont="1" applyAlignment="1">
      <alignment horizontal="left"/>
    </xf>
    <xf numFmtId="0" fontId="76" fillId="0" borderId="37" xfId="0" applyFont="1" applyBorder="1" applyAlignment="1">
      <alignment horizontal="left"/>
    </xf>
    <xf numFmtId="0" fontId="76" fillId="0" borderId="50" xfId="0" applyFont="1" applyBorder="1" applyAlignment="1">
      <alignment horizontal="left"/>
    </xf>
    <xf numFmtId="0" fontId="77" fillId="0" borderId="22" xfId="77" applyFont="1" applyBorder="1" applyAlignment="1">
      <alignment horizontal="left"/>
    </xf>
    <xf numFmtId="3" fontId="162" fillId="0" borderId="21" xfId="77" applyNumberFormat="1" applyFont="1" applyBorder="1" applyAlignment="1">
      <alignment horizontal="right"/>
    </xf>
    <xf numFmtId="4" fontId="162" fillId="0" borderId="78" xfId="77" applyNumberFormat="1" applyFont="1" applyBorder="1" applyAlignment="1">
      <alignment horizontal="right"/>
    </xf>
    <xf numFmtId="0" fontId="162" fillId="0" borderId="15" xfId="0" applyFont="1" applyBorder="1" applyAlignment="1">
      <alignment horizontal="center"/>
    </xf>
    <xf numFmtId="0" fontId="162" fillId="0" borderId="83" xfId="0" applyFont="1" applyBorder="1" applyAlignment="1">
      <alignment horizontal="center"/>
    </xf>
    <xf numFmtId="3" fontId="91" fillId="0" borderId="36" xfId="77" applyNumberFormat="1" applyFont="1" applyBorder="1" applyAlignment="1">
      <alignment horizontal="right"/>
    </xf>
    <xf numFmtId="4" fontId="91" fillId="0" borderId="72" xfId="77" applyNumberFormat="1" applyFont="1" applyBorder="1" applyAlignment="1">
      <alignment horizontal="right"/>
    </xf>
    <xf numFmtId="3" fontId="162" fillId="0" borderId="21" xfId="0" applyNumberFormat="1" applyFont="1" applyBorder="1" applyAlignment="1">
      <alignment horizontal="right"/>
    </xf>
    <xf numFmtId="4" fontId="162" fillId="0" borderId="78" xfId="0" applyNumberFormat="1" applyFont="1" applyBorder="1" applyAlignment="1">
      <alignment horizontal="right"/>
    </xf>
    <xf numFmtId="3" fontId="162" fillId="0" borderId="15" xfId="77" applyNumberFormat="1" applyFont="1" applyBorder="1"/>
    <xf numFmtId="3" fontId="162" fillId="0" borderId="83" xfId="77" applyNumberFormat="1" applyFont="1" applyBorder="1"/>
    <xf numFmtId="3" fontId="162" fillId="0" borderId="51" xfId="77" applyNumberFormat="1" applyFont="1" applyBorder="1"/>
    <xf numFmtId="3" fontId="162" fillId="0" borderId="82" xfId="77" applyNumberFormat="1" applyFont="1" applyBorder="1"/>
    <xf numFmtId="3" fontId="91" fillId="29" borderId="36" xfId="77" applyNumberFormat="1" applyFont="1" applyFill="1" applyBorder="1"/>
    <xf numFmtId="2" fontId="91" fillId="0" borderId="76" xfId="77" applyNumberFormat="1" applyFont="1" applyBorder="1"/>
    <xf numFmtId="3" fontId="91" fillId="0" borderId="15" xfId="77" applyNumberFormat="1" applyFont="1" applyBorder="1"/>
    <xf numFmtId="3" fontId="202" fillId="0" borderId="15" xfId="77" applyNumberFormat="1" applyFont="1" applyBorder="1"/>
    <xf numFmtId="2" fontId="91" fillId="0" borderId="83" xfId="77" applyNumberFormat="1" applyFont="1" applyBorder="1"/>
    <xf numFmtId="2" fontId="91" fillId="0" borderId="68" xfId="77" applyNumberFormat="1" applyFont="1" applyBorder="1"/>
    <xf numFmtId="3" fontId="162" fillId="0" borderId="32" xfId="77" applyNumberFormat="1" applyFont="1" applyBorder="1"/>
    <xf numFmtId="4" fontId="162" fillId="0" borderId="84" xfId="0" applyNumberFormat="1" applyFont="1" applyBorder="1" applyAlignment="1">
      <alignment horizontal="right"/>
    </xf>
    <xf numFmtId="2" fontId="91" fillId="0" borderId="67" xfId="77" applyNumberFormat="1" applyFont="1" applyBorder="1"/>
    <xf numFmtId="3" fontId="91" fillId="0" borderId="51" xfId="77" applyNumberFormat="1" applyFont="1" applyBorder="1" applyAlignment="1">
      <alignment horizontal="right"/>
    </xf>
    <xf numFmtId="2" fontId="91" fillId="0" borderId="82" xfId="77" applyNumberFormat="1" applyFont="1" applyBorder="1"/>
    <xf numFmtId="3" fontId="91" fillId="0" borderId="15" xfId="77" applyNumberFormat="1" applyFont="1" applyBorder="1" applyAlignment="1">
      <alignment horizontal="right"/>
    </xf>
    <xf numFmtId="3" fontId="162" fillId="0" borderId="43" xfId="77" applyNumberFormat="1" applyFont="1" applyBorder="1"/>
    <xf numFmtId="4" fontId="162" fillId="0" borderId="81" xfId="0" applyNumberFormat="1" applyFont="1" applyBorder="1" applyAlignment="1">
      <alignment horizontal="right"/>
    </xf>
    <xf numFmtId="3" fontId="162" fillId="0" borderId="36" xfId="0" applyNumberFormat="1" applyFont="1" applyBorder="1" applyAlignment="1">
      <alignment horizontal="right"/>
    </xf>
    <xf numFmtId="4" fontId="91" fillId="0" borderId="76" xfId="0" applyNumberFormat="1" applyFont="1" applyBorder="1" applyAlignment="1">
      <alignment horizontal="right"/>
    </xf>
    <xf numFmtId="3" fontId="162" fillId="0" borderId="51" xfId="0" applyNumberFormat="1" applyFont="1" applyBorder="1" applyAlignment="1">
      <alignment horizontal="right"/>
    </xf>
    <xf numFmtId="4" fontId="91" fillId="0" borderId="82" xfId="0" applyNumberFormat="1" applyFont="1" applyBorder="1" applyAlignment="1">
      <alignment horizontal="right"/>
    </xf>
    <xf numFmtId="3" fontId="91" fillId="0" borderId="36" xfId="0" applyNumberFormat="1" applyFont="1" applyBorder="1" applyAlignment="1">
      <alignment horizontal="right"/>
    </xf>
    <xf numFmtId="3" fontId="76" fillId="0" borderId="0" xfId="77" applyNumberFormat="1" applyFont="1" applyAlignment="1">
      <alignment horizontal="right"/>
    </xf>
    <xf numFmtId="3" fontId="79" fillId="0" borderId="16" xfId="0" applyNumberFormat="1" applyFont="1" applyBorder="1" applyAlignment="1">
      <alignment horizontal="left"/>
    </xf>
    <xf numFmtId="3" fontId="80" fillId="0" borderId="0" xfId="0" applyNumberFormat="1" applyFont="1" applyAlignment="1">
      <alignment horizontal="right"/>
    </xf>
    <xf numFmtId="3" fontId="77" fillId="0" borderId="25" xfId="0" applyNumberFormat="1" applyFont="1" applyBorder="1" applyAlignment="1">
      <alignment horizontal="center"/>
    </xf>
    <xf numFmtId="3" fontId="77" fillId="0" borderId="30" xfId="0" applyNumberFormat="1" applyFont="1" applyBorder="1" applyAlignment="1">
      <alignment horizontal="center"/>
    </xf>
    <xf numFmtId="3" fontId="77" fillId="0" borderId="23" xfId="0" applyNumberFormat="1" applyFont="1" applyBorder="1" applyAlignment="1">
      <alignment horizontal="center"/>
    </xf>
    <xf numFmtId="3" fontId="77" fillId="0" borderId="19" xfId="0" applyNumberFormat="1" applyFont="1" applyBorder="1" applyAlignment="1">
      <alignment horizontal="center"/>
    </xf>
    <xf numFmtId="3" fontId="76" fillId="0" borderId="0" xfId="0" applyNumberFormat="1" applyFont="1" applyAlignment="1">
      <alignment horizontal="center"/>
    </xf>
    <xf numFmtId="0" fontId="80" fillId="0" borderId="0" xfId="0" applyFont="1" applyAlignment="1">
      <alignment horizontal="right"/>
    </xf>
    <xf numFmtId="0" fontId="77" fillId="0" borderId="23" xfId="0" applyFont="1" applyBorder="1" applyAlignment="1">
      <alignment horizontal="center"/>
    </xf>
    <xf numFmtId="0" fontId="77" fillId="0" borderId="19" xfId="0" applyFont="1" applyBorder="1" applyAlignment="1">
      <alignment horizontal="center"/>
    </xf>
    <xf numFmtId="0" fontId="79" fillId="0" borderId="0" xfId="0" applyFont="1"/>
    <xf numFmtId="3" fontId="76" fillId="0" borderId="0" xfId="0" applyNumberFormat="1" applyFont="1" applyAlignment="1">
      <alignment horizontal="right"/>
    </xf>
    <xf numFmtId="0" fontId="76" fillId="0" borderId="0" xfId="0" applyFont="1" applyAlignment="1">
      <alignment horizontal="right"/>
    </xf>
    <xf numFmtId="0" fontId="76" fillId="0" borderId="19" xfId="0" applyFont="1" applyBorder="1" applyAlignment="1">
      <alignment horizontal="center"/>
    </xf>
    <xf numFmtId="2" fontId="77" fillId="0" borderId="0" xfId="0" applyNumberFormat="1" applyFont="1"/>
    <xf numFmtId="4" fontId="33" fillId="0" borderId="0" xfId="0" applyNumberFormat="1" applyFont="1"/>
    <xf numFmtId="0" fontId="77" fillId="0" borderId="18" xfId="0" applyFont="1" applyBorder="1" applyAlignment="1">
      <alignment horizontal="center"/>
    </xf>
    <xf numFmtId="0" fontId="76" fillId="30" borderId="38" xfId="0" applyFont="1" applyFill="1" applyBorder="1"/>
    <xf numFmtId="0" fontId="76" fillId="30" borderId="40" xfId="0" applyFont="1" applyFill="1" applyBorder="1" applyAlignment="1">
      <alignment horizontal="left" wrapText="1"/>
    </xf>
    <xf numFmtId="0" fontId="204" fillId="0" borderId="20" xfId="0" applyFont="1" applyBorder="1"/>
    <xf numFmtId="0" fontId="204" fillId="30" borderId="20" xfId="0" applyFont="1" applyFill="1" applyBorder="1"/>
    <xf numFmtId="0" fontId="205" fillId="0" borderId="19" xfId="0" applyFont="1" applyBorder="1" applyAlignment="1">
      <alignment horizontal="left"/>
    </xf>
    <xf numFmtId="0" fontId="206" fillId="0" borderId="23" xfId="0" applyFont="1" applyBorder="1" applyAlignment="1">
      <alignment horizontal="left"/>
    </xf>
    <xf numFmtId="0" fontId="204" fillId="30" borderId="38" xfId="0" applyFont="1" applyFill="1" applyBorder="1"/>
    <xf numFmtId="3" fontId="204" fillId="30" borderId="40" xfId="0" applyNumberFormat="1" applyFont="1" applyFill="1" applyBorder="1" applyAlignment="1">
      <alignment wrapText="1"/>
    </xf>
    <xf numFmtId="0" fontId="205" fillId="0" borderId="26" xfId="0" applyFont="1" applyBorder="1" applyAlignment="1">
      <alignment horizontal="left"/>
    </xf>
    <xf numFmtId="0" fontId="206" fillId="0" borderId="18" xfId="0" applyFont="1" applyBorder="1" applyAlignment="1">
      <alignment horizontal="left"/>
    </xf>
    <xf numFmtId="3" fontId="204" fillId="30" borderId="38" xfId="0" applyNumberFormat="1" applyFont="1" applyFill="1" applyBorder="1" applyAlignment="1">
      <alignment wrapText="1"/>
    </xf>
    <xf numFmtId="3" fontId="204" fillId="30" borderId="18" xfId="0" applyNumberFormat="1" applyFont="1" applyFill="1" applyBorder="1" applyAlignment="1">
      <alignment wrapText="1"/>
    </xf>
    <xf numFmtId="3" fontId="204" fillId="0" borderId="40" xfId="0" applyNumberFormat="1" applyFont="1" applyBorder="1" applyAlignment="1">
      <alignment wrapText="1"/>
    </xf>
    <xf numFmtId="0" fontId="204" fillId="30" borderId="40" xfId="0" applyFont="1" applyFill="1" applyBorder="1" applyAlignment="1">
      <alignment horizontal="left" wrapText="1"/>
    </xf>
    <xf numFmtId="3" fontId="204" fillId="0" borderId="38" xfId="0" applyNumberFormat="1" applyFont="1" applyBorder="1" applyAlignment="1">
      <alignment wrapText="1"/>
    </xf>
    <xf numFmtId="0" fontId="204" fillId="0" borderId="38" xfId="0" applyFont="1" applyBorder="1"/>
    <xf numFmtId="0" fontId="204" fillId="0" borderId="40" xfId="0" applyFont="1" applyBorder="1"/>
    <xf numFmtId="0" fontId="204" fillId="0" borderId="40" xfId="0" applyFont="1" applyBorder="1" applyAlignment="1">
      <alignment wrapText="1"/>
    </xf>
    <xf numFmtId="0" fontId="204" fillId="0" borderId="38" xfId="0" applyFont="1" applyBorder="1" applyAlignment="1">
      <alignment wrapText="1"/>
    </xf>
    <xf numFmtId="49" fontId="204" fillId="0" borderId="62" xfId="0" applyNumberFormat="1" applyFont="1" applyBorder="1" applyAlignment="1">
      <alignment horizontal="justify" wrapText="1"/>
    </xf>
    <xf numFmtId="49" fontId="204" fillId="29" borderId="62" xfId="0" applyNumberFormat="1" applyFont="1" applyFill="1" applyBorder="1" applyAlignment="1">
      <alignment horizontal="justify" wrapText="1"/>
    </xf>
    <xf numFmtId="0" fontId="204" fillId="0" borderId="40" xfId="0" applyFont="1" applyBorder="1" applyAlignment="1">
      <alignment horizontal="left" wrapText="1"/>
    </xf>
    <xf numFmtId="0" fontId="206" fillId="0" borderId="62" xfId="0" applyFont="1" applyBorder="1" applyAlignment="1">
      <alignment horizontal="justify" wrapText="1"/>
    </xf>
    <xf numFmtId="0" fontId="204" fillId="0" borderId="62" xfId="0" applyFont="1" applyBorder="1"/>
    <xf numFmtId="0" fontId="204" fillId="0" borderId="62" xfId="0" applyFont="1" applyBorder="1" applyAlignment="1">
      <alignment horizontal="justify" wrapText="1"/>
    </xf>
    <xf numFmtId="0" fontId="206" fillId="0" borderId="40" xfId="0" applyFont="1" applyBorder="1" applyAlignment="1">
      <alignment horizontal="justify" wrapText="1"/>
    </xf>
    <xf numFmtId="0" fontId="204" fillId="0" borderId="40" xfId="0" applyFont="1" applyBorder="1" applyAlignment="1">
      <alignment horizontal="justify" wrapText="1"/>
    </xf>
    <xf numFmtId="0" fontId="204" fillId="0" borderId="42" xfId="0" applyFont="1" applyBorder="1" applyAlignment="1">
      <alignment wrapText="1"/>
    </xf>
    <xf numFmtId="0" fontId="204" fillId="0" borderId="40" xfId="77" applyFont="1" applyBorder="1" applyAlignment="1">
      <alignment horizontal="left" wrapText="1"/>
    </xf>
    <xf numFmtId="3" fontId="204" fillId="30" borderId="42" xfId="0" applyNumberFormat="1" applyFont="1" applyFill="1" applyBorder="1" applyAlignment="1" applyProtection="1">
      <alignment wrapText="1"/>
      <protection locked="0"/>
    </xf>
    <xf numFmtId="0" fontId="204" fillId="0" borderId="62" xfId="0" applyFont="1" applyBorder="1" applyAlignment="1">
      <alignment wrapText="1"/>
    </xf>
    <xf numFmtId="0" fontId="206" fillId="0" borderId="38" xfId="0" applyFont="1" applyBorder="1" applyAlignment="1">
      <alignment horizontal="justify" wrapText="1"/>
    </xf>
    <xf numFmtId="0" fontId="205" fillId="0" borderId="57" xfId="0" applyFont="1" applyBorder="1" applyAlignment="1">
      <alignment horizontal="left"/>
    </xf>
    <xf numFmtId="0" fontId="204" fillId="0" borderId="38" xfId="0" applyFont="1" applyBorder="1" applyAlignment="1">
      <alignment horizontal="justify" wrapText="1"/>
    </xf>
    <xf numFmtId="0" fontId="204" fillId="0" borderId="40" xfId="0" applyFont="1" applyBorder="1" applyAlignment="1">
      <alignment horizontal="left" wrapText="1" shrinkToFit="1"/>
    </xf>
    <xf numFmtId="0" fontId="204" fillId="0" borderId="38" xfId="0" applyFont="1" applyBorder="1" applyAlignment="1">
      <alignment horizontal="left" wrapText="1" shrinkToFit="1"/>
    </xf>
    <xf numFmtId="0" fontId="205" fillId="0" borderId="19" xfId="0" applyFont="1" applyBorder="1" applyAlignment="1">
      <alignment horizontal="center"/>
    </xf>
    <xf numFmtId="0" fontId="205" fillId="0" borderId="20" xfId="0" applyFont="1" applyBorder="1" applyAlignment="1">
      <alignment horizontal="left"/>
    </xf>
    <xf numFmtId="0" fontId="205" fillId="0" borderId="19" xfId="0" applyFont="1" applyBorder="1" applyAlignment="1">
      <alignment horizontal="left" wrapText="1"/>
    </xf>
    <xf numFmtId="0" fontId="77" fillId="0" borderId="90" xfId="0" applyFont="1" applyBorder="1" applyAlignment="1">
      <alignment horizontal="center"/>
    </xf>
    <xf numFmtId="0" fontId="204" fillId="30" borderId="40" xfId="0" applyFont="1" applyFill="1" applyBorder="1"/>
    <xf numFmtId="0" fontId="204" fillId="0" borderId="40" xfId="0" applyFont="1" applyBorder="1" applyAlignment="1">
      <alignment horizontal="justify"/>
    </xf>
    <xf numFmtId="0" fontId="205" fillId="0" borderId="20" xfId="0" applyFont="1" applyBorder="1"/>
    <xf numFmtId="0" fontId="76" fillId="30" borderId="50" xfId="0" applyFont="1" applyFill="1" applyBorder="1"/>
    <xf numFmtId="0" fontId="76" fillId="30" borderId="114" xfId="0" applyFont="1" applyFill="1" applyBorder="1"/>
    <xf numFmtId="0" fontId="76" fillId="30" borderId="40" xfId="0" applyFont="1" applyFill="1" applyBorder="1"/>
    <xf numFmtId="0" fontId="76" fillId="30" borderId="37" xfId="0" applyFont="1" applyFill="1" applyBorder="1"/>
    <xf numFmtId="0" fontId="76" fillId="30" borderId="39" xfId="0" applyFont="1" applyFill="1" applyBorder="1"/>
    <xf numFmtId="0" fontId="76" fillId="29" borderId="40" xfId="0" applyFont="1" applyFill="1" applyBorder="1"/>
    <xf numFmtId="0" fontId="76" fillId="29" borderId="37" xfId="0" applyFont="1" applyFill="1" applyBorder="1"/>
    <xf numFmtId="0" fontId="76" fillId="29" borderId="39" xfId="0" applyFont="1" applyFill="1" applyBorder="1"/>
    <xf numFmtId="0" fontId="76" fillId="30" borderId="62" xfId="0" applyFont="1" applyFill="1" applyBorder="1"/>
    <xf numFmtId="0" fontId="76" fillId="30" borderId="66" xfId="0" applyFont="1" applyFill="1" applyBorder="1"/>
    <xf numFmtId="0" fontId="76" fillId="30" borderId="88" xfId="0" applyFont="1" applyFill="1" applyBorder="1"/>
    <xf numFmtId="0" fontId="76" fillId="0" borderId="124" xfId="0" applyFont="1" applyBorder="1"/>
    <xf numFmtId="0" fontId="76" fillId="29" borderId="118" xfId="0" applyFont="1" applyFill="1" applyBorder="1"/>
    <xf numFmtId="0" fontId="76" fillId="29" borderId="112" xfId="0" applyFont="1" applyFill="1" applyBorder="1"/>
    <xf numFmtId="0" fontId="76" fillId="0" borderId="102" xfId="0" applyFont="1" applyBorder="1"/>
    <xf numFmtId="0" fontId="76" fillId="0" borderId="108" xfId="0" applyFont="1" applyBorder="1"/>
    <xf numFmtId="0" fontId="76" fillId="0" borderId="118" xfId="0" applyFont="1" applyBorder="1"/>
    <xf numFmtId="0" fontId="79" fillId="0" borderId="19" xfId="0" applyFont="1" applyBorder="1"/>
    <xf numFmtId="0" fontId="77" fillId="0" borderId="46" xfId="0" applyFont="1" applyBorder="1" applyAlignment="1">
      <alignment horizontal="center"/>
    </xf>
    <xf numFmtId="0" fontId="77" fillId="0" borderId="16" xfId="0" applyFont="1" applyBorder="1" applyAlignment="1">
      <alignment horizontal="center"/>
    </xf>
    <xf numFmtId="3" fontId="77" fillId="0" borderId="23" xfId="0" applyNumberFormat="1" applyFont="1" applyBorder="1" applyAlignment="1">
      <alignment horizontal="centerContinuous"/>
    </xf>
    <xf numFmtId="0" fontId="76" fillId="30" borderId="92" xfId="0" applyFont="1" applyFill="1" applyBorder="1" applyAlignment="1">
      <alignment horizontal="left"/>
    </xf>
    <xf numFmtId="0" fontId="76" fillId="30" borderId="42" xfId="0" applyFont="1" applyFill="1" applyBorder="1" applyAlignment="1">
      <alignment horizontal="left"/>
    </xf>
    <xf numFmtId="0" fontId="76" fillId="30" borderId="42" xfId="0" applyFont="1" applyFill="1" applyBorder="1" applyAlignment="1">
      <alignment horizontal="left" wrapText="1"/>
    </xf>
    <xf numFmtId="0" fontId="76" fillId="30" borderId="93" xfId="0" applyFont="1" applyFill="1" applyBorder="1"/>
    <xf numFmtId="0" fontId="76" fillId="30" borderId="18" xfId="0" applyFont="1" applyFill="1" applyBorder="1" applyAlignment="1">
      <alignment horizontal="left" wrapText="1"/>
    </xf>
    <xf numFmtId="0" fontId="76" fillId="0" borderId="0" xfId="77" applyFont="1" applyAlignment="1">
      <alignment wrapText="1"/>
    </xf>
    <xf numFmtId="3" fontId="80" fillId="0" borderId="0" xfId="77" applyNumberFormat="1" applyFont="1"/>
    <xf numFmtId="0" fontId="77" fillId="0" borderId="23" xfId="77" applyFont="1" applyBorder="1" applyAlignment="1">
      <alignment horizontal="center"/>
    </xf>
    <xf numFmtId="0" fontId="77" fillId="0" borderId="18" xfId="77" applyFont="1" applyBorder="1" applyAlignment="1">
      <alignment horizontal="center"/>
    </xf>
    <xf numFmtId="0" fontId="80" fillId="0" borderId="0" xfId="77" applyFont="1" applyAlignment="1">
      <alignment horizontal="right"/>
    </xf>
    <xf numFmtId="0" fontId="82" fillId="0" borderId="0" xfId="77" applyFont="1"/>
    <xf numFmtId="0" fontId="82" fillId="0" borderId="0" xfId="77" applyFont="1" applyAlignment="1">
      <alignment horizontal="right"/>
    </xf>
    <xf numFmtId="3" fontId="83" fillId="0" borderId="0" xfId="77" applyNumberFormat="1" applyFont="1"/>
    <xf numFmtId="0" fontId="207" fillId="0" borderId="0" xfId="77" applyFont="1"/>
    <xf numFmtId="3" fontId="82" fillId="0" borderId="0" xfId="77" applyNumberFormat="1" applyFont="1"/>
    <xf numFmtId="3" fontId="89" fillId="0" borderId="0" xfId="77" applyNumberFormat="1" applyFont="1"/>
    <xf numFmtId="0" fontId="77" fillId="0" borderId="53" xfId="77" applyFont="1" applyBorder="1" applyAlignment="1">
      <alignment horizontal="center"/>
    </xf>
    <xf numFmtId="0" fontId="76" fillId="0" borderId="19" xfId="77" applyFont="1" applyBorder="1"/>
    <xf numFmtId="0" fontId="76" fillId="0" borderId="16" xfId="77" applyFont="1" applyBorder="1" applyAlignment="1">
      <alignment horizontal="center"/>
    </xf>
    <xf numFmtId="0" fontId="77" fillId="0" borderId="23" xfId="77" applyFont="1" applyBorder="1" applyAlignment="1">
      <alignment horizontal="right"/>
    </xf>
    <xf numFmtId="0" fontId="77" fillId="0" borderId="46" xfId="77" applyFont="1" applyBorder="1"/>
    <xf numFmtId="3" fontId="76" fillId="0" borderId="23" xfId="77" applyNumberFormat="1" applyFont="1" applyBorder="1" applyAlignment="1">
      <alignment horizontal="center"/>
    </xf>
    <xf numFmtId="3" fontId="76" fillId="0" borderId="47" xfId="77" applyNumberFormat="1" applyFont="1" applyBorder="1" applyAlignment="1">
      <alignment horizontal="center"/>
    </xf>
    <xf numFmtId="3" fontId="76" fillId="0" borderId="47" xfId="77" applyNumberFormat="1" applyFont="1" applyBorder="1" applyAlignment="1">
      <alignment horizontal="right"/>
    </xf>
    <xf numFmtId="3" fontId="76" fillId="0" borderId="27" xfId="77" applyNumberFormat="1" applyFont="1" applyBorder="1" applyAlignment="1">
      <alignment horizontal="right"/>
    </xf>
    <xf numFmtId="0" fontId="76" fillId="0" borderId="50" xfId="77" applyFont="1" applyBorder="1"/>
    <xf numFmtId="3" fontId="76" fillId="0" borderId="130" xfId="77" applyNumberFormat="1" applyFont="1" applyBorder="1" applyAlignment="1">
      <alignment horizontal="right"/>
    </xf>
    <xf numFmtId="3" fontId="76" fillId="0" borderId="29" xfId="77" applyNumberFormat="1" applyFont="1" applyBorder="1" applyAlignment="1">
      <alignment horizontal="right"/>
    </xf>
    <xf numFmtId="3" fontId="76" fillId="0" borderId="59" xfId="77" applyNumberFormat="1" applyFont="1" applyBorder="1" applyAlignment="1">
      <alignment horizontal="right"/>
    </xf>
    <xf numFmtId="0" fontId="77" fillId="0" borderId="17" xfId="77" applyFont="1" applyBorder="1" applyAlignment="1">
      <alignment horizontal="right"/>
    </xf>
    <xf numFmtId="3" fontId="77" fillId="0" borderId="17" xfId="77" applyNumberFormat="1" applyFont="1" applyBorder="1" applyAlignment="1">
      <alignment horizontal="right"/>
    </xf>
    <xf numFmtId="3" fontId="77" fillId="0" borderId="44" xfId="77" applyNumberFormat="1" applyFont="1" applyBorder="1" applyAlignment="1">
      <alignment horizontal="right"/>
    </xf>
    <xf numFmtId="3" fontId="77" fillId="0" borderId="43" xfId="77" applyNumberFormat="1" applyFont="1" applyBorder="1" applyAlignment="1">
      <alignment horizontal="right"/>
    </xf>
    <xf numFmtId="3" fontId="77" fillId="0" borderId="54" xfId="77" applyNumberFormat="1" applyFont="1" applyBorder="1" applyAlignment="1">
      <alignment horizontal="right"/>
    </xf>
    <xf numFmtId="0" fontId="76" fillId="0" borderId="19" xfId="77" applyFont="1" applyBorder="1" applyAlignment="1">
      <alignment horizontal="center"/>
    </xf>
    <xf numFmtId="0" fontId="208" fillId="0" borderId="23" xfId="77" applyFont="1" applyBorder="1" applyAlignment="1">
      <alignment horizontal="center"/>
    </xf>
    <xf numFmtId="0" fontId="76" fillId="0" borderId="42" xfId="0" applyFont="1" applyBorder="1" applyAlignment="1">
      <alignment horizontal="left"/>
    </xf>
    <xf numFmtId="0" fontId="77" fillId="0" borderId="17" xfId="77" applyFont="1" applyBorder="1" applyAlignment="1">
      <alignment horizontal="center"/>
    </xf>
    <xf numFmtId="0" fontId="76" fillId="0" borderId="101" xfId="0" applyFont="1" applyBorder="1" applyAlignment="1">
      <alignment horizontal="left" wrapText="1"/>
    </xf>
    <xf numFmtId="0" fontId="76" fillId="0" borderId="42" xfId="0" applyFont="1" applyBorder="1" applyAlignment="1">
      <alignment horizontal="left" wrapText="1"/>
    </xf>
    <xf numFmtId="0" fontId="76" fillId="0" borderId="30" xfId="0" applyFont="1" applyBorder="1" applyAlignment="1">
      <alignment horizontal="left" wrapText="1"/>
    </xf>
    <xf numFmtId="0" fontId="208" fillId="0" borderId="62" xfId="77" applyFont="1" applyBorder="1" applyAlignment="1">
      <alignment horizontal="center" wrapText="1"/>
    </xf>
    <xf numFmtId="0" fontId="76" fillId="0" borderId="90" xfId="77" applyFont="1" applyBorder="1" applyAlignment="1">
      <alignment horizontal="center"/>
    </xf>
    <xf numFmtId="0" fontId="77" fillId="0" borderId="47" xfId="0" applyFont="1" applyBorder="1" applyAlignment="1">
      <alignment horizontal="center"/>
    </xf>
    <xf numFmtId="0" fontId="77" fillId="0" borderId="29" xfId="0" applyFont="1" applyBorder="1" applyAlignment="1">
      <alignment horizontal="center"/>
    </xf>
    <xf numFmtId="0" fontId="77" fillId="0" borderId="59" xfId="0" applyFont="1" applyBorder="1" applyAlignment="1">
      <alignment horizontal="center"/>
    </xf>
    <xf numFmtId="0" fontId="76" fillId="0" borderId="38" xfId="0" applyFont="1" applyBorder="1" applyAlignment="1">
      <alignment horizontal="left" wrapText="1" shrinkToFit="1"/>
    </xf>
    <xf numFmtId="0" fontId="76" fillId="0" borderId="62" xfId="0" applyFont="1" applyBorder="1" applyAlignment="1">
      <alignment wrapText="1"/>
    </xf>
    <xf numFmtId="0" fontId="76" fillId="0" borderId="42" xfId="0" applyFont="1" applyBorder="1" applyAlignment="1">
      <alignment wrapText="1"/>
    </xf>
    <xf numFmtId="0" fontId="76" fillId="0" borderId="42" xfId="0" applyFont="1" applyBorder="1" applyAlignment="1">
      <alignment horizontal="left" wrapText="1" shrinkToFit="1"/>
    </xf>
    <xf numFmtId="0" fontId="208" fillId="0" borderId="30" xfId="77" applyFont="1" applyBorder="1" applyAlignment="1">
      <alignment horizontal="center"/>
    </xf>
    <xf numFmtId="3" fontId="76" fillId="0" borderId="83" xfId="0" applyNumberFormat="1" applyFont="1" applyBorder="1" applyAlignment="1">
      <alignment horizontal="right"/>
    </xf>
    <xf numFmtId="0" fontId="77" fillId="0" borderId="30" xfId="77" applyFont="1" applyBorder="1"/>
    <xf numFmtId="0" fontId="76" fillId="0" borderId="15" xfId="77" applyFont="1" applyBorder="1"/>
    <xf numFmtId="0" fontId="76" fillId="0" borderId="40" xfId="0" applyFont="1" applyBorder="1" applyAlignment="1">
      <alignment wrapText="1"/>
    </xf>
    <xf numFmtId="0" fontId="76" fillId="0" borderId="40" xfId="0" applyFont="1" applyBorder="1" applyAlignment="1">
      <alignment horizontal="justify"/>
    </xf>
    <xf numFmtId="0" fontId="76" fillId="0" borderId="40" xfId="77" applyFont="1" applyBorder="1" applyAlignment="1">
      <alignment wrapText="1"/>
    </xf>
    <xf numFmtId="0" fontId="34" fillId="0" borderId="20" xfId="77" applyFont="1" applyBorder="1" applyAlignment="1">
      <alignment horizontal="center"/>
    </xf>
    <xf numFmtId="3" fontId="84" fillId="0" borderId="20" xfId="96" applyNumberFormat="1" applyFont="1" applyBorder="1"/>
    <xf numFmtId="3" fontId="211" fillId="0" borderId="89" xfId="96" applyNumberFormat="1" applyFont="1" applyBorder="1"/>
    <xf numFmtId="3" fontId="84" fillId="0" borderId="20" xfId="96" applyNumberFormat="1" applyFont="1" applyBorder="1" applyAlignment="1">
      <alignment horizontal="center"/>
    </xf>
    <xf numFmtId="3" fontId="84" fillId="0" borderId="89" xfId="96" applyNumberFormat="1" applyFont="1" applyBorder="1" applyAlignment="1">
      <alignment horizontal="center"/>
    </xf>
    <xf numFmtId="3" fontId="211" fillId="0" borderId="20" xfId="96" applyNumberFormat="1" applyFont="1" applyBorder="1" applyAlignment="1">
      <alignment horizontal="center"/>
    </xf>
    <xf numFmtId="3" fontId="84" fillId="0" borderId="21" xfId="96" applyNumberFormat="1" applyFont="1" applyBorder="1" applyAlignment="1">
      <alignment horizontal="center"/>
    </xf>
    <xf numFmtId="3" fontId="84" fillId="0" borderId="60" xfId="96" applyNumberFormat="1" applyFont="1" applyBorder="1" applyAlignment="1">
      <alignment horizontal="center"/>
    </xf>
    <xf numFmtId="3" fontId="212" fillId="0" borderId="19" xfId="96" applyNumberFormat="1" applyFont="1" applyBorder="1" applyAlignment="1">
      <alignment horizontal="center"/>
    </xf>
    <xf numFmtId="3" fontId="212" fillId="0" borderId="16" xfId="96" applyNumberFormat="1" applyFont="1" applyBorder="1"/>
    <xf numFmtId="3" fontId="84" fillId="0" borderId="61" xfId="96" applyNumberFormat="1" applyFont="1" applyBorder="1" applyAlignment="1">
      <alignment horizontal="center"/>
    </xf>
    <xf numFmtId="3" fontId="84" fillId="0" borderId="28" xfId="96" applyNumberFormat="1" applyFont="1" applyBorder="1" applyAlignment="1">
      <alignment horizontal="center"/>
    </xf>
    <xf numFmtId="3" fontId="84" fillId="0" borderId="89" xfId="96" applyNumberFormat="1" applyFont="1" applyBorder="1"/>
    <xf numFmtId="3" fontId="84" fillId="29" borderId="21" xfId="96" applyNumberFormat="1" applyFont="1" applyFill="1" applyBorder="1"/>
    <xf numFmtId="3" fontId="84" fillId="29" borderId="60" xfId="96" applyNumberFormat="1" applyFont="1" applyFill="1" applyBorder="1"/>
    <xf numFmtId="3" fontId="84" fillId="0" borderId="18" xfId="96" applyNumberFormat="1" applyFont="1" applyBorder="1" applyAlignment="1">
      <alignment horizontal="center"/>
    </xf>
    <xf numFmtId="3" fontId="84" fillId="0" borderId="0" xfId="96" applyNumberFormat="1" applyFont="1"/>
    <xf numFmtId="3" fontId="84" fillId="29" borderId="15" xfId="96" applyNumberFormat="1" applyFont="1" applyFill="1" applyBorder="1"/>
    <xf numFmtId="3" fontId="84" fillId="29" borderId="59" xfId="96" applyNumberFormat="1" applyFont="1" applyFill="1" applyBorder="1"/>
    <xf numFmtId="3" fontId="211" fillId="0" borderId="40" xfId="96" applyNumberFormat="1" applyFont="1" applyBorder="1" applyAlignment="1">
      <alignment horizontal="center"/>
    </xf>
    <xf numFmtId="3" fontId="211" fillId="0" borderId="37" xfId="96" applyNumberFormat="1" applyFont="1" applyBorder="1"/>
    <xf numFmtId="3" fontId="211" fillId="29" borderId="36" xfId="96" applyNumberFormat="1" applyFont="1" applyFill="1" applyBorder="1"/>
    <xf numFmtId="3" fontId="211" fillId="29" borderId="37" xfId="96" applyNumberFormat="1" applyFont="1" applyFill="1" applyBorder="1"/>
    <xf numFmtId="3" fontId="211" fillId="29" borderId="68" xfId="96" applyNumberFormat="1" applyFont="1" applyFill="1" applyBorder="1"/>
    <xf numFmtId="3" fontId="211" fillId="0" borderId="18" xfId="96" applyNumberFormat="1" applyFont="1" applyBorder="1" applyAlignment="1">
      <alignment horizontal="center"/>
    </xf>
    <xf numFmtId="3" fontId="211" fillId="0" borderId="0" xfId="96" applyNumberFormat="1" applyFont="1"/>
    <xf numFmtId="3" fontId="211" fillId="29" borderId="15" xfId="96" applyNumberFormat="1" applyFont="1" applyFill="1" applyBorder="1"/>
    <xf numFmtId="3" fontId="211" fillId="29" borderId="0" xfId="96" applyNumberFormat="1" applyFont="1" applyFill="1"/>
    <xf numFmtId="3" fontId="84" fillId="0" borderId="40" xfId="96" applyNumberFormat="1" applyFont="1" applyBorder="1" applyAlignment="1">
      <alignment horizontal="center"/>
    </xf>
    <xf numFmtId="3" fontId="84" fillId="0" borderId="37" xfId="96" applyNumberFormat="1" applyFont="1" applyBorder="1"/>
    <xf numFmtId="3" fontId="84" fillId="29" borderId="36" xfId="96" applyNumberFormat="1" applyFont="1" applyFill="1" applyBorder="1"/>
    <xf numFmtId="3" fontId="84" fillId="29" borderId="68" xfId="96" applyNumberFormat="1" applyFont="1" applyFill="1" applyBorder="1"/>
    <xf numFmtId="3" fontId="211" fillId="29" borderId="59" xfId="96" applyNumberFormat="1" applyFont="1" applyFill="1" applyBorder="1"/>
    <xf numFmtId="3" fontId="84" fillId="0" borderId="21" xfId="96" applyNumberFormat="1" applyFont="1" applyBorder="1"/>
    <xf numFmtId="3" fontId="84" fillId="0" borderId="78" xfId="96" applyNumberFormat="1" applyFont="1" applyBorder="1"/>
    <xf numFmtId="3" fontId="84" fillId="0" borderId="15" xfId="96" applyNumberFormat="1" applyFont="1" applyBorder="1"/>
    <xf numFmtId="3" fontId="84" fillId="0" borderId="59" xfId="96" applyNumberFormat="1" applyFont="1" applyBorder="1"/>
    <xf numFmtId="3" fontId="212" fillId="0" borderId="37" xfId="96" applyNumberFormat="1" applyFont="1" applyBorder="1"/>
    <xf numFmtId="3" fontId="212" fillId="29" borderId="36" xfId="96" applyNumberFormat="1" applyFont="1" applyFill="1" applyBorder="1"/>
    <xf numFmtId="3" fontId="212" fillId="29" borderId="68" xfId="96" applyNumberFormat="1" applyFont="1" applyFill="1" applyBorder="1"/>
    <xf numFmtId="3" fontId="211" fillId="0" borderId="0" xfId="96" applyNumberFormat="1" applyFont="1" applyAlignment="1">
      <alignment horizontal="center"/>
    </xf>
    <xf numFmtId="3" fontId="211" fillId="29" borderId="71" xfId="96" applyNumberFormat="1" applyFont="1" applyFill="1" applyBorder="1"/>
    <xf numFmtId="3" fontId="211" fillId="0" borderId="37" xfId="96" applyNumberFormat="1" applyFont="1" applyBorder="1" applyAlignment="1">
      <alignment horizontal="center"/>
    </xf>
    <xf numFmtId="3" fontId="211" fillId="0" borderId="0" xfId="96" applyNumberFormat="1" applyFont="1" applyAlignment="1">
      <alignment horizontal="center" vertical="center"/>
    </xf>
    <xf numFmtId="3" fontId="211" fillId="0" borderId="0" xfId="96" applyNumberFormat="1" applyFont="1" applyAlignment="1">
      <alignment wrapText="1"/>
    </xf>
    <xf numFmtId="3" fontId="211" fillId="29" borderId="67" xfId="96" applyNumberFormat="1" applyFont="1" applyFill="1" applyBorder="1"/>
    <xf numFmtId="3" fontId="84" fillId="29" borderId="37" xfId="96" applyNumberFormat="1" applyFont="1" applyFill="1" applyBorder="1"/>
    <xf numFmtId="3" fontId="213" fillId="29" borderId="37" xfId="96" applyNumberFormat="1" applyFont="1" applyFill="1" applyBorder="1"/>
    <xf numFmtId="3" fontId="211" fillId="29" borderId="0" xfId="96" applyNumberFormat="1" applyFont="1" applyFill="1" applyAlignment="1">
      <alignment wrapText="1"/>
    </xf>
    <xf numFmtId="3" fontId="211" fillId="0" borderId="41" xfId="96" applyNumberFormat="1" applyFont="1" applyBorder="1" applyAlignment="1">
      <alignment horizontal="center"/>
    </xf>
    <xf numFmtId="3" fontId="211" fillId="0" borderId="91" xfId="96" applyNumberFormat="1" applyFont="1" applyBorder="1"/>
    <xf numFmtId="3" fontId="211" fillId="29" borderId="64" xfId="96" applyNumberFormat="1" applyFont="1" applyFill="1" applyBorder="1"/>
    <xf numFmtId="3" fontId="211" fillId="29" borderId="91" xfId="96" applyNumberFormat="1" applyFont="1" applyFill="1" applyBorder="1"/>
    <xf numFmtId="3" fontId="84" fillId="0" borderId="105" xfId="96" applyNumberFormat="1" applyFont="1" applyBorder="1" applyAlignment="1">
      <alignment horizontal="center"/>
    </xf>
    <xf numFmtId="3" fontId="84" fillId="0" borderId="135" xfId="96" applyNumberFormat="1" applyFont="1" applyBorder="1"/>
    <xf numFmtId="3" fontId="84" fillId="29" borderId="136" xfId="96" applyNumberFormat="1" applyFont="1" applyFill="1" applyBorder="1"/>
    <xf numFmtId="3" fontId="84" fillId="29" borderId="137" xfId="96" applyNumberFormat="1" applyFont="1" applyFill="1" applyBorder="1"/>
    <xf numFmtId="3" fontId="211" fillId="0" borderId="37" xfId="97" applyNumberFormat="1" applyFont="1" applyBorder="1"/>
    <xf numFmtId="3" fontId="211" fillId="29" borderId="36" xfId="97" applyNumberFormat="1" applyFont="1" applyFill="1" applyBorder="1"/>
    <xf numFmtId="3" fontId="211" fillId="29" borderId="37" xfId="97" applyNumberFormat="1" applyFont="1" applyFill="1" applyBorder="1"/>
    <xf numFmtId="3" fontId="84" fillId="0" borderId="41" xfId="96" applyNumberFormat="1" applyFont="1" applyBorder="1" applyAlignment="1">
      <alignment horizontal="center"/>
    </xf>
    <xf numFmtId="3" fontId="84" fillId="0" borderId="91" xfId="96" applyNumberFormat="1" applyFont="1" applyBorder="1"/>
    <xf numFmtId="3" fontId="84" fillId="0" borderId="91" xfId="97" applyNumberFormat="1" applyFont="1" applyBorder="1"/>
    <xf numFmtId="3" fontId="84" fillId="29" borderId="64" xfId="97" applyNumberFormat="1" applyFont="1" applyFill="1" applyBorder="1"/>
    <xf numFmtId="3" fontId="84" fillId="29" borderId="91" xfId="97" applyNumberFormat="1" applyFont="1" applyFill="1" applyBorder="1"/>
    <xf numFmtId="3" fontId="84" fillId="29" borderId="103" xfId="96" applyNumberFormat="1" applyFont="1" applyFill="1" applyBorder="1"/>
    <xf numFmtId="3" fontId="84" fillId="0" borderId="19" xfId="96" applyNumberFormat="1" applyFont="1" applyBorder="1" applyAlignment="1">
      <alignment horizontal="center"/>
    </xf>
    <xf numFmtId="3" fontId="84" fillId="0" borderId="16" xfId="96" applyNumberFormat="1" applyFont="1" applyBorder="1"/>
    <xf numFmtId="3" fontId="84" fillId="0" borderId="16" xfId="97" applyNumberFormat="1" applyFont="1" applyBorder="1"/>
    <xf numFmtId="3" fontId="84" fillId="29" borderId="61" xfId="97" applyNumberFormat="1" applyFont="1" applyFill="1" applyBorder="1"/>
    <xf numFmtId="3" fontId="84" fillId="29" borderId="16" xfId="97" applyNumberFormat="1" applyFont="1" applyFill="1" applyBorder="1"/>
    <xf numFmtId="3" fontId="84" fillId="29" borderId="28" xfId="96" applyNumberFormat="1" applyFont="1" applyFill="1" applyBorder="1"/>
    <xf numFmtId="3" fontId="211" fillId="0" borderId="0" xfId="97" applyNumberFormat="1" applyFont="1"/>
    <xf numFmtId="3" fontId="211" fillId="29" borderId="15" xfId="97" applyNumberFormat="1" applyFont="1" applyFill="1" applyBorder="1"/>
    <xf numFmtId="3" fontId="211" fillId="29" borderId="0" xfId="97" applyNumberFormat="1" applyFont="1" applyFill="1"/>
    <xf numFmtId="3" fontId="84" fillId="0" borderId="89" xfId="97" applyNumberFormat="1" applyFont="1" applyBorder="1"/>
    <xf numFmtId="3" fontId="84" fillId="29" borderId="21" xfId="97" applyNumberFormat="1" applyFont="1" applyFill="1" applyBorder="1"/>
    <xf numFmtId="3" fontId="84" fillId="29" borderId="60" xfId="97" applyNumberFormat="1" applyFont="1" applyFill="1" applyBorder="1"/>
    <xf numFmtId="3" fontId="214" fillId="0" borderId="0" xfId="97" applyNumberFormat="1" applyFont="1"/>
    <xf numFmtId="3" fontId="84" fillId="29" borderId="89" xfId="97" applyNumberFormat="1" applyFont="1" applyFill="1" applyBorder="1"/>
    <xf numFmtId="3" fontId="84" fillId="0" borderId="21" xfId="97" applyNumberFormat="1" applyFont="1" applyBorder="1"/>
    <xf numFmtId="3" fontId="84" fillId="0" borderId="60" xfId="96" applyNumberFormat="1" applyFont="1" applyBorder="1"/>
    <xf numFmtId="3" fontId="211" fillId="29" borderId="59" xfId="96" applyNumberFormat="1" applyFont="1" applyFill="1" applyBorder="1" applyAlignment="1">
      <alignment horizontal="right"/>
    </xf>
    <xf numFmtId="3" fontId="211" fillId="29" borderId="68" xfId="96" applyNumberFormat="1" applyFont="1" applyFill="1" applyBorder="1" applyAlignment="1">
      <alignment horizontal="right"/>
    </xf>
    <xf numFmtId="3" fontId="211" fillId="0" borderId="23" xfId="96" applyNumberFormat="1" applyFont="1" applyBorder="1" applyAlignment="1">
      <alignment horizontal="center"/>
    </xf>
    <xf numFmtId="3" fontId="211" fillId="0" borderId="46" xfId="96" applyNumberFormat="1" applyFont="1" applyBorder="1"/>
    <xf numFmtId="3" fontId="211" fillId="0" borderId="46" xfId="97" applyNumberFormat="1" applyFont="1" applyBorder="1"/>
    <xf numFmtId="3" fontId="211" fillId="0" borderId="45" xfId="97" applyNumberFormat="1" applyFont="1" applyBorder="1"/>
    <xf numFmtId="3" fontId="211" fillId="0" borderId="27" xfId="96" applyNumberFormat="1" applyFont="1" applyBorder="1"/>
    <xf numFmtId="3" fontId="84" fillId="0" borderId="18" xfId="96" applyNumberFormat="1" applyFont="1" applyBorder="1"/>
    <xf numFmtId="3" fontId="84" fillId="29" borderId="0" xfId="96" applyNumberFormat="1" applyFont="1" applyFill="1"/>
    <xf numFmtId="3" fontId="211" fillId="0" borderId="15" xfId="96" applyNumberFormat="1" applyFont="1" applyBorder="1"/>
    <xf numFmtId="3" fontId="211" fillId="0" borderId="59" xfId="96" applyNumberFormat="1" applyFont="1" applyBorder="1"/>
    <xf numFmtId="3" fontId="84" fillId="0" borderId="67" xfId="96" applyNumberFormat="1" applyFont="1" applyBorder="1"/>
    <xf numFmtId="3" fontId="84" fillId="0" borderId="36" xfId="96" applyNumberFormat="1" applyFont="1" applyBorder="1"/>
    <xf numFmtId="3" fontId="211" fillId="0" borderId="68" xfId="96" applyNumberFormat="1" applyFont="1" applyBorder="1"/>
    <xf numFmtId="3" fontId="211" fillId="0" borderId="36" xfId="96" applyNumberFormat="1" applyFont="1" applyBorder="1"/>
    <xf numFmtId="3" fontId="84" fillId="0" borderId="40" xfId="96" applyNumberFormat="1" applyFont="1" applyBorder="1"/>
    <xf numFmtId="3" fontId="211" fillId="0" borderId="16" xfId="96" applyNumberFormat="1" applyFont="1" applyBorder="1"/>
    <xf numFmtId="3" fontId="211" fillId="0" borderId="61" xfId="96" applyNumberFormat="1" applyFont="1" applyBorder="1"/>
    <xf numFmtId="3" fontId="211" fillId="0" borderId="28" xfId="96" applyNumberFormat="1" applyFont="1" applyBorder="1"/>
    <xf numFmtId="0" fontId="204" fillId="0" borderId="0" xfId="0" applyFont="1"/>
    <xf numFmtId="3" fontId="77" fillId="30" borderId="20" xfId="0" applyNumberFormat="1" applyFont="1" applyFill="1" applyBorder="1" applyAlignment="1">
      <alignment wrapText="1"/>
    </xf>
    <xf numFmtId="0" fontId="79" fillId="0" borderId="138" xfId="0" applyFont="1" applyBorder="1"/>
    <xf numFmtId="0" fontId="77" fillId="0" borderId="17" xfId="0" applyFont="1" applyBorder="1"/>
    <xf numFmtId="0" fontId="77" fillId="0" borderId="20" xfId="0" applyFont="1" applyBorder="1" applyAlignment="1">
      <alignment horizontal="justify" wrapText="1"/>
    </xf>
    <xf numFmtId="0" fontId="77" fillId="0" borderId="99" xfId="0" applyFont="1" applyBorder="1"/>
    <xf numFmtId="0" fontId="76" fillId="0" borderId="46" xfId="0" applyFont="1" applyBorder="1"/>
    <xf numFmtId="0" fontId="77" fillId="0" borderId="46" xfId="0" applyFont="1" applyBorder="1"/>
    <xf numFmtId="0" fontId="76" fillId="0" borderId="19" xfId="0" applyFont="1" applyBorder="1"/>
    <xf numFmtId="0" fontId="77" fillId="0" borderId="16" xfId="0" applyFont="1" applyBorder="1" applyAlignment="1">
      <alignment horizontal="left"/>
    </xf>
    <xf numFmtId="0" fontId="77" fillId="0" borderId="16" xfId="0" applyFont="1" applyBorder="1" applyAlignment="1">
      <alignment horizontal="right"/>
    </xf>
    <xf numFmtId="0" fontId="205" fillId="0" borderId="23" xfId="0" applyFont="1" applyBorder="1"/>
    <xf numFmtId="0" fontId="205" fillId="0" borderId="46" xfId="0" applyFont="1" applyBorder="1" applyAlignment="1">
      <alignment horizontal="left"/>
    </xf>
    <xf numFmtId="0" fontId="216" fillId="0" borderId="18" xfId="0" applyFont="1" applyBorder="1"/>
    <xf numFmtId="0" fontId="216" fillId="0" borderId="50" xfId="0" applyFont="1" applyBorder="1"/>
    <xf numFmtId="3" fontId="216" fillId="0" borderId="50" xfId="0" applyNumberFormat="1" applyFont="1" applyBorder="1" applyProtection="1">
      <protection locked="0"/>
    </xf>
    <xf numFmtId="0" fontId="216" fillId="0" borderId="24" xfId="0" applyFont="1" applyBorder="1"/>
    <xf numFmtId="3" fontId="216" fillId="0" borderId="24" xfId="0" applyNumberFormat="1" applyFont="1" applyBorder="1" applyProtection="1">
      <protection locked="0"/>
    </xf>
    <xf numFmtId="0" fontId="216" fillId="0" borderId="0" xfId="0" applyFont="1"/>
    <xf numFmtId="0" fontId="217" fillId="0" borderId="0" xfId="0" applyFont="1"/>
    <xf numFmtId="0" fontId="204" fillId="0" borderId="18" xfId="0" applyFont="1" applyBorder="1"/>
    <xf numFmtId="0" fontId="204" fillId="0" borderId="50" xfId="0" applyFont="1" applyBorder="1"/>
    <xf numFmtId="0" fontId="204" fillId="0" borderId="37" xfId="0" applyFont="1" applyBorder="1"/>
    <xf numFmtId="3" fontId="204" fillId="0" borderId="37" xfId="0" applyNumberFormat="1" applyFont="1" applyBorder="1" applyProtection="1">
      <protection locked="0"/>
    </xf>
    <xf numFmtId="0" fontId="204" fillId="0" borderId="24" xfId="0" applyFont="1" applyBorder="1"/>
    <xf numFmtId="0" fontId="217" fillId="0" borderId="24" xfId="0" applyFont="1" applyBorder="1"/>
    <xf numFmtId="0" fontId="204" fillId="0" borderId="24" xfId="0" applyFont="1" applyBorder="1" applyAlignment="1">
      <alignment wrapText="1"/>
    </xf>
    <xf numFmtId="3" fontId="216" fillId="0" borderId="50" xfId="0" applyNumberFormat="1" applyFont="1" applyBorder="1"/>
    <xf numFmtId="3" fontId="204" fillId="0" borderId="50" xfId="0" applyNumberFormat="1" applyFont="1" applyBorder="1"/>
    <xf numFmtId="0" fontId="204" fillId="0" borderId="37" xfId="0" applyFont="1" applyBorder="1" applyAlignment="1">
      <alignment horizontal="left"/>
    </xf>
    <xf numFmtId="0" fontId="204" fillId="0" borderId="50" xfId="0" applyFont="1" applyBorder="1" applyAlignment="1">
      <alignment horizontal="left"/>
    </xf>
    <xf numFmtId="0" fontId="205" fillId="0" borderId="18" xfId="0" applyFont="1" applyBorder="1"/>
    <xf numFmtId="3" fontId="205" fillId="0" borderId="24" xfId="0" applyNumberFormat="1" applyFont="1" applyBorder="1"/>
    <xf numFmtId="0" fontId="205" fillId="0" borderId="24" xfId="0" applyFont="1" applyBorder="1"/>
    <xf numFmtId="3" fontId="205" fillId="0" borderId="24" xfId="0" applyNumberFormat="1" applyFont="1" applyBorder="1" applyProtection="1">
      <protection locked="0"/>
    </xf>
    <xf numFmtId="3" fontId="205" fillId="0" borderId="0" xfId="0" applyNumberFormat="1" applyFont="1"/>
    <xf numFmtId="0" fontId="205" fillId="0" borderId="0" xfId="0" applyFont="1"/>
    <xf numFmtId="3" fontId="205" fillId="0" borderId="0" xfId="0" applyNumberFormat="1" applyFont="1" applyProtection="1">
      <protection locked="0"/>
    </xf>
    <xf numFmtId="0" fontId="204" fillId="0" borderId="0" xfId="0" applyFont="1" applyAlignment="1">
      <alignment horizontal="left"/>
    </xf>
    <xf numFmtId="0" fontId="216" fillId="0" borderId="100" xfId="0" applyFont="1" applyBorder="1"/>
    <xf numFmtId="3" fontId="216" fillId="0" borderId="100" xfId="0" applyNumberFormat="1" applyFont="1" applyBorder="1" applyProtection="1">
      <protection locked="0"/>
    </xf>
    <xf numFmtId="0" fontId="216" fillId="0" borderId="26" xfId="0" applyFont="1" applyBorder="1"/>
    <xf numFmtId="0" fontId="218" fillId="0" borderId="24" xfId="0" applyFont="1" applyBorder="1"/>
    <xf numFmtId="0" fontId="205" fillId="0" borderId="50" xfId="0" applyFont="1" applyBorder="1"/>
    <xf numFmtId="0" fontId="205" fillId="0" borderId="50" xfId="0" applyFont="1" applyBorder="1" applyAlignment="1">
      <alignment horizontal="left"/>
    </xf>
    <xf numFmtId="0" fontId="204" fillId="0" borderId="66" xfId="0" applyFont="1" applyBorder="1" applyAlignment="1">
      <alignment horizontal="left"/>
    </xf>
    <xf numFmtId="0" fontId="216" fillId="0" borderId="22" xfId="0" applyFont="1" applyBorder="1"/>
    <xf numFmtId="0" fontId="205" fillId="0" borderId="22" xfId="0" applyFont="1" applyBorder="1" applyAlignment="1">
      <alignment horizontal="left"/>
    </xf>
    <xf numFmtId="0" fontId="205" fillId="0" borderId="89" xfId="0" applyFont="1" applyBorder="1" applyAlignment="1">
      <alignment horizontal="left"/>
    </xf>
    <xf numFmtId="0" fontId="217" fillId="0" borderId="16" xfId="0" applyFont="1" applyBorder="1" applyAlignment="1">
      <alignment horizontal="left"/>
    </xf>
    <xf numFmtId="0" fontId="204" fillId="0" borderId="16" xfId="0" applyFont="1" applyBorder="1" applyAlignment="1">
      <alignment horizontal="left"/>
    </xf>
    <xf numFmtId="0" fontId="216" fillId="0" borderId="89" xfId="0" applyFont="1" applyBorder="1" applyAlignment="1">
      <alignment horizontal="left"/>
    </xf>
    <xf numFmtId="3" fontId="124" fillId="0" borderId="50" xfId="0" applyNumberFormat="1" applyFont="1" applyBorder="1"/>
    <xf numFmtId="0" fontId="124" fillId="0" borderId="50" xfId="77" applyFont="1" applyBorder="1" applyAlignment="1">
      <alignment horizontal="justify"/>
    </xf>
    <xf numFmtId="0" fontId="124" fillId="0" borderId="50" xfId="0" applyFont="1" applyBorder="1"/>
    <xf numFmtId="0" fontId="124" fillId="0" borderId="37" xfId="77" applyFont="1" applyBorder="1" applyAlignment="1">
      <alignment horizontal="justify"/>
    </xf>
    <xf numFmtId="0" fontId="124" fillId="0" borderId="37" xfId="0" applyFont="1" applyBorder="1"/>
    <xf numFmtId="0" fontId="204" fillId="0" borderId="91" xfId="0" applyFont="1" applyBorder="1" applyAlignment="1">
      <alignment horizontal="left"/>
    </xf>
    <xf numFmtId="0" fontId="205" fillId="0" borderId="46" xfId="0" applyFont="1" applyBorder="1" applyAlignment="1">
      <alignment horizontal="center"/>
    </xf>
    <xf numFmtId="0" fontId="205" fillId="0" borderId="18" xfId="0" applyFont="1" applyBorder="1" applyAlignment="1">
      <alignment horizontal="center"/>
    </xf>
    <xf numFmtId="0" fontId="205" fillId="0" borderId="0" xfId="0" applyFont="1" applyAlignment="1">
      <alignment horizontal="center"/>
    </xf>
    <xf numFmtId="0" fontId="205" fillId="0" borderId="0" xfId="0" applyFont="1" applyAlignment="1">
      <alignment horizontal="left"/>
    </xf>
    <xf numFmtId="0" fontId="204" fillId="0" borderId="37" xfId="77" applyFont="1" applyBorder="1" applyAlignment="1">
      <alignment horizontal="left"/>
    </xf>
    <xf numFmtId="0" fontId="204" fillId="0" borderId="37" xfId="77" applyFont="1" applyBorder="1" applyAlignment="1">
      <alignment horizontal="justify"/>
    </xf>
    <xf numFmtId="0" fontId="204" fillId="0" borderId="91" xfId="77" applyFont="1" applyBorder="1" applyAlignment="1">
      <alignment horizontal="left"/>
    </xf>
    <xf numFmtId="0" fontId="204" fillId="0" borderId="91" xfId="77" applyFont="1" applyBorder="1" applyAlignment="1">
      <alignment horizontal="justify"/>
    </xf>
    <xf numFmtId="0" fontId="204" fillId="0" borderId="91" xfId="0" applyFont="1" applyBorder="1"/>
    <xf numFmtId="0" fontId="205" fillId="0" borderId="19" xfId="0" applyFont="1" applyBorder="1"/>
    <xf numFmtId="0" fontId="216" fillId="0" borderId="16" xfId="0" applyFont="1" applyBorder="1" applyAlignment="1">
      <alignment horizontal="left"/>
    </xf>
    <xf numFmtId="0" fontId="216" fillId="0" borderId="0" xfId="0" applyFont="1" applyAlignment="1">
      <alignment horizontal="left"/>
    </xf>
    <xf numFmtId="0" fontId="204" fillId="0" borderId="50" xfId="77" applyFont="1" applyBorder="1" applyAlignment="1">
      <alignment horizontal="left"/>
    </xf>
    <xf numFmtId="0" fontId="204" fillId="0" borderId="66" xfId="77" applyFont="1" applyBorder="1" applyAlignment="1">
      <alignment horizontal="left"/>
    </xf>
    <xf numFmtId="0" fontId="204" fillId="0" borderId="66" xfId="77" applyFont="1" applyBorder="1" applyAlignment="1">
      <alignment horizontal="justify"/>
    </xf>
    <xf numFmtId="0" fontId="204" fillId="0" borderId="66" xfId="0" applyFont="1" applyBorder="1"/>
    <xf numFmtId="0" fontId="204" fillId="0" borderId="37" xfId="77" applyFont="1" applyBorder="1" applyAlignment="1">
      <alignment horizontal="left" wrapText="1"/>
    </xf>
    <xf numFmtId="0" fontId="217" fillId="0" borderId="37" xfId="77" applyFont="1" applyBorder="1" applyAlignment="1">
      <alignment horizontal="left"/>
    </xf>
    <xf numFmtId="0" fontId="217" fillId="0" borderId="66" xfId="77" applyFont="1" applyBorder="1" applyAlignment="1">
      <alignment horizontal="left"/>
    </xf>
    <xf numFmtId="0" fontId="204" fillId="0" borderId="76" xfId="0" applyFont="1" applyBorder="1"/>
    <xf numFmtId="0" fontId="204" fillId="0" borderId="72" xfId="0" applyFont="1" applyBorder="1"/>
    <xf numFmtId="0" fontId="204" fillId="0" borderId="0" xfId="77" applyFont="1" applyAlignment="1">
      <alignment horizontal="left"/>
    </xf>
    <xf numFmtId="0" fontId="204" fillId="0" borderId="37" xfId="0" applyFont="1" applyBorder="1" applyAlignment="1">
      <alignment wrapText="1"/>
    </xf>
    <xf numFmtId="0" fontId="205" fillId="0" borderId="37" xfId="0" applyFont="1" applyBorder="1" applyAlignment="1">
      <alignment horizontal="center"/>
    </xf>
    <xf numFmtId="0" fontId="205" fillId="0" borderId="37" xfId="0" applyFont="1" applyBorder="1" applyAlignment="1">
      <alignment horizontal="left"/>
    </xf>
    <xf numFmtId="0" fontId="205" fillId="0" borderId="17" xfId="0" applyFont="1" applyBorder="1"/>
    <xf numFmtId="0" fontId="204" fillId="0" borderId="24" xfId="0" applyFont="1" applyBorder="1" applyAlignment="1">
      <alignment horizontal="left"/>
    </xf>
    <xf numFmtId="0" fontId="205" fillId="0" borderId="22" xfId="0" applyFont="1" applyBorder="1" applyAlignment="1">
      <alignment horizontal="center"/>
    </xf>
    <xf numFmtId="0" fontId="204" fillId="0" borderId="46" xfId="0" applyFont="1" applyBorder="1"/>
    <xf numFmtId="0" fontId="216" fillId="0" borderId="18" xfId="0" applyFont="1" applyBorder="1" applyAlignment="1">
      <alignment horizontal="left"/>
    </xf>
    <xf numFmtId="0" fontId="216" fillId="0" borderId="37" xfId="0" applyFont="1" applyBorder="1" applyAlignment="1">
      <alignment horizontal="left"/>
    </xf>
    <xf numFmtId="3" fontId="205" fillId="0" borderId="37" xfId="0" applyNumberFormat="1" applyFont="1" applyBorder="1"/>
    <xf numFmtId="0" fontId="205" fillId="0" borderId="37" xfId="0" applyFont="1" applyBorder="1"/>
    <xf numFmtId="0" fontId="216" fillId="0" borderId="22" xfId="0" applyFont="1" applyBorder="1" applyAlignment="1">
      <alignment horizontal="left"/>
    </xf>
    <xf numFmtId="0" fontId="204" fillId="30" borderId="102" xfId="0" applyFont="1" applyFill="1" applyBorder="1"/>
    <xf numFmtId="0" fontId="204" fillId="30" borderId="92" xfId="0" applyFont="1" applyFill="1" applyBorder="1" applyAlignment="1">
      <alignment horizontal="left"/>
    </xf>
    <xf numFmtId="0" fontId="204" fillId="0" borderId="101" xfId="0" applyFont="1" applyBorder="1" applyAlignment="1">
      <alignment horizontal="left" wrapText="1"/>
    </xf>
    <xf numFmtId="0" fontId="204" fillId="0" borderId="38" xfId="0" applyFont="1" applyBorder="1" applyAlignment="1">
      <alignment horizontal="left" wrapText="1"/>
    </xf>
    <xf numFmtId="0" fontId="204" fillId="0" borderId="42" xfId="0" applyFont="1" applyBorder="1" applyAlignment="1">
      <alignment horizontal="left"/>
    </xf>
    <xf numFmtId="0" fontId="204" fillId="0" borderId="42" xfId="0" applyFont="1" applyBorder="1" applyAlignment="1">
      <alignment horizontal="left" wrapText="1"/>
    </xf>
    <xf numFmtId="0" fontId="204" fillId="30" borderId="40" xfId="0" applyFont="1" applyFill="1" applyBorder="1" applyAlignment="1">
      <alignment wrapText="1"/>
    </xf>
    <xf numFmtId="0" fontId="204" fillId="29" borderId="40" xfId="0" applyFont="1" applyFill="1" applyBorder="1"/>
    <xf numFmtId="0" fontId="204" fillId="0" borderId="18" xfId="0" applyFont="1" applyBorder="1" applyAlignment="1">
      <alignment horizontal="left" wrapText="1"/>
    </xf>
    <xf numFmtId="0" fontId="205" fillId="0" borderId="17" xfId="0" applyFont="1" applyBorder="1" applyAlignment="1">
      <alignment wrapText="1"/>
    </xf>
    <xf numFmtId="3" fontId="216" fillId="0" borderId="16" xfId="0" applyNumberFormat="1" applyFont="1" applyBorder="1" applyAlignment="1">
      <alignment horizontal="left"/>
    </xf>
    <xf numFmtId="0" fontId="216" fillId="0" borderId="18" xfId="0" applyFont="1" applyBorder="1" applyAlignment="1">
      <alignment horizontal="center"/>
    </xf>
    <xf numFmtId="0" fontId="205" fillId="0" borderId="19" xfId="0" applyFont="1" applyBorder="1" applyAlignment="1">
      <alignment horizontal="justify"/>
    </xf>
    <xf numFmtId="0" fontId="205" fillId="0" borderId="20" xfId="0" applyFont="1" applyBorder="1" applyAlignment="1">
      <alignment horizontal="justify"/>
    </xf>
    <xf numFmtId="0" fontId="205" fillId="30" borderId="20" xfId="0" applyFont="1" applyFill="1" applyBorder="1"/>
    <xf numFmtId="0" fontId="216" fillId="0" borderId="99" xfId="0" applyFont="1" applyBorder="1"/>
    <xf numFmtId="0" fontId="216" fillId="0" borderId="23" xfId="0" applyFont="1" applyBorder="1" applyAlignment="1">
      <alignment horizontal="center"/>
    </xf>
    <xf numFmtId="0" fontId="204" fillId="0" borderId="122" xfId="75" applyFont="1" applyBorder="1" applyAlignment="1">
      <alignment wrapText="1"/>
    </xf>
    <xf numFmtId="0" fontId="205" fillId="0" borderId="20" xfId="0" applyFont="1" applyBorder="1" applyAlignment="1">
      <alignment horizontal="left" wrapText="1"/>
    </xf>
    <xf numFmtId="0" fontId="205" fillId="0" borderId="69" xfId="0" applyFont="1" applyBorder="1" applyAlignment="1">
      <alignment horizontal="center" wrapText="1"/>
    </xf>
    <xf numFmtId="3" fontId="204" fillId="0" borderId="38" xfId="0" applyNumberFormat="1" applyFont="1" applyBorder="1" applyAlignment="1">
      <alignment horizontal="justify"/>
    </xf>
    <xf numFmtId="3" fontId="204" fillId="0" borderId="40" xfId="78" applyNumberFormat="1" applyFont="1" applyBorder="1" applyAlignment="1">
      <alignment horizontal="justify" wrapText="1"/>
    </xf>
    <xf numFmtId="3" fontId="204" fillId="0" borderId="40" xfId="0" applyNumberFormat="1" applyFont="1" applyBorder="1" applyAlignment="1">
      <alignment horizontal="justify"/>
    </xf>
    <xf numFmtId="0" fontId="216" fillId="0" borderId="124" xfId="0" applyFont="1" applyBorder="1"/>
    <xf numFmtId="0" fontId="216" fillId="0" borderId="19" xfId="0" applyFont="1" applyBorder="1" applyAlignment="1">
      <alignment horizontal="center"/>
    </xf>
    <xf numFmtId="0" fontId="205" fillId="0" borderId="20" xfId="0" applyFont="1" applyBorder="1" applyAlignment="1">
      <alignment wrapText="1"/>
    </xf>
    <xf numFmtId="0" fontId="216" fillId="0" borderId="20" xfId="0" applyFont="1" applyBorder="1" applyAlignment="1">
      <alignment horizontal="center"/>
    </xf>
    <xf numFmtId="0" fontId="216" fillId="0" borderId="57" xfId="0" applyFont="1" applyBorder="1" applyAlignment="1">
      <alignment horizontal="center"/>
    </xf>
    <xf numFmtId="0" fontId="204" fillId="0" borderId="57" xfId="0" applyFont="1" applyBorder="1" applyAlignment="1">
      <alignment horizontal="left"/>
    </xf>
    <xf numFmtId="3" fontId="124" fillId="0" borderId="40" xfId="0" applyNumberFormat="1" applyFont="1" applyBorder="1" applyAlignment="1">
      <alignment horizontal="justify"/>
    </xf>
    <xf numFmtId="0" fontId="204" fillId="0" borderId="18" xfId="0" applyFont="1" applyBorder="1" applyAlignment="1">
      <alignment horizontal="left"/>
    </xf>
    <xf numFmtId="0" fontId="216" fillId="0" borderId="86" xfId="0" applyFont="1" applyBorder="1" applyAlignment="1">
      <alignment horizontal="left"/>
    </xf>
    <xf numFmtId="0" fontId="205" fillId="0" borderId="57" xfId="0" applyFont="1" applyBorder="1" applyAlignment="1">
      <alignment horizontal="center"/>
    </xf>
    <xf numFmtId="3" fontId="204" fillId="0" borderId="38" xfId="78" applyNumberFormat="1" applyFont="1" applyBorder="1" applyAlignment="1">
      <alignment horizontal="justify" wrapText="1"/>
    </xf>
    <xf numFmtId="0" fontId="204" fillId="0" borderId="18" xfId="0" applyFont="1" applyBorder="1" applyAlignment="1">
      <alignment horizontal="justify"/>
    </xf>
    <xf numFmtId="3" fontId="204" fillId="30" borderId="62" xfId="0" applyNumberFormat="1" applyFont="1" applyFill="1" applyBorder="1"/>
    <xf numFmtId="0" fontId="205" fillId="30" borderId="20" xfId="0" applyFont="1" applyFill="1" applyBorder="1" applyAlignment="1">
      <alignment horizontal="justify" wrapText="1"/>
    </xf>
    <xf numFmtId="0" fontId="204" fillId="30" borderId="41" xfId="0" applyFont="1" applyFill="1" applyBorder="1" applyAlignment="1">
      <alignment horizontal="justify"/>
    </xf>
    <xf numFmtId="3" fontId="204" fillId="0" borderId="101" xfId="0" applyNumberFormat="1" applyFont="1" applyBorder="1" applyAlignment="1">
      <alignment horizontal="left" wrapText="1"/>
    </xf>
    <xf numFmtId="0" fontId="204" fillId="30" borderId="40" xfId="0" applyFont="1" applyFill="1" applyBorder="1" applyAlignment="1">
      <alignment horizontal="justify"/>
    </xf>
    <xf numFmtId="0" fontId="205" fillId="0" borderId="20" xfId="0" applyFont="1" applyBorder="1" applyAlignment="1">
      <alignment horizontal="justify" wrapText="1"/>
    </xf>
    <xf numFmtId="3" fontId="204" fillId="0" borderId="18" xfId="0" applyNumberFormat="1" applyFont="1" applyBorder="1"/>
    <xf numFmtId="0" fontId="205" fillId="30" borderId="20" xfId="0" applyFont="1" applyFill="1" applyBorder="1" applyAlignment="1">
      <alignment horizontal="justify"/>
    </xf>
    <xf numFmtId="0" fontId="216" fillId="29" borderId="18" xfId="0" applyFont="1" applyFill="1" applyBorder="1" applyAlignment="1">
      <alignment horizontal="justify"/>
    </xf>
    <xf numFmtId="0" fontId="205" fillId="0" borderId="17" xfId="0" applyFont="1" applyBorder="1" applyAlignment="1">
      <alignment horizontal="left"/>
    </xf>
    <xf numFmtId="0" fontId="204" fillId="30" borderId="102" xfId="0" applyFont="1" applyFill="1" applyBorder="1" applyAlignment="1">
      <alignment horizontal="justify"/>
    </xf>
    <xf numFmtId="0" fontId="204" fillId="0" borderId="23" xfId="0" applyFont="1" applyBorder="1"/>
    <xf numFmtId="0" fontId="204" fillId="0" borderId="17" xfId="0" applyFont="1" applyBorder="1"/>
    <xf numFmtId="0" fontId="205" fillId="0" borderId="23" xfId="77" applyFont="1" applyBorder="1" applyAlignment="1">
      <alignment horizontal="right"/>
    </xf>
    <xf numFmtId="0" fontId="205" fillId="0" borderId="46" xfId="77" applyFont="1" applyBorder="1"/>
    <xf numFmtId="0" fontId="204" fillId="0" borderId="18" xfId="77" applyFont="1" applyBorder="1" applyAlignment="1">
      <alignment horizontal="right"/>
    </xf>
    <xf numFmtId="0" fontId="204" fillId="0" borderId="50" xfId="77" applyFont="1" applyBorder="1" applyAlignment="1">
      <alignment horizontal="justify"/>
    </xf>
    <xf numFmtId="0" fontId="205" fillId="0" borderId="26" xfId="77" applyFont="1" applyBorder="1" applyAlignment="1">
      <alignment horizontal="right"/>
    </xf>
    <xf numFmtId="0" fontId="205" fillId="0" borderId="24" xfId="77" applyFont="1" applyBorder="1" applyAlignment="1">
      <alignment horizontal="center"/>
    </xf>
    <xf numFmtId="0" fontId="205" fillId="0" borderId="57" xfId="77" applyFont="1" applyBorder="1" applyAlignment="1">
      <alignment horizontal="right"/>
    </xf>
    <xf numFmtId="0" fontId="205" fillId="0" borderId="100" xfId="77" applyFont="1" applyBorder="1"/>
    <xf numFmtId="0" fontId="205" fillId="0" borderId="18" xfId="77" applyFont="1" applyBorder="1" applyAlignment="1">
      <alignment horizontal="right"/>
    </xf>
    <xf numFmtId="0" fontId="204" fillId="0" borderId="50" xfId="77" applyFont="1" applyBorder="1"/>
    <xf numFmtId="0" fontId="205" fillId="0" borderId="0" xfId="77" applyFont="1"/>
    <xf numFmtId="3" fontId="204" fillId="0" borderId="50" xfId="0" applyNumberFormat="1" applyFont="1" applyBorder="1" applyAlignment="1">
      <alignment horizontal="justify"/>
    </xf>
    <xf numFmtId="3" fontId="204" fillId="0" borderId="37" xfId="0" applyNumberFormat="1" applyFont="1" applyBorder="1" applyAlignment="1">
      <alignment horizontal="justify"/>
    </xf>
    <xf numFmtId="0" fontId="205" fillId="0" borderId="24" xfId="77" applyFont="1" applyBorder="1"/>
    <xf numFmtId="0" fontId="216" fillId="0" borderId="18" xfId="77" applyFont="1" applyBorder="1" applyAlignment="1">
      <alignment horizontal="left"/>
    </xf>
    <xf numFmtId="0" fontId="216" fillId="0" borderId="0" xfId="77" applyFont="1"/>
    <xf numFmtId="0" fontId="204" fillId="0" borderId="37" xfId="77" applyFont="1" applyBorder="1"/>
    <xf numFmtId="0" fontId="216" fillId="0" borderId="39" xfId="77" applyFont="1" applyBorder="1"/>
    <xf numFmtId="0" fontId="124" fillId="0" borderId="18" xfId="77" applyFont="1" applyBorder="1" applyAlignment="1">
      <alignment horizontal="right"/>
    </xf>
    <xf numFmtId="0" fontId="204" fillId="0" borderId="50" xfId="77" applyFont="1" applyBorder="1" applyAlignment="1">
      <alignment wrapText="1"/>
    </xf>
    <xf numFmtId="0" fontId="205" fillId="0" borderId="18" xfId="77" applyFont="1" applyBorder="1"/>
    <xf numFmtId="0" fontId="204" fillId="0" borderId="50" xfId="77" applyFont="1" applyBorder="1" applyAlignment="1">
      <alignment horizontal="left" wrapText="1"/>
    </xf>
    <xf numFmtId="0" fontId="204" fillId="0" borderId="0" xfId="77" applyFont="1" applyAlignment="1">
      <alignment horizontal="left" wrapText="1"/>
    </xf>
    <xf numFmtId="0" fontId="204" fillId="0" borderId="39" xfId="77" applyFont="1" applyBorder="1" applyAlignment="1">
      <alignment horizontal="left" wrapText="1"/>
    </xf>
    <xf numFmtId="0" fontId="204" fillId="0" borderId="66" xfId="77" applyFont="1" applyBorder="1"/>
    <xf numFmtId="0" fontId="124" fillId="0" borderId="37" xfId="0" applyFont="1" applyBorder="1" applyAlignment="1">
      <alignment wrapText="1"/>
    </xf>
    <xf numFmtId="0" fontId="124" fillId="0" borderId="50" xfId="0" applyFont="1" applyBorder="1" applyAlignment="1">
      <alignment wrapText="1"/>
    </xf>
    <xf numFmtId="0" fontId="204" fillId="0" borderId="0" xfId="77" applyFont="1" applyAlignment="1">
      <alignment wrapText="1"/>
    </xf>
    <xf numFmtId="0" fontId="205" fillId="0" borderId="20" xfId="77" applyFont="1" applyBorder="1" applyAlignment="1">
      <alignment horizontal="right"/>
    </xf>
    <xf numFmtId="0" fontId="205" fillId="0" borderId="89" xfId="77" applyFont="1" applyBorder="1"/>
    <xf numFmtId="0" fontId="205" fillId="0" borderId="19" xfId="77" applyFont="1" applyBorder="1" applyAlignment="1">
      <alignment horizontal="right"/>
    </xf>
    <xf numFmtId="0" fontId="205" fillId="0" borderId="16" xfId="77" applyFont="1" applyBorder="1"/>
    <xf numFmtId="0" fontId="205" fillId="0" borderId="20" xfId="77" applyFont="1" applyBorder="1"/>
    <xf numFmtId="0" fontId="204" fillId="0" borderId="113" xfId="77" applyFont="1" applyBorder="1"/>
    <xf numFmtId="0" fontId="204" fillId="0" borderId="37" xfId="77" applyFont="1" applyBorder="1" applyAlignment="1">
      <alignment wrapText="1"/>
    </xf>
    <xf numFmtId="0" fontId="91" fillId="0" borderId="0" xfId="88" applyFont="1"/>
    <xf numFmtId="3" fontId="91" fillId="0" borderId="0" xfId="88" applyNumberFormat="1" applyFont="1"/>
    <xf numFmtId="0" fontId="91" fillId="0" borderId="0" xfId="0" applyFont="1"/>
    <xf numFmtId="0" fontId="222" fillId="0" borderId="0" xfId="105" applyFont="1"/>
    <xf numFmtId="0" fontId="223" fillId="0" borderId="0" xfId="105" applyFont="1"/>
    <xf numFmtId="0" fontId="223" fillId="0" borderId="0" xfId="105" applyFont="1" applyAlignment="1">
      <alignment wrapText="1"/>
    </xf>
    <xf numFmtId="3" fontId="222" fillId="0" borderId="0" xfId="105" applyNumberFormat="1" applyFont="1"/>
    <xf numFmtId="0" fontId="221" fillId="0" borderId="0" xfId="105" applyFont="1"/>
    <xf numFmtId="0" fontId="224" fillId="0" borderId="0" xfId="105" applyFont="1"/>
    <xf numFmtId="0" fontId="225" fillId="0" borderId="0" xfId="105" applyFont="1"/>
    <xf numFmtId="0" fontId="225" fillId="29" borderId="0" xfId="105" applyFont="1" applyFill="1"/>
    <xf numFmtId="0" fontId="226" fillId="0" borderId="0" xfId="105" applyFont="1" applyAlignment="1">
      <alignment horizontal="center" wrapText="1"/>
    </xf>
    <xf numFmtId="0" fontId="227" fillId="0" borderId="110" xfId="105" applyFont="1" applyBorder="1" applyAlignment="1">
      <alignment horizontal="center" wrapText="1"/>
    </xf>
    <xf numFmtId="3" fontId="227" fillId="0" borderId="116" xfId="105" applyNumberFormat="1" applyFont="1" applyBorder="1" applyAlignment="1">
      <alignment horizontal="center" vertical="center" wrapText="1"/>
    </xf>
    <xf numFmtId="3" fontId="228" fillId="0" borderId="116" xfId="105" applyNumberFormat="1" applyFont="1" applyBorder="1" applyAlignment="1">
      <alignment horizontal="center" vertical="center" wrapText="1"/>
    </xf>
    <xf numFmtId="3" fontId="228" fillId="0" borderId="111" xfId="105" applyNumberFormat="1" applyFont="1" applyBorder="1" applyAlignment="1">
      <alignment horizontal="center" vertical="center" wrapText="1"/>
    </xf>
    <xf numFmtId="3" fontId="229" fillId="0" borderId="116" xfId="105" applyNumberFormat="1" applyFont="1" applyBorder="1" applyAlignment="1">
      <alignment horizontal="center" vertical="center" wrapText="1"/>
    </xf>
    <xf numFmtId="0" fontId="227" fillId="0" borderId="57" xfId="105" applyFont="1" applyBorder="1" applyAlignment="1">
      <alignment wrapText="1"/>
    </xf>
    <xf numFmtId="3" fontId="230" fillId="0" borderId="55" xfId="105" applyNumberFormat="1" applyFont="1" applyBorder="1"/>
    <xf numFmtId="0" fontId="231" fillId="0" borderId="94" xfId="105" applyFont="1" applyBorder="1" applyAlignment="1">
      <alignment wrapText="1"/>
    </xf>
    <xf numFmtId="3" fontId="230" fillId="0" borderId="97" xfId="105" applyNumberFormat="1" applyFont="1" applyBorder="1"/>
    <xf numFmtId="0" fontId="231" fillId="0" borderId="26" xfId="105" applyFont="1" applyBorder="1" applyAlignment="1">
      <alignment wrapText="1"/>
    </xf>
    <xf numFmtId="3" fontId="230" fillId="0" borderId="32" xfId="105" applyNumberFormat="1" applyFont="1" applyBorder="1"/>
    <xf numFmtId="3" fontId="230" fillId="29" borderId="32" xfId="105" applyNumberFormat="1" applyFont="1" applyFill="1" applyBorder="1"/>
    <xf numFmtId="0" fontId="231" fillId="0" borderId="18" xfId="105" applyFont="1" applyBorder="1" applyAlignment="1">
      <alignment wrapText="1"/>
    </xf>
    <xf numFmtId="0" fontId="227" fillId="33" borderId="142" xfId="105" applyFont="1" applyFill="1" applyBorder="1" applyAlignment="1">
      <alignment wrapText="1"/>
    </xf>
    <xf numFmtId="3" fontId="227" fillId="33" borderId="143" xfId="105" applyNumberFormat="1" applyFont="1" applyFill="1" applyBorder="1"/>
    <xf numFmtId="0" fontId="227" fillId="0" borderId="18" xfId="105" applyFont="1" applyBorder="1" applyAlignment="1">
      <alignment wrapText="1"/>
    </xf>
    <xf numFmtId="3" fontId="227" fillId="0" borderId="15" xfId="105" applyNumberFormat="1" applyFont="1" applyBorder="1"/>
    <xf numFmtId="0" fontId="230" fillId="0" borderId="18" xfId="105" applyFont="1" applyBorder="1" applyAlignment="1">
      <alignment wrapText="1"/>
    </xf>
    <xf numFmtId="3" fontId="230" fillId="0" borderId="15" xfId="105" applyNumberFormat="1" applyFont="1" applyBorder="1"/>
    <xf numFmtId="0" fontId="228" fillId="0" borderId="94" xfId="105" applyFont="1" applyBorder="1" applyAlignment="1">
      <alignment wrapText="1"/>
    </xf>
    <xf numFmtId="0" fontId="230" fillId="0" borderId="94" xfId="105" applyFont="1" applyBorder="1" applyAlignment="1">
      <alignment wrapText="1"/>
    </xf>
    <xf numFmtId="0" fontId="230" fillId="0" borderId="57" xfId="105" applyFont="1" applyBorder="1" applyAlignment="1">
      <alignment wrapText="1"/>
    </xf>
    <xf numFmtId="0" fontId="232" fillId="0" borderId="18" xfId="105" applyFont="1" applyBorder="1" applyAlignment="1">
      <alignment wrapText="1"/>
    </xf>
    <xf numFmtId="0" fontId="231" fillId="0" borderId="18" xfId="105" applyFont="1" applyBorder="1" applyAlignment="1">
      <alignment horizontal="left" wrapText="1"/>
    </xf>
    <xf numFmtId="0" fontId="231" fillId="0" borderId="57" xfId="105" applyFont="1" applyBorder="1" applyAlignment="1">
      <alignment wrapText="1"/>
    </xf>
    <xf numFmtId="3" fontId="233" fillId="0" borderId="55" xfId="105" applyNumberFormat="1" applyFont="1" applyBorder="1"/>
    <xf numFmtId="0" fontId="231" fillId="0" borderId="94" xfId="105" applyFont="1" applyBorder="1" applyAlignment="1">
      <alignment horizontal="left" wrapText="1"/>
    </xf>
    <xf numFmtId="0" fontId="228" fillId="0" borderId="57" xfId="105" applyFont="1" applyBorder="1" applyAlignment="1">
      <alignment wrapText="1"/>
    </xf>
    <xf numFmtId="3" fontId="233" fillId="0" borderId="15" xfId="105" applyNumberFormat="1" applyFont="1" applyBorder="1"/>
    <xf numFmtId="0" fontId="232" fillId="0" borderId="94" xfId="105" applyFont="1" applyBorder="1" applyAlignment="1">
      <alignment wrapText="1"/>
    </xf>
    <xf numFmtId="0" fontId="231" fillId="0" borderId="145" xfId="105" applyFont="1" applyBorder="1" applyAlignment="1">
      <alignment wrapText="1"/>
    </xf>
    <xf numFmtId="3" fontId="230" fillId="0" borderId="146" xfId="105" applyNumberFormat="1" applyFont="1" applyBorder="1"/>
    <xf numFmtId="3" fontId="230" fillId="33" borderId="143" xfId="105" applyNumberFormat="1" applyFont="1" applyFill="1" applyBorder="1"/>
    <xf numFmtId="3" fontId="230" fillId="33" borderId="144" xfId="105" applyNumberFormat="1" applyFont="1" applyFill="1" applyBorder="1"/>
    <xf numFmtId="3" fontId="227" fillId="0" borderId="59" xfId="105" applyNumberFormat="1" applyFont="1" applyBorder="1"/>
    <xf numFmtId="3" fontId="231" fillId="0" borderId="18" xfId="105" applyNumberFormat="1" applyFont="1" applyBorder="1"/>
    <xf numFmtId="3" fontId="230" fillId="0" borderId="134" xfId="105" applyNumberFormat="1" applyFont="1" applyBorder="1"/>
    <xf numFmtId="3" fontId="230" fillId="29" borderId="97" xfId="105" applyNumberFormat="1" applyFont="1" applyFill="1" applyBorder="1"/>
    <xf numFmtId="0" fontId="231" fillId="29" borderId="26" xfId="105" applyFont="1" applyFill="1" applyBorder="1" applyAlignment="1">
      <alignment wrapText="1"/>
    </xf>
    <xf numFmtId="0" fontId="232" fillId="0" borderId="26" xfId="105" applyFont="1" applyBorder="1" applyAlignment="1">
      <alignment wrapText="1"/>
    </xf>
    <xf numFmtId="0" fontId="234" fillId="0" borderId="26" xfId="105" applyFont="1" applyBorder="1" applyAlignment="1">
      <alignment wrapText="1"/>
    </xf>
    <xf numFmtId="0" fontId="230" fillId="0" borderId="142" xfId="105" applyFont="1" applyBorder="1" applyAlignment="1">
      <alignment wrapText="1"/>
    </xf>
    <xf numFmtId="3" fontId="230" fillId="0" borderId="143" xfId="105" applyNumberFormat="1" applyFont="1" applyBorder="1"/>
    <xf numFmtId="3" fontId="230" fillId="0" borderId="144" xfId="105" applyNumberFormat="1" applyFont="1" applyBorder="1"/>
    <xf numFmtId="3" fontId="230" fillId="0" borderId="59" xfId="105" applyNumberFormat="1" applyFont="1" applyBorder="1"/>
    <xf numFmtId="0" fontId="230" fillId="0" borderId="145" xfId="105" applyFont="1" applyBorder="1" applyAlignment="1">
      <alignment wrapText="1"/>
    </xf>
    <xf numFmtId="0" fontId="230" fillId="0" borderId="147" xfId="105" applyFont="1" applyBorder="1" applyAlignment="1">
      <alignment wrapText="1"/>
    </xf>
    <xf numFmtId="3" fontId="230" fillId="0" borderId="148" xfId="105" applyNumberFormat="1" applyFont="1" applyBorder="1"/>
    <xf numFmtId="3" fontId="230" fillId="0" borderId="149" xfId="105" applyNumberFormat="1" applyFont="1" applyBorder="1"/>
    <xf numFmtId="0" fontId="231" fillId="0" borderId="26" xfId="105" applyFont="1" applyBorder="1" applyAlignment="1">
      <alignment horizontal="left" wrapText="1"/>
    </xf>
    <xf numFmtId="0" fontId="230" fillId="33" borderId="142" xfId="105" applyFont="1" applyFill="1" applyBorder="1" applyAlignment="1">
      <alignment wrapText="1"/>
    </xf>
    <xf numFmtId="0" fontId="230" fillId="33" borderId="150" xfId="105" applyFont="1" applyFill="1" applyBorder="1" applyAlignment="1">
      <alignment wrapText="1"/>
    </xf>
    <xf numFmtId="3" fontId="230" fillId="33" borderId="151" xfId="105" applyNumberFormat="1" applyFont="1" applyFill="1" applyBorder="1"/>
    <xf numFmtId="3" fontId="230" fillId="33" borderId="152" xfId="105" applyNumberFormat="1" applyFont="1" applyFill="1" applyBorder="1"/>
    <xf numFmtId="0" fontId="227" fillId="0" borderId="23" xfId="105" applyFont="1" applyBorder="1" applyAlignment="1">
      <alignment horizontal="center" wrapText="1"/>
    </xf>
    <xf numFmtId="0" fontId="227" fillId="0" borderId="45" xfId="105" applyFont="1" applyBorder="1" applyAlignment="1">
      <alignment horizontal="center" wrapText="1"/>
    </xf>
    <xf numFmtId="3" fontId="228" fillId="0" borderId="45" xfId="105" applyNumberFormat="1" applyFont="1" applyBorder="1" applyAlignment="1">
      <alignment horizontal="center"/>
    </xf>
    <xf numFmtId="3" fontId="228" fillId="0" borderId="27" xfId="105" applyNumberFormat="1" applyFont="1" applyBorder="1" applyAlignment="1">
      <alignment horizontal="center"/>
    </xf>
    <xf numFmtId="0" fontId="234" fillId="29" borderId="94" xfId="104" applyFont="1" applyFill="1" applyBorder="1" applyAlignment="1">
      <alignment horizontal="left"/>
    </xf>
    <xf numFmtId="3" fontId="227" fillId="29" borderId="97" xfId="105" applyNumberFormat="1" applyFont="1" applyFill="1" applyBorder="1"/>
    <xf numFmtId="3" fontId="227" fillId="29" borderId="134" xfId="105" applyNumberFormat="1" applyFont="1" applyFill="1" applyBorder="1"/>
    <xf numFmtId="0" fontId="235" fillId="28" borderId="94" xfId="104" applyFont="1" applyFill="1" applyBorder="1" applyAlignment="1">
      <alignment wrapText="1"/>
    </xf>
    <xf numFmtId="3" fontId="235" fillId="28" borderId="32" xfId="105" applyNumberFormat="1" applyFont="1" applyFill="1" applyBorder="1"/>
    <xf numFmtId="3" fontId="227" fillId="29" borderId="15" xfId="105" applyNumberFormat="1" applyFont="1" applyFill="1" applyBorder="1"/>
    <xf numFmtId="3" fontId="227" fillId="29" borderId="32" xfId="105" applyNumberFormat="1" applyFont="1" applyFill="1" applyBorder="1"/>
    <xf numFmtId="0" fontId="234" fillId="29" borderId="18" xfId="104" applyFont="1" applyFill="1" applyBorder="1" applyAlignment="1">
      <alignment horizontal="left"/>
    </xf>
    <xf numFmtId="0" fontId="234" fillId="0" borderId="26" xfId="104" applyFont="1" applyBorder="1" applyAlignment="1">
      <alignment wrapText="1"/>
    </xf>
    <xf numFmtId="3" fontId="235" fillId="28" borderId="58" xfId="105" applyNumberFormat="1" applyFont="1" applyFill="1" applyBorder="1"/>
    <xf numFmtId="0" fontId="235" fillId="28" borderId="26" xfId="104" applyFont="1" applyFill="1" applyBorder="1" applyAlignment="1">
      <alignment wrapText="1"/>
    </xf>
    <xf numFmtId="3" fontId="235" fillId="28" borderId="15" xfId="105" applyNumberFormat="1" applyFont="1" applyFill="1" applyBorder="1"/>
    <xf numFmtId="3" fontId="235" fillId="28" borderId="59" xfId="105" applyNumberFormat="1" applyFont="1" applyFill="1" applyBorder="1"/>
    <xf numFmtId="0" fontId="227" fillId="33" borderId="26" xfId="105" applyFont="1" applyFill="1" applyBorder="1" applyAlignment="1">
      <alignment wrapText="1"/>
    </xf>
    <xf numFmtId="3" fontId="227" fillId="33" borderId="32" xfId="105" applyNumberFormat="1" applyFont="1" applyFill="1" applyBorder="1"/>
    <xf numFmtId="3" fontId="227" fillId="33" borderId="58" xfId="105" applyNumberFormat="1" applyFont="1" applyFill="1" applyBorder="1"/>
    <xf numFmtId="3" fontId="227" fillId="33" borderId="19" xfId="105" applyNumberFormat="1" applyFont="1" applyFill="1" applyBorder="1" applyAlignment="1">
      <alignment wrapText="1"/>
    </xf>
    <xf numFmtId="3" fontId="227" fillId="33" borderId="61" xfId="105" applyNumberFormat="1" applyFont="1" applyFill="1" applyBorder="1"/>
    <xf numFmtId="3" fontId="227" fillId="33" borderId="28" xfId="105" applyNumberFormat="1" applyFont="1" applyFill="1" applyBorder="1"/>
    <xf numFmtId="0" fontId="234" fillId="29" borderId="26" xfId="104" applyFont="1" applyFill="1" applyBorder="1" applyAlignment="1">
      <alignment wrapText="1"/>
    </xf>
    <xf numFmtId="0" fontId="234" fillId="29" borderId="18" xfId="104" applyFont="1" applyFill="1" applyBorder="1" applyAlignment="1">
      <alignment wrapText="1"/>
    </xf>
    <xf numFmtId="3" fontId="230" fillId="0" borderId="0" xfId="105" applyNumberFormat="1" applyFont="1" applyAlignment="1">
      <alignment horizontal="right"/>
    </xf>
    <xf numFmtId="4" fontId="113" fillId="27" borderId="0" xfId="94" applyNumberFormat="1" applyFont="1" applyFill="1"/>
    <xf numFmtId="4" fontId="118" fillId="27" borderId="0" xfId="94" applyNumberFormat="1" applyFont="1" applyFill="1"/>
    <xf numFmtId="4" fontId="12" fillId="27" borderId="0" xfId="94" applyNumberFormat="1" applyFont="1" applyFill="1"/>
    <xf numFmtId="3" fontId="113" fillId="27" borderId="0" xfId="94" applyNumberFormat="1" applyFont="1" applyFill="1"/>
    <xf numFmtId="0" fontId="215" fillId="0" borderId="0" xfId="100" applyFont="1" applyAlignment="1">
      <alignment horizontal="center" wrapText="1"/>
    </xf>
    <xf numFmtId="0" fontId="215" fillId="0" borderId="0" xfId="100" applyFont="1" applyAlignment="1">
      <alignment horizontal="center"/>
    </xf>
    <xf numFmtId="0" fontId="148" fillId="0" borderId="80" xfId="100" applyFont="1" applyBorder="1" applyAlignment="1">
      <alignment horizontal="center" vertical="center" wrapText="1"/>
    </xf>
    <xf numFmtId="0" fontId="148" fillId="0" borderId="70" xfId="100" applyFont="1" applyBorder="1" applyAlignment="1">
      <alignment horizontal="center" vertical="center" wrapText="1"/>
    </xf>
    <xf numFmtId="0" fontId="148" fillId="0" borderId="110" xfId="100" applyFont="1" applyBorder="1" applyAlignment="1">
      <alignment horizontal="center" vertical="center"/>
    </xf>
    <xf numFmtId="0" fontId="148" fillId="0" borderId="121" xfId="100" applyFont="1" applyBorder="1" applyAlignment="1">
      <alignment horizontal="center" vertical="center"/>
    </xf>
    <xf numFmtId="0" fontId="148" fillId="0" borderId="129" xfId="100" applyFont="1" applyBorder="1" applyAlignment="1">
      <alignment horizontal="center" vertical="center"/>
    </xf>
    <xf numFmtId="0" fontId="162" fillId="0" borderId="0" xfId="0" applyFont="1" applyAlignment="1">
      <alignment horizontal="center"/>
    </xf>
    <xf numFmtId="0" fontId="67" fillId="0" borderId="0" xfId="88" applyFont="1" applyAlignment="1">
      <alignment horizontal="left" vertical="top" wrapText="1"/>
    </xf>
    <xf numFmtId="0" fontId="66" fillId="0" borderId="0" xfId="88" applyFont="1" applyAlignment="1">
      <alignment horizontal="left" vertical="top" wrapText="1"/>
    </xf>
    <xf numFmtId="3" fontId="162" fillId="0" borderId="0" xfId="0" applyNumberFormat="1" applyFont="1" applyAlignment="1">
      <alignment horizontal="center"/>
    </xf>
    <xf numFmtId="0" fontId="77" fillId="27" borderId="45" xfId="0" applyFont="1" applyFill="1" applyBorder="1" applyAlignment="1">
      <alignment horizontal="center"/>
    </xf>
    <xf numFmtId="3" fontId="77" fillId="0" borderId="17" xfId="0" applyNumberFormat="1" applyFont="1" applyBorder="1" applyAlignment="1">
      <alignment horizontal="left"/>
    </xf>
    <xf numFmtId="3" fontId="77" fillId="0" borderId="22" xfId="0" applyNumberFormat="1" applyFont="1" applyBorder="1" applyAlignment="1">
      <alignment horizontal="left"/>
    </xf>
    <xf numFmtId="3" fontId="77" fillId="0" borderId="115" xfId="0" applyNumberFormat="1" applyFont="1" applyBorder="1" applyAlignment="1">
      <alignment horizontal="left"/>
    </xf>
    <xf numFmtId="3" fontId="77" fillId="0" borderId="20" xfId="0" applyNumberFormat="1" applyFont="1" applyBorder="1" applyAlignment="1">
      <alignment horizontal="left"/>
    </xf>
    <xf numFmtId="3" fontId="77" fillId="0" borderId="113" xfId="0" applyNumberFormat="1" applyFont="1" applyBorder="1" applyAlignment="1">
      <alignment horizontal="left"/>
    </xf>
    <xf numFmtId="3" fontId="77" fillId="0" borderId="89" xfId="0" applyNumberFormat="1" applyFont="1" applyBorder="1" applyAlignment="1">
      <alignment horizontal="left"/>
    </xf>
    <xf numFmtId="3" fontId="79" fillId="0" borderId="20" xfId="0" applyNumberFormat="1" applyFont="1" applyBorder="1" applyAlignment="1">
      <alignment horizontal="left"/>
    </xf>
    <xf numFmtId="3" fontId="79" fillId="0" borderId="113" xfId="0" applyNumberFormat="1" applyFont="1" applyBorder="1" applyAlignment="1">
      <alignment horizontal="left"/>
    </xf>
    <xf numFmtId="0" fontId="79" fillId="0" borderId="20" xfId="0" applyFont="1" applyBorder="1" applyAlignment="1">
      <alignment horizontal="left"/>
    </xf>
    <xf numFmtId="0" fontId="79" fillId="0" borderId="89" xfId="0" applyFont="1" applyBorder="1" applyAlignment="1">
      <alignment horizontal="left"/>
    </xf>
    <xf numFmtId="0" fontId="79" fillId="0" borderId="113" xfId="0" applyFont="1" applyBorder="1" applyAlignment="1">
      <alignment horizontal="left"/>
    </xf>
    <xf numFmtId="0" fontId="76" fillId="0" borderId="40" xfId="77" applyFont="1" applyBorder="1" applyAlignment="1">
      <alignment horizontal="justify"/>
    </xf>
    <xf numFmtId="0" fontId="86" fillId="0" borderId="39" xfId="0" applyFont="1" applyBorder="1"/>
    <xf numFmtId="0" fontId="76" fillId="0" borderId="93" xfId="77" applyFont="1" applyBorder="1" applyAlignment="1">
      <alignment horizontal="justify"/>
    </xf>
    <xf numFmtId="0" fontId="86" fillId="0" borderId="52" xfId="0" applyFont="1" applyBorder="1"/>
    <xf numFmtId="0" fontId="76" fillId="0" borderId="40" xfId="77" applyFont="1" applyBorder="1" applyAlignment="1">
      <alignment horizontal="justify" wrapText="1"/>
    </xf>
    <xf numFmtId="0" fontId="216" fillId="0" borderId="22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216" fillId="0" borderId="100" xfId="0" applyFont="1" applyBorder="1" applyAlignment="1">
      <alignment wrapText="1"/>
    </xf>
    <xf numFmtId="0" fontId="204" fillId="0" borderId="37" xfId="0" applyFont="1" applyBorder="1" applyAlignment="1">
      <alignment horizontal="left" wrapText="1"/>
    </xf>
    <xf numFmtId="0" fontId="204" fillId="0" borderId="66" xfId="0" applyFont="1" applyBorder="1" applyAlignment="1">
      <alignment horizontal="left" wrapText="1"/>
    </xf>
    <xf numFmtId="0" fontId="204" fillId="0" borderId="91" xfId="0" applyFont="1" applyBorder="1" applyAlignment="1">
      <alignment horizontal="left" wrapText="1"/>
    </xf>
    <xf numFmtId="3" fontId="204" fillId="0" borderId="91" xfId="0" applyNumberFormat="1" applyFont="1" applyBorder="1" applyAlignment="1">
      <alignment horizontal="left" wrapText="1"/>
    </xf>
    <xf numFmtId="0" fontId="204" fillId="29" borderId="66" xfId="0" applyFont="1" applyFill="1" applyBorder="1" applyAlignment="1">
      <alignment horizontal="left" wrapText="1"/>
    </xf>
    <xf numFmtId="0" fontId="204" fillId="0" borderId="37" xfId="0" applyFont="1" applyBorder="1" applyAlignment="1">
      <alignment wrapText="1"/>
    </xf>
    <xf numFmtId="0" fontId="204" fillId="0" borderId="37" xfId="0" applyFont="1" applyBorder="1"/>
    <xf numFmtId="0" fontId="204" fillId="0" borderId="37" xfId="77" applyFont="1" applyBorder="1" applyAlignment="1">
      <alignment horizontal="left"/>
    </xf>
    <xf numFmtId="0" fontId="205" fillId="0" borderId="0" xfId="77" applyFont="1" applyAlignment="1">
      <alignment horizontal="left" wrapText="1"/>
    </xf>
    <xf numFmtId="0" fontId="204" fillId="0" borderId="37" xfId="77" applyFont="1" applyBorder="1" applyAlignment="1">
      <alignment horizontal="left" wrapText="1"/>
    </xf>
    <xf numFmtId="0" fontId="204" fillId="0" borderId="50" xfId="77" applyFont="1" applyBorder="1" applyAlignment="1">
      <alignment horizontal="left"/>
    </xf>
    <xf numFmtId="0" fontId="219" fillId="0" borderId="50" xfId="0" applyFont="1" applyBorder="1"/>
    <xf numFmtId="0" fontId="219" fillId="0" borderId="37" xfId="0" applyFont="1" applyBorder="1"/>
    <xf numFmtId="3" fontId="197" fillId="0" borderId="23" xfId="76" applyNumberFormat="1" applyFont="1" applyBorder="1" applyAlignment="1">
      <alignment horizontal="center" vertical="center"/>
    </xf>
    <xf numFmtId="3" fontId="197" fillId="0" borderId="46" xfId="76" applyNumberFormat="1" applyFont="1" applyBorder="1" applyAlignment="1">
      <alignment horizontal="center" vertical="center"/>
    </xf>
    <xf numFmtId="3" fontId="197" fillId="0" borderId="53" xfId="76" applyNumberFormat="1" applyFont="1" applyBorder="1" applyAlignment="1">
      <alignment horizontal="center" vertical="center"/>
    </xf>
    <xf numFmtId="3" fontId="197" fillId="0" borderId="19" xfId="76" applyNumberFormat="1" applyFont="1" applyBorder="1" applyAlignment="1">
      <alignment horizontal="center" vertical="center"/>
    </xf>
    <xf numFmtId="3" fontId="197" fillId="0" borderId="16" xfId="76" applyNumberFormat="1" applyFont="1" applyBorder="1" applyAlignment="1">
      <alignment horizontal="center" vertical="center"/>
    </xf>
    <xf numFmtId="3" fontId="197" fillId="0" borderId="81" xfId="76" applyNumberFormat="1" applyFont="1" applyBorder="1" applyAlignment="1">
      <alignment horizontal="center" vertical="center"/>
    </xf>
    <xf numFmtId="3" fontId="197" fillId="0" borderId="23" xfId="76" applyNumberFormat="1" applyFont="1" applyBorder="1" applyAlignment="1">
      <alignment horizontal="center" vertical="center" wrapText="1"/>
    </xf>
    <xf numFmtId="3" fontId="197" fillId="0" borderId="46" xfId="76" applyNumberFormat="1" applyFont="1" applyBorder="1" applyAlignment="1">
      <alignment horizontal="center" vertical="center" wrapText="1"/>
    </xf>
    <xf numFmtId="3" fontId="197" fillId="0" borderId="53" xfId="76" applyNumberFormat="1" applyFont="1" applyBorder="1" applyAlignment="1">
      <alignment horizontal="center" vertical="center" wrapText="1"/>
    </xf>
    <xf numFmtId="3" fontId="197" fillId="0" borderId="19" xfId="76" applyNumberFormat="1" applyFont="1" applyBorder="1" applyAlignment="1">
      <alignment horizontal="center" vertical="center" wrapText="1"/>
    </xf>
    <xf numFmtId="3" fontId="197" fillId="0" borderId="16" xfId="76" applyNumberFormat="1" applyFont="1" applyBorder="1" applyAlignment="1">
      <alignment horizontal="center" vertical="center" wrapText="1"/>
    </xf>
    <xf numFmtId="3" fontId="197" fillId="0" borderId="81" xfId="76" applyNumberFormat="1" applyFont="1" applyBorder="1" applyAlignment="1">
      <alignment horizontal="center" vertical="center" wrapText="1"/>
    </xf>
    <xf numFmtId="0" fontId="154" fillId="29" borderId="0" xfId="76" applyFont="1" applyFill="1" applyAlignment="1">
      <alignment horizontal="center"/>
    </xf>
    <xf numFmtId="3" fontId="154" fillId="0" borderId="0" xfId="76" applyNumberFormat="1" applyFont="1" applyAlignment="1">
      <alignment horizontal="center"/>
    </xf>
    <xf numFmtId="3" fontId="151" fillId="0" borderId="0" xfId="76" applyNumberFormat="1" applyFont="1" applyAlignment="1">
      <alignment horizontal="center"/>
    </xf>
    <xf numFmtId="0" fontId="154" fillId="0" borderId="0" xfId="76" applyFont="1" applyAlignment="1">
      <alignment horizontal="center"/>
    </xf>
    <xf numFmtId="0" fontId="236" fillId="0" borderId="0" xfId="104" applyFont="1" applyAlignment="1">
      <alignment horizontal="center"/>
    </xf>
    <xf numFmtId="0" fontId="237" fillId="0" borderId="0" xfId="105" applyFont="1" applyAlignment="1">
      <alignment horizontal="center" wrapText="1"/>
    </xf>
    <xf numFmtId="3" fontId="151" fillId="0" borderId="23" xfId="76" applyNumberFormat="1" applyFont="1" applyBorder="1" applyAlignment="1">
      <alignment horizontal="center" vertical="center"/>
    </xf>
    <xf numFmtId="3" fontId="151" fillId="0" borderId="46" xfId="76" applyNumberFormat="1" applyFont="1" applyBorder="1" applyAlignment="1">
      <alignment horizontal="center" vertical="center"/>
    </xf>
    <xf numFmtId="3" fontId="151" fillId="0" borderId="53" xfId="76" applyNumberFormat="1" applyFont="1" applyBorder="1" applyAlignment="1">
      <alignment horizontal="center" vertical="center"/>
    </xf>
    <xf numFmtId="3" fontId="151" fillId="0" borderId="18" xfId="76" applyNumberFormat="1" applyFont="1" applyBorder="1" applyAlignment="1">
      <alignment horizontal="center" vertical="center"/>
    </xf>
    <xf numFmtId="3" fontId="151" fillId="0" borderId="0" xfId="76" applyNumberFormat="1" applyFont="1" applyAlignment="1">
      <alignment horizontal="center" vertical="center"/>
    </xf>
    <xf numFmtId="3" fontId="151" fillId="0" borderId="83" xfId="76" applyNumberFormat="1" applyFont="1" applyBorder="1" applyAlignment="1">
      <alignment horizontal="center" vertical="center"/>
    </xf>
    <xf numFmtId="3" fontId="151" fillId="0" borderId="19" xfId="76" applyNumberFormat="1" applyFont="1" applyBorder="1" applyAlignment="1">
      <alignment horizontal="center" vertical="center"/>
    </xf>
    <xf numFmtId="3" fontId="151" fillId="0" borderId="16" xfId="76" applyNumberFormat="1" applyFont="1" applyBorder="1" applyAlignment="1">
      <alignment horizontal="center" vertical="center"/>
    </xf>
    <xf numFmtId="3" fontId="151" fillId="0" borderId="81" xfId="76" applyNumberFormat="1" applyFont="1" applyBorder="1" applyAlignment="1">
      <alignment horizontal="center" vertical="center"/>
    </xf>
    <xf numFmtId="3" fontId="151" fillId="0" borderId="23" xfId="76" applyNumberFormat="1" applyFont="1" applyBorder="1" applyAlignment="1">
      <alignment horizontal="center" vertical="center" wrapText="1"/>
    </xf>
    <xf numFmtId="3" fontId="151" fillId="0" borderId="46" xfId="76" applyNumberFormat="1" applyFont="1" applyBorder="1" applyAlignment="1">
      <alignment horizontal="center" vertical="center" wrapText="1"/>
    </xf>
    <xf numFmtId="3" fontId="151" fillId="0" borderId="53" xfId="76" applyNumberFormat="1" applyFont="1" applyBorder="1" applyAlignment="1">
      <alignment horizontal="center" vertical="center" wrapText="1"/>
    </xf>
    <xf numFmtId="3" fontId="151" fillId="0" borderId="18" xfId="76" applyNumberFormat="1" applyFont="1" applyBorder="1" applyAlignment="1">
      <alignment horizontal="center" vertical="center" wrapText="1"/>
    </xf>
    <xf numFmtId="3" fontId="151" fillId="0" borderId="0" xfId="76" applyNumberFormat="1" applyFont="1" applyAlignment="1">
      <alignment horizontal="center" vertical="center" wrapText="1"/>
    </xf>
    <xf numFmtId="3" fontId="151" fillId="0" borderId="83" xfId="76" applyNumberFormat="1" applyFont="1" applyBorder="1" applyAlignment="1">
      <alignment horizontal="center" vertical="center" wrapText="1"/>
    </xf>
    <xf numFmtId="3" fontId="151" fillId="0" borderId="19" xfId="76" applyNumberFormat="1" applyFont="1" applyBorder="1" applyAlignment="1">
      <alignment horizontal="center" vertical="center" wrapText="1"/>
    </xf>
    <xf numFmtId="3" fontId="151" fillId="0" borderId="16" xfId="76" applyNumberFormat="1" applyFont="1" applyBorder="1" applyAlignment="1">
      <alignment horizontal="center" vertical="center" wrapText="1"/>
    </xf>
    <xf numFmtId="3" fontId="151" fillId="0" borderId="81" xfId="76" applyNumberFormat="1" applyFont="1" applyBorder="1" applyAlignment="1">
      <alignment horizontal="center" vertical="center" wrapText="1"/>
    </xf>
    <xf numFmtId="0" fontId="152" fillId="0" borderId="0" xfId="101" applyFont="1" applyAlignment="1">
      <alignment horizontal="center"/>
    </xf>
    <xf numFmtId="3" fontId="152" fillId="0" borderId="80" xfId="103" applyNumberFormat="1" applyFont="1" applyBorder="1" applyAlignment="1">
      <alignment horizontal="center" vertical="center"/>
    </xf>
    <xf numFmtId="3" fontId="152" fillId="0" borderId="69" xfId="103" applyNumberFormat="1" applyFont="1" applyBorder="1" applyAlignment="1">
      <alignment horizontal="center" vertical="center"/>
    </xf>
    <xf numFmtId="3" fontId="152" fillId="0" borderId="70" xfId="103" applyNumberFormat="1" applyFont="1" applyBorder="1" applyAlignment="1">
      <alignment horizontal="center" vertical="center"/>
    </xf>
    <xf numFmtId="4" fontId="176" fillId="0" borderId="80" xfId="101" applyNumberFormat="1" applyFont="1" applyBorder="1" applyAlignment="1">
      <alignment horizontal="center" vertical="center" wrapText="1"/>
    </xf>
    <xf numFmtId="4" fontId="176" fillId="0" borderId="69" xfId="101" applyNumberFormat="1" applyFont="1" applyBorder="1" applyAlignment="1">
      <alignment horizontal="center" vertical="center" wrapText="1"/>
    </xf>
    <xf numFmtId="4" fontId="176" fillId="0" borderId="70" xfId="101" applyNumberFormat="1" applyFont="1" applyBorder="1" applyAlignment="1">
      <alignment horizontal="center" vertical="center" wrapText="1"/>
    </xf>
    <xf numFmtId="4" fontId="176" fillId="0" borderId="20" xfId="101" applyNumberFormat="1" applyFont="1" applyBorder="1" applyAlignment="1">
      <alignment horizontal="center"/>
    </xf>
    <xf numFmtId="4" fontId="176" fillId="0" borderId="89" xfId="101" applyNumberFormat="1" applyFont="1" applyBorder="1" applyAlignment="1">
      <alignment horizontal="center"/>
    </xf>
    <xf numFmtId="4" fontId="176" fillId="0" borderId="78" xfId="101" applyNumberFormat="1" applyFont="1" applyBorder="1" applyAlignment="1">
      <alignment horizontal="center"/>
    </xf>
    <xf numFmtId="4" fontId="176" fillId="0" borderId="20" xfId="101" applyNumberFormat="1" applyFont="1" applyBorder="1" applyAlignment="1">
      <alignment horizontal="center" wrapText="1"/>
    </xf>
    <xf numFmtId="4" fontId="176" fillId="0" borderId="78" xfId="101" applyNumberFormat="1" applyFont="1" applyBorder="1" applyAlignment="1">
      <alignment horizontal="center" wrapText="1"/>
    </xf>
    <xf numFmtId="0" fontId="70" fillId="0" borderId="0" xfId="0" applyFont="1" applyAlignment="1">
      <alignment horizontal="center"/>
    </xf>
    <xf numFmtId="0" fontId="203" fillId="0" borderId="0" xfId="0" applyFont="1" applyAlignment="1">
      <alignment horizontal="center"/>
    </xf>
    <xf numFmtId="3" fontId="7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7" fillId="0" borderId="20" xfId="0" applyFont="1" applyBorder="1" applyAlignment="1">
      <alignment horizontal="left" wrapText="1"/>
    </xf>
    <xf numFmtId="0" fontId="77" fillId="0" borderId="89" xfId="0" applyFont="1" applyBorder="1" applyAlignment="1">
      <alignment horizontal="left" wrapText="1"/>
    </xf>
    <xf numFmtId="0" fontId="77" fillId="0" borderId="113" xfId="0" applyFont="1" applyBorder="1" applyAlignment="1">
      <alignment horizontal="left" wrapText="1"/>
    </xf>
    <xf numFmtId="0" fontId="77" fillId="0" borderId="23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6" fillId="0" borderId="40" xfId="0" applyFont="1" applyBorder="1" applyAlignment="1">
      <alignment horizontal="left" wrapText="1"/>
    </xf>
    <xf numFmtId="0" fontId="76" fillId="0" borderId="37" xfId="0" applyFont="1" applyBorder="1" applyAlignment="1">
      <alignment horizontal="left" wrapText="1"/>
    </xf>
    <xf numFmtId="0" fontId="76" fillId="0" borderId="39" xfId="0" applyFont="1" applyBorder="1" applyAlignment="1">
      <alignment horizontal="left" wrapText="1"/>
    </xf>
    <xf numFmtId="0" fontId="203" fillId="0" borderId="0" xfId="77" applyFont="1" applyAlignment="1">
      <alignment horizontal="center"/>
    </xf>
    <xf numFmtId="0" fontId="77" fillId="0" borderId="26" xfId="77" applyFont="1" applyBorder="1" applyAlignment="1">
      <alignment horizontal="left"/>
    </xf>
    <xf numFmtId="0" fontId="77" fillId="0" borderId="24" xfId="77" applyFont="1" applyBorder="1" applyAlignment="1">
      <alignment horizontal="left"/>
    </xf>
    <xf numFmtId="0" fontId="6" fillId="0" borderId="0" xfId="77" applyFont="1" applyAlignment="1">
      <alignment horizontal="center"/>
    </xf>
    <xf numFmtId="0" fontId="6" fillId="27" borderId="0" xfId="0" applyFont="1" applyFill="1" applyAlignment="1">
      <alignment horizontal="center"/>
    </xf>
    <xf numFmtId="0" fontId="77" fillId="0" borderId="17" xfId="77" applyFont="1" applyBorder="1" applyAlignment="1">
      <alignment horizontal="left"/>
    </xf>
    <xf numFmtId="0" fontId="77" fillId="0" borderId="22" xfId="77" applyFont="1" applyBorder="1" applyAlignment="1">
      <alignment horizontal="left"/>
    </xf>
    <xf numFmtId="0" fontId="70" fillId="0" borderId="0" xfId="77" applyFont="1" applyAlignment="1">
      <alignment horizontal="center"/>
    </xf>
    <xf numFmtId="0" fontId="77" fillId="0" borderId="23" xfId="77" applyFont="1" applyBorder="1" applyAlignment="1">
      <alignment horizontal="center"/>
    </xf>
    <xf numFmtId="0" fontId="77" fillId="0" borderId="46" xfId="77" applyFont="1" applyBorder="1" applyAlignment="1">
      <alignment horizontal="center"/>
    </xf>
    <xf numFmtId="0" fontId="162" fillId="0" borderId="0" xfId="77" applyFont="1" applyAlignment="1">
      <alignment horizontal="center"/>
    </xf>
    <xf numFmtId="0" fontId="209" fillId="0" borderId="0" xfId="0" applyFont="1" applyAlignment="1">
      <alignment horizontal="center"/>
    </xf>
    <xf numFmtId="0" fontId="77" fillId="0" borderId="0" xfId="78" applyFont="1" applyAlignment="1">
      <alignment horizontal="center"/>
    </xf>
    <xf numFmtId="0" fontId="209" fillId="0" borderId="0" xfId="91" applyFont="1" applyAlignment="1">
      <alignment horizontal="center"/>
    </xf>
    <xf numFmtId="0" fontId="121" fillId="0" borderId="20" xfId="92" applyFont="1" applyBorder="1" applyAlignment="1">
      <alignment wrapText="1"/>
    </xf>
    <xf numFmtId="0" fontId="105" fillId="0" borderId="78" xfId="0" applyFont="1" applyBorder="1" applyAlignment="1">
      <alignment wrapText="1"/>
    </xf>
    <xf numFmtId="0" fontId="93" fillId="0" borderId="0" xfId="0" applyFont="1" applyAlignment="1">
      <alignment horizontal="center"/>
    </xf>
    <xf numFmtId="0" fontId="93" fillId="0" borderId="0" xfId="92" applyFont="1" applyAlignment="1">
      <alignment horizontal="center"/>
    </xf>
    <xf numFmtId="0" fontId="94" fillId="0" borderId="0" xfId="0" applyFont="1"/>
    <xf numFmtId="0" fontId="114" fillId="0" borderId="23" xfId="92" applyFont="1" applyBorder="1" applyAlignment="1">
      <alignment horizontal="center"/>
    </xf>
    <xf numFmtId="0" fontId="105" fillId="0" borderId="53" xfId="0" applyFont="1" applyBorder="1" applyAlignment="1">
      <alignment horizontal="center"/>
    </xf>
    <xf numFmtId="0" fontId="114" fillId="0" borderId="17" xfId="92" applyFont="1" applyBorder="1" applyAlignment="1">
      <alignment wrapText="1"/>
    </xf>
    <xf numFmtId="0" fontId="105" fillId="0" borderId="77" xfId="0" applyFont="1" applyBorder="1"/>
    <xf numFmtId="0" fontId="105" fillId="0" borderId="18" xfId="92" applyFont="1" applyBorder="1" applyAlignment="1">
      <alignment wrapText="1"/>
    </xf>
    <xf numFmtId="0" fontId="105" fillId="0" borderId="83" xfId="0" applyFont="1" applyBorder="1" applyAlignment="1">
      <alignment wrapText="1"/>
    </xf>
    <xf numFmtId="0" fontId="121" fillId="0" borderId="18" xfId="92" applyFont="1" applyBorder="1" applyAlignment="1">
      <alignment wrapText="1"/>
    </xf>
    <xf numFmtId="0" fontId="114" fillId="0" borderId="26" xfId="92" applyFont="1" applyBorder="1" applyAlignment="1">
      <alignment wrapText="1"/>
    </xf>
    <xf numFmtId="0" fontId="105" fillId="0" borderId="84" xfId="0" applyFont="1" applyBorder="1"/>
    <xf numFmtId="0" fontId="105" fillId="0" borderId="84" xfId="0" applyFont="1" applyBorder="1" applyAlignment="1">
      <alignment wrapText="1"/>
    </xf>
    <xf numFmtId="0" fontId="79" fillId="0" borderId="16" xfId="93" applyFont="1" applyBorder="1" applyAlignment="1">
      <alignment horizontal="center"/>
    </xf>
    <xf numFmtId="0" fontId="162" fillId="0" borderId="0" xfId="93" applyFont="1" applyAlignment="1">
      <alignment horizontal="center"/>
    </xf>
    <xf numFmtId="0" fontId="76" fillId="0" borderId="0" xfId="93" applyFont="1" applyAlignment="1">
      <alignment horizontal="center"/>
    </xf>
    <xf numFmtId="0" fontId="79" fillId="0" borderId="0" xfId="93" applyFont="1" applyAlignment="1">
      <alignment horizontal="center"/>
    </xf>
    <xf numFmtId="0" fontId="94" fillId="0" borderId="24" xfId="94" applyFont="1" applyBorder="1" applyAlignment="1">
      <alignment wrapText="1"/>
    </xf>
    <xf numFmtId="0" fontId="94" fillId="0" borderId="24" xfId="0" applyFont="1" applyBorder="1"/>
    <xf numFmtId="0" fontId="94" fillId="0" borderId="123" xfId="0" applyFont="1" applyBorder="1"/>
    <xf numFmtId="0" fontId="209" fillId="0" borderId="0" xfId="94" applyFont="1" applyAlignment="1">
      <alignment horizontal="center"/>
    </xf>
    <xf numFmtId="0" fontId="93" fillId="0" borderId="18" xfId="94" applyFont="1" applyBorder="1" applyAlignment="1">
      <alignment horizontal="center"/>
    </xf>
    <xf numFmtId="0" fontId="93" fillId="0" borderId="0" xfId="94" applyFont="1" applyAlignment="1">
      <alignment horizontal="center"/>
    </xf>
    <xf numFmtId="0" fontId="93" fillId="0" borderId="127" xfId="0" applyFont="1" applyBorder="1" applyAlignment="1">
      <alignment horizontal="center"/>
    </xf>
    <xf numFmtId="0" fontId="93" fillId="0" borderId="96" xfId="0" applyFont="1" applyBorder="1" applyAlignment="1">
      <alignment horizontal="center"/>
    </xf>
    <xf numFmtId="0" fontId="205" fillId="0" borderId="0" xfId="95" applyFont="1" applyAlignment="1">
      <alignment horizontal="center"/>
    </xf>
    <xf numFmtId="0" fontId="135" fillId="0" borderId="0" xfId="95" applyFont="1" applyAlignment="1">
      <alignment horizontal="left"/>
    </xf>
    <xf numFmtId="0" fontId="71" fillId="0" borderId="23" xfId="95" applyFont="1" applyBorder="1" applyAlignment="1">
      <alignment horizontal="center" vertical="center"/>
    </xf>
    <xf numFmtId="0" fontId="71" fillId="0" borderId="63" xfId="95" applyFont="1" applyBorder="1" applyAlignment="1">
      <alignment horizontal="center" vertical="center"/>
    </xf>
    <xf numFmtId="0" fontId="71" fillId="0" borderId="18" xfId="95" applyFont="1" applyBorder="1" applyAlignment="1">
      <alignment horizontal="center" vertical="center"/>
    </xf>
    <xf numFmtId="0" fontId="71" fillId="0" borderId="31" xfId="95" applyFont="1" applyBorder="1" applyAlignment="1">
      <alignment horizontal="center" vertical="center"/>
    </xf>
    <xf numFmtId="0" fontId="71" fillId="0" borderId="19" xfId="95" applyFont="1" applyBorder="1" applyAlignment="1">
      <alignment horizontal="center" vertical="center"/>
    </xf>
    <xf numFmtId="0" fontId="71" fillId="0" borderId="95" xfId="95" applyFont="1" applyBorder="1" applyAlignment="1">
      <alignment horizontal="center" vertical="center"/>
    </xf>
    <xf numFmtId="0" fontId="71" fillId="0" borderId="47" xfId="95" applyFont="1" applyBorder="1" applyAlignment="1">
      <alignment horizontal="center" vertical="center"/>
    </xf>
    <xf numFmtId="0" fontId="71" fillId="0" borderId="29" xfId="95" applyFont="1" applyBorder="1" applyAlignment="1">
      <alignment horizontal="center" vertical="center"/>
    </xf>
    <xf numFmtId="0" fontId="71" fillId="0" borderId="33" xfId="95" applyFont="1" applyBorder="1" applyAlignment="1">
      <alignment horizontal="center" vertical="center"/>
    </xf>
    <xf numFmtId="0" fontId="71" fillId="0" borderId="132" xfId="95" applyFont="1" applyBorder="1" applyAlignment="1">
      <alignment horizontal="center"/>
    </xf>
    <xf numFmtId="0" fontId="71" fillId="0" borderId="121" xfId="95" applyFont="1" applyBorder="1" applyAlignment="1">
      <alignment horizontal="center"/>
    </xf>
    <xf numFmtId="0" fontId="71" fillId="0" borderId="129" xfId="95" applyFont="1" applyBorder="1" applyAlignment="1">
      <alignment horizontal="center"/>
    </xf>
    <xf numFmtId="0" fontId="71" fillId="0" borderId="49" xfId="95" applyFont="1" applyBorder="1" applyAlignment="1">
      <alignment horizontal="center"/>
    </xf>
    <xf numFmtId="0" fontId="71" fillId="0" borderId="24" xfId="95" applyFont="1" applyBorder="1" applyAlignment="1">
      <alignment horizontal="center"/>
    </xf>
    <xf numFmtId="0" fontId="71" fillId="0" borderId="123" xfId="95" applyFont="1" applyBorder="1" applyAlignment="1">
      <alignment horizontal="center"/>
    </xf>
    <xf numFmtId="0" fontId="71" fillId="0" borderId="84" xfId="95" applyFont="1" applyBorder="1" applyAlignment="1">
      <alignment horizontal="center"/>
    </xf>
    <xf numFmtId="0" fontId="71" fillId="0" borderId="55" xfId="95" applyFont="1" applyBorder="1" applyAlignment="1">
      <alignment horizontal="center" vertical="center"/>
    </xf>
    <xf numFmtId="0" fontId="71" fillId="0" borderId="97" xfId="95" applyFont="1" applyBorder="1" applyAlignment="1">
      <alignment horizontal="center" vertical="center"/>
    </xf>
    <xf numFmtId="0" fontId="71" fillId="0" borderId="79" xfId="95" applyFont="1" applyBorder="1" applyAlignment="1">
      <alignment horizontal="center" vertical="center"/>
    </xf>
    <xf numFmtId="0" fontId="71" fillId="0" borderId="126" xfId="95" applyFont="1" applyBorder="1" applyAlignment="1">
      <alignment horizontal="center" vertical="center"/>
    </xf>
    <xf numFmtId="0" fontId="71" fillId="0" borderId="127" xfId="95" applyFont="1" applyBorder="1" applyAlignment="1">
      <alignment horizontal="center" vertical="center"/>
    </xf>
    <xf numFmtId="0" fontId="71" fillId="0" borderId="133" xfId="95" applyFont="1" applyBorder="1" applyAlignment="1">
      <alignment horizontal="center" vertical="center"/>
    </xf>
    <xf numFmtId="0" fontId="71" fillId="0" borderId="79" xfId="95" applyFont="1" applyBorder="1" applyAlignment="1">
      <alignment horizontal="center"/>
    </xf>
    <xf numFmtId="0" fontId="71" fillId="0" borderId="126" xfId="95" applyFont="1" applyBorder="1" applyAlignment="1">
      <alignment horizontal="center"/>
    </xf>
    <xf numFmtId="0" fontId="71" fillId="0" borderId="119" xfId="95" applyFont="1" applyBorder="1" applyAlignment="1">
      <alignment horizontal="center" vertical="center"/>
    </xf>
    <xf numFmtId="0" fontId="71" fillId="0" borderId="96" xfId="95" applyFont="1" applyBorder="1" applyAlignment="1">
      <alignment horizontal="center" vertical="center"/>
    </xf>
    <xf numFmtId="0" fontId="71" fillId="0" borderId="127" xfId="95" applyFont="1" applyBorder="1" applyAlignment="1">
      <alignment horizontal="center"/>
    </xf>
    <xf numFmtId="0" fontId="71" fillId="0" borderId="133" xfId="95" applyFont="1" applyBorder="1" applyAlignment="1">
      <alignment horizontal="center"/>
    </xf>
    <xf numFmtId="49" fontId="71" fillId="0" borderId="94" xfId="95" applyNumberFormat="1" applyFont="1" applyBorder="1" applyAlignment="1">
      <alignment horizontal="center"/>
    </xf>
    <xf numFmtId="49" fontId="71" fillId="0" borderId="133" xfId="95" applyNumberFormat="1" applyFont="1" applyBorder="1" applyAlignment="1">
      <alignment horizontal="center"/>
    </xf>
    <xf numFmtId="0" fontId="71" fillId="0" borderId="87" xfId="95" applyFont="1" applyBorder="1" applyAlignment="1">
      <alignment horizontal="left"/>
    </xf>
    <xf numFmtId="0" fontId="71" fillId="0" borderId="133" xfId="95" applyFont="1" applyBorder="1" applyAlignment="1">
      <alignment horizontal="left"/>
    </xf>
    <xf numFmtId="49" fontId="71" fillId="0" borderId="26" xfId="95" applyNumberFormat="1" applyFont="1" applyBorder="1" applyAlignment="1">
      <alignment horizontal="center"/>
    </xf>
    <xf numFmtId="49" fontId="71" fillId="0" borderId="123" xfId="95" applyNumberFormat="1" applyFont="1" applyBorder="1" applyAlignment="1">
      <alignment horizontal="center"/>
    </xf>
    <xf numFmtId="0" fontId="71" fillId="0" borderId="24" xfId="95" applyFont="1" applyBorder="1" applyAlignment="1">
      <alignment horizontal="left"/>
    </xf>
    <xf numFmtId="0" fontId="71" fillId="0" borderId="123" xfId="95" applyFont="1" applyBorder="1" applyAlignment="1">
      <alignment horizontal="left"/>
    </xf>
    <xf numFmtId="49" fontId="71" fillId="0" borderId="17" xfId="95" applyNumberFormat="1" applyFont="1" applyBorder="1" applyAlignment="1">
      <alignment horizontal="center"/>
    </xf>
    <xf numFmtId="49" fontId="71" fillId="0" borderId="115" xfId="95" applyNumberFormat="1" applyFont="1" applyBorder="1" applyAlignment="1">
      <alignment horizontal="center"/>
    </xf>
    <xf numFmtId="0" fontId="71" fillId="0" borderId="22" xfId="95" applyFont="1" applyBorder="1" applyAlignment="1">
      <alignment horizontal="left"/>
    </xf>
    <xf numFmtId="0" fontId="71" fillId="0" borderId="115" xfId="95" applyFont="1" applyBorder="1" applyAlignment="1">
      <alignment horizontal="left"/>
    </xf>
    <xf numFmtId="49" fontId="71" fillId="0" borderId="110" xfId="95" applyNumberFormat="1" applyFont="1" applyBorder="1" applyAlignment="1">
      <alignment horizontal="center"/>
    </xf>
    <xf numFmtId="49" fontId="71" fillId="0" borderId="111" xfId="95" applyNumberFormat="1" applyFont="1" applyBorder="1" applyAlignment="1">
      <alignment horizontal="center"/>
    </xf>
    <xf numFmtId="49" fontId="71" fillId="0" borderId="57" xfId="95" applyNumberFormat="1" applyFont="1" applyBorder="1" applyAlignment="1">
      <alignment horizontal="center"/>
    </xf>
    <xf numFmtId="49" fontId="71" fillId="0" borderId="126" xfId="95" applyNumberFormat="1" applyFont="1" applyBorder="1" applyAlignment="1">
      <alignment horizontal="center"/>
    </xf>
    <xf numFmtId="49" fontId="71" fillId="0" borderId="100" xfId="95" applyNumberFormat="1" applyFont="1" applyBorder="1" applyAlignment="1">
      <alignment horizontal="center"/>
    </xf>
    <xf numFmtId="49" fontId="71" fillId="0" borderId="87" xfId="95" applyNumberFormat="1" applyFont="1" applyBorder="1" applyAlignment="1">
      <alignment horizontal="center"/>
    </xf>
    <xf numFmtId="0" fontId="71" fillId="0" borderId="19" xfId="95" applyFont="1" applyBorder="1" applyAlignment="1">
      <alignment horizontal="center"/>
    </xf>
    <xf numFmtId="0" fontId="71" fillId="0" borderId="16" xfId="95" applyFont="1" applyBorder="1" applyAlignment="1">
      <alignment horizontal="center"/>
    </xf>
    <xf numFmtId="0" fontId="211" fillId="29" borderId="37" xfId="0" applyFont="1" applyFill="1" applyBorder="1" applyAlignment="1">
      <alignment wrapText="1"/>
    </xf>
    <xf numFmtId="0" fontId="211" fillId="29" borderId="39" xfId="0" applyFont="1" applyFill="1" applyBorder="1"/>
    <xf numFmtId="3" fontId="93" fillId="0" borderId="0" xfId="96" applyNumberFormat="1" applyFont="1" applyAlignment="1">
      <alignment horizontal="center"/>
    </xf>
    <xf numFmtId="3" fontId="84" fillId="0" borderId="20" xfId="96" applyNumberFormat="1" applyFont="1" applyBorder="1" applyAlignment="1">
      <alignment horizontal="center"/>
    </xf>
    <xf numFmtId="3" fontId="84" fillId="0" borderId="89" xfId="96" applyNumberFormat="1" applyFont="1" applyBorder="1" applyAlignment="1">
      <alignment horizontal="center"/>
    </xf>
    <xf numFmtId="3" fontId="84" fillId="0" borderId="78" xfId="96" applyNumberFormat="1" applyFont="1" applyBorder="1" applyAlignment="1">
      <alignment horizontal="center"/>
    </xf>
    <xf numFmtId="3" fontId="211" fillId="0" borderId="37" xfId="96" applyNumberFormat="1" applyFont="1" applyBorder="1" applyAlignment="1">
      <alignment horizontal="left" wrapText="1"/>
    </xf>
    <xf numFmtId="3" fontId="211" fillId="0" borderId="39" xfId="96" applyNumberFormat="1" applyFont="1" applyBorder="1" applyAlignment="1">
      <alignment horizontal="left" wrapText="1"/>
    </xf>
    <xf numFmtId="3" fontId="211" fillId="29" borderId="0" xfId="96" applyNumberFormat="1" applyFont="1" applyFill="1" applyAlignment="1">
      <alignment wrapText="1"/>
    </xf>
    <xf numFmtId="0" fontId="211" fillId="29" borderId="31" xfId="0" applyFont="1" applyFill="1" applyBorder="1"/>
    <xf numFmtId="0" fontId="205" fillId="0" borderId="0" xfId="98" applyFont="1" applyAlignment="1">
      <alignment horizontal="center"/>
    </xf>
    <xf numFmtId="0" fontId="205" fillId="0" borderId="0" xfId="99" applyFont="1" applyAlignment="1">
      <alignment horizontal="center"/>
    </xf>
    <xf numFmtId="0" fontId="204" fillId="0" borderId="0" xfId="0" applyFont="1"/>
    <xf numFmtId="0" fontId="70" fillId="0" borderId="23" xfId="98" applyFont="1" applyBorder="1" applyAlignment="1">
      <alignment horizontal="center" vertical="center"/>
    </xf>
    <xf numFmtId="0" fontId="82" fillId="0" borderId="46" xfId="98" applyFont="1" applyBorder="1" applyAlignment="1">
      <alignment horizontal="center" vertical="center"/>
    </xf>
    <xf numFmtId="0" fontId="82" fillId="0" borderId="63" xfId="98" applyFont="1" applyBorder="1" applyAlignment="1">
      <alignment horizontal="center" vertical="center"/>
    </xf>
    <xf numFmtId="0" fontId="70" fillId="0" borderId="18" xfId="98" applyFont="1" applyBorder="1" applyAlignment="1">
      <alignment horizontal="center" vertical="center"/>
    </xf>
    <xf numFmtId="0" fontId="82" fillId="0" borderId="0" xfId="98" applyFont="1" applyAlignment="1">
      <alignment horizontal="center" vertical="center"/>
    </xf>
    <xf numFmtId="0" fontId="82" fillId="0" borderId="31" xfId="98" applyFont="1" applyBorder="1" applyAlignment="1">
      <alignment horizontal="center" vertical="center"/>
    </xf>
    <xf numFmtId="0" fontId="82" fillId="0" borderId="19" xfId="98" applyFont="1" applyBorder="1"/>
    <xf numFmtId="0" fontId="82" fillId="0" borderId="16" xfId="98" applyFont="1" applyBorder="1"/>
    <xf numFmtId="0" fontId="82" fillId="0" borderId="95" xfId="98" applyFont="1" applyBorder="1"/>
    <xf numFmtId="0" fontId="70" fillId="0" borderId="45" xfId="98" applyFont="1" applyBorder="1" applyAlignment="1">
      <alignment horizontal="center" vertical="center"/>
    </xf>
    <xf numFmtId="0" fontId="70" fillId="0" borderId="15" xfId="98" applyFont="1" applyBorder="1" applyAlignment="1">
      <alignment horizontal="center" vertical="center"/>
    </xf>
    <xf numFmtId="0" fontId="83" fillId="0" borderId="61" xfId="98" applyFont="1" applyBorder="1" applyAlignment="1">
      <alignment horizontal="center" vertical="center"/>
    </xf>
    <xf numFmtId="0" fontId="70" fillId="0" borderId="47" xfId="98" applyFont="1" applyBorder="1" applyAlignment="1">
      <alignment horizontal="center" vertical="center"/>
    </xf>
    <xf numFmtId="0" fontId="82" fillId="0" borderId="53" xfId="98" applyFont="1" applyBorder="1" applyAlignment="1">
      <alignment horizontal="center" vertical="center"/>
    </xf>
    <xf numFmtId="0" fontId="82" fillId="0" borderId="127" xfId="98" applyFont="1" applyBorder="1" applyAlignment="1">
      <alignment horizontal="center" vertical="center"/>
    </xf>
    <xf numFmtId="0" fontId="82" fillId="0" borderId="96" xfId="98" applyFont="1" applyBorder="1" applyAlignment="1">
      <alignment horizontal="center" vertical="center"/>
    </xf>
    <xf numFmtId="0" fontId="70" fillId="0" borderId="80" xfId="98" applyFont="1" applyBorder="1" applyAlignment="1">
      <alignment horizontal="center" vertical="center"/>
    </xf>
    <xf numFmtId="0" fontId="82" fillId="0" borderId="69" xfId="98" applyFont="1" applyBorder="1" applyAlignment="1">
      <alignment horizontal="center" vertical="center"/>
    </xf>
  </cellXfs>
  <cellStyles count="10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al 2" xfId="74" xr:uid="{00000000-0005-0000-0000-00004A000000}"/>
    <cellStyle name="Normál 2" xfId="75" xr:uid="{00000000-0005-0000-0000-00004B000000}"/>
    <cellStyle name="Normál 3" xfId="76" xr:uid="{00000000-0005-0000-0000-00004C000000}"/>
    <cellStyle name="Normál 4" xfId="98" xr:uid="{32E97F74-842C-43CA-A2A0-9CC59264D69A}"/>
    <cellStyle name="Normál 5" xfId="100" xr:uid="{5DB562F2-EA73-480D-9417-74892A620410}"/>
    <cellStyle name="Normál 6" xfId="105" xr:uid="{CCC7A959-EA86-4504-8E9D-4884F74439B1}"/>
    <cellStyle name="Normál_99LETSZ_LETSZ02" xfId="101" xr:uid="{BB7614F2-2794-427C-BE2B-DBD53B9260AB}"/>
    <cellStyle name="Normál_ESZKFOR" xfId="92" xr:uid="{37733CB8-9E03-4783-9E80-3D9D767647FC}"/>
    <cellStyle name="Normál_GAZDTÁRS11" xfId="99" xr:uid="{0E5BD261-5B72-408B-B730-03C916C1DC53}"/>
    <cellStyle name="Normál_GUCIFEJL" xfId="77" xr:uid="{00000000-0005-0000-0000-00004D000000}"/>
    <cellStyle name="Normál_IKÖZI" xfId="104" xr:uid="{D054A5CC-4751-4C4D-80D4-42D057B0F126}"/>
    <cellStyle name="Normál_kiemelt eik 2013" xfId="89" xr:uid="{FBB1E153-DAC3-4DAA-8FA3-93AA834DA38D}"/>
    <cellStyle name="Normál_kozvetetttam" xfId="90" xr:uid="{58DEA3A0-CCDB-411C-8D95-1E8C2B38F745}"/>
    <cellStyle name="Normál_LAKAS" xfId="93" xr:uid="{85EF5B81-8274-431A-BF67-86CD48C0189E}"/>
    <cellStyle name="Normál_LETSZ06" xfId="103" xr:uid="{EFDB23AE-1691-4508-BC30-61406E749BA2}"/>
    <cellStyle name="Normál_letsz2011" xfId="102" xr:uid="{04CB6BB9-6698-4E9D-A3CE-89D174328896}"/>
    <cellStyle name="Normál_módIV12önk" xfId="88" xr:uid="{9E424234-8095-4663-96A6-46CF8083AD43}"/>
    <cellStyle name="Normál_Munkafüzet1" xfId="95" xr:uid="{B2DB2C82-F4AE-4F3F-900F-FC9F85255A5E}"/>
    <cellStyle name="Normál_Munkafüzet2" xfId="78" xr:uid="{00000000-0005-0000-0000-00004E000000}"/>
    <cellStyle name="Normál_SEGÉLY98" xfId="94" xr:uid="{7E4D74B7-826D-4E70-9403-5A28BD781312}"/>
    <cellStyle name="Normál_TÖBBEV" xfId="91" xr:uid="{724C05D2-C2E9-4A6B-9B10-0363DE7E042D}"/>
    <cellStyle name="Normál_VAGYONRE" xfId="96" xr:uid="{10482878-C1A8-4DA9-9615-8CBC209520A1}"/>
    <cellStyle name="Normál_VAGYONZ" xfId="97" xr:uid="{8C9BA675-0F04-44B2-BCDB-306B554649D6}"/>
    <cellStyle name="Note" xfId="79" xr:uid="{00000000-0005-0000-0000-00004F000000}"/>
    <cellStyle name="Output" xfId="80" xr:uid="{00000000-0005-0000-0000-000050000000}"/>
    <cellStyle name="Összesen" xfId="81" builtinId="25" customBuiltin="1"/>
    <cellStyle name="Rossz" xfId="82" builtinId="27" customBuiltin="1"/>
    <cellStyle name="Semleges" xfId="83" builtinId="28" customBuiltin="1"/>
    <cellStyle name="Számítás" xfId="84" builtinId="22" customBuiltin="1"/>
    <cellStyle name="Title" xfId="85" xr:uid="{00000000-0005-0000-0000-000055000000}"/>
    <cellStyle name="Total" xfId="86" xr:uid="{00000000-0005-0000-0000-000056000000}"/>
    <cellStyle name="Warning Text" xfId="87" xr:uid="{00000000-0005-0000-0000-00005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kiliana/Local%20Settings/Temporary%20Internet%20Files/OLK4D/norma_2008/0_eredeti/igeny_kieg_tablak/5_Kieg%20t&#225;bla%20k&#246;zs&#233;geknek%20a%203.%20sz&#225;m&#250;%20mell&#233;klethez_.xls" TargetMode="External"/><Relationship Id="rId1" Type="http://schemas.openxmlformats.org/officeDocument/2006/relationships/externalLinkPath" Target="/Documents%20and%20Settings/kiliana/Local%20Settings/Temporary%20Internet%20Files/OLK4D/norma_2008/0_eredeti/igeny_kieg_tablak/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PERESZ~1/AppData/Local/Temp/DOCUME~1/MOLNAR~1.ZSU/LOCALS~1/Temp/norma_2008/0_eredeti/igeny_kieg_tablak/5_Kieg%20t&#225;bla%20k&#246;zs&#233;geknek%20a%203.%20sz&#225;m&#250;%20mell&#233;klethez_.xls" TargetMode="External"/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5\K&#246;lts&#233;gvet&#233;s\Int&#233;zm&#233;nyi%20k&#246;lts&#233;gvet&#233;s\Int&#233;zm&#233;nyi%20Kgy%20t&#225;bl&#225;k\INTkvet&#233;s%20kgy%20t&#225;bla%202025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Rendeletm&#243;dos&#237;t&#225;s\INTrend.m&#243;d.2025.xls" TargetMode="External"/><Relationship Id="rId1" Type="http://schemas.openxmlformats.org/officeDocument/2006/relationships/externalLinkPath" Target="file:///O:\kozgazd\2025\Rendeletm&#243;dos&#237;t&#225;s\INTrend.m&#243;d.202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4\Rendeletm&#243;dos&#237;t&#225;s\INTrend.m&#243;d.2024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Besz&#225;mol&#243;\INT%20besz&#225;mol&#243;%202025.XLS" TargetMode="External"/><Relationship Id="rId1" Type="http://schemas.openxmlformats.org/officeDocument/2006/relationships/externalLinkPath" Target="file:///O:\kozgazd\2025\Besz&#225;mol&#243;\INT%20besz&#225;mol&#243;%202025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Rendeletm&#243;dos&#237;t&#225;s\K&#214;ZGY&#368;L&#201;SI%20l&#233;tsz&#225;m2025.xlsx" TargetMode="External"/><Relationship Id="rId1" Type="http://schemas.openxmlformats.org/officeDocument/2006/relationships/externalLinkPath" Target="file:///O:\kozgazd\2025\Rendeletm&#243;dos&#237;t&#225;s\K&#214;ZGY&#368;L&#201;SI%20l&#233;tsz&#225;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 t="str">
            <v/>
          </cell>
        </row>
      </sheetData>
      <sheetData sheetId="3"/>
      <sheetData sheetId="4">
        <row r="9">
          <cell r="C9" t="str">
            <v>Aka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.bevételek2025"/>
      <sheetName val="int.kiadások2025"/>
    </sheetNames>
    <sheetDataSet>
      <sheetData sheetId="0">
        <row r="9">
          <cell r="B9">
            <v>1712</v>
          </cell>
          <cell r="N9">
            <v>274286</v>
          </cell>
        </row>
        <row r="10">
          <cell r="B10">
            <v>736</v>
          </cell>
          <cell r="N10">
            <v>187998</v>
          </cell>
        </row>
        <row r="11">
          <cell r="B11">
            <v>1320</v>
          </cell>
          <cell r="N11">
            <v>198404</v>
          </cell>
        </row>
        <row r="12">
          <cell r="B12">
            <v>1224</v>
          </cell>
          <cell r="N12">
            <v>239897</v>
          </cell>
        </row>
        <row r="13">
          <cell r="B13">
            <v>1016</v>
          </cell>
          <cell r="N13">
            <v>227264</v>
          </cell>
        </row>
        <row r="14">
          <cell r="B14">
            <v>1304</v>
          </cell>
          <cell r="N14">
            <v>205975</v>
          </cell>
        </row>
        <row r="15">
          <cell r="B15">
            <v>1560</v>
          </cell>
          <cell r="N15">
            <v>156466</v>
          </cell>
        </row>
        <row r="16">
          <cell r="B16">
            <v>1216</v>
          </cell>
          <cell r="N16">
            <v>167727</v>
          </cell>
        </row>
        <row r="17">
          <cell r="B17">
            <v>760</v>
          </cell>
          <cell r="N17">
            <v>230100</v>
          </cell>
        </row>
        <row r="18">
          <cell r="B18">
            <v>2920</v>
          </cell>
          <cell r="N18">
            <v>285732</v>
          </cell>
        </row>
        <row r="19">
          <cell r="B19">
            <v>680</v>
          </cell>
          <cell r="N19">
            <v>135344</v>
          </cell>
        </row>
        <row r="20">
          <cell r="B20">
            <v>1040</v>
          </cell>
          <cell r="N20">
            <v>129802</v>
          </cell>
        </row>
        <row r="21">
          <cell r="B21">
            <v>1176</v>
          </cell>
          <cell r="N21">
            <v>160936</v>
          </cell>
        </row>
        <row r="22">
          <cell r="B22">
            <v>472</v>
          </cell>
          <cell r="N22">
            <v>191931</v>
          </cell>
        </row>
        <row r="23">
          <cell r="B23">
            <v>1448</v>
          </cell>
          <cell r="N23">
            <v>266280</v>
          </cell>
        </row>
        <row r="24">
          <cell r="B24">
            <v>360</v>
          </cell>
          <cell r="N24">
            <v>194627</v>
          </cell>
        </row>
        <row r="25">
          <cell r="B25">
            <v>1000</v>
          </cell>
          <cell r="N25">
            <v>147733</v>
          </cell>
        </row>
        <row r="26">
          <cell r="B26">
            <v>840</v>
          </cell>
          <cell r="N26">
            <v>119614</v>
          </cell>
        </row>
        <row r="28">
          <cell r="B28">
            <v>658521</v>
          </cell>
          <cell r="N28">
            <v>1836748</v>
          </cell>
        </row>
        <row r="32">
          <cell r="B32">
            <v>28471</v>
          </cell>
          <cell r="N32">
            <v>134055</v>
          </cell>
        </row>
        <row r="33">
          <cell r="B33">
            <v>113344</v>
          </cell>
          <cell r="N33">
            <v>468016</v>
          </cell>
        </row>
        <row r="34">
          <cell r="B34">
            <v>32900</v>
          </cell>
          <cell r="N34">
            <v>291995</v>
          </cell>
        </row>
        <row r="35">
          <cell r="B35">
            <v>154078</v>
          </cell>
          <cell r="N35">
            <v>602349</v>
          </cell>
        </row>
        <row r="38">
          <cell r="B38">
            <v>197479</v>
          </cell>
          <cell r="N38">
            <v>1520185</v>
          </cell>
        </row>
        <row r="40">
          <cell r="B40">
            <v>39495</v>
          </cell>
          <cell r="C40">
            <v>449270</v>
          </cell>
          <cell r="N40">
            <v>356057</v>
          </cell>
        </row>
        <row r="42">
          <cell r="B42">
            <v>97148</v>
          </cell>
          <cell r="N42">
            <v>1883417</v>
          </cell>
        </row>
        <row r="44">
          <cell r="B44">
            <v>188823</v>
          </cell>
          <cell r="N44">
            <v>20195</v>
          </cell>
        </row>
        <row r="45">
          <cell r="B45">
            <v>17150</v>
          </cell>
          <cell r="E45">
            <v>1850</v>
          </cell>
          <cell r="N45">
            <v>3187217</v>
          </cell>
        </row>
        <row r="48">
          <cell r="B48">
            <v>1548193</v>
          </cell>
          <cell r="C48">
            <v>449270</v>
          </cell>
          <cell r="D48">
            <v>0</v>
          </cell>
          <cell r="E48">
            <v>1850</v>
          </cell>
          <cell r="F48">
            <v>1999313</v>
          </cell>
          <cell r="I48">
            <v>0</v>
          </cell>
          <cell r="J48">
            <v>0</v>
          </cell>
          <cell r="K48">
            <v>0</v>
          </cell>
          <cell r="N48">
            <v>13820350</v>
          </cell>
          <cell r="O48">
            <v>15819663</v>
          </cell>
        </row>
      </sheetData>
      <sheetData sheetId="1">
        <row r="9">
          <cell r="B9">
            <v>234624</v>
          </cell>
          <cell r="C9">
            <v>34776</v>
          </cell>
          <cell r="D9">
            <v>6598</v>
          </cell>
        </row>
        <row r="10">
          <cell r="B10">
            <v>164413</v>
          </cell>
          <cell r="C10">
            <v>21263</v>
          </cell>
          <cell r="D10">
            <v>3058</v>
          </cell>
        </row>
        <row r="11">
          <cell r="B11">
            <v>173152</v>
          </cell>
          <cell r="C11">
            <v>22668</v>
          </cell>
          <cell r="D11">
            <v>3904</v>
          </cell>
        </row>
        <row r="12">
          <cell r="B12">
            <v>206365</v>
          </cell>
          <cell r="C12">
            <v>30643</v>
          </cell>
          <cell r="D12">
            <v>4113</v>
          </cell>
        </row>
        <row r="13">
          <cell r="B13">
            <v>195929</v>
          </cell>
          <cell r="C13">
            <v>28860</v>
          </cell>
          <cell r="D13">
            <v>3491</v>
          </cell>
        </row>
        <row r="14">
          <cell r="B14">
            <v>180466</v>
          </cell>
          <cell r="C14">
            <v>23773</v>
          </cell>
          <cell r="D14">
            <v>3040</v>
          </cell>
        </row>
        <row r="15">
          <cell r="B15">
            <v>137202</v>
          </cell>
          <cell r="C15">
            <v>17761</v>
          </cell>
          <cell r="D15">
            <v>3063</v>
          </cell>
        </row>
        <row r="16">
          <cell r="B16">
            <v>146204</v>
          </cell>
          <cell r="C16">
            <v>19051</v>
          </cell>
          <cell r="D16">
            <v>3688</v>
          </cell>
        </row>
        <row r="17">
          <cell r="B17">
            <v>198162</v>
          </cell>
          <cell r="C17">
            <v>29368</v>
          </cell>
          <cell r="D17">
            <v>3330</v>
          </cell>
        </row>
        <row r="18">
          <cell r="B18">
            <v>247648</v>
          </cell>
          <cell r="C18">
            <v>36060</v>
          </cell>
          <cell r="D18">
            <v>4944</v>
          </cell>
        </row>
        <row r="19">
          <cell r="B19">
            <v>118095</v>
          </cell>
          <cell r="C19">
            <v>15294</v>
          </cell>
          <cell r="D19">
            <v>2635</v>
          </cell>
        </row>
        <row r="20">
          <cell r="B20">
            <v>113549</v>
          </cell>
          <cell r="C20">
            <v>14785</v>
          </cell>
          <cell r="D20">
            <v>2508</v>
          </cell>
        </row>
        <row r="21">
          <cell r="B21">
            <v>140189</v>
          </cell>
          <cell r="C21">
            <v>18182</v>
          </cell>
          <cell r="D21">
            <v>3741</v>
          </cell>
        </row>
        <row r="22">
          <cell r="B22">
            <v>167298</v>
          </cell>
          <cell r="C22">
            <v>22064</v>
          </cell>
          <cell r="D22">
            <v>3041</v>
          </cell>
        </row>
        <row r="23">
          <cell r="B23">
            <v>229871</v>
          </cell>
          <cell r="C23">
            <v>34142</v>
          </cell>
          <cell r="D23">
            <v>3715</v>
          </cell>
        </row>
        <row r="24">
          <cell r="B24">
            <v>169874</v>
          </cell>
          <cell r="C24">
            <v>22130</v>
          </cell>
          <cell r="D24">
            <v>2983</v>
          </cell>
        </row>
        <row r="25">
          <cell r="B25">
            <v>128751</v>
          </cell>
          <cell r="C25">
            <v>16642</v>
          </cell>
          <cell r="D25">
            <v>3340</v>
          </cell>
        </row>
        <row r="26">
          <cell r="B26">
            <v>103707</v>
          </cell>
          <cell r="C26">
            <v>13530</v>
          </cell>
          <cell r="D26">
            <v>3217</v>
          </cell>
        </row>
        <row r="28">
          <cell r="B28">
            <v>321864</v>
          </cell>
          <cell r="C28">
            <v>47963</v>
          </cell>
          <cell r="D28">
            <v>2125442</v>
          </cell>
        </row>
        <row r="32">
          <cell r="B32">
            <v>122455</v>
          </cell>
          <cell r="C32">
            <v>15375</v>
          </cell>
          <cell r="D32">
            <v>24696</v>
          </cell>
        </row>
        <row r="33">
          <cell r="B33">
            <v>460669</v>
          </cell>
          <cell r="C33">
            <v>59222</v>
          </cell>
          <cell r="D33">
            <v>61469</v>
          </cell>
        </row>
        <row r="34">
          <cell r="B34">
            <v>238213</v>
          </cell>
          <cell r="C34">
            <v>30795</v>
          </cell>
          <cell r="D34">
            <v>55887</v>
          </cell>
        </row>
        <row r="35">
          <cell r="B35">
            <v>509497</v>
          </cell>
          <cell r="C35">
            <v>65554</v>
          </cell>
          <cell r="D35">
            <v>181376</v>
          </cell>
        </row>
        <row r="38">
          <cell r="B38">
            <v>914448</v>
          </cell>
          <cell r="C38">
            <v>146384</v>
          </cell>
          <cell r="D38">
            <v>656832</v>
          </cell>
        </row>
        <row r="40">
          <cell r="B40">
            <v>586331</v>
          </cell>
          <cell r="C40">
            <v>82110</v>
          </cell>
          <cell r="D40">
            <v>176381</v>
          </cell>
        </row>
        <row r="42">
          <cell r="B42">
            <v>1517086</v>
          </cell>
          <cell r="C42">
            <v>228956</v>
          </cell>
          <cell r="D42">
            <v>233823</v>
          </cell>
          <cell r="I42">
            <v>700</v>
          </cell>
        </row>
        <row r="44">
          <cell r="B44">
            <v>85008</v>
          </cell>
          <cell r="C44">
            <v>11032</v>
          </cell>
          <cell r="D44">
            <v>112978</v>
          </cell>
        </row>
        <row r="45">
          <cell r="B45">
            <v>2328206</v>
          </cell>
          <cell r="C45">
            <v>342245</v>
          </cell>
          <cell r="D45">
            <v>459603</v>
          </cell>
          <cell r="F45">
            <v>4000</v>
          </cell>
          <cell r="I45">
            <v>72163</v>
          </cell>
        </row>
        <row r="48">
          <cell r="B48">
            <v>10139276</v>
          </cell>
          <cell r="C48">
            <v>1450628</v>
          </cell>
          <cell r="D48">
            <v>4152896</v>
          </cell>
          <cell r="E48">
            <v>0</v>
          </cell>
          <cell r="F48">
            <v>4000</v>
          </cell>
          <cell r="G48">
            <v>15746800</v>
          </cell>
          <cell r="I48">
            <v>72863</v>
          </cell>
          <cell r="J48">
            <v>0</v>
          </cell>
          <cell r="K48">
            <v>0</v>
          </cell>
          <cell r="L48">
            <v>72863</v>
          </cell>
          <cell r="M48">
            <v>15819663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.bevételek RM II maradvány"/>
      <sheetName val="int.kiadások RM I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  <sheetName val="int.bevételek RM IV"/>
      <sheetName val="int.kiadások RM 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D10">
            <v>3971</v>
          </cell>
          <cell r="G10">
            <v>0</v>
          </cell>
          <cell r="J10">
            <v>0</v>
          </cell>
          <cell r="M10">
            <v>0</v>
          </cell>
          <cell r="T10">
            <v>0</v>
          </cell>
          <cell r="W10">
            <v>0</v>
          </cell>
          <cell r="Z10">
            <v>0</v>
          </cell>
          <cell r="AJ10">
            <v>2312</v>
          </cell>
          <cell r="AM10">
            <v>279949</v>
          </cell>
        </row>
        <row r="11">
          <cell r="D11">
            <v>1695</v>
          </cell>
          <cell r="G11">
            <v>0</v>
          </cell>
          <cell r="J11">
            <v>0</v>
          </cell>
          <cell r="M11">
            <v>0</v>
          </cell>
          <cell r="T11">
            <v>0</v>
          </cell>
          <cell r="W11">
            <v>0</v>
          </cell>
          <cell r="Z11">
            <v>0</v>
          </cell>
          <cell r="AJ11">
            <v>2747</v>
          </cell>
          <cell r="AM11">
            <v>191309</v>
          </cell>
        </row>
        <row r="12">
          <cell r="D12">
            <v>2046</v>
          </cell>
          <cell r="G12">
            <v>200</v>
          </cell>
          <cell r="J12">
            <v>0</v>
          </cell>
          <cell r="M12">
            <v>0</v>
          </cell>
          <cell r="T12">
            <v>0</v>
          </cell>
          <cell r="W12">
            <v>0</v>
          </cell>
          <cell r="Z12">
            <v>0</v>
          </cell>
          <cell r="AJ12">
            <v>2786</v>
          </cell>
          <cell r="AM12">
            <v>205007</v>
          </cell>
        </row>
        <row r="13">
          <cell r="D13">
            <v>1510</v>
          </cell>
          <cell r="G13">
            <v>0</v>
          </cell>
          <cell r="J13">
            <v>1726</v>
          </cell>
          <cell r="M13">
            <v>0</v>
          </cell>
          <cell r="T13">
            <v>0</v>
          </cell>
          <cell r="W13">
            <v>0</v>
          </cell>
          <cell r="Z13">
            <v>774</v>
          </cell>
          <cell r="AJ13">
            <v>2178</v>
          </cell>
          <cell r="AM13">
            <v>244864</v>
          </cell>
        </row>
        <row r="14">
          <cell r="D14">
            <v>1833</v>
          </cell>
          <cell r="G14">
            <v>0</v>
          </cell>
          <cell r="J14">
            <v>0</v>
          </cell>
          <cell r="M14">
            <v>0</v>
          </cell>
          <cell r="T14">
            <v>0</v>
          </cell>
          <cell r="W14">
            <v>0</v>
          </cell>
          <cell r="Z14">
            <v>0</v>
          </cell>
          <cell r="AJ14">
            <v>1134</v>
          </cell>
          <cell r="AM14">
            <v>232646</v>
          </cell>
        </row>
        <row r="15">
          <cell r="D15">
            <v>2294</v>
          </cell>
          <cell r="G15">
            <v>0</v>
          </cell>
          <cell r="J15">
            <v>584</v>
          </cell>
          <cell r="M15">
            <v>0</v>
          </cell>
          <cell r="T15">
            <v>0</v>
          </cell>
          <cell r="W15">
            <v>0</v>
          </cell>
          <cell r="Z15">
            <v>0</v>
          </cell>
          <cell r="AJ15">
            <v>2103</v>
          </cell>
          <cell r="AM15">
            <v>211173</v>
          </cell>
        </row>
        <row r="16">
          <cell r="D16">
            <v>2126</v>
          </cell>
          <cell r="G16">
            <v>0</v>
          </cell>
          <cell r="J16">
            <v>0</v>
          </cell>
          <cell r="M16">
            <v>0</v>
          </cell>
          <cell r="T16">
            <v>0</v>
          </cell>
          <cell r="W16">
            <v>0</v>
          </cell>
          <cell r="Z16">
            <v>0</v>
          </cell>
          <cell r="AJ16">
            <v>1185</v>
          </cell>
          <cell r="AM16">
            <v>159139</v>
          </cell>
        </row>
        <row r="17">
          <cell r="D17">
            <v>2051</v>
          </cell>
          <cell r="G17">
            <v>0</v>
          </cell>
          <cell r="J17">
            <v>0</v>
          </cell>
          <cell r="M17">
            <v>0</v>
          </cell>
          <cell r="T17">
            <v>0</v>
          </cell>
          <cell r="W17">
            <v>0</v>
          </cell>
          <cell r="Z17">
            <v>0</v>
          </cell>
          <cell r="AJ17">
            <v>2977</v>
          </cell>
          <cell r="AM17">
            <v>178141</v>
          </cell>
        </row>
        <row r="18">
          <cell r="D18">
            <v>1549</v>
          </cell>
          <cell r="G18">
            <v>0</v>
          </cell>
          <cell r="J18">
            <v>500</v>
          </cell>
          <cell r="M18">
            <v>0</v>
          </cell>
          <cell r="T18">
            <v>0</v>
          </cell>
          <cell r="W18">
            <v>0</v>
          </cell>
          <cell r="Z18">
            <v>0</v>
          </cell>
          <cell r="AJ18">
            <v>2819</v>
          </cell>
          <cell r="AM18">
            <v>230322</v>
          </cell>
        </row>
        <row r="19">
          <cell r="D19">
            <v>5413</v>
          </cell>
          <cell r="G19">
            <v>0</v>
          </cell>
          <cell r="J19">
            <v>0</v>
          </cell>
          <cell r="M19">
            <v>0</v>
          </cell>
          <cell r="T19">
            <v>0</v>
          </cell>
          <cell r="W19">
            <v>0</v>
          </cell>
          <cell r="Z19">
            <v>0</v>
          </cell>
          <cell r="AJ19">
            <v>2377</v>
          </cell>
          <cell r="AM19">
            <v>290820</v>
          </cell>
        </row>
        <row r="20">
          <cell r="D20">
            <v>922</v>
          </cell>
          <cell r="G20">
            <v>0</v>
          </cell>
          <cell r="J20">
            <v>0</v>
          </cell>
          <cell r="M20">
            <v>0</v>
          </cell>
          <cell r="T20">
            <v>0</v>
          </cell>
          <cell r="W20">
            <v>0</v>
          </cell>
          <cell r="Z20">
            <v>0</v>
          </cell>
          <cell r="AJ20">
            <v>846</v>
          </cell>
          <cell r="AM20">
            <v>137887</v>
          </cell>
        </row>
        <row r="21">
          <cell r="D21">
            <v>2532</v>
          </cell>
          <cell r="G21">
            <v>0</v>
          </cell>
          <cell r="J21">
            <v>0</v>
          </cell>
          <cell r="M21">
            <v>0</v>
          </cell>
          <cell r="T21">
            <v>0</v>
          </cell>
          <cell r="W21">
            <v>0</v>
          </cell>
          <cell r="Z21">
            <v>0</v>
          </cell>
          <cell r="AJ21">
            <v>1420</v>
          </cell>
          <cell r="AM21">
            <v>136439</v>
          </cell>
        </row>
        <row r="22">
          <cell r="D22">
            <v>2931</v>
          </cell>
          <cell r="G22">
            <v>0</v>
          </cell>
          <cell r="J22">
            <v>0</v>
          </cell>
          <cell r="M22">
            <v>0</v>
          </cell>
          <cell r="T22">
            <v>0</v>
          </cell>
          <cell r="W22">
            <v>0</v>
          </cell>
          <cell r="Z22">
            <v>0</v>
          </cell>
          <cell r="AJ22">
            <v>1567</v>
          </cell>
          <cell r="AM22">
            <v>168078</v>
          </cell>
        </row>
        <row r="23">
          <cell r="D23">
            <v>1072</v>
          </cell>
          <cell r="G23">
            <v>200</v>
          </cell>
          <cell r="J23">
            <v>0</v>
          </cell>
          <cell r="M23">
            <v>0</v>
          </cell>
          <cell r="T23">
            <v>0</v>
          </cell>
          <cell r="W23">
            <v>0</v>
          </cell>
          <cell r="Z23">
            <v>0</v>
          </cell>
          <cell r="AJ23">
            <v>2253</v>
          </cell>
          <cell r="AM23">
            <v>194094</v>
          </cell>
        </row>
        <row r="24">
          <cell r="D24">
            <v>2629</v>
          </cell>
          <cell r="G24">
            <v>0</v>
          </cell>
          <cell r="J24">
            <v>191</v>
          </cell>
          <cell r="M24">
            <v>0</v>
          </cell>
          <cell r="T24">
            <v>0</v>
          </cell>
          <cell r="W24">
            <v>0</v>
          </cell>
          <cell r="Z24">
            <v>0</v>
          </cell>
          <cell r="AJ24">
            <v>2458</v>
          </cell>
          <cell r="AM24">
            <v>276328</v>
          </cell>
        </row>
        <row r="25">
          <cell r="D25">
            <v>317</v>
          </cell>
          <cell r="G25">
            <v>0</v>
          </cell>
          <cell r="J25">
            <v>0</v>
          </cell>
          <cell r="M25">
            <v>0</v>
          </cell>
          <cell r="T25">
            <v>0</v>
          </cell>
          <cell r="W25">
            <v>0</v>
          </cell>
          <cell r="Z25">
            <v>0</v>
          </cell>
          <cell r="AJ25">
            <v>2255</v>
          </cell>
          <cell r="AM25">
            <v>204477</v>
          </cell>
        </row>
        <row r="26">
          <cell r="D26">
            <v>2452</v>
          </cell>
          <cell r="G26">
            <v>0</v>
          </cell>
          <cell r="J26">
            <v>250</v>
          </cell>
          <cell r="M26">
            <v>0</v>
          </cell>
          <cell r="T26">
            <v>0</v>
          </cell>
          <cell r="W26">
            <v>0</v>
          </cell>
          <cell r="Z26">
            <v>0</v>
          </cell>
          <cell r="AJ26">
            <v>1419</v>
          </cell>
          <cell r="AM26">
            <v>154619</v>
          </cell>
        </row>
        <row r="27">
          <cell r="D27">
            <v>930</v>
          </cell>
          <cell r="G27">
            <v>0</v>
          </cell>
          <cell r="J27">
            <v>0</v>
          </cell>
          <cell r="M27">
            <v>0</v>
          </cell>
          <cell r="T27">
            <v>0</v>
          </cell>
          <cell r="W27">
            <v>0</v>
          </cell>
          <cell r="Z27">
            <v>0</v>
          </cell>
          <cell r="AJ27">
            <v>1808</v>
          </cell>
          <cell r="AM27">
            <v>121711</v>
          </cell>
        </row>
        <row r="29">
          <cell r="D29">
            <v>702373</v>
          </cell>
          <cell r="G29">
            <v>2292</v>
          </cell>
          <cell r="J29">
            <v>0</v>
          </cell>
          <cell r="M29">
            <v>0</v>
          </cell>
          <cell r="T29">
            <v>35</v>
          </cell>
          <cell r="W29">
            <v>0</v>
          </cell>
          <cell r="Z29">
            <v>0</v>
          </cell>
          <cell r="AJ29">
            <v>16061</v>
          </cell>
          <cell r="AM29">
            <v>1929815</v>
          </cell>
        </row>
        <row r="33">
          <cell r="D33">
            <v>59826</v>
          </cell>
          <cell r="G33">
            <v>75455</v>
          </cell>
          <cell r="J33">
            <v>3200</v>
          </cell>
          <cell r="M33">
            <v>0</v>
          </cell>
          <cell r="T33">
            <v>0</v>
          </cell>
          <cell r="W33">
            <v>0</v>
          </cell>
          <cell r="Z33">
            <v>0</v>
          </cell>
          <cell r="AJ33">
            <v>38505</v>
          </cell>
          <cell r="AM33">
            <v>130007</v>
          </cell>
        </row>
        <row r="34">
          <cell r="D34">
            <v>161176</v>
          </cell>
          <cell r="G34">
            <v>212952</v>
          </cell>
          <cell r="J34">
            <v>3743</v>
          </cell>
          <cell r="M34">
            <v>0</v>
          </cell>
          <cell r="T34">
            <v>78</v>
          </cell>
          <cell r="W34">
            <v>31600</v>
          </cell>
          <cell r="Z34">
            <v>0</v>
          </cell>
          <cell r="AJ34">
            <v>211042</v>
          </cell>
          <cell r="AM34">
            <v>578042</v>
          </cell>
        </row>
        <row r="35">
          <cell r="D35">
            <v>38238</v>
          </cell>
          <cell r="G35">
            <v>9634</v>
          </cell>
          <cell r="J35">
            <v>2800</v>
          </cell>
          <cell r="M35">
            <v>0</v>
          </cell>
          <cell r="T35">
            <v>0</v>
          </cell>
          <cell r="W35">
            <v>0</v>
          </cell>
          <cell r="Z35">
            <v>0</v>
          </cell>
          <cell r="AJ35">
            <v>23795</v>
          </cell>
          <cell r="AM35">
            <v>483077</v>
          </cell>
        </row>
        <row r="36">
          <cell r="D36">
            <v>154078</v>
          </cell>
          <cell r="G36">
            <v>72483</v>
          </cell>
          <cell r="J36">
            <v>0</v>
          </cell>
          <cell r="M36">
            <v>0</v>
          </cell>
          <cell r="T36">
            <v>0</v>
          </cell>
          <cell r="W36">
            <v>5800</v>
          </cell>
          <cell r="Z36">
            <v>0</v>
          </cell>
          <cell r="AJ36">
            <v>107927</v>
          </cell>
          <cell r="AM36">
            <v>704443</v>
          </cell>
        </row>
        <row r="39">
          <cell r="D39">
            <v>259491</v>
          </cell>
          <cell r="G39">
            <v>5605</v>
          </cell>
          <cell r="J39">
            <v>820</v>
          </cell>
          <cell r="M39">
            <v>0</v>
          </cell>
          <cell r="T39">
            <v>0</v>
          </cell>
          <cell r="W39">
            <v>0</v>
          </cell>
          <cell r="Z39">
            <v>0</v>
          </cell>
          <cell r="AJ39">
            <v>1947</v>
          </cell>
          <cell r="AM39">
            <v>1801352</v>
          </cell>
        </row>
        <row r="41">
          <cell r="D41">
            <v>55289</v>
          </cell>
          <cell r="G41">
            <v>462785</v>
          </cell>
          <cell r="J41">
            <v>0</v>
          </cell>
          <cell r="M41">
            <v>0</v>
          </cell>
          <cell r="T41">
            <v>9</v>
          </cell>
          <cell r="W41">
            <v>6000</v>
          </cell>
          <cell r="AJ41">
            <v>215298</v>
          </cell>
          <cell r="AM41">
            <v>339672</v>
          </cell>
        </row>
        <row r="43">
          <cell r="D43">
            <v>95526</v>
          </cell>
          <cell r="G43">
            <v>28959</v>
          </cell>
          <cell r="J43">
            <v>0</v>
          </cell>
          <cell r="M43">
            <v>0</v>
          </cell>
          <cell r="T43">
            <v>120</v>
          </cell>
          <cell r="W43">
            <v>0</v>
          </cell>
          <cell r="Z43">
            <v>0</v>
          </cell>
          <cell r="AJ43">
            <v>3170</v>
          </cell>
          <cell r="AM43">
            <v>1966467</v>
          </cell>
        </row>
        <row r="45">
          <cell r="D45">
            <v>191884</v>
          </cell>
          <cell r="G45">
            <v>0</v>
          </cell>
          <cell r="J45">
            <v>0</v>
          </cell>
          <cell r="M45">
            <v>0</v>
          </cell>
          <cell r="T45">
            <v>0</v>
          </cell>
          <cell r="W45">
            <v>0</v>
          </cell>
          <cell r="Z45">
            <v>0</v>
          </cell>
          <cell r="AJ45">
            <v>24519</v>
          </cell>
          <cell r="AM45">
            <v>23123</v>
          </cell>
        </row>
        <row r="46">
          <cell r="D46">
            <v>26852</v>
          </cell>
          <cell r="G46">
            <v>4799</v>
          </cell>
          <cell r="J46">
            <v>0</v>
          </cell>
          <cell r="M46">
            <v>1850</v>
          </cell>
          <cell r="T46">
            <v>1580</v>
          </cell>
          <cell r="W46">
            <v>0</v>
          </cell>
          <cell r="Z46">
            <v>0</v>
          </cell>
          <cell r="AJ46">
            <v>11268</v>
          </cell>
          <cell r="AM46">
            <v>3412770</v>
          </cell>
        </row>
        <row r="49">
          <cell r="D49">
            <v>1783006</v>
          </cell>
          <cell r="G49">
            <v>875364</v>
          </cell>
          <cell r="J49">
            <v>13814</v>
          </cell>
          <cell r="M49">
            <v>1850</v>
          </cell>
          <cell r="P49">
            <v>2674034</v>
          </cell>
          <cell r="T49">
            <v>1822</v>
          </cell>
          <cell r="W49">
            <v>43400</v>
          </cell>
          <cell r="Z49">
            <v>774</v>
          </cell>
          <cell r="AC49">
            <v>45996</v>
          </cell>
          <cell r="AJ49">
            <v>690176</v>
          </cell>
          <cell r="AM49">
            <v>14985771</v>
          </cell>
          <cell r="AP49">
            <v>18395977</v>
          </cell>
        </row>
      </sheetData>
      <sheetData sheetId="9">
        <row r="10">
          <cell r="D10">
            <v>238714</v>
          </cell>
          <cell r="G10">
            <v>35287</v>
          </cell>
          <cell r="J10">
            <v>9799</v>
          </cell>
          <cell r="N10">
            <v>0</v>
          </cell>
          <cell r="Q10">
            <v>0</v>
          </cell>
          <cell r="X10">
            <v>2432</v>
          </cell>
          <cell r="AA10">
            <v>0</v>
          </cell>
          <cell r="AD10">
            <v>0</v>
          </cell>
        </row>
        <row r="11">
          <cell r="D11">
            <v>168509</v>
          </cell>
          <cell r="G11">
            <v>21779</v>
          </cell>
          <cell r="J11">
            <v>4991</v>
          </cell>
          <cell r="N11">
            <v>0</v>
          </cell>
          <cell r="Q11">
            <v>0</v>
          </cell>
          <cell r="X11">
            <v>472</v>
          </cell>
          <cell r="AA11">
            <v>0</v>
          </cell>
          <cell r="AD11">
            <v>0</v>
          </cell>
        </row>
        <row r="12">
          <cell r="D12">
            <v>180682</v>
          </cell>
          <cell r="G12">
            <v>23637</v>
          </cell>
          <cell r="J12">
            <v>4672</v>
          </cell>
          <cell r="N12">
            <v>0</v>
          </cell>
          <cell r="Q12">
            <v>0</v>
          </cell>
          <cell r="X12">
            <v>1048</v>
          </cell>
          <cell r="AA12">
            <v>0</v>
          </cell>
          <cell r="AD12">
            <v>0</v>
          </cell>
        </row>
        <row r="13">
          <cell r="D13">
            <v>211848</v>
          </cell>
          <cell r="G13">
            <v>31233</v>
          </cell>
          <cell r="J13">
            <v>7132</v>
          </cell>
          <cell r="N13">
            <v>0</v>
          </cell>
          <cell r="Q13">
            <v>0</v>
          </cell>
          <cell r="X13">
            <v>839</v>
          </cell>
          <cell r="AA13">
            <v>0</v>
          </cell>
          <cell r="AD13">
            <v>0</v>
          </cell>
        </row>
        <row r="14">
          <cell r="D14">
            <v>200878</v>
          </cell>
          <cell r="G14">
            <v>29398</v>
          </cell>
          <cell r="J14">
            <v>4840</v>
          </cell>
          <cell r="N14">
            <v>0</v>
          </cell>
          <cell r="Q14">
            <v>0</v>
          </cell>
          <cell r="X14">
            <v>497</v>
          </cell>
          <cell r="AA14">
            <v>0</v>
          </cell>
          <cell r="AD14">
            <v>0</v>
          </cell>
        </row>
        <row r="15">
          <cell r="D15">
            <v>184192</v>
          </cell>
          <cell r="G15">
            <v>24135</v>
          </cell>
          <cell r="J15">
            <v>6573</v>
          </cell>
          <cell r="N15">
            <v>0</v>
          </cell>
          <cell r="Q15">
            <v>0</v>
          </cell>
          <cell r="X15">
            <v>1254</v>
          </cell>
          <cell r="AA15">
            <v>0</v>
          </cell>
          <cell r="AD15">
            <v>0</v>
          </cell>
        </row>
        <row r="16">
          <cell r="D16">
            <v>139676</v>
          </cell>
          <cell r="G16">
            <v>18093</v>
          </cell>
          <cell r="J16">
            <v>4638</v>
          </cell>
          <cell r="N16">
            <v>0</v>
          </cell>
          <cell r="Q16">
            <v>0</v>
          </cell>
          <cell r="X16">
            <v>43</v>
          </cell>
          <cell r="AA16">
            <v>0</v>
          </cell>
          <cell r="AD16">
            <v>0</v>
          </cell>
        </row>
        <row r="17">
          <cell r="D17">
            <v>151129</v>
          </cell>
          <cell r="G17">
            <v>19702</v>
          </cell>
          <cell r="J17">
            <v>9167</v>
          </cell>
          <cell r="N17">
            <v>0</v>
          </cell>
          <cell r="Q17">
            <v>0</v>
          </cell>
          <cell r="X17">
            <v>3171</v>
          </cell>
          <cell r="AA17">
            <v>0</v>
          </cell>
          <cell r="AD17">
            <v>0</v>
          </cell>
        </row>
        <row r="18">
          <cell r="D18">
            <v>194138</v>
          </cell>
          <cell r="G18">
            <v>29245</v>
          </cell>
          <cell r="J18">
            <v>6207</v>
          </cell>
          <cell r="N18">
            <v>0</v>
          </cell>
          <cell r="Q18">
            <v>0</v>
          </cell>
          <cell r="X18">
            <v>5600</v>
          </cell>
          <cell r="AA18">
            <v>0</v>
          </cell>
          <cell r="AD18">
            <v>0</v>
          </cell>
        </row>
        <row r="19">
          <cell r="D19">
            <v>251510</v>
          </cell>
          <cell r="G19">
            <v>36415</v>
          </cell>
          <cell r="J19">
            <v>8597</v>
          </cell>
          <cell r="N19">
            <v>0</v>
          </cell>
          <cell r="Q19">
            <v>0</v>
          </cell>
          <cell r="X19">
            <v>2088</v>
          </cell>
          <cell r="AA19">
            <v>0</v>
          </cell>
          <cell r="AD19">
            <v>0</v>
          </cell>
        </row>
        <row r="20">
          <cell r="D20">
            <v>119927</v>
          </cell>
          <cell r="G20">
            <v>15551</v>
          </cell>
          <cell r="J20">
            <v>3797</v>
          </cell>
          <cell r="N20">
            <v>0</v>
          </cell>
          <cell r="Q20">
            <v>0</v>
          </cell>
          <cell r="X20">
            <v>380</v>
          </cell>
          <cell r="AA20">
            <v>0</v>
          </cell>
          <cell r="AD20">
            <v>0</v>
          </cell>
        </row>
        <row r="21">
          <cell r="D21">
            <v>115811</v>
          </cell>
          <cell r="G21">
            <v>15089</v>
          </cell>
          <cell r="J21">
            <v>4420</v>
          </cell>
          <cell r="N21">
            <v>0</v>
          </cell>
          <cell r="Q21">
            <v>0</v>
          </cell>
          <cell r="X21">
            <v>5071</v>
          </cell>
          <cell r="AA21">
            <v>0</v>
          </cell>
          <cell r="AD21">
            <v>0</v>
          </cell>
        </row>
        <row r="22">
          <cell r="D22">
            <v>146638</v>
          </cell>
          <cell r="G22">
            <v>19025</v>
          </cell>
          <cell r="J22">
            <v>5847</v>
          </cell>
          <cell r="N22">
            <v>0</v>
          </cell>
          <cell r="Q22">
            <v>0</v>
          </cell>
          <cell r="X22">
            <v>1066</v>
          </cell>
          <cell r="AA22">
            <v>0</v>
          </cell>
          <cell r="AD22">
            <v>0</v>
          </cell>
        </row>
        <row r="23">
          <cell r="D23">
            <v>163810</v>
          </cell>
          <cell r="G23">
            <v>21559</v>
          </cell>
          <cell r="J23">
            <v>4829</v>
          </cell>
          <cell r="N23">
            <v>0</v>
          </cell>
          <cell r="Q23">
            <v>0</v>
          </cell>
          <cell r="X23">
            <v>7421</v>
          </cell>
          <cell r="AA23">
            <v>0</v>
          </cell>
          <cell r="AD23">
            <v>0</v>
          </cell>
        </row>
        <row r="24">
          <cell r="D24">
            <v>233220</v>
          </cell>
          <cell r="G24">
            <v>34555</v>
          </cell>
          <cell r="J24">
            <v>13300</v>
          </cell>
          <cell r="N24">
            <v>0</v>
          </cell>
          <cell r="Q24">
            <v>0</v>
          </cell>
          <cell r="X24">
            <v>531</v>
          </cell>
          <cell r="AA24">
            <v>0</v>
          </cell>
          <cell r="AD24">
            <v>0</v>
          </cell>
        </row>
        <row r="25">
          <cell r="D25">
            <v>167779</v>
          </cell>
          <cell r="G25">
            <v>21787</v>
          </cell>
          <cell r="J25">
            <v>14404</v>
          </cell>
          <cell r="N25">
            <v>0</v>
          </cell>
          <cell r="Q25">
            <v>0</v>
          </cell>
          <cell r="X25">
            <v>3079</v>
          </cell>
          <cell r="AA25">
            <v>0</v>
          </cell>
          <cell r="AD25">
            <v>0</v>
          </cell>
        </row>
        <row r="26">
          <cell r="D26">
            <v>131613</v>
          </cell>
          <cell r="G26">
            <v>17172</v>
          </cell>
          <cell r="J26">
            <v>5628</v>
          </cell>
          <cell r="N26">
            <v>0</v>
          </cell>
          <cell r="Q26">
            <v>0</v>
          </cell>
          <cell r="X26">
            <v>4327</v>
          </cell>
          <cell r="AA26">
            <v>0</v>
          </cell>
          <cell r="AD26">
            <v>0</v>
          </cell>
        </row>
        <row r="27">
          <cell r="D27">
            <v>106426</v>
          </cell>
          <cell r="G27">
            <v>13797</v>
          </cell>
          <cell r="J27">
            <v>4114</v>
          </cell>
          <cell r="N27">
            <v>0</v>
          </cell>
          <cell r="Q27">
            <v>0</v>
          </cell>
          <cell r="X27">
            <v>112</v>
          </cell>
          <cell r="AA27">
            <v>0</v>
          </cell>
          <cell r="AD27">
            <v>0</v>
          </cell>
        </row>
        <row r="29">
          <cell r="D29">
            <v>323904</v>
          </cell>
          <cell r="G29">
            <v>48170</v>
          </cell>
          <cell r="J29">
            <v>2206308</v>
          </cell>
          <cell r="N29">
            <v>0</v>
          </cell>
          <cell r="Q29">
            <v>0</v>
          </cell>
          <cell r="X29">
            <v>32553</v>
          </cell>
          <cell r="AA29">
            <v>39641</v>
          </cell>
          <cell r="AD29">
            <v>0</v>
          </cell>
        </row>
        <row r="33">
          <cell r="D33">
            <v>171812</v>
          </cell>
          <cell r="G33">
            <v>17218</v>
          </cell>
          <cell r="J33">
            <v>112086</v>
          </cell>
          <cell r="N33">
            <v>0</v>
          </cell>
          <cell r="Q33">
            <v>4000</v>
          </cell>
          <cell r="X33">
            <v>1877</v>
          </cell>
          <cell r="AA33">
            <v>0</v>
          </cell>
          <cell r="AD33">
            <v>0</v>
          </cell>
        </row>
        <row r="34">
          <cell r="D34">
            <v>671826</v>
          </cell>
          <cell r="G34">
            <v>96109</v>
          </cell>
          <cell r="J34">
            <v>335575</v>
          </cell>
          <cell r="N34">
            <v>0</v>
          </cell>
          <cell r="Q34">
            <v>0</v>
          </cell>
          <cell r="X34">
            <v>95123</v>
          </cell>
          <cell r="AA34">
            <v>0</v>
          </cell>
          <cell r="AD34">
            <v>0</v>
          </cell>
        </row>
        <row r="35">
          <cell r="D35">
            <v>292455</v>
          </cell>
          <cell r="G35">
            <v>37993</v>
          </cell>
          <cell r="J35">
            <v>214314</v>
          </cell>
          <cell r="N35">
            <v>0</v>
          </cell>
          <cell r="Q35">
            <v>0</v>
          </cell>
          <cell r="X35">
            <v>12782</v>
          </cell>
          <cell r="AA35">
            <v>0</v>
          </cell>
          <cell r="AD35">
            <v>0</v>
          </cell>
        </row>
        <row r="36">
          <cell r="D36">
            <v>588093</v>
          </cell>
          <cell r="G36">
            <v>75771</v>
          </cell>
          <cell r="J36">
            <v>328383</v>
          </cell>
          <cell r="N36">
            <v>0</v>
          </cell>
          <cell r="Q36">
            <v>0</v>
          </cell>
          <cell r="X36">
            <v>52484</v>
          </cell>
          <cell r="AA36">
            <v>0</v>
          </cell>
          <cell r="AD36">
            <v>0</v>
          </cell>
        </row>
        <row r="39">
          <cell r="D39">
            <v>1131970</v>
          </cell>
          <cell r="G39">
            <v>171679</v>
          </cell>
          <cell r="J39">
            <v>687107</v>
          </cell>
          <cell r="N39">
            <v>0</v>
          </cell>
          <cell r="Q39">
            <v>30</v>
          </cell>
          <cell r="X39">
            <v>37014</v>
          </cell>
          <cell r="AA39">
            <v>41415</v>
          </cell>
          <cell r="AD39">
            <v>0</v>
          </cell>
        </row>
        <row r="41">
          <cell r="D41">
            <v>648977</v>
          </cell>
          <cell r="G41">
            <v>95837</v>
          </cell>
          <cell r="J41">
            <v>314806</v>
          </cell>
          <cell r="N41">
            <v>0</v>
          </cell>
          <cell r="Q41">
            <v>27</v>
          </cell>
          <cell r="X41">
            <v>13956</v>
          </cell>
          <cell r="AA41">
            <v>5450</v>
          </cell>
          <cell r="AD41">
            <v>0</v>
          </cell>
        </row>
        <row r="43">
          <cell r="D43">
            <v>1521491</v>
          </cell>
          <cell r="G43">
            <v>237765</v>
          </cell>
          <cell r="J43">
            <v>252167</v>
          </cell>
          <cell r="N43">
            <v>0</v>
          </cell>
          <cell r="Q43">
            <v>0</v>
          </cell>
          <cell r="X43">
            <v>46350</v>
          </cell>
          <cell r="AA43">
            <v>36469</v>
          </cell>
          <cell r="AD43">
            <v>0</v>
          </cell>
        </row>
        <row r="45">
          <cell r="D45">
            <v>73360</v>
          </cell>
          <cell r="G45">
            <v>9983</v>
          </cell>
          <cell r="J45">
            <v>148451</v>
          </cell>
          <cell r="N45">
            <v>0</v>
          </cell>
          <cell r="Q45">
            <v>0</v>
          </cell>
          <cell r="X45">
            <v>7732</v>
          </cell>
          <cell r="AA45">
            <v>0</v>
          </cell>
          <cell r="AD45">
            <v>0</v>
          </cell>
        </row>
        <row r="46">
          <cell r="D46">
            <v>2485906</v>
          </cell>
          <cell r="G46">
            <v>367753</v>
          </cell>
          <cell r="J46">
            <v>487163</v>
          </cell>
          <cell r="N46">
            <v>0</v>
          </cell>
          <cell r="Q46">
            <v>6260</v>
          </cell>
          <cell r="X46">
            <v>112037</v>
          </cell>
          <cell r="AA46">
            <v>0</v>
          </cell>
          <cell r="AD46">
            <v>0</v>
          </cell>
        </row>
        <row r="49">
          <cell r="D49">
            <v>11016294</v>
          </cell>
          <cell r="G49">
            <v>1585737</v>
          </cell>
          <cell r="J49">
            <v>5209315</v>
          </cell>
          <cell r="N49">
            <v>0</v>
          </cell>
          <cell r="Q49">
            <v>10317</v>
          </cell>
          <cell r="T49">
            <v>17821663</v>
          </cell>
          <cell r="X49">
            <v>451339</v>
          </cell>
          <cell r="AA49">
            <v>122975</v>
          </cell>
          <cell r="AD49">
            <v>0</v>
          </cell>
          <cell r="AG49">
            <v>574314</v>
          </cell>
          <cell r="AJ49">
            <v>18395977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.bevételek RM I maradvány"/>
      <sheetName val="int.kiadások RM 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</sheetNames>
    <sheetDataSet>
      <sheetData sheetId="0"/>
      <sheetData sheetId="1"/>
      <sheetData sheetId="2">
        <row r="49">
          <cell r="R49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éves besz.bevételei2025"/>
      <sheetName val="éves besz.kiadásai2025"/>
    </sheetNames>
    <sheetDataSet>
      <sheetData sheetId="0">
        <row r="10">
          <cell r="AV10">
            <v>275998</v>
          </cell>
          <cell r="AW10">
            <v>286232</v>
          </cell>
          <cell r="AX10">
            <v>275642</v>
          </cell>
        </row>
        <row r="11">
          <cell r="AV11">
            <v>188734</v>
          </cell>
          <cell r="AW11">
            <v>195751</v>
          </cell>
          <cell r="AX11">
            <v>189495</v>
          </cell>
        </row>
        <row r="12">
          <cell r="AV12">
            <v>199724</v>
          </cell>
          <cell r="AW12">
            <v>210039</v>
          </cell>
          <cell r="AX12">
            <v>204765</v>
          </cell>
        </row>
        <row r="13">
          <cell r="AV13">
            <v>241121</v>
          </cell>
          <cell r="AW13">
            <v>251052</v>
          </cell>
          <cell r="AX13">
            <v>241318</v>
          </cell>
        </row>
        <row r="14">
          <cell r="AV14">
            <v>228280</v>
          </cell>
          <cell r="AW14">
            <v>235613</v>
          </cell>
          <cell r="AX14">
            <v>230758</v>
          </cell>
        </row>
        <row r="15">
          <cell r="AV15">
            <v>207279</v>
          </cell>
          <cell r="AW15">
            <v>216154</v>
          </cell>
          <cell r="AX15">
            <v>202119</v>
          </cell>
        </row>
        <row r="16">
          <cell r="AV16">
            <v>158026</v>
          </cell>
          <cell r="AW16">
            <v>162450</v>
          </cell>
          <cell r="AX16">
            <v>155928</v>
          </cell>
        </row>
        <row r="17">
          <cell r="AV17">
            <v>168943</v>
          </cell>
          <cell r="AW17">
            <v>183169</v>
          </cell>
          <cell r="AX17">
            <v>178224</v>
          </cell>
        </row>
        <row r="18">
          <cell r="AV18">
            <v>230860</v>
          </cell>
          <cell r="AW18">
            <v>235190</v>
          </cell>
          <cell r="AX18">
            <v>224858</v>
          </cell>
        </row>
        <row r="19">
          <cell r="AV19">
            <v>288652</v>
          </cell>
          <cell r="AW19">
            <v>298610</v>
          </cell>
          <cell r="AX19">
            <v>292530</v>
          </cell>
        </row>
        <row r="20">
          <cell r="AV20">
            <v>136024</v>
          </cell>
          <cell r="AW20">
            <v>139655</v>
          </cell>
          <cell r="AX20">
            <v>137204</v>
          </cell>
        </row>
        <row r="21">
          <cell r="AV21">
            <v>130842</v>
          </cell>
          <cell r="AW21">
            <v>140391</v>
          </cell>
          <cell r="AX21">
            <v>135226</v>
          </cell>
        </row>
        <row r="22">
          <cell r="AV22">
            <v>162112</v>
          </cell>
          <cell r="AW22">
            <v>172576</v>
          </cell>
          <cell r="AX22">
            <v>167086</v>
          </cell>
        </row>
        <row r="23">
          <cell r="AV23">
            <v>192403</v>
          </cell>
          <cell r="AW23">
            <v>197619</v>
          </cell>
          <cell r="AX23">
            <v>187412</v>
          </cell>
        </row>
        <row r="24">
          <cell r="AV24">
            <v>267728</v>
          </cell>
          <cell r="AW24">
            <v>281606</v>
          </cell>
          <cell r="AX24">
            <v>246535</v>
          </cell>
        </row>
        <row r="25">
          <cell r="AV25">
            <v>194987</v>
          </cell>
          <cell r="AW25">
            <v>207049</v>
          </cell>
          <cell r="AX25">
            <v>186210</v>
          </cell>
        </row>
        <row r="26">
          <cell r="AV26">
            <v>148733</v>
          </cell>
          <cell r="AW26">
            <v>158740</v>
          </cell>
          <cell r="AX26">
            <v>155321</v>
          </cell>
        </row>
        <row r="27">
          <cell r="AV27">
            <v>120454</v>
          </cell>
          <cell r="AW27">
            <v>124449</v>
          </cell>
          <cell r="AX27">
            <v>112785</v>
          </cell>
        </row>
        <row r="28">
          <cell r="AV28">
            <v>3540900</v>
          </cell>
          <cell r="AW28">
            <v>3696345</v>
          </cell>
          <cell r="AX28">
            <v>3523416</v>
          </cell>
        </row>
        <row r="29">
          <cell r="AV29">
            <v>2495269</v>
          </cell>
          <cell r="AW29">
            <v>2650576</v>
          </cell>
          <cell r="AX29">
            <v>2581927</v>
          </cell>
        </row>
        <row r="30">
          <cell r="AV30">
            <v>6036169</v>
          </cell>
          <cell r="AW30">
            <v>6346921</v>
          </cell>
          <cell r="AX30">
            <v>6105343</v>
          </cell>
        </row>
        <row r="33">
          <cell r="AV33">
            <v>162526</v>
          </cell>
          <cell r="AW33">
            <v>306993</v>
          </cell>
          <cell r="AX33">
            <v>306993</v>
          </cell>
        </row>
        <row r="34">
          <cell r="AV34">
            <v>581360</v>
          </cell>
          <cell r="AW34">
            <v>1198633</v>
          </cell>
          <cell r="AX34">
            <v>1182956</v>
          </cell>
        </row>
        <row r="35">
          <cell r="AV35">
            <v>324895</v>
          </cell>
          <cell r="AW35">
            <v>557544</v>
          </cell>
          <cell r="AX35">
            <v>557544</v>
          </cell>
        </row>
        <row r="36">
          <cell r="AV36">
            <v>756427</v>
          </cell>
          <cell r="AW36">
            <v>1044731</v>
          </cell>
          <cell r="AX36">
            <v>988091</v>
          </cell>
        </row>
        <row r="37">
          <cell r="AV37">
            <v>1825208</v>
          </cell>
          <cell r="AW37">
            <v>3107901</v>
          </cell>
          <cell r="AX37">
            <v>3035584</v>
          </cell>
        </row>
        <row r="39">
          <cell r="AV39">
            <v>1717664</v>
          </cell>
          <cell r="AW39">
            <v>2069215</v>
          </cell>
          <cell r="AX39">
            <v>1969279</v>
          </cell>
        </row>
        <row r="41">
          <cell r="AV41">
            <v>844822</v>
          </cell>
          <cell r="AW41">
            <v>1079053</v>
          </cell>
          <cell r="AX41">
            <v>1063068</v>
          </cell>
        </row>
        <row r="43">
          <cell r="AV43">
            <v>1980565</v>
          </cell>
          <cell r="AW43">
            <v>2094242</v>
          </cell>
          <cell r="AX43">
            <v>2029070</v>
          </cell>
        </row>
        <row r="45">
          <cell r="AV45">
            <v>209018</v>
          </cell>
          <cell r="AW45">
            <v>239526</v>
          </cell>
          <cell r="AX45">
            <v>226403</v>
          </cell>
        </row>
        <row r="46">
          <cell r="AV46">
            <v>3206217</v>
          </cell>
          <cell r="AW46">
            <v>3459119</v>
          </cell>
          <cell r="AX46">
            <v>3222471</v>
          </cell>
        </row>
        <row r="47">
          <cell r="AV47">
            <v>3415235</v>
          </cell>
          <cell r="AW47">
            <v>3698645</v>
          </cell>
          <cell r="AX47">
            <v>3448874</v>
          </cell>
        </row>
        <row r="48">
          <cell r="AV48">
            <v>9783494</v>
          </cell>
          <cell r="AW48">
            <v>12049056</v>
          </cell>
          <cell r="AX48">
            <v>11545875</v>
          </cell>
        </row>
        <row r="49">
          <cell r="AV49">
            <v>15819663</v>
          </cell>
          <cell r="AW49">
            <v>18395977</v>
          </cell>
          <cell r="AX49">
            <v>17651218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étszám ei mód RM II. int."/>
      <sheetName val="létszám ei mód RM III."/>
      <sheetName val="létszám ei mód RM IV."/>
      <sheetName val="létszám GAMESZ takarékossági pr"/>
    </sheetNames>
    <sheetDataSet>
      <sheetData sheetId="0"/>
      <sheetData sheetId="1"/>
      <sheetData sheetId="2">
        <row r="8">
          <cell r="H8">
            <v>34</v>
          </cell>
        </row>
        <row r="9">
          <cell r="H9">
            <v>24</v>
          </cell>
        </row>
        <row r="10">
          <cell r="H10">
            <v>24</v>
          </cell>
        </row>
        <row r="11">
          <cell r="H11">
            <v>29</v>
          </cell>
        </row>
        <row r="12">
          <cell r="H12">
            <v>28</v>
          </cell>
        </row>
        <row r="13">
          <cell r="H13">
            <v>24</v>
          </cell>
        </row>
        <row r="14">
          <cell r="H14">
            <v>19</v>
          </cell>
        </row>
        <row r="15">
          <cell r="H15">
            <v>19</v>
          </cell>
        </row>
        <row r="16">
          <cell r="H16">
            <v>28</v>
          </cell>
        </row>
        <row r="17">
          <cell r="H17">
            <v>31</v>
          </cell>
        </row>
        <row r="18">
          <cell r="H18">
            <v>16</v>
          </cell>
        </row>
        <row r="19">
          <cell r="H19">
            <v>15</v>
          </cell>
        </row>
        <row r="20">
          <cell r="H20">
            <v>20</v>
          </cell>
        </row>
        <row r="21">
          <cell r="H21">
            <v>21</v>
          </cell>
        </row>
        <row r="22">
          <cell r="H22">
            <v>32</v>
          </cell>
        </row>
        <row r="23">
          <cell r="H23">
            <v>24</v>
          </cell>
        </row>
        <row r="24">
          <cell r="H24">
            <v>18</v>
          </cell>
        </row>
        <row r="25">
          <cell r="H25">
            <v>13</v>
          </cell>
        </row>
        <row r="27">
          <cell r="H27">
            <v>44</v>
          </cell>
        </row>
        <row r="31">
          <cell r="H31">
            <v>20</v>
          </cell>
        </row>
        <row r="32">
          <cell r="H32">
            <v>84</v>
          </cell>
        </row>
        <row r="33">
          <cell r="H33">
            <v>46</v>
          </cell>
        </row>
        <row r="34">
          <cell r="H34">
            <v>101</v>
          </cell>
        </row>
        <row r="37">
          <cell r="H37">
            <v>183</v>
          </cell>
        </row>
        <row r="39">
          <cell r="H39">
            <v>72</v>
          </cell>
        </row>
        <row r="41">
          <cell r="H41">
            <v>202</v>
          </cell>
        </row>
        <row r="43">
          <cell r="H43">
            <v>14</v>
          </cell>
        </row>
        <row r="44">
          <cell r="H44">
            <v>302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4FA7-2B92-4630-BF20-6B3F545CE6D5}">
  <dimension ref="A1:S41"/>
  <sheetViews>
    <sheetView zoomScale="75" zoomScaleNormal="75" workbookViewId="0">
      <selection activeCell="B2" sqref="B2:F2"/>
    </sheetView>
  </sheetViews>
  <sheetFormatPr defaultRowHeight="15.75"/>
  <cols>
    <col min="1" max="1" width="14.33203125" style="475" customWidth="1"/>
    <col min="2" max="2" width="121" style="475" customWidth="1"/>
    <col min="3" max="4" width="46.5" style="475" customWidth="1"/>
    <col min="5" max="5" width="46.33203125" style="549" customWidth="1"/>
    <col min="6" max="6" width="14.33203125" style="549" customWidth="1"/>
    <col min="7" max="7" width="121.1640625" style="475" customWidth="1"/>
    <col min="8" max="9" width="46.33203125" style="475" customWidth="1"/>
    <col min="10" max="10" width="46.33203125" style="549" customWidth="1"/>
    <col min="11" max="11" width="5.83203125" style="475" customWidth="1"/>
    <col min="12" max="12" width="18.1640625" style="475" customWidth="1"/>
    <col min="13" max="13" width="16.6640625" style="475" bestFit="1" customWidth="1"/>
    <col min="14" max="14" width="17.5" style="475" customWidth="1"/>
    <col min="15" max="15" width="16.6640625" style="475" bestFit="1" customWidth="1"/>
    <col min="16" max="16" width="9.33203125" style="475"/>
    <col min="17" max="18" width="23.83203125" style="475" bestFit="1" customWidth="1"/>
    <col min="19" max="256" width="9.33203125" style="475"/>
    <col min="257" max="257" width="14.33203125" style="475" customWidth="1"/>
    <col min="258" max="258" width="121" style="475" customWidth="1"/>
    <col min="259" max="259" width="37.6640625" style="475" customWidth="1"/>
    <col min="260" max="261" width="35.83203125" style="475" customWidth="1"/>
    <col min="262" max="262" width="14.33203125" style="475" customWidth="1"/>
    <col min="263" max="263" width="121" style="475" customWidth="1"/>
    <col min="264" max="264" width="37.1640625" style="475" customWidth="1"/>
    <col min="265" max="266" width="35.83203125" style="475" customWidth="1"/>
    <col min="267" max="268" width="18.1640625" style="475" customWidth="1"/>
    <col min="269" max="269" width="15" style="475" bestFit="1" customWidth="1"/>
    <col min="270" max="270" width="17.5" style="475" customWidth="1"/>
    <col min="271" max="512" width="9.33203125" style="475"/>
    <col min="513" max="513" width="14.33203125" style="475" customWidth="1"/>
    <col min="514" max="514" width="121" style="475" customWidth="1"/>
    <col min="515" max="515" width="37.6640625" style="475" customWidth="1"/>
    <col min="516" max="517" width="35.83203125" style="475" customWidth="1"/>
    <col min="518" max="518" width="14.33203125" style="475" customWidth="1"/>
    <col min="519" max="519" width="121" style="475" customWidth="1"/>
    <col min="520" max="520" width="37.1640625" style="475" customWidth="1"/>
    <col min="521" max="522" width="35.83203125" style="475" customWidth="1"/>
    <col min="523" max="524" width="18.1640625" style="475" customWidth="1"/>
    <col min="525" max="525" width="15" style="475" bestFit="1" customWidth="1"/>
    <col min="526" max="526" width="17.5" style="475" customWidth="1"/>
    <col min="527" max="768" width="9.33203125" style="475"/>
    <col min="769" max="769" width="14.33203125" style="475" customWidth="1"/>
    <col min="770" max="770" width="121" style="475" customWidth="1"/>
    <col min="771" max="771" width="37.6640625" style="475" customWidth="1"/>
    <col min="772" max="773" width="35.83203125" style="475" customWidth="1"/>
    <col min="774" max="774" width="14.33203125" style="475" customWidth="1"/>
    <col min="775" max="775" width="121" style="475" customWidth="1"/>
    <col min="776" max="776" width="37.1640625" style="475" customWidth="1"/>
    <col min="777" max="778" width="35.83203125" style="475" customWidth="1"/>
    <col min="779" max="780" width="18.1640625" style="475" customWidth="1"/>
    <col min="781" max="781" width="15" style="475" bestFit="1" customWidth="1"/>
    <col min="782" max="782" width="17.5" style="475" customWidth="1"/>
    <col min="783" max="1024" width="9.33203125" style="475"/>
    <col min="1025" max="1025" width="14.33203125" style="475" customWidth="1"/>
    <col min="1026" max="1026" width="121" style="475" customWidth="1"/>
    <col min="1027" max="1027" width="37.6640625" style="475" customWidth="1"/>
    <col min="1028" max="1029" width="35.83203125" style="475" customWidth="1"/>
    <col min="1030" max="1030" width="14.33203125" style="475" customWidth="1"/>
    <col min="1031" max="1031" width="121" style="475" customWidth="1"/>
    <col min="1032" max="1032" width="37.1640625" style="475" customWidth="1"/>
    <col min="1033" max="1034" width="35.83203125" style="475" customWidth="1"/>
    <col min="1035" max="1036" width="18.1640625" style="475" customWidth="1"/>
    <col min="1037" max="1037" width="15" style="475" bestFit="1" customWidth="1"/>
    <col min="1038" max="1038" width="17.5" style="475" customWidth="1"/>
    <col min="1039" max="1280" width="9.33203125" style="475"/>
    <col min="1281" max="1281" width="14.33203125" style="475" customWidth="1"/>
    <col min="1282" max="1282" width="121" style="475" customWidth="1"/>
    <col min="1283" max="1283" width="37.6640625" style="475" customWidth="1"/>
    <col min="1284" max="1285" width="35.83203125" style="475" customWidth="1"/>
    <col min="1286" max="1286" width="14.33203125" style="475" customWidth="1"/>
    <col min="1287" max="1287" width="121" style="475" customWidth="1"/>
    <col min="1288" max="1288" width="37.1640625" style="475" customWidth="1"/>
    <col min="1289" max="1290" width="35.83203125" style="475" customWidth="1"/>
    <col min="1291" max="1292" width="18.1640625" style="475" customWidth="1"/>
    <col min="1293" max="1293" width="15" style="475" bestFit="1" customWidth="1"/>
    <col min="1294" max="1294" width="17.5" style="475" customWidth="1"/>
    <col min="1295" max="1536" width="9.33203125" style="475"/>
    <col min="1537" max="1537" width="14.33203125" style="475" customWidth="1"/>
    <col min="1538" max="1538" width="121" style="475" customWidth="1"/>
    <col min="1539" max="1539" width="37.6640625" style="475" customWidth="1"/>
    <col min="1540" max="1541" width="35.83203125" style="475" customWidth="1"/>
    <col min="1542" max="1542" width="14.33203125" style="475" customWidth="1"/>
    <col min="1543" max="1543" width="121" style="475" customWidth="1"/>
    <col min="1544" max="1544" width="37.1640625" style="475" customWidth="1"/>
    <col min="1545" max="1546" width="35.83203125" style="475" customWidth="1"/>
    <col min="1547" max="1548" width="18.1640625" style="475" customWidth="1"/>
    <col min="1549" max="1549" width="15" style="475" bestFit="1" customWidth="1"/>
    <col min="1550" max="1550" width="17.5" style="475" customWidth="1"/>
    <col min="1551" max="1792" width="9.33203125" style="475"/>
    <col min="1793" max="1793" width="14.33203125" style="475" customWidth="1"/>
    <col min="1794" max="1794" width="121" style="475" customWidth="1"/>
    <col min="1795" max="1795" width="37.6640625" style="475" customWidth="1"/>
    <col min="1796" max="1797" width="35.83203125" style="475" customWidth="1"/>
    <col min="1798" max="1798" width="14.33203125" style="475" customWidth="1"/>
    <col min="1799" max="1799" width="121" style="475" customWidth="1"/>
    <col min="1800" max="1800" width="37.1640625" style="475" customWidth="1"/>
    <col min="1801" max="1802" width="35.83203125" style="475" customWidth="1"/>
    <col min="1803" max="1804" width="18.1640625" style="475" customWidth="1"/>
    <col min="1805" max="1805" width="15" style="475" bestFit="1" customWidth="1"/>
    <col min="1806" max="1806" width="17.5" style="475" customWidth="1"/>
    <col min="1807" max="2048" width="9.33203125" style="475"/>
    <col min="2049" max="2049" width="14.33203125" style="475" customWidth="1"/>
    <col min="2050" max="2050" width="121" style="475" customWidth="1"/>
    <col min="2051" max="2051" width="37.6640625" style="475" customWidth="1"/>
    <col min="2052" max="2053" width="35.83203125" style="475" customWidth="1"/>
    <col min="2054" max="2054" width="14.33203125" style="475" customWidth="1"/>
    <col min="2055" max="2055" width="121" style="475" customWidth="1"/>
    <col min="2056" max="2056" width="37.1640625" style="475" customWidth="1"/>
    <col min="2057" max="2058" width="35.83203125" style="475" customWidth="1"/>
    <col min="2059" max="2060" width="18.1640625" style="475" customWidth="1"/>
    <col min="2061" max="2061" width="15" style="475" bestFit="1" customWidth="1"/>
    <col min="2062" max="2062" width="17.5" style="475" customWidth="1"/>
    <col min="2063" max="2304" width="9.33203125" style="475"/>
    <col min="2305" max="2305" width="14.33203125" style="475" customWidth="1"/>
    <col min="2306" max="2306" width="121" style="475" customWidth="1"/>
    <col min="2307" max="2307" width="37.6640625" style="475" customWidth="1"/>
    <col min="2308" max="2309" width="35.83203125" style="475" customWidth="1"/>
    <col min="2310" max="2310" width="14.33203125" style="475" customWidth="1"/>
    <col min="2311" max="2311" width="121" style="475" customWidth="1"/>
    <col min="2312" max="2312" width="37.1640625" style="475" customWidth="1"/>
    <col min="2313" max="2314" width="35.83203125" style="475" customWidth="1"/>
    <col min="2315" max="2316" width="18.1640625" style="475" customWidth="1"/>
    <col min="2317" max="2317" width="15" style="475" bestFit="1" customWidth="1"/>
    <col min="2318" max="2318" width="17.5" style="475" customWidth="1"/>
    <col min="2319" max="2560" width="9.33203125" style="475"/>
    <col min="2561" max="2561" width="14.33203125" style="475" customWidth="1"/>
    <col min="2562" max="2562" width="121" style="475" customWidth="1"/>
    <col min="2563" max="2563" width="37.6640625" style="475" customWidth="1"/>
    <col min="2564" max="2565" width="35.83203125" style="475" customWidth="1"/>
    <col min="2566" max="2566" width="14.33203125" style="475" customWidth="1"/>
    <col min="2567" max="2567" width="121" style="475" customWidth="1"/>
    <col min="2568" max="2568" width="37.1640625" style="475" customWidth="1"/>
    <col min="2569" max="2570" width="35.83203125" style="475" customWidth="1"/>
    <col min="2571" max="2572" width="18.1640625" style="475" customWidth="1"/>
    <col min="2573" max="2573" width="15" style="475" bestFit="1" customWidth="1"/>
    <col min="2574" max="2574" width="17.5" style="475" customWidth="1"/>
    <col min="2575" max="2816" width="9.33203125" style="475"/>
    <col min="2817" max="2817" width="14.33203125" style="475" customWidth="1"/>
    <col min="2818" max="2818" width="121" style="475" customWidth="1"/>
    <col min="2819" max="2819" width="37.6640625" style="475" customWidth="1"/>
    <col min="2820" max="2821" width="35.83203125" style="475" customWidth="1"/>
    <col min="2822" max="2822" width="14.33203125" style="475" customWidth="1"/>
    <col min="2823" max="2823" width="121" style="475" customWidth="1"/>
    <col min="2824" max="2824" width="37.1640625" style="475" customWidth="1"/>
    <col min="2825" max="2826" width="35.83203125" style="475" customWidth="1"/>
    <col min="2827" max="2828" width="18.1640625" style="475" customWidth="1"/>
    <col min="2829" max="2829" width="15" style="475" bestFit="1" customWidth="1"/>
    <col min="2830" max="2830" width="17.5" style="475" customWidth="1"/>
    <col min="2831" max="3072" width="9.33203125" style="475"/>
    <col min="3073" max="3073" width="14.33203125" style="475" customWidth="1"/>
    <col min="3074" max="3074" width="121" style="475" customWidth="1"/>
    <col min="3075" max="3075" width="37.6640625" style="475" customWidth="1"/>
    <col min="3076" max="3077" width="35.83203125" style="475" customWidth="1"/>
    <col min="3078" max="3078" width="14.33203125" style="475" customWidth="1"/>
    <col min="3079" max="3079" width="121" style="475" customWidth="1"/>
    <col min="3080" max="3080" width="37.1640625" style="475" customWidth="1"/>
    <col min="3081" max="3082" width="35.83203125" style="475" customWidth="1"/>
    <col min="3083" max="3084" width="18.1640625" style="475" customWidth="1"/>
    <col min="3085" max="3085" width="15" style="475" bestFit="1" customWidth="1"/>
    <col min="3086" max="3086" width="17.5" style="475" customWidth="1"/>
    <col min="3087" max="3328" width="9.33203125" style="475"/>
    <col min="3329" max="3329" width="14.33203125" style="475" customWidth="1"/>
    <col min="3330" max="3330" width="121" style="475" customWidth="1"/>
    <col min="3331" max="3331" width="37.6640625" style="475" customWidth="1"/>
    <col min="3332" max="3333" width="35.83203125" style="475" customWidth="1"/>
    <col min="3334" max="3334" width="14.33203125" style="475" customWidth="1"/>
    <col min="3335" max="3335" width="121" style="475" customWidth="1"/>
    <col min="3336" max="3336" width="37.1640625" style="475" customWidth="1"/>
    <col min="3337" max="3338" width="35.83203125" style="475" customWidth="1"/>
    <col min="3339" max="3340" width="18.1640625" style="475" customWidth="1"/>
    <col min="3341" max="3341" width="15" style="475" bestFit="1" customWidth="1"/>
    <col min="3342" max="3342" width="17.5" style="475" customWidth="1"/>
    <col min="3343" max="3584" width="9.33203125" style="475"/>
    <col min="3585" max="3585" width="14.33203125" style="475" customWidth="1"/>
    <col min="3586" max="3586" width="121" style="475" customWidth="1"/>
    <col min="3587" max="3587" width="37.6640625" style="475" customWidth="1"/>
    <col min="3588" max="3589" width="35.83203125" style="475" customWidth="1"/>
    <col min="3590" max="3590" width="14.33203125" style="475" customWidth="1"/>
    <col min="3591" max="3591" width="121" style="475" customWidth="1"/>
    <col min="3592" max="3592" width="37.1640625" style="475" customWidth="1"/>
    <col min="3593" max="3594" width="35.83203125" style="475" customWidth="1"/>
    <col min="3595" max="3596" width="18.1640625" style="475" customWidth="1"/>
    <col min="3597" max="3597" width="15" style="475" bestFit="1" customWidth="1"/>
    <col min="3598" max="3598" width="17.5" style="475" customWidth="1"/>
    <col min="3599" max="3840" width="9.33203125" style="475"/>
    <col min="3841" max="3841" width="14.33203125" style="475" customWidth="1"/>
    <col min="3842" max="3842" width="121" style="475" customWidth="1"/>
    <col min="3843" max="3843" width="37.6640625" style="475" customWidth="1"/>
    <col min="3844" max="3845" width="35.83203125" style="475" customWidth="1"/>
    <col min="3846" max="3846" width="14.33203125" style="475" customWidth="1"/>
    <col min="3847" max="3847" width="121" style="475" customWidth="1"/>
    <col min="3848" max="3848" width="37.1640625" style="475" customWidth="1"/>
    <col min="3849" max="3850" width="35.83203125" style="475" customWidth="1"/>
    <col min="3851" max="3852" width="18.1640625" style="475" customWidth="1"/>
    <col min="3853" max="3853" width="15" style="475" bestFit="1" customWidth="1"/>
    <col min="3854" max="3854" width="17.5" style="475" customWidth="1"/>
    <col min="3855" max="4096" width="9.33203125" style="475"/>
    <col min="4097" max="4097" width="14.33203125" style="475" customWidth="1"/>
    <col min="4098" max="4098" width="121" style="475" customWidth="1"/>
    <col min="4099" max="4099" width="37.6640625" style="475" customWidth="1"/>
    <col min="4100" max="4101" width="35.83203125" style="475" customWidth="1"/>
    <col min="4102" max="4102" width="14.33203125" style="475" customWidth="1"/>
    <col min="4103" max="4103" width="121" style="475" customWidth="1"/>
    <col min="4104" max="4104" width="37.1640625" style="475" customWidth="1"/>
    <col min="4105" max="4106" width="35.83203125" style="475" customWidth="1"/>
    <col min="4107" max="4108" width="18.1640625" style="475" customWidth="1"/>
    <col min="4109" max="4109" width="15" style="475" bestFit="1" customWidth="1"/>
    <col min="4110" max="4110" width="17.5" style="475" customWidth="1"/>
    <col min="4111" max="4352" width="9.33203125" style="475"/>
    <col min="4353" max="4353" width="14.33203125" style="475" customWidth="1"/>
    <col min="4354" max="4354" width="121" style="475" customWidth="1"/>
    <col min="4355" max="4355" width="37.6640625" style="475" customWidth="1"/>
    <col min="4356" max="4357" width="35.83203125" style="475" customWidth="1"/>
    <col min="4358" max="4358" width="14.33203125" style="475" customWidth="1"/>
    <col min="4359" max="4359" width="121" style="475" customWidth="1"/>
    <col min="4360" max="4360" width="37.1640625" style="475" customWidth="1"/>
    <col min="4361" max="4362" width="35.83203125" style="475" customWidth="1"/>
    <col min="4363" max="4364" width="18.1640625" style="475" customWidth="1"/>
    <col min="4365" max="4365" width="15" style="475" bestFit="1" customWidth="1"/>
    <col min="4366" max="4366" width="17.5" style="475" customWidth="1"/>
    <col min="4367" max="4608" width="9.33203125" style="475"/>
    <col min="4609" max="4609" width="14.33203125" style="475" customWidth="1"/>
    <col min="4610" max="4610" width="121" style="475" customWidth="1"/>
    <col min="4611" max="4611" width="37.6640625" style="475" customWidth="1"/>
    <col min="4612" max="4613" width="35.83203125" style="475" customWidth="1"/>
    <col min="4614" max="4614" width="14.33203125" style="475" customWidth="1"/>
    <col min="4615" max="4615" width="121" style="475" customWidth="1"/>
    <col min="4616" max="4616" width="37.1640625" style="475" customWidth="1"/>
    <col min="4617" max="4618" width="35.83203125" style="475" customWidth="1"/>
    <col min="4619" max="4620" width="18.1640625" style="475" customWidth="1"/>
    <col min="4621" max="4621" width="15" style="475" bestFit="1" customWidth="1"/>
    <col min="4622" max="4622" width="17.5" style="475" customWidth="1"/>
    <col min="4623" max="4864" width="9.33203125" style="475"/>
    <col min="4865" max="4865" width="14.33203125" style="475" customWidth="1"/>
    <col min="4866" max="4866" width="121" style="475" customWidth="1"/>
    <col min="4867" max="4867" width="37.6640625" style="475" customWidth="1"/>
    <col min="4868" max="4869" width="35.83203125" style="475" customWidth="1"/>
    <col min="4870" max="4870" width="14.33203125" style="475" customWidth="1"/>
    <col min="4871" max="4871" width="121" style="475" customWidth="1"/>
    <col min="4872" max="4872" width="37.1640625" style="475" customWidth="1"/>
    <col min="4873" max="4874" width="35.83203125" style="475" customWidth="1"/>
    <col min="4875" max="4876" width="18.1640625" style="475" customWidth="1"/>
    <col min="4877" max="4877" width="15" style="475" bestFit="1" customWidth="1"/>
    <col min="4878" max="4878" width="17.5" style="475" customWidth="1"/>
    <col min="4879" max="5120" width="9.33203125" style="475"/>
    <col min="5121" max="5121" width="14.33203125" style="475" customWidth="1"/>
    <col min="5122" max="5122" width="121" style="475" customWidth="1"/>
    <col min="5123" max="5123" width="37.6640625" style="475" customWidth="1"/>
    <col min="5124" max="5125" width="35.83203125" style="475" customWidth="1"/>
    <col min="5126" max="5126" width="14.33203125" style="475" customWidth="1"/>
    <col min="5127" max="5127" width="121" style="475" customWidth="1"/>
    <col min="5128" max="5128" width="37.1640625" style="475" customWidth="1"/>
    <col min="5129" max="5130" width="35.83203125" style="475" customWidth="1"/>
    <col min="5131" max="5132" width="18.1640625" style="475" customWidth="1"/>
    <col min="5133" max="5133" width="15" style="475" bestFit="1" customWidth="1"/>
    <col min="5134" max="5134" width="17.5" style="475" customWidth="1"/>
    <col min="5135" max="5376" width="9.33203125" style="475"/>
    <col min="5377" max="5377" width="14.33203125" style="475" customWidth="1"/>
    <col min="5378" max="5378" width="121" style="475" customWidth="1"/>
    <col min="5379" max="5379" width="37.6640625" style="475" customWidth="1"/>
    <col min="5380" max="5381" width="35.83203125" style="475" customWidth="1"/>
    <col min="5382" max="5382" width="14.33203125" style="475" customWidth="1"/>
    <col min="5383" max="5383" width="121" style="475" customWidth="1"/>
    <col min="5384" max="5384" width="37.1640625" style="475" customWidth="1"/>
    <col min="5385" max="5386" width="35.83203125" style="475" customWidth="1"/>
    <col min="5387" max="5388" width="18.1640625" style="475" customWidth="1"/>
    <col min="5389" max="5389" width="15" style="475" bestFit="1" customWidth="1"/>
    <col min="5390" max="5390" width="17.5" style="475" customWidth="1"/>
    <col min="5391" max="5632" width="9.33203125" style="475"/>
    <col min="5633" max="5633" width="14.33203125" style="475" customWidth="1"/>
    <col min="5634" max="5634" width="121" style="475" customWidth="1"/>
    <col min="5635" max="5635" width="37.6640625" style="475" customWidth="1"/>
    <col min="5636" max="5637" width="35.83203125" style="475" customWidth="1"/>
    <col min="5638" max="5638" width="14.33203125" style="475" customWidth="1"/>
    <col min="5639" max="5639" width="121" style="475" customWidth="1"/>
    <col min="5640" max="5640" width="37.1640625" style="475" customWidth="1"/>
    <col min="5641" max="5642" width="35.83203125" style="475" customWidth="1"/>
    <col min="5643" max="5644" width="18.1640625" style="475" customWidth="1"/>
    <col min="5645" max="5645" width="15" style="475" bestFit="1" customWidth="1"/>
    <col min="5646" max="5646" width="17.5" style="475" customWidth="1"/>
    <col min="5647" max="5888" width="9.33203125" style="475"/>
    <col min="5889" max="5889" width="14.33203125" style="475" customWidth="1"/>
    <col min="5890" max="5890" width="121" style="475" customWidth="1"/>
    <col min="5891" max="5891" width="37.6640625" style="475" customWidth="1"/>
    <col min="5892" max="5893" width="35.83203125" style="475" customWidth="1"/>
    <col min="5894" max="5894" width="14.33203125" style="475" customWidth="1"/>
    <col min="5895" max="5895" width="121" style="475" customWidth="1"/>
    <col min="5896" max="5896" width="37.1640625" style="475" customWidth="1"/>
    <col min="5897" max="5898" width="35.83203125" style="475" customWidth="1"/>
    <col min="5899" max="5900" width="18.1640625" style="475" customWidth="1"/>
    <col min="5901" max="5901" width="15" style="475" bestFit="1" customWidth="1"/>
    <col min="5902" max="5902" width="17.5" style="475" customWidth="1"/>
    <col min="5903" max="6144" width="9.33203125" style="475"/>
    <col min="6145" max="6145" width="14.33203125" style="475" customWidth="1"/>
    <col min="6146" max="6146" width="121" style="475" customWidth="1"/>
    <col min="6147" max="6147" width="37.6640625" style="475" customWidth="1"/>
    <col min="6148" max="6149" width="35.83203125" style="475" customWidth="1"/>
    <col min="6150" max="6150" width="14.33203125" style="475" customWidth="1"/>
    <col min="6151" max="6151" width="121" style="475" customWidth="1"/>
    <col min="6152" max="6152" width="37.1640625" style="475" customWidth="1"/>
    <col min="6153" max="6154" width="35.83203125" style="475" customWidth="1"/>
    <col min="6155" max="6156" width="18.1640625" style="475" customWidth="1"/>
    <col min="6157" max="6157" width="15" style="475" bestFit="1" customWidth="1"/>
    <col min="6158" max="6158" width="17.5" style="475" customWidth="1"/>
    <col min="6159" max="6400" width="9.33203125" style="475"/>
    <col min="6401" max="6401" width="14.33203125" style="475" customWidth="1"/>
    <col min="6402" max="6402" width="121" style="475" customWidth="1"/>
    <col min="6403" max="6403" width="37.6640625" style="475" customWidth="1"/>
    <col min="6404" max="6405" width="35.83203125" style="475" customWidth="1"/>
    <col min="6406" max="6406" width="14.33203125" style="475" customWidth="1"/>
    <col min="6407" max="6407" width="121" style="475" customWidth="1"/>
    <col min="6408" max="6408" width="37.1640625" style="475" customWidth="1"/>
    <col min="6409" max="6410" width="35.83203125" style="475" customWidth="1"/>
    <col min="6411" max="6412" width="18.1640625" style="475" customWidth="1"/>
    <col min="6413" max="6413" width="15" style="475" bestFit="1" customWidth="1"/>
    <col min="6414" max="6414" width="17.5" style="475" customWidth="1"/>
    <col min="6415" max="6656" width="9.33203125" style="475"/>
    <col min="6657" max="6657" width="14.33203125" style="475" customWidth="1"/>
    <col min="6658" max="6658" width="121" style="475" customWidth="1"/>
    <col min="6659" max="6659" width="37.6640625" style="475" customWidth="1"/>
    <col min="6660" max="6661" width="35.83203125" style="475" customWidth="1"/>
    <col min="6662" max="6662" width="14.33203125" style="475" customWidth="1"/>
    <col min="6663" max="6663" width="121" style="475" customWidth="1"/>
    <col min="6664" max="6664" width="37.1640625" style="475" customWidth="1"/>
    <col min="6665" max="6666" width="35.83203125" style="475" customWidth="1"/>
    <col min="6667" max="6668" width="18.1640625" style="475" customWidth="1"/>
    <col min="6669" max="6669" width="15" style="475" bestFit="1" customWidth="1"/>
    <col min="6670" max="6670" width="17.5" style="475" customWidth="1"/>
    <col min="6671" max="6912" width="9.33203125" style="475"/>
    <col min="6913" max="6913" width="14.33203125" style="475" customWidth="1"/>
    <col min="6914" max="6914" width="121" style="475" customWidth="1"/>
    <col min="6915" max="6915" width="37.6640625" style="475" customWidth="1"/>
    <col min="6916" max="6917" width="35.83203125" style="475" customWidth="1"/>
    <col min="6918" max="6918" width="14.33203125" style="475" customWidth="1"/>
    <col min="6919" max="6919" width="121" style="475" customWidth="1"/>
    <col min="6920" max="6920" width="37.1640625" style="475" customWidth="1"/>
    <col min="6921" max="6922" width="35.83203125" style="475" customWidth="1"/>
    <col min="6923" max="6924" width="18.1640625" style="475" customWidth="1"/>
    <col min="6925" max="6925" width="15" style="475" bestFit="1" customWidth="1"/>
    <col min="6926" max="6926" width="17.5" style="475" customWidth="1"/>
    <col min="6927" max="7168" width="9.33203125" style="475"/>
    <col min="7169" max="7169" width="14.33203125" style="475" customWidth="1"/>
    <col min="7170" max="7170" width="121" style="475" customWidth="1"/>
    <col min="7171" max="7171" width="37.6640625" style="475" customWidth="1"/>
    <col min="7172" max="7173" width="35.83203125" style="475" customWidth="1"/>
    <col min="7174" max="7174" width="14.33203125" style="475" customWidth="1"/>
    <col min="7175" max="7175" width="121" style="475" customWidth="1"/>
    <col min="7176" max="7176" width="37.1640625" style="475" customWidth="1"/>
    <col min="7177" max="7178" width="35.83203125" style="475" customWidth="1"/>
    <col min="7179" max="7180" width="18.1640625" style="475" customWidth="1"/>
    <col min="7181" max="7181" width="15" style="475" bestFit="1" customWidth="1"/>
    <col min="7182" max="7182" width="17.5" style="475" customWidth="1"/>
    <col min="7183" max="7424" width="9.33203125" style="475"/>
    <col min="7425" max="7425" width="14.33203125" style="475" customWidth="1"/>
    <col min="7426" max="7426" width="121" style="475" customWidth="1"/>
    <col min="7427" max="7427" width="37.6640625" style="475" customWidth="1"/>
    <col min="7428" max="7429" width="35.83203125" style="475" customWidth="1"/>
    <col min="7430" max="7430" width="14.33203125" style="475" customWidth="1"/>
    <col min="7431" max="7431" width="121" style="475" customWidth="1"/>
    <col min="7432" max="7432" width="37.1640625" style="475" customWidth="1"/>
    <col min="7433" max="7434" width="35.83203125" style="475" customWidth="1"/>
    <col min="7435" max="7436" width="18.1640625" style="475" customWidth="1"/>
    <col min="7437" max="7437" width="15" style="475" bestFit="1" customWidth="1"/>
    <col min="7438" max="7438" width="17.5" style="475" customWidth="1"/>
    <col min="7439" max="7680" width="9.33203125" style="475"/>
    <col min="7681" max="7681" width="14.33203125" style="475" customWidth="1"/>
    <col min="7682" max="7682" width="121" style="475" customWidth="1"/>
    <col min="7683" max="7683" width="37.6640625" style="475" customWidth="1"/>
    <col min="7684" max="7685" width="35.83203125" style="475" customWidth="1"/>
    <col min="7686" max="7686" width="14.33203125" style="475" customWidth="1"/>
    <col min="7687" max="7687" width="121" style="475" customWidth="1"/>
    <col min="7688" max="7688" width="37.1640625" style="475" customWidth="1"/>
    <col min="7689" max="7690" width="35.83203125" style="475" customWidth="1"/>
    <col min="7691" max="7692" width="18.1640625" style="475" customWidth="1"/>
    <col min="7693" max="7693" width="15" style="475" bestFit="1" customWidth="1"/>
    <col min="7694" max="7694" width="17.5" style="475" customWidth="1"/>
    <col min="7695" max="7936" width="9.33203125" style="475"/>
    <col min="7937" max="7937" width="14.33203125" style="475" customWidth="1"/>
    <col min="7938" max="7938" width="121" style="475" customWidth="1"/>
    <col min="7939" max="7939" width="37.6640625" style="475" customWidth="1"/>
    <col min="7940" max="7941" width="35.83203125" style="475" customWidth="1"/>
    <col min="7942" max="7942" width="14.33203125" style="475" customWidth="1"/>
    <col min="7943" max="7943" width="121" style="475" customWidth="1"/>
    <col min="7944" max="7944" width="37.1640625" style="475" customWidth="1"/>
    <col min="7945" max="7946" width="35.83203125" style="475" customWidth="1"/>
    <col min="7947" max="7948" width="18.1640625" style="475" customWidth="1"/>
    <col min="7949" max="7949" width="15" style="475" bestFit="1" customWidth="1"/>
    <col min="7950" max="7950" width="17.5" style="475" customWidth="1"/>
    <col min="7951" max="8192" width="9.33203125" style="475"/>
    <col min="8193" max="8193" width="14.33203125" style="475" customWidth="1"/>
    <col min="8194" max="8194" width="121" style="475" customWidth="1"/>
    <col min="8195" max="8195" width="37.6640625" style="475" customWidth="1"/>
    <col min="8196" max="8197" width="35.83203125" style="475" customWidth="1"/>
    <col min="8198" max="8198" width="14.33203125" style="475" customWidth="1"/>
    <col min="8199" max="8199" width="121" style="475" customWidth="1"/>
    <col min="8200" max="8200" width="37.1640625" style="475" customWidth="1"/>
    <col min="8201" max="8202" width="35.83203125" style="475" customWidth="1"/>
    <col min="8203" max="8204" width="18.1640625" style="475" customWidth="1"/>
    <col min="8205" max="8205" width="15" style="475" bestFit="1" customWidth="1"/>
    <col min="8206" max="8206" width="17.5" style="475" customWidth="1"/>
    <col min="8207" max="8448" width="9.33203125" style="475"/>
    <col min="8449" max="8449" width="14.33203125" style="475" customWidth="1"/>
    <col min="8450" max="8450" width="121" style="475" customWidth="1"/>
    <col min="8451" max="8451" width="37.6640625" style="475" customWidth="1"/>
    <col min="8452" max="8453" width="35.83203125" style="475" customWidth="1"/>
    <col min="8454" max="8454" width="14.33203125" style="475" customWidth="1"/>
    <col min="8455" max="8455" width="121" style="475" customWidth="1"/>
    <col min="8456" max="8456" width="37.1640625" style="475" customWidth="1"/>
    <col min="8457" max="8458" width="35.83203125" style="475" customWidth="1"/>
    <col min="8459" max="8460" width="18.1640625" style="475" customWidth="1"/>
    <col min="8461" max="8461" width="15" style="475" bestFit="1" customWidth="1"/>
    <col min="8462" max="8462" width="17.5" style="475" customWidth="1"/>
    <col min="8463" max="8704" width="9.33203125" style="475"/>
    <col min="8705" max="8705" width="14.33203125" style="475" customWidth="1"/>
    <col min="8706" max="8706" width="121" style="475" customWidth="1"/>
    <col min="8707" max="8707" width="37.6640625" style="475" customWidth="1"/>
    <col min="8708" max="8709" width="35.83203125" style="475" customWidth="1"/>
    <col min="8710" max="8710" width="14.33203125" style="475" customWidth="1"/>
    <col min="8711" max="8711" width="121" style="475" customWidth="1"/>
    <col min="8712" max="8712" width="37.1640625" style="475" customWidth="1"/>
    <col min="8713" max="8714" width="35.83203125" style="475" customWidth="1"/>
    <col min="8715" max="8716" width="18.1640625" style="475" customWidth="1"/>
    <col min="8717" max="8717" width="15" style="475" bestFit="1" customWidth="1"/>
    <col min="8718" max="8718" width="17.5" style="475" customWidth="1"/>
    <col min="8719" max="8960" width="9.33203125" style="475"/>
    <col min="8961" max="8961" width="14.33203125" style="475" customWidth="1"/>
    <col min="8962" max="8962" width="121" style="475" customWidth="1"/>
    <col min="8963" max="8963" width="37.6640625" style="475" customWidth="1"/>
    <col min="8964" max="8965" width="35.83203125" style="475" customWidth="1"/>
    <col min="8966" max="8966" width="14.33203125" style="475" customWidth="1"/>
    <col min="8967" max="8967" width="121" style="475" customWidth="1"/>
    <col min="8968" max="8968" width="37.1640625" style="475" customWidth="1"/>
    <col min="8969" max="8970" width="35.83203125" style="475" customWidth="1"/>
    <col min="8971" max="8972" width="18.1640625" style="475" customWidth="1"/>
    <col min="8973" max="8973" width="15" style="475" bestFit="1" customWidth="1"/>
    <col min="8974" max="8974" width="17.5" style="475" customWidth="1"/>
    <col min="8975" max="9216" width="9.33203125" style="475"/>
    <col min="9217" max="9217" width="14.33203125" style="475" customWidth="1"/>
    <col min="9218" max="9218" width="121" style="475" customWidth="1"/>
    <col min="9219" max="9219" width="37.6640625" style="475" customWidth="1"/>
    <col min="9220" max="9221" width="35.83203125" style="475" customWidth="1"/>
    <col min="9222" max="9222" width="14.33203125" style="475" customWidth="1"/>
    <col min="9223" max="9223" width="121" style="475" customWidth="1"/>
    <col min="9224" max="9224" width="37.1640625" style="475" customWidth="1"/>
    <col min="9225" max="9226" width="35.83203125" style="475" customWidth="1"/>
    <col min="9227" max="9228" width="18.1640625" style="475" customWidth="1"/>
    <col min="9229" max="9229" width="15" style="475" bestFit="1" customWidth="1"/>
    <col min="9230" max="9230" width="17.5" style="475" customWidth="1"/>
    <col min="9231" max="9472" width="9.33203125" style="475"/>
    <col min="9473" max="9473" width="14.33203125" style="475" customWidth="1"/>
    <col min="9474" max="9474" width="121" style="475" customWidth="1"/>
    <col min="9475" max="9475" width="37.6640625" style="475" customWidth="1"/>
    <col min="9476" max="9477" width="35.83203125" style="475" customWidth="1"/>
    <col min="9478" max="9478" width="14.33203125" style="475" customWidth="1"/>
    <col min="9479" max="9479" width="121" style="475" customWidth="1"/>
    <col min="9480" max="9480" width="37.1640625" style="475" customWidth="1"/>
    <col min="9481" max="9482" width="35.83203125" style="475" customWidth="1"/>
    <col min="9483" max="9484" width="18.1640625" style="475" customWidth="1"/>
    <col min="9485" max="9485" width="15" style="475" bestFit="1" customWidth="1"/>
    <col min="9486" max="9486" width="17.5" style="475" customWidth="1"/>
    <col min="9487" max="9728" width="9.33203125" style="475"/>
    <col min="9729" max="9729" width="14.33203125" style="475" customWidth="1"/>
    <col min="9730" max="9730" width="121" style="475" customWidth="1"/>
    <col min="9731" max="9731" width="37.6640625" style="475" customWidth="1"/>
    <col min="9732" max="9733" width="35.83203125" style="475" customWidth="1"/>
    <col min="9734" max="9734" width="14.33203125" style="475" customWidth="1"/>
    <col min="9735" max="9735" width="121" style="475" customWidth="1"/>
    <col min="9736" max="9736" width="37.1640625" style="475" customWidth="1"/>
    <col min="9737" max="9738" width="35.83203125" style="475" customWidth="1"/>
    <col min="9739" max="9740" width="18.1640625" style="475" customWidth="1"/>
    <col min="9741" max="9741" width="15" style="475" bestFit="1" customWidth="1"/>
    <col min="9742" max="9742" width="17.5" style="475" customWidth="1"/>
    <col min="9743" max="9984" width="9.33203125" style="475"/>
    <col min="9985" max="9985" width="14.33203125" style="475" customWidth="1"/>
    <col min="9986" max="9986" width="121" style="475" customWidth="1"/>
    <col min="9987" max="9987" width="37.6640625" style="475" customWidth="1"/>
    <col min="9988" max="9989" width="35.83203125" style="475" customWidth="1"/>
    <col min="9990" max="9990" width="14.33203125" style="475" customWidth="1"/>
    <col min="9991" max="9991" width="121" style="475" customWidth="1"/>
    <col min="9992" max="9992" width="37.1640625" style="475" customWidth="1"/>
    <col min="9993" max="9994" width="35.83203125" style="475" customWidth="1"/>
    <col min="9995" max="9996" width="18.1640625" style="475" customWidth="1"/>
    <col min="9997" max="9997" width="15" style="475" bestFit="1" customWidth="1"/>
    <col min="9998" max="9998" width="17.5" style="475" customWidth="1"/>
    <col min="9999" max="10240" width="9.33203125" style="475"/>
    <col min="10241" max="10241" width="14.33203125" style="475" customWidth="1"/>
    <col min="10242" max="10242" width="121" style="475" customWidth="1"/>
    <col min="10243" max="10243" width="37.6640625" style="475" customWidth="1"/>
    <col min="10244" max="10245" width="35.83203125" style="475" customWidth="1"/>
    <col min="10246" max="10246" width="14.33203125" style="475" customWidth="1"/>
    <col min="10247" max="10247" width="121" style="475" customWidth="1"/>
    <col min="10248" max="10248" width="37.1640625" style="475" customWidth="1"/>
    <col min="10249" max="10250" width="35.83203125" style="475" customWidth="1"/>
    <col min="10251" max="10252" width="18.1640625" style="475" customWidth="1"/>
    <col min="10253" max="10253" width="15" style="475" bestFit="1" customWidth="1"/>
    <col min="10254" max="10254" width="17.5" style="475" customWidth="1"/>
    <col min="10255" max="10496" width="9.33203125" style="475"/>
    <col min="10497" max="10497" width="14.33203125" style="475" customWidth="1"/>
    <col min="10498" max="10498" width="121" style="475" customWidth="1"/>
    <col min="10499" max="10499" width="37.6640625" style="475" customWidth="1"/>
    <col min="10500" max="10501" width="35.83203125" style="475" customWidth="1"/>
    <col min="10502" max="10502" width="14.33203125" style="475" customWidth="1"/>
    <col min="10503" max="10503" width="121" style="475" customWidth="1"/>
    <col min="10504" max="10504" width="37.1640625" style="475" customWidth="1"/>
    <col min="10505" max="10506" width="35.83203125" style="475" customWidth="1"/>
    <col min="10507" max="10508" width="18.1640625" style="475" customWidth="1"/>
    <col min="10509" max="10509" width="15" style="475" bestFit="1" customWidth="1"/>
    <col min="10510" max="10510" width="17.5" style="475" customWidth="1"/>
    <col min="10511" max="10752" width="9.33203125" style="475"/>
    <col min="10753" max="10753" width="14.33203125" style="475" customWidth="1"/>
    <col min="10754" max="10754" width="121" style="475" customWidth="1"/>
    <col min="10755" max="10755" width="37.6640625" style="475" customWidth="1"/>
    <col min="10756" max="10757" width="35.83203125" style="475" customWidth="1"/>
    <col min="10758" max="10758" width="14.33203125" style="475" customWidth="1"/>
    <col min="10759" max="10759" width="121" style="475" customWidth="1"/>
    <col min="10760" max="10760" width="37.1640625" style="475" customWidth="1"/>
    <col min="10761" max="10762" width="35.83203125" style="475" customWidth="1"/>
    <col min="10763" max="10764" width="18.1640625" style="475" customWidth="1"/>
    <col min="10765" max="10765" width="15" style="475" bestFit="1" customWidth="1"/>
    <col min="10766" max="10766" width="17.5" style="475" customWidth="1"/>
    <col min="10767" max="11008" width="9.33203125" style="475"/>
    <col min="11009" max="11009" width="14.33203125" style="475" customWidth="1"/>
    <col min="11010" max="11010" width="121" style="475" customWidth="1"/>
    <col min="11011" max="11011" width="37.6640625" style="475" customWidth="1"/>
    <col min="11012" max="11013" width="35.83203125" style="475" customWidth="1"/>
    <col min="11014" max="11014" width="14.33203125" style="475" customWidth="1"/>
    <col min="11015" max="11015" width="121" style="475" customWidth="1"/>
    <col min="11016" max="11016" width="37.1640625" style="475" customWidth="1"/>
    <col min="11017" max="11018" width="35.83203125" style="475" customWidth="1"/>
    <col min="11019" max="11020" width="18.1640625" style="475" customWidth="1"/>
    <col min="11021" max="11021" width="15" style="475" bestFit="1" customWidth="1"/>
    <col min="11022" max="11022" width="17.5" style="475" customWidth="1"/>
    <col min="11023" max="11264" width="9.33203125" style="475"/>
    <col min="11265" max="11265" width="14.33203125" style="475" customWidth="1"/>
    <col min="11266" max="11266" width="121" style="475" customWidth="1"/>
    <col min="11267" max="11267" width="37.6640625" style="475" customWidth="1"/>
    <col min="11268" max="11269" width="35.83203125" style="475" customWidth="1"/>
    <col min="11270" max="11270" width="14.33203125" style="475" customWidth="1"/>
    <col min="11271" max="11271" width="121" style="475" customWidth="1"/>
    <col min="11272" max="11272" width="37.1640625" style="475" customWidth="1"/>
    <col min="11273" max="11274" width="35.83203125" style="475" customWidth="1"/>
    <col min="11275" max="11276" width="18.1640625" style="475" customWidth="1"/>
    <col min="11277" max="11277" width="15" style="475" bestFit="1" customWidth="1"/>
    <col min="11278" max="11278" width="17.5" style="475" customWidth="1"/>
    <col min="11279" max="11520" width="9.33203125" style="475"/>
    <col min="11521" max="11521" width="14.33203125" style="475" customWidth="1"/>
    <col min="11522" max="11522" width="121" style="475" customWidth="1"/>
    <col min="11523" max="11523" width="37.6640625" style="475" customWidth="1"/>
    <col min="11524" max="11525" width="35.83203125" style="475" customWidth="1"/>
    <col min="11526" max="11526" width="14.33203125" style="475" customWidth="1"/>
    <col min="11527" max="11527" width="121" style="475" customWidth="1"/>
    <col min="11528" max="11528" width="37.1640625" style="475" customWidth="1"/>
    <col min="11529" max="11530" width="35.83203125" style="475" customWidth="1"/>
    <col min="11531" max="11532" width="18.1640625" style="475" customWidth="1"/>
    <col min="11533" max="11533" width="15" style="475" bestFit="1" customWidth="1"/>
    <col min="11534" max="11534" width="17.5" style="475" customWidth="1"/>
    <col min="11535" max="11776" width="9.33203125" style="475"/>
    <col min="11777" max="11777" width="14.33203125" style="475" customWidth="1"/>
    <col min="11778" max="11778" width="121" style="475" customWidth="1"/>
    <col min="11779" max="11779" width="37.6640625" style="475" customWidth="1"/>
    <col min="11780" max="11781" width="35.83203125" style="475" customWidth="1"/>
    <col min="11782" max="11782" width="14.33203125" style="475" customWidth="1"/>
    <col min="11783" max="11783" width="121" style="475" customWidth="1"/>
    <col min="11784" max="11784" width="37.1640625" style="475" customWidth="1"/>
    <col min="11785" max="11786" width="35.83203125" style="475" customWidth="1"/>
    <col min="11787" max="11788" width="18.1640625" style="475" customWidth="1"/>
    <col min="11789" max="11789" width="15" style="475" bestFit="1" customWidth="1"/>
    <col min="11790" max="11790" width="17.5" style="475" customWidth="1"/>
    <col min="11791" max="12032" width="9.33203125" style="475"/>
    <col min="12033" max="12033" width="14.33203125" style="475" customWidth="1"/>
    <col min="12034" max="12034" width="121" style="475" customWidth="1"/>
    <col min="12035" max="12035" width="37.6640625" style="475" customWidth="1"/>
    <col min="12036" max="12037" width="35.83203125" style="475" customWidth="1"/>
    <col min="12038" max="12038" width="14.33203125" style="475" customWidth="1"/>
    <col min="12039" max="12039" width="121" style="475" customWidth="1"/>
    <col min="12040" max="12040" width="37.1640625" style="475" customWidth="1"/>
    <col min="12041" max="12042" width="35.83203125" style="475" customWidth="1"/>
    <col min="12043" max="12044" width="18.1640625" style="475" customWidth="1"/>
    <col min="12045" max="12045" width="15" style="475" bestFit="1" customWidth="1"/>
    <col min="12046" max="12046" width="17.5" style="475" customWidth="1"/>
    <col min="12047" max="12288" width="9.33203125" style="475"/>
    <col min="12289" max="12289" width="14.33203125" style="475" customWidth="1"/>
    <col min="12290" max="12290" width="121" style="475" customWidth="1"/>
    <col min="12291" max="12291" width="37.6640625" style="475" customWidth="1"/>
    <col min="12292" max="12293" width="35.83203125" style="475" customWidth="1"/>
    <col min="12294" max="12294" width="14.33203125" style="475" customWidth="1"/>
    <col min="12295" max="12295" width="121" style="475" customWidth="1"/>
    <col min="12296" max="12296" width="37.1640625" style="475" customWidth="1"/>
    <col min="12297" max="12298" width="35.83203125" style="475" customWidth="1"/>
    <col min="12299" max="12300" width="18.1640625" style="475" customWidth="1"/>
    <col min="12301" max="12301" width="15" style="475" bestFit="1" customWidth="1"/>
    <col min="12302" max="12302" width="17.5" style="475" customWidth="1"/>
    <col min="12303" max="12544" width="9.33203125" style="475"/>
    <col min="12545" max="12545" width="14.33203125" style="475" customWidth="1"/>
    <col min="12546" max="12546" width="121" style="475" customWidth="1"/>
    <col min="12547" max="12547" width="37.6640625" style="475" customWidth="1"/>
    <col min="12548" max="12549" width="35.83203125" style="475" customWidth="1"/>
    <col min="12550" max="12550" width="14.33203125" style="475" customWidth="1"/>
    <col min="12551" max="12551" width="121" style="475" customWidth="1"/>
    <col min="12552" max="12552" width="37.1640625" style="475" customWidth="1"/>
    <col min="12553" max="12554" width="35.83203125" style="475" customWidth="1"/>
    <col min="12555" max="12556" width="18.1640625" style="475" customWidth="1"/>
    <col min="12557" max="12557" width="15" style="475" bestFit="1" customWidth="1"/>
    <col min="12558" max="12558" width="17.5" style="475" customWidth="1"/>
    <col min="12559" max="12800" width="9.33203125" style="475"/>
    <col min="12801" max="12801" width="14.33203125" style="475" customWidth="1"/>
    <col min="12802" max="12802" width="121" style="475" customWidth="1"/>
    <col min="12803" max="12803" width="37.6640625" style="475" customWidth="1"/>
    <col min="12804" max="12805" width="35.83203125" style="475" customWidth="1"/>
    <col min="12806" max="12806" width="14.33203125" style="475" customWidth="1"/>
    <col min="12807" max="12807" width="121" style="475" customWidth="1"/>
    <col min="12808" max="12808" width="37.1640625" style="475" customWidth="1"/>
    <col min="12809" max="12810" width="35.83203125" style="475" customWidth="1"/>
    <col min="12811" max="12812" width="18.1640625" style="475" customWidth="1"/>
    <col min="12813" max="12813" width="15" style="475" bestFit="1" customWidth="1"/>
    <col min="12814" max="12814" width="17.5" style="475" customWidth="1"/>
    <col min="12815" max="13056" width="9.33203125" style="475"/>
    <col min="13057" max="13057" width="14.33203125" style="475" customWidth="1"/>
    <col min="13058" max="13058" width="121" style="475" customWidth="1"/>
    <col min="13059" max="13059" width="37.6640625" style="475" customWidth="1"/>
    <col min="13060" max="13061" width="35.83203125" style="475" customWidth="1"/>
    <col min="13062" max="13062" width="14.33203125" style="475" customWidth="1"/>
    <col min="13063" max="13063" width="121" style="475" customWidth="1"/>
    <col min="13064" max="13064" width="37.1640625" style="475" customWidth="1"/>
    <col min="13065" max="13066" width="35.83203125" style="475" customWidth="1"/>
    <col min="13067" max="13068" width="18.1640625" style="475" customWidth="1"/>
    <col min="13069" max="13069" width="15" style="475" bestFit="1" customWidth="1"/>
    <col min="13070" max="13070" width="17.5" style="475" customWidth="1"/>
    <col min="13071" max="13312" width="9.33203125" style="475"/>
    <col min="13313" max="13313" width="14.33203125" style="475" customWidth="1"/>
    <col min="13314" max="13314" width="121" style="475" customWidth="1"/>
    <col min="13315" max="13315" width="37.6640625" style="475" customWidth="1"/>
    <col min="13316" max="13317" width="35.83203125" style="475" customWidth="1"/>
    <col min="13318" max="13318" width="14.33203125" style="475" customWidth="1"/>
    <col min="13319" max="13319" width="121" style="475" customWidth="1"/>
    <col min="13320" max="13320" width="37.1640625" style="475" customWidth="1"/>
    <col min="13321" max="13322" width="35.83203125" style="475" customWidth="1"/>
    <col min="13323" max="13324" width="18.1640625" style="475" customWidth="1"/>
    <col min="13325" max="13325" width="15" style="475" bestFit="1" customWidth="1"/>
    <col min="13326" max="13326" width="17.5" style="475" customWidth="1"/>
    <col min="13327" max="13568" width="9.33203125" style="475"/>
    <col min="13569" max="13569" width="14.33203125" style="475" customWidth="1"/>
    <col min="13570" max="13570" width="121" style="475" customWidth="1"/>
    <col min="13571" max="13571" width="37.6640625" style="475" customWidth="1"/>
    <col min="13572" max="13573" width="35.83203125" style="475" customWidth="1"/>
    <col min="13574" max="13574" width="14.33203125" style="475" customWidth="1"/>
    <col min="13575" max="13575" width="121" style="475" customWidth="1"/>
    <col min="13576" max="13576" width="37.1640625" style="475" customWidth="1"/>
    <col min="13577" max="13578" width="35.83203125" style="475" customWidth="1"/>
    <col min="13579" max="13580" width="18.1640625" style="475" customWidth="1"/>
    <col min="13581" max="13581" width="15" style="475" bestFit="1" customWidth="1"/>
    <col min="13582" max="13582" width="17.5" style="475" customWidth="1"/>
    <col min="13583" max="13824" width="9.33203125" style="475"/>
    <col min="13825" max="13825" width="14.33203125" style="475" customWidth="1"/>
    <col min="13826" max="13826" width="121" style="475" customWidth="1"/>
    <col min="13827" max="13827" width="37.6640625" style="475" customWidth="1"/>
    <col min="13828" max="13829" width="35.83203125" style="475" customWidth="1"/>
    <col min="13830" max="13830" width="14.33203125" style="475" customWidth="1"/>
    <col min="13831" max="13831" width="121" style="475" customWidth="1"/>
    <col min="13832" max="13832" width="37.1640625" style="475" customWidth="1"/>
    <col min="13833" max="13834" width="35.83203125" style="475" customWidth="1"/>
    <col min="13835" max="13836" width="18.1640625" style="475" customWidth="1"/>
    <col min="13837" max="13837" width="15" style="475" bestFit="1" customWidth="1"/>
    <col min="13838" max="13838" width="17.5" style="475" customWidth="1"/>
    <col min="13839" max="14080" width="9.33203125" style="475"/>
    <col min="14081" max="14081" width="14.33203125" style="475" customWidth="1"/>
    <col min="14082" max="14082" width="121" style="475" customWidth="1"/>
    <col min="14083" max="14083" width="37.6640625" style="475" customWidth="1"/>
    <col min="14084" max="14085" width="35.83203125" style="475" customWidth="1"/>
    <col min="14086" max="14086" width="14.33203125" style="475" customWidth="1"/>
    <col min="14087" max="14087" width="121" style="475" customWidth="1"/>
    <col min="14088" max="14088" width="37.1640625" style="475" customWidth="1"/>
    <col min="14089" max="14090" width="35.83203125" style="475" customWidth="1"/>
    <col min="14091" max="14092" width="18.1640625" style="475" customWidth="1"/>
    <col min="14093" max="14093" width="15" style="475" bestFit="1" customWidth="1"/>
    <col min="14094" max="14094" width="17.5" style="475" customWidth="1"/>
    <col min="14095" max="14336" width="9.33203125" style="475"/>
    <col min="14337" max="14337" width="14.33203125" style="475" customWidth="1"/>
    <col min="14338" max="14338" width="121" style="475" customWidth="1"/>
    <col min="14339" max="14339" width="37.6640625" style="475" customWidth="1"/>
    <col min="14340" max="14341" width="35.83203125" style="475" customWidth="1"/>
    <col min="14342" max="14342" width="14.33203125" style="475" customWidth="1"/>
    <col min="14343" max="14343" width="121" style="475" customWidth="1"/>
    <col min="14344" max="14344" width="37.1640625" style="475" customWidth="1"/>
    <col min="14345" max="14346" width="35.83203125" style="475" customWidth="1"/>
    <col min="14347" max="14348" width="18.1640625" style="475" customWidth="1"/>
    <col min="14349" max="14349" width="15" style="475" bestFit="1" customWidth="1"/>
    <col min="14350" max="14350" width="17.5" style="475" customWidth="1"/>
    <col min="14351" max="14592" width="9.33203125" style="475"/>
    <col min="14593" max="14593" width="14.33203125" style="475" customWidth="1"/>
    <col min="14594" max="14594" width="121" style="475" customWidth="1"/>
    <col min="14595" max="14595" width="37.6640625" style="475" customWidth="1"/>
    <col min="14596" max="14597" width="35.83203125" style="475" customWidth="1"/>
    <col min="14598" max="14598" width="14.33203125" style="475" customWidth="1"/>
    <col min="14599" max="14599" width="121" style="475" customWidth="1"/>
    <col min="14600" max="14600" width="37.1640625" style="475" customWidth="1"/>
    <col min="14601" max="14602" width="35.83203125" style="475" customWidth="1"/>
    <col min="14603" max="14604" width="18.1640625" style="475" customWidth="1"/>
    <col min="14605" max="14605" width="15" style="475" bestFit="1" customWidth="1"/>
    <col min="14606" max="14606" width="17.5" style="475" customWidth="1"/>
    <col min="14607" max="14848" width="9.33203125" style="475"/>
    <col min="14849" max="14849" width="14.33203125" style="475" customWidth="1"/>
    <col min="14850" max="14850" width="121" style="475" customWidth="1"/>
    <col min="14851" max="14851" width="37.6640625" style="475" customWidth="1"/>
    <col min="14852" max="14853" width="35.83203125" style="475" customWidth="1"/>
    <col min="14854" max="14854" width="14.33203125" style="475" customWidth="1"/>
    <col min="14855" max="14855" width="121" style="475" customWidth="1"/>
    <col min="14856" max="14856" width="37.1640625" style="475" customWidth="1"/>
    <col min="14857" max="14858" width="35.83203125" style="475" customWidth="1"/>
    <col min="14859" max="14860" width="18.1640625" style="475" customWidth="1"/>
    <col min="14861" max="14861" width="15" style="475" bestFit="1" customWidth="1"/>
    <col min="14862" max="14862" width="17.5" style="475" customWidth="1"/>
    <col min="14863" max="15104" width="9.33203125" style="475"/>
    <col min="15105" max="15105" width="14.33203125" style="475" customWidth="1"/>
    <col min="15106" max="15106" width="121" style="475" customWidth="1"/>
    <col min="15107" max="15107" width="37.6640625" style="475" customWidth="1"/>
    <col min="15108" max="15109" width="35.83203125" style="475" customWidth="1"/>
    <col min="15110" max="15110" width="14.33203125" style="475" customWidth="1"/>
    <col min="15111" max="15111" width="121" style="475" customWidth="1"/>
    <col min="15112" max="15112" width="37.1640625" style="475" customWidth="1"/>
    <col min="15113" max="15114" width="35.83203125" style="475" customWidth="1"/>
    <col min="15115" max="15116" width="18.1640625" style="475" customWidth="1"/>
    <col min="15117" max="15117" width="15" style="475" bestFit="1" customWidth="1"/>
    <col min="15118" max="15118" width="17.5" style="475" customWidth="1"/>
    <col min="15119" max="15360" width="9.33203125" style="475"/>
    <col min="15361" max="15361" width="14.33203125" style="475" customWidth="1"/>
    <col min="15362" max="15362" width="121" style="475" customWidth="1"/>
    <col min="15363" max="15363" width="37.6640625" style="475" customWidth="1"/>
    <col min="15364" max="15365" width="35.83203125" style="475" customWidth="1"/>
    <col min="15366" max="15366" width="14.33203125" style="475" customWidth="1"/>
    <col min="15367" max="15367" width="121" style="475" customWidth="1"/>
    <col min="15368" max="15368" width="37.1640625" style="475" customWidth="1"/>
    <col min="15369" max="15370" width="35.83203125" style="475" customWidth="1"/>
    <col min="15371" max="15372" width="18.1640625" style="475" customWidth="1"/>
    <col min="15373" max="15373" width="15" style="475" bestFit="1" customWidth="1"/>
    <col min="15374" max="15374" width="17.5" style="475" customWidth="1"/>
    <col min="15375" max="15616" width="9.33203125" style="475"/>
    <col min="15617" max="15617" width="14.33203125" style="475" customWidth="1"/>
    <col min="15618" max="15618" width="121" style="475" customWidth="1"/>
    <col min="15619" max="15619" width="37.6640625" style="475" customWidth="1"/>
    <col min="15620" max="15621" width="35.83203125" style="475" customWidth="1"/>
    <col min="15622" max="15622" width="14.33203125" style="475" customWidth="1"/>
    <col min="15623" max="15623" width="121" style="475" customWidth="1"/>
    <col min="15624" max="15624" width="37.1640625" style="475" customWidth="1"/>
    <col min="15625" max="15626" width="35.83203125" style="475" customWidth="1"/>
    <col min="15627" max="15628" width="18.1640625" style="475" customWidth="1"/>
    <col min="15629" max="15629" width="15" style="475" bestFit="1" customWidth="1"/>
    <col min="15630" max="15630" width="17.5" style="475" customWidth="1"/>
    <col min="15631" max="15872" width="9.33203125" style="475"/>
    <col min="15873" max="15873" width="14.33203125" style="475" customWidth="1"/>
    <col min="15874" max="15874" width="121" style="475" customWidth="1"/>
    <col min="15875" max="15875" width="37.6640625" style="475" customWidth="1"/>
    <col min="15876" max="15877" width="35.83203125" style="475" customWidth="1"/>
    <col min="15878" max="15878" width="14.33203125" style="475" customWidth="1"/>
    <col min="15879" max="15879" width="121" style="475" customWidth="1"/>
    <col min="15880" max="15880" width="37.1640625" style="475" customWidth="1"/>
    <col min="15881" max="15882" width="35.83203125" style="475" customWidth="1"/>
    <col min="15883" max="15884" width="18.1640625" style="475" customWidth="1"/>
    <col min="15885" max="15885" width="15" style="475" bestFit="1" customWidth="1"/>
    <col min="15886" max="15886" width="17.5" style="475" customWidth="1"/>
    <col min="15887" max="16128" width="9.33203125" style="475"/>
    <col min="16129" max="16129" width="14.33203125" style="475" customWidth="1"/>
    <col min="16130" max="16130" width="121" style="475" customWidth="1"/>
    <col min="16131" max="16131" width="37.6640625" style="475" customWidth="1"/>
    <col min="16132" max="16133" width="35.83203125" style="475" customWidth="1"/>
    <col min="16134" max="16134" width="14.33203125" style="475" customWidth="1"/>
    <col min="16135" max="16135" width="121" style="475" customWidth="1"/>
    <col min="16136" max="16136" width="37.1640625" style="475" customWidth="1"/>
    <col min="16137" max="16138" width="35.83203125" style="475" customWidth="1"/>
    <col min="16139" max="16140" width="18.1640625" style="475" customWidth="1"/>
    <col min="16141" max="16141" width="15" style="475" bestFit="1" customWidth="1"/>
    <col min="16142" max="16142" width="17.5" style="475" customWidth="1"/>
    <col min="16143" max="16384" width="9.33203125" style="475"/>
  </cols>
  <sheetData>
    <row r="1" spans="1:17" ht="18.75">
      <c r="F1" s="1017"/>
    </row>
    <row r="2" spans="1:17" s="1780" customFormat="1" ht="29.25" customHeight="1">
      <c r="B2" s="1883" t="s">
        <v>626</v>
      </c>
      <c r="C2" s="1883"/>
      <c r="D2" s="1883"/>
      <c r="E2" s="1883"/>
      <c r="F2" s="1782"/>
      <c r="G2" s="1883" t="s">
        <v>626</v>
      </c>
      <c r="H2" s="1883"/>
      <c r="I2" s="1883"/>
      <c r="J2" s="1883"/>
      <c r="P2" s="1781"/>
    </row>
    <row r="3" spans="1:17" s="1780" customFormat="1" ht="36" customHeight="1">
      <c r="B3" s="1883" t="s">
        <v>1146</v>
      </c>
      <c r="C3" s="1883"/>
      <c r="D3" s="1883"/>
      <c r="E3" s="1883"/>
      <c r="G3" s="1883" t="s">
        <v>1145</v>
      </c>
      <c r="H3" s="1883"/>
      <c r="I3" s="1883"/>
      <c r="J3" s="1883"/>
      <c r="P3" s="1781"/>
    </row>
    <row r="4" spans="1:17" ht="19.5" thickBot="1">
      <c r="A4" s="471"/>
      <c r="B4" s="472"/>
      <c r="C4" s="472"/>
      <c r="D4" s="472"/>
      <c r="E4" s="473"/>
      <c r="F4" s="473"/>
      <c r="G4" s="472"/>
      <c r="H4" s="472"/>
      <c r="I4" s="472"/>
      <c r="J4" s="474" t="s">
        <v>12</v>
      </c>
    </row>
    <row r="5" spans="1:17" s="481" customFormat="1" ht="33.75" customHeight="1">
      <c r="A5" s="476"/>
      <c r="B5" s="477" t="s">
        <v>627</v>
      </c>
      <c r="C5" s="478" t="s">
        <v>628</v>
      </c>
      <c r="D5" s="479" t="s">
        <v>629</v>
      </c>
      <c r="E5" s="479" t="s">
        <v>630</v>
      </c>
      <c r="F5" s="478"/>
      <c r="G5" s="480" t="s">
        <v>631</v>
      </c>
      <c r="H5" s="478" t="s">
        <v>628</v>
      </c>
      <c r="I5" s="480" t="s">
        <v>629</v>
      </c>
      <c r="J5" s="478" t="s">
        <v>630</v>
      </c>
    </row>
    <row r="6" spans="1:17" s="481" customFormat="1" ht="25.5" customHeight="1">
      <c r="A6" s="482"/>
      <c r="B6" s="483"/>
      <c r="C6" s="484" t="s">
        <v>632</v>
      </c>
      <c r="D6" s="485" t="s">
        <v>633</v>
      </c>
      <c r="E6" s="485" t="s">
        <v>634</v>
      </c>
      <c r="F6" s="484"/>
      <c r="G6" s="472"/>
      <c r="H6" s="484" t="s">
        <v>635</v>
      </c>
      <c r="I6" s="486" t="s">
        <v>636</v>
      </c>
      <c r="J6" s="484" t="s">
        <v>637</v>
      </c>
    </row>
    <row r="7" spans="1:17" s="481" customFormat="1" ht="48.75" customHeight="1" thickBot="1">
      <c r="A7" s="487"/>
      <c r="B7" s="488"/>
      <c r="C7" s="489" t="s">
        <v>68</v>
      </c>
      <c r="D7" s="490"/>
      <c r="E7" s="491"/>
      <c r="F7" s="492"/>
      <c r="G7" s="493"/>
      <c r="H7" s="489" t="s">
        <v>68</v>
      </c>
      <c r="I7" s="494"/>
      <c r="J7" s="495"/>
      <c r="K7" s="496"/>
      <c r="L7" s="496"/>
    </row>
    <row r="8" spans="1:17" ht="24" customHeight="1">
      <c r="A8" s="497"/>
      <c r="B8" s="498" t="s">
        <v>638</v>
      </c>
      <c r="C8" s="499"/>
      <c r="D8" s="500"/>
      <c r="E8" s="479"/>
      <c r="F8" s="484"/>
      <c r="G8" s="498" t="s">
        <v>639</v>
      </c>
      <c r="H8" s="501"/>
      <c r="I8" s="502"/>
      <c r="J8" s="485"/>
      <c r="K8" s="503"/>
      <c r="L8" s="503"/>
    </row>
    <row r="9" spans="1:17" ht="27" customHeight="1">
      <c r="A9" s="504" t="s">
        <v>640</v>
      </c>
      <c r="B9" s="505" t="s">
        <v>641</v>
      </c>
      <c r="C9" s="506">
        <v>875365</v>
      </c>
      <c r="D9" s="506">
        <f>9962888-1</f>
        <v>9962887</v>
      </c>
      <c r="E9" s="507">
        <f>SUM(C9:D9)</f>
        <v>10838252</v>
      </c>
      <c r="F9" s="508" t="s">
        <v>642</v>
      </c>
      <c r="G9" s="505" t="s">
        <v>539</v>
      </c>
      <c r="H9" s="509">
        <f>10584489</f>
        <v>10584489</v>
      </c>
      <c r="I9" s="509">
        <f>479097</f>
        <v>479097</v>
      </c>
      <c r="J9" s="506">
        <f>SUM(H9:I9)</f>
        <v>11063586</v>
      </c>
      <c r="K9" s="510"/>
      <c r="L9" s="511"/>
      <c r="M9" s="511"/>
      <c r="N9" s="511"/>
      <c r="O9" s="512"/>
    </row>
    <row r="10" spans="1:17" ht="27" customHeight="1">
      <c r="A10" s="504" t="s">
        <v>643</v>
      </c>
      <c r="B10" s="505" t="s">
        <v>71</v>
      </c>
      <c r="C10" s="506">
        <v>1174</v>
      </c>
      <c r="D10" s="506">
        <v>16204264</v>
      </c>
      <c r="E10" s="507">
        <f>SUM(C10:D10)</f>
        <v>16205438</v>
      </c>
      <c r="F10" s="513" t="s">
        <v>644</v>
      </c>
      <c r="G10" s="514" t="s">
        <v>645</v>
      </c>
      <c r="H10" s="515">
        <v>1399406</v>
      </c>
      <c r="I10" s="516">
        <f>60162+1</f>
        <v>60163</v>
      </c>
      <c r="J10" s="506">
        <f>SUM(H10:I10)</f>
        <v>1459569</v>
      </c>
      <c r="K10" s="510"/>
      <c r="L10" s="511"/>
      <c r="M10" s="511"/>
      <c r="N10" s="511"/>
      <c r="O10" s="512"/>
      <c r="Q10" s="511"/>
    </row>
    <row r="11" spans="1:17" ht="27" customHeight="1">
      <c r="A11" s="504" t="s">
        <v>646</v>
      </c>
      <c r="B11" s="505" t="s">
        <v>647</v>
      </c>
      <c r="C11" s="506">
        <v>1726350</v>
      </c>
      <c r="D11" s="506">
        <v>3015059</v>
      </c>
      <c r="E11" s="507">
        <f>SUM(C11:D11)</f>
        <v>4741409</v>
      </c>
      <c r="F11" s="513" t="s">
        <v>648</v>
      </c>
      <c r="G11" s="514" t="s">
        <v>540</v>
      </c>
      <c r="H11" s="515">
        <v>4608793</v>
      </c>
      <c r="I11" s="515">
        <v>4409819</v>
      </c>
      <c r="J11" s="506">
        <f>SUM(H11:I11)</f>
        <v>9018612</v>
      </c>
      <c r="K11" s="510"/>
      <c r="L11" s="511"/>
      <c r="M11" s="511"/>
      <c r="N11" s="511"/>
      <c r="O11" s="512"/>
    </row>
    <row r="12" spans="1:17" ht="27" customHeight="1">
      <c r="A12" s="517" t="s">
        <v>649</v>
      </c>
      <c r="B12" s="514" t="s">
        <v>119</v>
      </c>
      <c r="C12" s="518">
        <v>13814</v>
      </c>
      <c r="D12" s="506">
        <v>38470</v>
      </c>
      <c r="E12" s="507">
        <f>SUM(C12:D12)</f>
        <v>52284</v>
      </c>
      <c r="F12" s="519" t="s">
        <v>650</v>
      </c>
      <c r="G12" s="520" t="s">
        <v>651</v>
      </c>
      <c r="H12" s="515">
        <v>0</v>
      </c>
      <c r="I12" s="515">
        <v>195049</v>
      </c>
      <c r="J12" s="506">
        <f>SUM(H12:I12)</f>
        <v>195049</v>
      </c>
      <c r="K12" s="510"/>
      <c r="L12" s="511"/>
      <c r="M12" s="511"/>
      <c r="N12" s="511"/>
      <c r="O12" s="512"/>
    </row>
    <row r="13" spans="1:17" ht="24" customHeight="1" thickBot="1">
      <c r="A13" s="504"/>
      <c r="B13" s="505"/>
      <c r="C13" s="518"/>
      <c r="D13" s="518"/>
      <c r="E13" s="507"/>
      <c r="F13" s="513" t="s">
        <v>652</v>
      </c>
      <c r="G13" s="514" t="s">
        <v>653</v>
      </c>
      <c r="H13" s="506">
        <v>10317</v>
      </c>
      <c r="I13" s="506">
        <v>10323925</v>
      </c>
      <c r="J13" s="506">
        <f>SUM(H13:I13)</f>
        <v>10334242</v>
      </c>
      <c r="K13" s="521"/>
      <c r="L13" s="511"/>
      <c r="M13" s="511"/>
      <c r="N13" s="512"/>
      <c r="O13" s="512"/>
    </row>
    <row r="14" spans="1:17" ht="27" customHeight="1" thickBot="1">
      <c r="A14" s="522"/>
      <c r="B14" s="523" t="s">
        <v>654</v>
      </c>
      <c r="C14" s="524">
        <f>SUM(C9:C13)</f>
        <v>2616703</v>
      </c>
      <c r="D14" s="524">
        <f>SUM(D9:D13)</f>
        <v>29220680</v>
      </c>
      <c r="E14" s="524">
        <f>SUM(C14:D14)</f>
        <v>31837383</v>
      </c>
      <c r="F14" s="525"/>
      <c r="G14" s="523" t="s">
        <v>655</v>
      </c>
      <c r="H14" s="526">
        <f>SUM(H9:H13)</f>
        <v>16603005</v>
      </c>
      <c r="I14" s="526">
        <f>SUM(I9:I13)</f>
        <v>15468053</v>
      </c>
      <c r="J14" s="526">
        <f>SUM(J9:J13)</f>
        <v>32071058</v>
      </c>
      <c r="K14" s="521" t="s">
        <v>656</v>
      </c>
      <c r="L14" s="511"/>
      <c r="M14" s="511"/>
      <c r="N14" s="511"/>
      <c r="O14" s="512"/>
      <c r="Q14" s="511"/>
    </row>
    <row r="15" spans="1:17" s="530" customFormat="1" ht="27" customHeight="1">
      <c r="A15" s="504" t="s">
        <v>657</v>
      </c>
      <c r="B15" s="514" t="s">
        <v>125</v>
      </c>
      <c r="C15" s="518">
        <v>43400</v>
      </c>
      <c r="D15" s="506">
        <v>15964</v>
      </c>
      <c r="E15" s="507">
        <f>SUM(C15:D15)</f>
        <v>59364</v>
      </c>
      <c r="F15" s="527" t="s">
        <v>658</v>
      </c>
      <c r="G15" s="528" t="s">
        <v>140</v>
      </c>
      <c r="H15" s="529">
        <v>312359</v>
      </c>
      <c r="I15" s="1225">
        <f>162330</f>
        <v>162330</v>
      </c>
      <c r="J15" s="506">
        <f>SUM(H15:I15)</f>
        <v>474689</v>
      </c>
      <c r="K15" s="521"/>
      <c r="L15" s="511"/>
      <c r="M15" s="511"/>
      <c r="N15" s="511"/>
      <c r="O15" s="512"/>
      <c r="Q15" s="531"/>
    </row>
    <row r="16" spans="1:17" ht="27" customHeight="1">
      <c r="A16" s="504" t="s">
        <v>659</v>
      </c>
      <c r="B16" s="514" t="s">
        <v>130</v>
      </c>
      <c r="C16" s="506">
        <v>1824</v>
      </c>
      <c r="D16" s="506">
        <v>902249</v>
      </c>
      <c r="E16" s="507">
        <f>SUM(C16:D16)</f>
        <v>904073</v>
      </c>
      <c r="F16" s="532" t="s">
        <v>660</v>
      </c>
      <c r="G16" s="514" t="s">
        <v>541</v>
      </c>
      <c r="H16" s="515">
        <v>50232</v>
      </c>
      <c r="I16" s="516">
        <v>121185</v>
      </c>
      <c r="J16" s="506">
        <f>SUM(H16:I16)</f>
        <v>171417</v>
      </c>
      <c r="K16" s="521"/>
      <c r="L16" s="511"/>
      <c r="M16" s="511"/>
      <c r="N16" s="511"/>
      <c r="O16" s="512"/>
      <c r="Q16" s="511"/>
    </row>
    <row r="17" spans="1:19" ht="27" customHeight="1" thickBot="1">
      <c r="A17" s="504" t="s">
        <v>661</v>
      </c>
      <c r="B17" s="514" t="s">
        <v>662</v>
      </c>
      <c r="C17" s="506">
        <v>774</v>
      </c>
      <c r="D17" s="506">
        <v>130958</v>
      </c>
      <c r="E17" s="507">
        <f>SUM(C17:D17)</f>
        <v>131732</v>
      </c>
      <c r="F17" s="519" t="s">
        <v>663</v>
      </c>
      <c r="G17" s="533" t="s">
        <v>664</v>
      </c>
      <c r="H17" s="509"/>
      <c r="I17" s="1011">
        <v>2308</v>
      </c>
      <c r="J17" s="506">
        <f>SUM(H17:I17)</f>
        <v>2308</v>
      </c>
      <c r="K17" s="521"/>
      <c r="L17" s="511"/>
      <c r="M17" s="511"/>
      <c r="N17" s="511"/>
      <c r="O17" s="512"/>
      <c r="Q17" s="511"/>
    </row>
    <row r="18" spans="1:19" ht="27" customHeight="1" thickBot="1">
      <c r="A18" s="534"/>
      <c r="B18" s="523" t="s">
        <v>665</v>
      </c>
      <c r="C18" s="524">
        <f>SUM(C15:C17)</f>
        <v>45998</v>
      </c>
      <c r="D18" s="524">
        <f>SUM(D15:D17)</f>
        <v>1049171</v>
      </c>
      <c r="E18" s="524">
        <f>SUM(E15:E17)</f>
        <v>1095169</v>
      </c>
      <c r="F18" s="525"/>
      <c r="G18" s="535" t="s">
        <v>666</v>
      </c>
      <c r="H18" s="526">
        <f>SUM(H15:H17)</f>
        <v>362591</v>
      </c>
      <c r="I18" s="526">
        <f>SUM(I15:I17)</f>
        <v>285823</v>
      </c>
      <c r="J18" s="526">
        <f>SUM(J15:J17)</f>
        <v>648414</v>
      </c>
      <c r="K18" s="521" t="s">
        <v>656</v>
      </c>
      <c r="L18" s="511"/>
      <c r="M18" s="511"/>
      <c r="N18" s="511"/>
      <c r="O18" s="512"/>
    </row>
    <row r="19" spans="1:19" ht="27" customHeight="1" thickBot="1">
      <c r="A19" s="534"/>
      <c r="B19" s="535" t="s">
        <v>667</v>
      </c>
      <c r="C19" s="524">
        <f>+C14+C18</f>
        <v>2662701</v>
      </c>
      <c r="D19" s="524">
        <f>D14+D18</f>
        <v>30269851</v>
      </c>
      <c r="E19" s="524">
        <f>SUM(E14+E18)</f>
        <v>32932552</v>
      </c>
      <c r="F19" s="525"/>
      <c r="G19" s="523" t="s">
        <v>668</v>
      </c>
      <c r="H19" s="526">
        <f>SUM(H18,H14)</f>
        <v>16965596</v>
      </c>
      <c r="I19" s="526">
        <f>SUM(I18,I14)</f>
        <v>15753876</v>
      </c>
      <c r="J19" s="526">
        <f>SUM(J18,J14)</f>
        <v>32719472</v>
      </c>
      <c r="K19" s="510"/>
      <c r="L19" s="511"/>
      <c r="M19" s="511"/>
      <c r="N19" s="511"/>
      <c r="O19" s="512"/>
      <c r="Q19" s="511"/>
      <c r="R19" s="511"/>
      <c r="S19" s="511"/>
    </row>
    <row r="20" spans="1:19" ht="27" customHeight="1" thickBot="1">
      <c r="A20" s="536" t="s">
        <v>669</v>
      </c>
      <c r="B20" s="537" t="s">
        <v>670</v>
      </c>
      <c r="C20" s="509">
        <v>690176</v>
      </c>
      <c r="D20" s="538">
        <f>5350445585/1000</f>
        <v>5350445.585</v>
      </c>
      <c r="E20" s="507">
        <f>SUM(C20:D20)</f>
        <v>6040621.585</v>
      </c>
      <c r="F20" s="539" t="s">
        <v>671</v>
      </c>
      <c r="G20" s="540" t="s">
        <v>672</v>
      </c>
      <c r="H20" s="515"/>
      <c r="I20" s="515">
        <f>+(18688328262-14298341380)/1000</f>
        <v>4389986.8820000002</v>
      </c>
      <c r="J20" s="506">
        <f>SUM(H20:I20)</f>
        <v>4389986.8820000002</v>
      </c>
      <c r="K20" s="510"/>
      <c r="L20" s="511"/>
      <c r="M20" s="511"/>
      <c r="N20" s="511"/>
      <c r="O20" s="512"/>
      <c r="Q20" s="511"/>
      <c r="R20" s="511"/>
      <c r="S20" s="511"/>
    </row>
    <row r="21" spans="1:19" ht="36.75" customHeight="1" thickBot="1">
      <c r="A21" s="541"/>
      <c r="B21" s="523" t="s">
        <v>673</v>
      </c>
      <c r="C21" s="524">
        <f>SUM(C19:C20)</f>
        <v>3352877</v>
      </c>
      <c r="D21" s="524">
        <f>SUM(D19:D20)</f>
        <v>35620296.585000001</v>
      </c>
      <c r="E21" s="524">
        <f>SUM(C21:D21)</f>
        <v>38973173.585000001</v>
      </c>
      <c r="F21" s="525"/>
      <c r="G21" s="523" t="s">
        <v>674</v>
      </c>
      <c r="H21" s="524">
        <f>SUM(H19:H20)</f>
        <v>16965596</v>
      </c>
      <c r="I21" s="524">
        <f>SUM(I19:I20)</f>
        <v>20143862.881999999</v>
      </c>
      <c r="J21" s="524">
        <f>SUM(J19:J20)</f>
        <v>37109458.881999999</v>
      </c>
      <c r="K21" s="511"/>
      <c r="L21" s="511"/>
      <c r="M21" s="511"/>
      <c r="N21" s="511"/>
      <c r="O21" s="512"/>
      <c r="Q21" s="511"/>
      <c r="R21" s="511"/>
      <c r="S21" s="511"/>
    </row>
    <row r="22" spans="1:19" s="511" customFormat="1" ht="24" customHeight="1">
      <c r="F22" s="542"/>
      <c r="H22" s="543"/>
      <c r="I22" s="544"/>
      <c r="K22" s="545"/>
    </row>
    <row r="23" spans="1:19" ht="58.5" customHeight="1">
      <c r="A23" s="511"/>
      <c r="F23" s="542"/>
      <c r="G23" s="1884" t="s">
        <v>675</v>
      </c>
      <c r="H23" s="1885"/>
      <c r="I23" s="1885"/>
      <c r="J23" s="1885"/>
      <c r="K23" s="545"/>
      <c r="L23" s="511"/>
      <c r="N23" s="511"/>
      <c r="Q23" s="511"/>
      <c r="R23" s="511"/>
      <c r="S23" s="511"/>
    </row>
    <row r="24" spans="1:19" ht="24" customHeight="1">
      <c r="A24" s="511"/>
      <c r="B24" s="548"/>
      <c r="C24" s="511"/>
      <c r="E24" s="542"/>
      <c r="F24" s="542"/>
      <c r="I24" s="511"/>
      <c r="J24" s="542"/>
      <c r="K24" s="545"/>
      <c r="L24" s="545"/>
    </row>
    <row r="25" spans="1:19" ht="24" customHeight="1">
      <c r="A25" s="511"/>
      <c r="B25" s="548"/>
      <c r="C25" s="511"/>
      <c r="E25" s="542"/>
      <c r="F25" s="542"/>
      <c r="I25" s="511"/>
      <c r="J25" s="542"/>
      <c r="K25" s="545"/>
      <c r="L25" s="545"/>
    </row>
    <row r="26" spans="1:19" ht="24" customHeight="1">
      <c r="A26" s="511"/>
      <c r="C26" s="511"/>
      <c r="D26" s="511"/>
      <c r="E26" s="542"/>
      <c r="F26" s="542"/>
      <c r="I26" s="511"/>
      <c r="J26" s="542"/>
      <c r="K26" s="545"/>
      <c r="L26" s="545"/>
    </row>
    <row r="27" spans="1:19" ht="24" customHeight="1">
      <c r="A27" s="511"/>
      <c r="C27" s="511"/>
      <c r="E27" s="542"/>
      <c r="F27" s="542"/>
      <c r="H27" s="511"/>
      <c r="I27" s="511"/>
      <c r="K27" s="545"/>
      <c r="L27" s="545"/>
    </row>
    <row r="28" spans="1:19" ht="24" customHeight="1">
      <c r="A28" s="511"/>
      <c r="C28" s="511"/>
      <c r="E28" s="542"/>
      <c r="F28" s="542"/>
      <c r="H28" s="511"/>
      <c r="I28" s="511"/>
      <c r="K28" s="545"/>
      <c r="L28" s="545"/>
    </row>
    <row r="29" spans="1:19" ht="24" customHeight="1">
      <c r="A29" s="511"/>
      <c r="C29" s="511"/>
      <c r="E29" s="542"/>
      <c r="F29" s="542"/>
      <c r="H29" s="511"/>
      <c r="I29" s="511"/>
      <c r="K29" s="545"/>
      <c r="L29" s="545"/>
    </row>
    <row r="30" spans="1:19" ht="24" customHeight="1">
      <c r="A30" s="511"/>
      <c r="C30" s="511"/>
      <c r="E30" s="542"/>
      <c r="F30" s="542"/>
      <c r="H30" s="511"/>
      <c r="I30" s="511"/>
      <c r="K30" s="545"/>
      <c r="L30" s="545"/>
    </row>
    <row r="31" spans="1:19" ht="24" customHeight="1">
      <c r="A31" s="511"/>
      <c r="B31" s="547"/>
      <c r="C31" s="511"/>
      <c r="E31" s="511"/>
      <c r="F31" s="542"/>
      <c r="G31" s="546"/>
      <c r="H31" s="511"/>
      <c r="K31" s="511"/>
      <c r="L31" s="511"/>
    </row>
    <row r="32" spans="1:19" ht="24" customHeight="1">
      <c r="C32" s="511"/>
      <c r="F32" s="542"/>
      <c r="J32" s="542"/>
      <c r="K32" s="511"/>
      <c r="L32" s="511"/>
    </row>
    <row r="33" spans="3:10" ht="24" customHeight="1">
      <c r="C33" s="511"/>
      <c r="E33" s="475"/>
      <c r="F33" s="542"/>
      <c r="J33" s="511"/>
    </row>
    <row r="34" spans="3:10" ht="24" customHeight="1">
      <c r="C34" s="511"/>
      <c r="E34" s="511"/>
      <c r="J34" s="475"/>
    </row>
    <row r="35" spans="3:10" ht="24" customHeight="1">
      <c r="E35" s="475"/>
      <c r="F35" s="542"/>
      <c r="J35" s="475"/>
    </row>
    <row r="36" spans="3:10" ht="24" customHeight="1">
      <c r="E36" s="542"/>
      <c r="F36" s="542"/>
      <c r="J36" s="542"/>
    </row>
    <row r="37" spans="3:10" ht="24" customHeight="1"/>
    <row r="38" spans="3:10" ht="24" customHeight="1"/>
    <row r="39" spans="3:10" ht="24" customHeight="1"/>
    <row r="40" spans="3:10" ht="24" customHeight="1"/>
    <row r="41" spans="3:10" ht="24" customHeight="1"/>
  </sheetData>
  <mergeCells count="5">
    <mergeCell ref="B2:E2"/>
    <mergeCell ref="G2:J2"/>
    <mergeCell ref="B3:E3"/>
    <mergeCell ref="G3:J3"/>
    <mergeCell ref="G23:J23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59" orientation="landscape" r:id="rId1"/>
  <headerFooter alignWithMargins="0">
    <oddHeader xml:space="preserve">&amp;R&amp;"Arial,Félkövér"&amp;14 &amp;"Calibri,Félkövér"&amp;13  1. melléklet  a .../2026. (........) önkormányzati rendelethez </oddHeader>
  </headerFooter>
  <colBreaks count="1" manualBreakCount="1">
    <brk id="5" min="1" max="2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1"/>
  <dimension ref="A1:F102"/>
  <sheetViews>
    <sheetView view="pageBreakPreview" zoomScaleNormal="100" zoomScaleSheetLayoutView="100" workbookViewId="0">
      <selection activeCell="B2" sqref="B2:F2"/>
    </sheetView>
  </sheetViews>
  <sheetFormatPr defaultColWidth="9.33203125" defaultRowHeight="15" customHeight="1"/>
  <cols>
    <col min="1" max="1" width="17.33203125" style="3" customWidth="1"/>
    <col min="2" max="2" width="107.5" style="3" customWidth="1"/>
    <col min="3" max="5" width="25" style="3" customWidth="1"/>
    <col min="6" max="6" width="20" style="3" customWidth="1"/>
    <col min="7" max="16384" width="9.33203125" style="3"/>
  </cols>
  <sheetData>
    <row r="1" spans="1:6" ht="15" customHeight="1">
      <c r="A1" s="64"/>
      <c r="B1" s="1970"/>
      <c r="C1" s="1970"/>
      <c r="D1" s="68"/>
      <c r="E1" s="64"/>
      <c r="F1" s="64"/>
    </row>
    <row r="2" spans="1:6" ht="27" customHeight="1">
      <c r="A2" s="64"/>
      <c r="B2" s="1886" t="s">
        <v>17</v>
      </c>
      <c r="C2" s="1886"/>
      <c r="D2" s="1886"/>
      <c r="E2" s="1886"/>
      <c r="F2" s="1886"/>
    </row>
    <row r="3" spans="1:6" ht="18" customHeight="1">
      <c r="A3" s="64"/>
      <c r="B3" s="68"/>
      <c r="C3" s="68"/>
      <c r="D3" s="68"/>
      <c r="E3" s="72"/>
      <c r="F3" s="72"/>
    </row>
    <row r="4" spans="1:6" s="20" customFormat="1" ht="27" customHeight="1" thickBot="1">
      <c r="A4" s="174"/>
      <c r="B4" s="1366" t="s">
        <v>113</v>
      </c>
      <c r="C4" s="340"/>
      <c r="D4" s="340"/>
      <c r="E4" s="340"/>
      <c r="F4" s="1367" t="s">
        <v>12</v>
      </c>
    </row>
    <row r="5" spans="1:6" s="20" customFormat="1" ht="27" customHeight="1">
      <c r="A5" s="1372"/>
      <c r="B5" s="1368" t="s">
        <v>25</v>
      </c>
      <c r="C5" s="1887" t="s">
        <v>442</v>
      </c>
      <c r="D5" s="1887"/>
      <c r="E5" s="97" t="s">
        <v>240</v>
      </c>
      <c r="F5" s="150" t="s">
        <v>77</v>
      </c>
    </row>
    <row r="6" spans="1:6" s="20" customFormat="1" ht="28.5" customHeight="1" thickBot="1">
      <c r="A6" s="174"/>
      <c r="B6" s="1369"/>
      <c r="C6" s="151" t="s">
        <v>147</v>
      </c>
      <c r="D6" s="151" t="s">
        <v>75</v>
      </c>
      <c r="E6" s="152" t="s">
        <v>76</v>
      </c>
      <c r="F6" s="153" t="s">
        <v>78</v>
      </c>
    </row>
    <row r="7" spans="1:6" ht="27" customHeight="1" thickBot="1">
      <c r="A7" s="64"/>
      <c r="B7" s="1733" t="s">
        <v>415</v>
      </c>
      <c r="C7" s="386">
        <v>1717664</v>
      </c>
      <c r="D7" s="386">
        <v>1990786</v>
      </c>
      <c r="E7" s="386">
        <v>1939023</v>
      </c>
      <c r="F7" s="387">
        <f>+E7/D7*100</f>
        <v>97.399871206649038</v>
      </c>
    </row>
    <row r="8" spans="1:6" ht="27" customHeight="1">
      <c r="A8" s="64"/>
      <c r="B8" s="1618" t="s">
        <v>588</v>
      </c>
      <c r="C8" s="87"/>
      <c r="D8" s="174"/>
      <c r="E8" s="87"/>
      <c r="F8" s="260"/>
    </row>
    <row r="9" spans="1:6" ht="27" customHeight="1">
      <c r="A9" s="64"/>
      <c r="B9" s="1398" t="s">
        <v>311</v>
      </c>
      <c r="C9" s="113">
        <v>2000</v>
      </c>
      <c r="D9" s="113">
        <v>3525</v>
      </c>
      <c r="E9" s="113">
        <v>250</v>
      </c>
      <c r="F9" s="114">
        <f t="shared" ref="F9:F36" si="0">+E9/D9*100</f>
        <v>7.0921985815602842</v>
      </c>
    </row>
    <row r="10" spans="1:6" ht="27" customHeight="1">
      <c r="A10" s="64"/>
      <c r="B10" s="1734" t="s">
        <v>619</v>
      </c>
      <c r="C10" s="391">
        <v>167272</v>
      </c>
      <c r="D10" s="391">
        <v>167272</v>
      </c>
      <c r="E10" s="392">
        <v>167272</v>
      </c>
      <c r="F10" s="393">
        <f t="shared" si="0"/>
        <v>100</v>
      </c>
    </row>
    <row r="11" spans="1:6" ht="27" customHeight="1">
      <c r="A11" s="64"/>
      <c r="B11" s="1399" t="s">
        <v>117</v>
      </c>
      <c r="C11" s="89">
        <v>2055</v>
      </c>
      <c r="D11" s="89">
        <v>2254</v>
      </c>
      <c r="E11" s="89">
        <v>2119</v>
      </c>
      <c r="F11" s="114">
        <f t="shared" si="0"/>
        <v>94.010647737355811</v>
      </c>
    </row>
    <row r="12" spans="1:6" ht="27" customHeight="1">
      <c r="A12" s="64"/>
      <c r="B12" s="1734" t="s">
        <v>61</v>
      </c>
      <c r="C12" s="394">
        <v>204000</v>
      </c>
      <c r="D12" s="394">
        <v>235408</v>
      </c>
      <c r="E12" s="395">
        <v>192786</v>
      </c>
      <c r="F12" s="396">
        <f t="shared" si="0"/>
        <v>81.894413104057634</v>
      </c>
    </row>
    <row r="13" spans="1:6" ht="43.5" customHeight="1">
      <c r="A13" s="64"/>
      <c r="B13" s="1735" t="s">
        <v>620</v>
      </c>
      <c r="C13" s="170">
        <v>8000</v>
      </c>
      <c r="D13" s="170">
        <v>8000</v>
      </c>
      <c r="E13" s="115">
        <v>8000</v>
      </c>
      <c r="F13" s="171">
        <f t="shared" si="0"/>
        <v>100</v>
      </c>
    </row>
    <row r="14" spans="1:6" ht="27" customHeight="1">
      <c r="A14" s="64"/>
      <c r="B14" s="1399" t="s">
        <v>55</v>
      </c>
      <c r="C14" s="89">
        <v>2500</v>
      </c>
      <c r="D14" s="89">
        <v>2504</v>
      </c>
      <c r="E14" s="89">
        <v>4</v>
      </c>
      <c r="F14" s="171">
        <f t="shared" si="0"/>
        <v>0.15974440894568689</v>
      </c>
    </row>
    <row r="15" spans="1:6" ht="27" customHeight="1">
      <c r="A15" s="64"/>
      <c r="B15" s="1399" t="s">
        <v>112</v>
      </c>
      <c r="C15" s="89">
        <v>1000</v>
      </c>
      <c r="D15" s="89">
        <v>1000</v>
      </c>
      <c r="E15" s="89">
        <v>1000</v>
      </c>
      <c r="F15" s="171">
        <f t="shared" si="0"/>
        <v>100</v>
      </c>
    </row>
    <row r="16" spans="1:6" ht="27" customHeight="1">
      <c r="A16" s="64"/>
      <c r="B16" s="1424" t="s">
        <v>39</v>
      </c>
      <c r="C16" s="89">
        <v>11000</v>
      </c>
      <c r="D16" s="89">
        <v>11000</v>
      </c>
      <c r="E16" s="89">
        <v>11000</v>
      </c>
      <c r="F16" s="171">
        <f t="shared" si="0"/>
        <v>100</v>
      </c>
    </row>
    <row r="17" spans="1:6" ht="27" customHeight="1">
      <c r="A17" s="64"/>
      <c r="B17" s="1424" t="s">
        <v>589</v>
      </c>
      <c r="C17" s="89">
        <v>8000</v>
      </c>
      <c r="D17" s="89">
        <v>8000</v>
      </c>
      <c r="E17" s="89">
        <v>8000</v>
      </c>
      <c r="F17" s="171">
        <f t="shared" si="0"/>
        <v>100</v>
      </c>
    </row>
    <row r="18" spans="1:6" ht="43.5" customHeight="1">
      <c r="A18" s="64"/>
      <c r="B18" s="1400" t="s">
        <v>272</v>
      </c>
      <c r="C18" s="89">
        <v>3300</v>
      </c>
      <c r="D18" s="89">
        <v>3300</v>
      </c>
      <c r="E18" s="89">
        <v>2200</v>
      </c>
      <c r="F18" s="171">
        <f t="shared" si="0"/>
        <v>66.666666666666657</v>
      </c>
    </row>
    <row r="19" spans="1:6" ht="27" customHeight="1">
      <c r="A19" s="64"/>
      <c r="B19" s="1406" t="s">
        <v>621</v>
      </c>
      <c r="C19" s="172">
        <v>50000</v>
      </c>
      <c r="D19" s="172">
        <v>78628</v>
      </c>
      <c r="E19" s="172">
        <v>76343</v>
      </c>
      <c r="F19" s="171">
        <f t="shared" si="0"/>
        <v>97.093910566210511</v>
      </c>
    </row>
    <row r="20" spans="1:6" ht="27" customHeight="1">
      <c r="A20" s="64"/>
      <c r="B20" s="1406" t="s">
        <v>275</v>
      </c>
      <c r="C20" s="172">
        <v>3000</v>
      </c>
      <c r="D20" s="172">
        <v>55095</v>
      </c>
      <c r="E20" s="172">
        <v>54998</v>
      </c>
      <c r="F20" s="171">
        <f t="shared" si="0"/>
        <v>99.823940466467008</v>
      </c>
    </row>
    <row r="21" spans="1:6" ht="27" customHeight="1">
      <c r="A21" s="64"/>
      <c r="B21" s="1409" t="s">
        <v>535</v>
      </c>
      <c r="C21" s="172"/>
      <c r="D21" s="172">
        <v>1000</v>
      </c>
      <c r="E21" s="172"/>
      <c r="F21" s="171">
        <f t="shared" si="0"/>
        <v>0</v>
      </c>
    </row>
    <row r="22" spans="1:6" ht="27" customHeight="1">
      <c r="A22" s="64"/>
      <c r="B22" s="1406" t="s">
        <v>276</v>
      </c>
      <c r="C22" s="172"/>
      <c r="D22" s="172">
        <v>200</v>
      </c>
      <c r="E22" s="172">
        <v>86</v>
      </c>
      <c r="F22" s="171">
        <f t="shared" si="0"/>
        <v>43</v>
      </c>
    </row>
    <row r="23" spans="1:6" ht="27" customHeight="1">
      <c r="A23" s="64"/>
      <c r="B23" s="1406" t="s">
        <v>116</v>
      </c>
      <c r="C23" s="172"/>
      <c r="D23" s="172">
        <v>660</v>
      </c>
      <c r="E23" s="172"/>
      <c r="F23" s="171">
        <f t="shared" si="0"/>
        <v>0</v>
      </c>
    </row>
    <row r="24" spans="1:6" ht="27" customHeight="1">
      <c r="A24" s="64"/>
      <c r="B24" s="1736" t="s">
        <v>184</v>
      </c>
      <c r="C24" s="274">
        <v>5000</v>
      </c>
      <c r="D24" s="274">
        <v>0</v>
      </c>
      <c r="E24" s="292"/>
      <c r="F24" s="397"/>
    </row>
    <row r="25" spans="1:6" ht="54" customHeight="1">
      <c r="A25" s="64"/>
      <c r="B25" s="1424" t="s">
        <v>273</v>
      </c>
      <c r="C25" s="89">
        <v>7000</v>
      </c>
      <c r="D25" s="89">
        <v>7000</v>
      </c>
      <c r="E25" s="89">
        <v>7000</v>
      </c>
      <c r="F25" s="171">
        <f t="shared" si="0"/>
        <v>100</v>
      </c>
    </row>
    <row r="26" spans="1:6" ht="54" customHeight="1">
      <c r="A26" s="64"/>
      <c r="B26" s="1409" t="s">
        <v>337</v>
      </c>
      <c r="C26" s="89"/>
      <c r="D26" s="89">
        <v>5858</v>
      </c>
      <c r="E26" s="89">
        <v>5858</v>
      </c>
      <c r="F26" s="171">
        <f t="shared" si="0"/>
        <v>100</v>
      </c>
    </row>
    <row r="27" spans="1:6" ht="27" customHeight="1">
      <c r="A27" s="64"/>
      <c r="B27" s="1424" t="s">
        <v>212</v>
      </c>
      <c r="C27" s="89">
        <v>8263</v>
      </c>
      <c r="D27" s="89">
        <v>12110</v>
      </c>
      <c r="E27" s="138">
        <v>11610</v>
      </c>
      <c r="F27" s="255">
        <f t="shared" si="0"/>
        <v>95.871180842279117</v>
      </c>
    </row>
    <row r="28" spans="1:6" ht="27" customHeight="1">
      <c r="A28" s="64"/>
      <c r="B28" s="1424" t="s">
        <v>229</v>
      </c>
      <c r="C28" s="89">
        <v>3000</v>
      </c>
      <c r="D28" s="89">
        <v>3000</v>
      </c>
      <c r="E28" s="89">
        <v>3000</v>
      </c>
      <c r="F28" s="171">
        <f t="shared" si="0"/>
        <v>100</v>
      </c>
    </row>
    <row r="29" spans="1:6" ht="43.5" customHeight="1">
      <c r="A29" s="64"/>
      <c r="B29" s="1424" t="s">
        <v>315</v>
      </c>
      <c r="C29" s="89"/>
      <c r="D29" s="89">
        <v>1500</v>
      </c>
      <c r="E29" s="89">
        <v>1200</v>
      </c>
      <c r="F29" s="171">
        <f t="shared" si="0"/>
        <v>80</v>
      </c>
    </row>
    <row r="30" spans="1:6" ht="43.5" customHeight="1">
      <c r="A30" s="64"/>
      <c r="B30" s="1413" t="s">
        <v>373</v>
      </c>
      <c r="C30" s="172"/>
      <c r="D30" s="172">
        <v>450</v>
      </c>
      <c r="E30" s="172">
        <v>450</v>
      </c>
      <c r="F30" s="171">
        <f t="shared" si="0"/>
        <v>100</v>
      </c>
    </row>
    <row r="31" spans="1:6" ht="43.5" customHeight="1">
      <c r="A31" s="64"/>
      <c r="B31" s="1424" t="s">
        <v>439</v>
      </c>
      <c r="C31" s="89"/>
      <c r="D31" s="89">
        <v>2000</v>
      </c>
      <c r="E31" s="89">
        <v>2000</v>
      </c>
      <c r="F31" s="103">
        <f t="shared" si="0"/>
        <v>100</v>
      </c>
    </row>
    <row r="32" spans="1:6" ht="27" customHeight="1">
      <c r="A32" s="64"/>
      <c r="B32" s="1406" t="s">
        <v>396</v>
      </c>
      <c r="C32" s="172"/>
      <c r="D32" s="172">
        <v>10000</v>
      </c>
      <c r="E32" s="172">
        <v>9842</v>
      </c>
      <c r="F32" s="171">
        <f t="shared" si="0"/>
        <v>98.42</v>
      </c>
    </row>
    <row r="33" spans="1:6" ht="27" customHeight="1">
      <c r="A33" s="64"/>
      <c r="B33" s="1406" t="s">
        <v>424</v>
      </c>
      <c r="C33" s="172"/>
      <c r="D33" s="172">
        <v>400</v>
      </c>
      <c r="E33" s="172">
        <v>400</v>
      </c>
      <c r="F33" s="171">
        <f t="shared" si="0"/>
        <v>100</v>
      </c>
    </row>
    <row r="34" spans="1:6" ht="27" customHeight="1">
      <c r="A34" s="64"/>
      <c r="B34" s="1406" t="s">
        <v>374</v>
      </c>
      <c r="C34" s="172"/>
      <c r="D34" s="172">
        <v>700</v>
      </c>
      <c r="E34" s="172">
        <v>700</v>
      </c>
      <c r="F34" s="171">
        <f t="shared" si="0"/>
        <v>100</v>
      </c>
    </row>
    <row r="35" spans="1:6" ht="27" customHeight="1" thickBot="1">
      <c r="A35" s="64"/>
      <c r="B35" s="1688" t="s">
        <v>467</v>
      </c>
      <c r="C35" s="94">
        <f>SUM(C9:C34)</f>
        <v>485390</v>
      </c>
      <c r="D35" s="94">
        <f>SUM(D9:D34)</f>
        <v>620864</v>
      </c>
      <c r="E35" s="94">
        <f>SUM(E9:E34)</f>
        <v>566118</v>
      </c>
      <c r="F35" s="134">
        <f t="shared" si="0"/>
        <v>91.182287908463039</v>
      </c>
    </row>
    <row r="36" spans="1:6" s="2" customFormat="1" ht="27" customHeight="1" thickBot="1">
      <c r="A36" s="60"/>
      <c r="B36" s="1672" t="s">
        <v>251</v>
      </c>
      <c r="C36" s="108">
        <f>C7+C35</f>
        <v>2203054</v>
      </c>
      <c r="D36" s="108">
        <f>D7+D35</f>
        <v>2611650</v>
      </c>
      <c r="E36" s="108">
        <f>E7+E35</f>
        <v>2505141</v>
      </c>
      <c r="F36" s="166">
        <f t="shared" si="0"/>
        <v>95.921773591407728</v>
      </c>
    </row>
    <row r="37" spans="1:6" ht="27" customHeight="1">
      <c r="A37" s="64"/>
      <c r="B37" s="436"/>
      <c r="C37" s="64"/>
      <c r="D37" s="64"/>
      <c r="E37" s="64"/>
      <c r="F37" s="64"/>
    </row>
    <row r="38" spans="1:6" s="20" customFormat="1" ht="27" customHeight="1" thickBot="1">
      <c r="A38" s="174"/>
      <c r="B38" s="1366" t="s">
        <v>13</v>
      </c>
      <c r="C38" s="174"/>
      <c r="D38" s="174"/>
      <c r="E38" s="174"/>
      <c r="F38" s="174"/>
    </row>
    <row r="39" spans="1:6" s="20" customFormat="1" ht="27" customHeight="1">
      <c r="A39" s="174"/>
      <c r="B39" s="1370" t="s">
        <v>25</v>
      </c>
      <c r="C39" s="1887" t="s">
        <v>442</v>
      </c>
      <c r="D39" s="1887"/>
      <c r="E39" s="97" t="s">
        <v>240</v>
      </c>
      <c r="F39" s="173" t="s">
        <v>77</v>
      </c>
    </row>
    <row r="40" spans="1:6" s="20" customFormat="1" ht="27" customHeight="1" thickBot="1">
      <c r="A40" s="174"/>
      <c r="B40" s="1371"/>
      <c r="C40" s="151" t="s">
        <v>147</v>
      </c>
      <c r="D40" s="151" t="s">
        <v>75</v>
      </c>
      <c r="E40" s="152" t="s">
        <v>76</v>
      </c>
      <c r="F40" s="153" t="s">
        <v>78</v>
      </c>
    </row>
    <row r="41" spans="1:6" ht="27" customHeight="1" thickBot="1">
      <c r="A41" s="64"/>
      <c r="B41" s="1737" t="s">
        <v>415</v>
      </c>
      <c r="C41" s="108">
        <v>0</v>
      </c>
      <c r="D41" s="145">
        <v>78429</v>
      </c>
      <c r="E41" s="108">
        <v>27472</v>
      </c>
      <c r="F41" s="166">
        <f>+E41/D41*100</f>
        <v>35.027859592752684</v>
      </c>
    </row>
    <row r="42" spans="1:6" ht="27" customHeight="1" thickBot="1">
      <c r="A42" s="64"/>
      <c r="B42" s="1425" t="s">
        <v>590</v>
      </c>
      <c r="C42" s="108">
        <f>SUM(C41)</f>
        <v>0</v>
      </c>
      <c r="D42" s="108">
        <f t="shared" ref="D42:E42" si="1">SUM(D41)</f>
        <v>78429</v>
      </c>
      <c r="E42" s="108">
        <f t="shared" si="1"/>
        <v>27472</v>
      </c>
      <c r="F42" s="166">
        <f>+E42/D42*100</f>
        <v>35.027859592752684</v>
      </c>
    </row>
    <row r="43" spans="1:6" ht="27" customHeight="1" thickBot="1">
      <c r="A43" s="64"/>
      <c r="B43" s="1738"/>
      <c r="C43" s="174"/>
      <c r="D43" s="174"/>
      <c r="E43" s="174"/>
      <c r="F43" s="455"/>
    </row>
    <row r="44" spans="1:6" ht="27" customHeight="1" thickBot="1">
      <c r="A44" s="64"/>
      <c r="B44" s="1425" t="s">
        <v>252</v>
      </c>
      <c r="C44" s="175">
        <f>+C36+C42</f>
        <v>2203054</v>
      </c>
      <c r="D44" s="108">
        <f>+D36+D42</f>
        <v>2690079</v>
      </c>
      <c r="E44" s="306">
        <f>+E36+E42</f>
        <v>2532613</v>
      </c>
      <c r="F44" s="166">
        <f>+E44/D44*100</f>
        <v>94.1464172613518</v>
      </c>
    </row>
    <row r="49" spans="2:2" ht="15" customHeight="1">
      <c r="B49" s="34"/>
    </row>
    <row r="102" spans="5:5" ht="15" customHeight="1">
      <c r="E102" s="3">
        <v>3025199</v>
      </c>
    </row>
  </sheetData>
  <mergeCells count="4">
    <mergeCell ref="B1:C1"/>
    <mergeCell ref="C5:D5"/>
    <mergeCell ref="C39:D39"/>
    <mergeCell ref="B2:F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56" orientation="portrait" r:id="rId1"/>
  <headerFooter alignWithMargins="0">
    <oddHeader>&amp;R&amp;"Arial,Félkövér"&amp;12 10&amp;"Calibri,Félkövér"&amp;11. melléklet  a .../2026. (........)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8"/>
  <dimension ref="A1:H97"/>
  <sheetViews>
    <sheetView zoomScaleNormal="100" zoomScaleSheetLayoutView="100" workbookViewId="0">
      <selection activeCell="B2" sqref="B2:F2"/>
    </sheetView>
  </sheetViews>
  <sheetFormatPr defaultColWidth="9.33203125" defaultRowHeight="15" customHeight="1"/>
  <cols>
    <col min="1" max="1" width="11.5" style="11" bestFit="1" customWidth="1"/>
    <col min="2" max="2" width="102" style="1" customWidth="1"/>
    <col min="3" max="6" width="16.83203125" style="1" customWidth="1"/>
    <col min="7" max="16384" width="9.33203125" style="1"/>
  </cols>
  <sheetData>
    <row r="1" spans="1:8" s="54" customFormat="1" ht="15" customHeight="1">
      <c r="A1" s="64"/>
      <c r="B1" s="1968"/>
      <c r="C1" s="1968"/>
    </row>
    <row r="2" spans="1:8" s="54" customFormat="1" ht="24" customHeight="1">
      <c r="A2" s="64"/>
      <c r="B2" s="1886" t="s">
        <v>18</v>
      </c>
      <c r="C2" s="1886"/>
      <c r="D2" s="1886"/>
      <c r="E2" s="1886"/>
      <c r="F2" s="1886"/>
    </row>
    <row r="3" spans="1:8" s="54" customFormat="1" ht="15" customHeight="1">
      <c r="A3" s="64"/>
      <c r="B3" s="53"/>
      <c r="C3" s="53"/>
    </row>
    <row r="4" spans="1:8" s="333" customFormat="1" ht="22.5" customHeight="1" thickBot="1">
      <c r="A4" s="174"/>
      <c r="B4" s="1366" t="s">
        <v>113</v>
      </c>
      <c r="C4" s="1330"/>
      <c r="D4" s="1330"/>
      <c r="E4" s="1330"/>
      <c r="F4" s="1373" t="s">
        <v>12</v>
      </c>
    </row>
    <row r="5" spans="1:8" s="333" customFormat="1" ht="22.5" customHeight="1">
      <c r="A5" s="174"/>
      <c r="B5" s="1374" t="s">
        <v>25</v>
      </c>
      <c r="C5" s="1887" t="s">
        <v>442</v>
      </c>
      <c r="D5" s="1887"/>
      <c r="E5" s="97" t="s">
        <v>240</v>
      </c>
      <c r="F5" s="173" t="s">
        <v>77</v>
      </c>
    </row>
    <row r="6" spans="1:8" s="333" customFormat="1" ht="36" customHeight="1" thickBot="1">
      <c r="A6" s="174"/>
      <c r="B6" s="1375"/>
      <c r="C6" s="151" t="s">
        <v>147</v>
      </c>
      <c r="D6" s="151" t="s">
        <v>75</v>
      </c>
      <c r="E6" s="152" t="s">
        <v>76</v>
      </c>
      <c r="F6" s="153" t="s">
        <v>78</v>
      </c>
    </row>
    <row r="7" spans="1:8" s="61" customFormat="1" ht="27" customHeight="1" thickBot="1">
      <c r="A7" s="60"/>
      <c r="B7" s="1739" t="s">
        <v>1241</v>
      </c>
      <c r="C7" s="386">
        <v>844822</v>
      </c>
      <c r="D7" s="388">
        <v>1059647</v>
      </c>
      <c r="E7" s="388">
        <v>892043</v>
      </c>
      <c r="F7" s="406">
        <f>+E7/D7*100</f>
        <v>84.183034538860582</v>
      </c>
    </row>
    <row r="8" spans="1:8" s="61" customFormat="1" ht="27" customHeight="1">
      <c r="A8" s="60"/>
      <c r="B8" s="1740" t="s">
        <v>591</v>
      </c>
      <c r="C8" s="456"/>
      <c r="D8" s="958"/>
      <c r="E8" s="457"/>
      <c r="F8" s="458"/>
    </row>
    <row r="9" spans="1:8" s="54" customFormat="1" ht="27" customHeight="1">
      <c r="A9" s="65"/>
      <c r="B9" s="1393" t="s">
        <v>40</v>
      </c>
      <c r="C9" s="402">
        <v>12000</v>
      </c>
      <c r="D9" s="402">
        <v>0</v>
      </c>
      <c r="E9" s="402"/>
      <c r="F9" s="405"/>
    </row>
    <row r="10" spans="1:8" s="54" customFormat="1" ht="27" customHeight="1">
      <c r="A10" s="64"/>
      <c r="B10" s="1399" t="s">
        <v>60</v>
      </c>
      <c r="C10" s="89">
        <v>500</v>
      </c>
      <c r="D10" s="89">
        <v>0</v>
      </c>
      <c r="E10" s="138"/>
      <c r="F10" s="154"/>
      <c r="H10" s="64"/>
    </row>
    <row r="11" spans="1:8" s="54" customFormat="1" ht="27" customHeight="1">
      <c r="A11" s="64"/>
      <c r="B11" s="1400" t="s">
        <v>358</v>
      </c>
      <c r="C11" s="89"/>
      <c r="D11" s="89">
        <v>589</v>
      </c>
      <c r="E11" s="138"/>
      <c r="F11" s="154">
        <f t="shared" ref="F11:F19" si="0">+E11/D11*100</f>
        <v>0</v>
      </c>
      <c r="H11" s="64"/>
    </row>
    <row r="12" spans="1:8" s="54" customFormat="1" ht="27" customHeight="1">
      <c r="A12" s="64"/>
      <c r="B12" s="1399" t="s">
        <v>118</v>
      </c>
      <c r="C12" s="89">
        <v>2485</v>
      </c>
      <c r="D12" s="89">
        <v>2474</v>
      </c>
      <c r="E12" s="138">
        <v>2440</v>
      </c>
      <c r="F12" s="154">
        <f t="shared" si="0"/>
        <v>98.625707356507675</v>
      </c>
      <c r="H12" s="64"/>
    </row>
    <row r="13" spans="1:8" s="54" customFormat="1" ht="27" customHeight="1">
      <c r="A13" s="64"/>
      <c r="B13" s="1399" t="s">
        <v>50</v>
      </c>
      <c r="C13" s="89">
        <v>2500</v>
      </c>
      <c r="D13" s="89">
        <v>2500</v>
      </c>
      <c r="E13" s="138">
        <v>2500</v>
      </c>
      <c r="F13" s="154">
        <f t="shared" si="0"/>
        <v>100</v>
      </c>
      <c r="H13" s="64"/>
    </row>
    <row r="14" spans="1:8" s="54" customFormat="1" ht="39.75" customHeight="1">
      <c r="A14" s="64"/>
      <c r="B14" s="1424" t="s">
        <v>41</v>
      </c>
      <c r="C14" s="89">
        <v>2500</v>
      </c>
      <c r="D14" s="89">
        <v>2500</v>
      </c>
      <c r="E14" s="138">
        <v>2500</v>
      </c>
      <c r="F14" s="154">
        <f t="shared" si="0"/>
        <v>100</v>
      </c>
      <c r="H14" s="64"/>
    </row>
    <row r="15" spans="1:8" s="54" customFormat="1" ht="27" customHeight="1">
      <c r="A15" s="64"/>
      <c r="B15" s="1399" t="s">
        <v>63</v>
      </c>
      <c r="C15" s="89">
        <v>1500</v>
      </c>
      <c r="D15" s="89">
        <v>1586</v>
      </c>
      <c r="E15" s="138">
        <v>1244</v>
      </c>
      <c r="F15" s="154">
        <f t="shared" si="0"/>
        <v>78.436317780580083</v>
      </c>
      <c r="H15" s="64"/>
    </row>
    <row r="16" spans="1:8" s="54" customFormat="1" ht="27" customHeight="1">
      <c r="A16" s="64"/>
      <c r="B16" s="1399" t="s">
        <v>277</v>
      </c>
      <c r="C16" s="89">
        <v>44070</v>
      </c>
      <c r="D16" s="89">
        <v>44070</v>
      </c>
      <c r="E16" s="138">
        <v>32770</v>
      </c>
      <c r="F16" s="154">
        <f t="shared" si="0"/>
        <v>74.358974358974365</v>
      </c>
      <c r="H16" s="64"/>
    </row>
    <row r="17" spans="1:8" s="54" customFormat="1" ht="27" customHeight="1">
      <c r="A17" s="64"/>
      <c r="B17" s="1399" t="s">
        <v>592</v>
      </c>
      <c r="C17" s="89">
        <v>1500</v>
      </c>
      <c r="D17" s="89">
        <v>2104</v>
      </c>
      <c r="E17" s="89">
        <v>1270</v>
      </c>
      <c r="F17" s="154">
        <f t="shared" si="0"/>
        <v>60.361216730038024</v>
      </c>
      <c r="H17" s="64"/>
    </row>
    <row r="18" spans="1:8" s="54" customFormat="1" ht="27" customHeight="1" thickBot="1">
      <c r="A18" s="64"/>
      <c r="B18" s="1741" t="s">
        <v>593</v>
      </c>
      <c r="C18" s="155">
        <f>SUM(C9:C17)</f>
        <v>67055</v>
      </c>
      <c r="D18" s="155">
        <f>SUM(D9:D17)</f>
        <v>55823</v>
      </c>
      <c r="E18" s="155">
        <f>SUM(E9:E17)</f>
        <v>42724</v>
      </c>
      <c r="F18" s="156">
        <f t="shared" si="0"/>
        <v>76.534761657381367</v>
      </c>
      <c r="H18" s="64"/>
    </row>
    <row r="19" spans="1:8" s="61" customFormat="1" ht="27" customHeight="1" thickBot="1">
      <c r="A19" s="60"/>
      <c r="B19" s="1387" t="s">
        <v>253</v>
      </c>
      <c r="C19" s="176">
        <f>+C7+C18</f>
        <v>911877</v>
      </c>
      <c r="D19" s="125">
        <f>+D7+D18</f>
        <v>1115470</v>
      </c>
      <c r="E19" s="125">
        <f>+E7+E18</f>
        <v>934767</v>
      </c>
      <c r="F19" s="160">
        <f t="shared" si="0"/>
        <v>83.800281495692403</v>
      </c>
    </row>
    <row r="20" spans="1:8" s="54" customFormat="1" ht="15" customHeight="1">
      <c r="A20" s="64"/>
      <c r="B20" s="326"/>
    </row>
    <row r="21" spans="1:8" s="333" customFormat="1" ht="23.25" customHeight="1" thickBot="1">
      <c r="A21" s="174"/>
      <c r="B21" s="1376" t="s">
        <v>13</v>
      </c>
      <c r="C21" s="1377"/>
      <c r="D21" s="1377"/>
      <c r="E21" s="1377"/>
      <c r="F21" s="1378"/>
    </row>
    <row r="22" spans="1:8" s="333" customFormat="1" ht="22.5" customHeight="1">
      <c r="A22" s="174"/>
      <c r="B22" s="1374" t="s">
        <v>25</v>
      </c>
      <c r="C22" s="1887" t="s">
        <v>442</v>
      </c>
      <c r="D22" s="1887"/>
      <c r="E22" s="97" t="s">
        <v>240</v>
      </c>
      <c r="F22" s="173" t="s">
        <v>77</v>
      </c>
    </row>
    <row r="23" spans="1:8" s="333" customFormat="1" ht="22.5" customHeight="1" thickBot="1">
      <c r="A23" s="174"/>
      <c r="B23" s="1375"/>
      <c r="C23" s="151" t="s">
        <v>147</v>
      </c>
      <c r="D23" s="151" t="s">
        <v>75</v>
      </c>
      <c r="E23" s="152" t="s">
        <v>76</v>
      </c>
      <c r="F23" s="153" t="s">
        <v>78</v>
      </c>
    </row>
    <row r="24" spans="1:8" s="76" customFormat="1" ht="27" customHeight="1" thickBot="1">
      <c r="A24" s="75"/>
      <c r="B24" s="1742" t="s">
        <v>1242</v>
      </c>
      <c r="C24" s="272">
        <v>0</v>
      </c>
      <c r="D24" s="272">
        <v>19406</v>
      </c>
      <c r="E24" s="272">
        <v>16562</v>
      </c>
      <c r="F24" s="273">
        <f>+E24/D24*100</f>
        <v>85.344738740595687</v>
      </c>
    </row>
    <row r="25" spans="1:8" s="54" customFormat="1" ht="27" customHeight="1" thickBot="1">
      <c r="A25" s="64"/>
      <c r="B25" s="1425" t="s">
        <v>254</v>
      </c>
      <c r="C25" s="175">
        <f>SUM(C24:C24)</f>
        <v>0</v>
      </c>
      <c r="D25" s="175">
        <f>SUM(D24:D24)</f>
        <v>19406</v>
      </c>
      <c r="E25" s="108">
        <f>SUM(E24:E24)</f>
        <v>16562</v>
      </c>
      <c r="F25" s="109">
        <f>+E25/D25*100</f>
        <v>85.344738740595687</v>
      </c>
    </row>
    <row r="26" spans="1:8" s="54" customFormat="1" ht="22.5" customHeight="1" thickBot="1">
      <c r="A26" s="64"/>
      <c r="B26" s="435"/>
      <c r="C26" s="147"/>
      <c r="D26" s="147"/>
      <c r="E26" s="177"/>
      <c r="F26" s="307"/>
    </row>
    <row r="27" spans="1:8" s="54" customFormat="1" ht="27" customHeight="1" thickBot="1">
      <c r="A27" s="64"/>
      <c r="B27" s="1425" t="s">
        <v>255</v>
      </c>
      <c r="C27" s="175">
        <f>+C19+C25</f>
        <v>911877</v>
      </c>
      <c r="D27" s="108">
        <f>+D19+D25</f>
        <v>1134876</v>
      </c>
      <c r="E27" s="108">
        <f>+E19+E25</f>
        <v>951329</v>
      </c>
      <c r="F27" s="109">
        <f>+E27/D27*100</f>
        <v>83.826691197981091</v>
      </c>
    </row>
    <row r="29" spans="1:8" ht="15" customHeight="1">
      <c r="E29" s="3"/>
    </row>
    <row r="30" spans="1:8" ht="15" customHeight="1">
      <c r="D30" s="3"/>
      <c r="E30" s="3"/>
      <c r="F30" s="3"/>
    </row>
    <row r="31" spans="1:8" ht="15" customHeight="1">
      <c r="E31" s="3"/>
    </row>
    <row r="33" spans="5:5" ht="15" customHeight="1">
      <c r="E33" s="3"/>
    </row>
    <row r="97" spans="5:5" ht="15" customHeight="1">
      <c r="E97" s="1">
        <v>3025199</v>
      </c>
    </row>
  </sheetData>
  <mergeCells count="4">
    <mergeCell ref="B1:C1"/>
    <mergeCell ref="C5:D5"/>
    <mergeCell ref="C22:D22"/>
    <mergeCell ref="B2:F2"/>
  </mergeCells>
  <phoneticPr fontId="0" type="noConversion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65" orientation="portrait" r:id="rId1"/>
  <headerFooter alignWithMargins="0">
    <oddHeader xml:space="preserve">&amp;R&amp;"Calibri,Félkövér"&amp;11 &amp;12 11. melléklet  a .../2026. (........) önkormányzati rendelethez&amp;"Arial,Félkövér"&amp;14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9"/>
  <dimension ref="A1:F102"/>
  <sheetViews>
    <sheetView zoomScaleNormal="100" workbookViewId="0">
      <selection activeCell="B2" sqref="B2:F2"/>
    </sheetView>
  </sheetViews>
  <sheetFormatPr defaultColWidth="9.33203125" defaultRowHeight="15" customHeight="1"/>
  <cols>
    <col min="1" max="1" width="12" style="11" customWidth="1"/>
    <col min="2" max="2" width="88.33203125" style="1" customWidth="1"/>
    <col min="3" max="3" width="20.33203125" style="1" customWidth="1"/>
    <col min="4" max="4" width="20.33203125" style="3" customWidth="1"/>
    <col min="5" max="5" width="20.6640625" style="3" customWidth="1"/>
    <col min="6" max="6" width="22.33203125" style="1" customWidth="1"/>
    <col min="7" max="16384" width="9.33203125" style="1"/>
  </cols>
  <sheetData>
    <row r="1" spans="1:6" s="54" customFormat="1" ht="15" customHeight="1">
      <c r="A1" s="64"/>
      <c r="B1" s="1968"/>
      <c r="C1" s="1968"/>
      <c r="D1" s="64"/>
      <c r="E1" s="64"/>
    </row>
    <row r="2" spans="1:6" s="54" customFormat="1" ht="30.75" customHeight="1">
      <c r="A2" s="64"/>
      <c r="B2" s="1883" t="s">
        <v>274</v>
      </c>
      <c r="C2" s="1883"/>
      <c r="D2" s="1883"/>
      <c r="E2" s="1883"/>
      <c r="F2" s="1883"/>
    </row>
    <row r="3" spans="1:6" s="54" customFormat="1" ht="15" customHeight="1">
      <c r="A3" s="64"/>
      <c r="D3" s="64"/>
      <c r="E3" s="64"/>
    </row>
    <row r="4" spans="1:6" s="333" customFormat="1" ht="24" customHeight="1" thickBot="1">
      <c r="A4" s="174"/>
      <c r="B4" s="1366" t="s">
        <v>113</v>
      </c>
      <c r="C4" s="1330"/>
      <c r="D4" s="340"/>
      <c r="E4" s="340"/>
      <c r="F4" s="1378" t="s">
        <v>12</v>
      </c>
    </row>
    <row r="5" spans="1:6" s="333" customFormat="1" ht="24.75" customHeight="1">
      <c r="A5" s="174"/>
      <c r="B5" s="1374" t="s">
        <v>48</v>
      </c>
      <c r="C5" s="1887" t="s">
        <v>442</v>
      </c>
      <c r="D5" s="1887"/>
      <c r="E5" s="97" t="s">
        <v>240</v>
      </c>
      <c r="F5" s="173" t="s">
        <v>77</v>
      </c>
    </row>
    <row r="6" spans="1:6" s="333" customFormat="1" ht="24.75" customHeight="1" thickBot="1">
      <c r="A6" s="174"/>
      <c r="B6" s="1379"/>
      <c r="C6" s="151" t="s">
        <v>147</v>
      </c>
      <c r="D6" s="151" t="s">
        <v>75</v>
      </c>
      <c r="E6" s="152" t="s">
        <v>76</v>
      </c>
      <c r="F6" s="153" t="s">
        <v>78</v>
      </c>
    </row>
    <row r="7" spans="1:6" s="54" customFormat="1" ht="24.75" customHeight="1" thickBot="1">
      <c r="A7" s="64"/>
      <c r="B7" s="1606" t="s">
        <v>468</v>
      </c>
      <c r="C7" s="386">
        <v>1979865</v>
      </c>
      <c r="D7" s="388">
        <v>2011423</v>
      </c>
      <c r="E7" s="388">
        <v>1998232</v>
      </c>
      <c r="F7" s="406">
        <f>+E7/D7*100</f>
        <v>99.344195626678228</v>
      </c>
    </row>
    <row r="8" spans="1:6" s="54" customFormat="1" ht="24.75" customHeight="1">
      <c r="A8" s="64"/>
      <c r="B8" s="1607" t="s">
        <v>594</v>
      </c>
      <c r="C8" s="459"/>
      <c r="D8" s="459"/>
      <c r="E8" s="459"/>
      <c r="F8" s="460"/>
    </row>
    <row r="9" spans="1:6" s="54" customFormat="1" ht="24.75" customHeight="1">
      <c r="A9" s="64"/>
      <c r="B9" s="353" t="s">
        <v>44</v>
      </c>
      <c r="C9" s="115">
        <v>241</v>
      </c>
      <c r="D9" s="115">
        <v>241</v>
      </c>
      <c r="E9" s="115">
        <v>226</v>
      </c>
      <c r="F9" s="103">
        <f t="shared" ref="F9:F12" si="0">+E9/D9*100</f>
        <v>93.7759336099585</v>
      </c>
    </row>
    <row r="10" spans="1:6" s="54" customFormat="1" ht="46.5" customHeight="1" thickBot="1">
      <c r="A10" s="64"/>
      <c r="B10" s="1501" t="s">
        <v>469</v>
      </c>
      <c r="C10" s="115">
        <v>10000</v>
      </c>
      <c r="D10" s="115">
        <v>0</v>
      </c>
      <c r="E10" s="115"/>
      <c r="F10" s="103"/>
    </row>
    <row r="11" spans="1:6" s="54" customFormat="1" ht="24.75" customHeight="1" thickBot="1">
      <c r="A11" s="64"/>
      <c r="B11" s="338" t="s">
        <v>595</v>
      </c>
      <c r="C11" s="175">
        <f>SUM(C9:C10)</f>
        <v>10241</v>
      </c>
      <c r="D11" s="108">
        <f>SUM(D9:D10)</f>
        <v>241</v>
      </c>
      <c r="E11" s="175">
        <f>SUM(E9:E10)</f>
        <v>226</v>
      </c>
      <c r="F11" s="160">
        <f t="shared" si="0"/>
        <v>93.7759336099585</v>
      </c>
    </row>
    <row r="12" spans="1:6" s="54" customFormat="1" ht="24" customHeight="1" thickBot="1">
      <c r="A12" s="64"/>
      <c r="B12" s="1608" t="s">
        <v>256</v>
      </c>
      <c r="C12" s="176">
        <f>+C7+C11</f>
        <v>1990106</v>
      </c>
      <c r="D12" s="125">
        <f>+D7+D11</f>
        <v>2011664</v>
      </c>
      <c r="E12" s="176">
        <f>+E7+E11</f>
        <v>1998458</v>
      </c>
      <c r="F12" s="160">
        <f t="shared" si="0"/>
        <v>99.343528541545695</v>
      </c>
    </row>
    <row r="13" spans="1:6" s="54" customFormat="1" ht="20.100000000000001" customHeight="1">
      <c r="A13" s="64"/>
      <c r="B13" s="163"/>
      <c r="C13" s="60"/>
      <c r="D13" s="60"/>
      <c r="E13" s="60"/>
      <c r="F13" s="77"/>
    </row>
    <row r="14" spans="1:6" s="333" customFormat="1" ht="24.75" customHeight="1" thickBot="1">
      <c r="A14" s="174"/>
      <c r="B14" s="1366" t="s">
        <v>13</v>
      </c>
      <c r="C14" s="147"/>
      <c r="D14" s="147"/>
      <c r="E14" s="147"/>
      <c r="F14" s="1380"/>
    </row>
    <row r="15" spans="1:6" s="333" customFormat="1" ht="24.75" customHeight="1">
      <c r="A15" s="174"/>
      <c r="B15" s="1374" t="s">
        <v>25</v>
      </c>
      <c r="C15" s="1887" t="s">
        <v>442</v>
      </c>
      <c r="D15" s="1887"/>
      <c r="E15" s="97" t="s">
        <v>240</v>
      </c>
      <c r="F15" s="173" t="s">
        <v>77</v>
      </c>
    </row>
    <row r="16" spans="1:6" s="333" customFormat="1" ht="24.75" customHeight="1" thickBot="1">
      <c r="A16" s="174"/>
      <c r="B16" s="1375"/>
      <c r="C16" s="151" t="s">
        <v>147</v>
      </c>
      <c r="D16" s="151" t="s">
        <v>75</v>
      </c>
      <c r="E16" s="152" t="s">
        <v>76</v>
      </c>
      <c r="F16" s="153" t="s">
        <v>78</v>
      </c>
    </row>
    <row r="17" spans="1:6" s="54" customFormat="1" ht="24.75" customHeight="1" thickBot="1">
      <c r="A17" s="64"/>
      <c r="B17" s="1609" t="s">
        <v>416</v>
      </c>
      <c r="C17" s="175">
        <v>700</v>
      </c>
      <c r="D17" s="175">
        <v>82819</v>
      </c>
      <c r="E17" s="175">
        <v>27208</v>
      </c>
      <c r="F17" s="166">
        <f>+E17/D17*100</f>
        <v>32.852364795517936</v>
      </c>
    </row>
    <row r="18" spans="1:6" s="54" customFormat="1" ht="24.75" customHeight="1" thickBot="1">
      <c r="A18" s="64"/>
      <c r="B18" s="1610" t="s">
        <v>596</v>
      </c>
      <c r="C18" s="108">
        <f>SUM(C17)</f>
        <v>700</v>
      </c>
      <c r="D18" s="108">
        <f t="shared" ref="D18:E18" si="1">SUM(D17)</f>
        <v>82819</v>
      </c>
      <c r="E18" s="108">
        <f t="shared" si="1"/>
        <v>27208</v>
      </c>
      <c r="F18" s="166">
        <f>+E18/D18*100</f>
        <v>32.852364795517936</v>
      </c>
    </row>
    <row r="19" spans="1:6" s="54" customFormat="1" ht="24.75" customHeight="1" thickBot="1">
      <c r="A19" s="64"/>
      <c r="B19" s="1328"/>
      <c r="C19" s="147"/>
      <c r="D19" s="147"/>
      <c r="E19" s="461"/>
      <c r="F19" s="462"/>
    </row>
    <row r="20" spans="1:6" s="54" customFormat="1" ht="24.75" customHeight="1" thickBot="1">
      <c r="A20" s="64"/>
      <c r="B20" s="338" t="s">
        <v>257</v>
      </c>
      <c r="C20" s="108">
        <f>C12+C18</f>
        <v>1990806</v>
      </c>
      <c r="D20" s="108">
        <f>D12+D18</f>
        <v>2094483</v>
      </c>
      <c r="E20" s="108">
        <f>E12+E18</f>
        <v>2025666</v>
      </c>
      <c r="F20" s="166">
        <f>+E20/D20*100</f>
        <v>96.714368175821903</v>
      </c>
    </row>
    <row r="23" spans="1:6" ht="15" customHeight="1">
      <c r="B23" s="7"/>
    </row>
    <row r="33" spans="2:2" ht="15" customHeight="1">
      <c r="B33" s="26"/>
    </row>
    <row r="102" spans="5:5" ht="15" customHeight="1">
      <c r="E102" s="3">
        <v>3025199</v>
      </c>
    </row>
  </sheetData>
  <mergeCells count="4">
    <mergeCell ref="B1:C1"/>
    <mergeCell ref="C5:D5"/>
    <mergeCell ref="C15:D15"/>
    <mergeCell ref="B2:F2"/>
  </mergeCells>
  <phoneticPr fontId="0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headerFooter alignWithMargins="0">
    <oddHeader>&amp;R&amp;"Calibri,Félkövér"&amp;12 12. melléklet  a .../2026. (........)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20"/>
  <dimension ref="A1:I119"/>
  <sheetViews>
    <sheetView zoomScale="98" zoomScaleNormal="98" zoomScaleSheetLayoutView="100" workbookViewId="0">
      <selection activeCell="B2" sqref="B2:F2"/>
    </sheetView>
  </sheetViews>
  <sheetFormatPr defaultColWidth="9.33203125" defaultRowHeight="15" customHeight="1"/>
  <cols>
    <col min="1" max="1" width="17.33203125" style="11" customWidth="1"/>
    <col min="2" max="2" width="128.1640625" style="1" customWidth="1"/>
    <col min="3" max="3" width="24.83203125" style="1" customWidth="1"/>
    <col min="4" max="5" width="24.83203125" style="3" customWidth="1"/>
    <col min="6" max="6" width="20.83203125" style="1" customWidth="1"/>
    <col min="7" max="7" width="21.83203125" style="1" customWidth="1"/>
    <col min="8" max="8" width="11" style="1" bestFit="1" customWidth="1"/>
    <col min="9" max="9" width="19.6640625" style="1" customWidth="1"/>
    <col min="10" max="16384" width="9.33203125" style="1"/>
  </cols>
  <sheetData>
    <row r="1" spans="1:6" ht="8.25" customHeight="1">
      <c r="B1" s="1971"/>
      <c r="C1" s="1971"/>
    </row>
    <row r="2" spans="1:6" s="54" customFormat="1" ht="33" customHeight="1">
      <c r="A2" s="64"/>
      <c r="B2" s="1883" t="s">
        <v>156</v>
      </c>
      <c r="C2" s="1883"/>
      <c r="D2" s="1883"/>
      <c r="E2" s="1883"/>
      <c r="F2" s="1883"/>
    </row>
    <row r="3" spans="1:6" s="54" customFormat="1" ht="29.25" customHeight="1" thickBot="1">
      <c r="A3" s="64"/>
      <c r="C3" s="66"/>
      <c r="D3" s="57"/>
      <c r="E3" s="57"/>
      <c r="F3" s="74" t="s">
        <v>12</v>
      </c>
    </row>
    <row r="4" spans="1:6" s="333" customFormat="1" ht="23.25" customHeight="1">
      <c r="A4" s="174"/>
      <c r="B4" s="1374" t="s">
        <v>25</v>
      </c>
      <c r="C4" s="1887" t="s">
        <v>442</v>
      </c>
      <c r="D4" s="1887"/>
      <c r="E4" s="97" t="s">
        <v>240</v>
      </c>
      <c r="F4" s="173" t="s">
        <v>77</v>
      </c>
    </row>
    <row r="5" spans="1:6" s="333" customFormat="1" ht="23.25" customHeight="1" thickBot="1">
      <c r="A5" s="174"/>
      <c r="B5" s="1382"/>
      <c r="C5" s="151" t="s">
        <v>147</v>
      </c>
      <c r="D5" s="151" t="s">
        <v>75</v>
      </c>
      <c r="E5" s="152" t="s">
        <v>76</v>
      </c>
      <c r="F5" s="153" t="s">
        <v>78</v>
      </c>
    </row>
    <row r="6" spans="1:6" s="54" customFormat="1" ht="23.25" customHeight="1" thickBot="1">
      <c r="A6" s="64"/>
      <c r="B6" s="1385" t="s">
        <v>470</v>
      </c>
      <c r="C6" s="180">
        <v>209018</v>
      </c>
      <c r="D6" s="180">
        <v>231794</v>
      </c>
      <c r="E6" s="180">
        <v>204261</v>
      </c>
      <c r="F6" s="181">
        <f t="shared" ref="F6:F58" si="0">+E6/D6*100</f>
        <v>88.121780546519759</v>
      </c>
    </row>
    <row r="7" spans="1:6" s="54" customFormat="1" ht="23.25" customHeight="1" thickBot="1">
      <c r="A7" s="64"/>
      <c r="B7" s="1386" t="s">
        <v>37</v>
      </c>
      <c r="C7" s="408">
        <v>3134054</v>
      </c>
      <c r="D7" s="408">
        <v>3347082</v>
      </c>
      <c r="E7" s="408">
        <v>3128108</v>
      </c>
      <c r="F7" s="409">
        <f t="shared" si="0"/>
        <v>93.457764106167701</v>
      </c>
    </row>
    <row r="8" spans="1:6" s="54" customFormat="1" ht="23.25" customHeight="1" thickBot="1">
      <c r="A8" s="64"/>
      <c r="B8" s="1387" t="s">
        <v>271</v>
      </c>
      <c r="C8" s="125">
        <f>+C6+C7</f>
        <v>3343072</v>
      </c>
      <c r="D8" s="125">
        <f t="shared" ref="D8:E8" si="1">+D6+D7</f>
        <v>3578876</v>
      </c>
      <c r="E8" s="125">
        <f t="shared" si="1"/>
        <v>3332369</v>
      </c>
      <c r="F8" s="407">
        <f t="shared" si="0"/>
        <v>93.112167060272554</v>
      </c>
    </row>
    <row r="9" spans="1:6" s="54" customFormat="1" ht="23.25" customHeight="1">
      <c r="A9" s="64"/>
      <c r="B9" s="1388" t="s">
        <v>151</v>
      </c>
      <c r="C9" s="110"/>
      <c r="D9" s="167"/>
      <c r="E9" s="167"/>
      <c r="F9" s="182"/>
    </row>
    <row r="10" spans="1:6" s="54" customFormat="1" ht="23.25" customHeight="1">
      <c r="A10" s="64"/>
      <c r="B10" s="1389" t="s">
        <v>5</v>
      </c>
      <c r="C10" s="402">
        <v>400000</v>
      </c>
      <c r="D10" s="402">
        <v>417946</v>
      </c>
      <c r="E10" s="391">
        <v>278996</v>
      </c>
      <c r="F10" s="405">
        <f t="shared" si="0"/>
        <v>66.754078278055061</v>
      </c>
    </row>
    <row r="11" spans="1:6" s="54" customFormat="1" ht="23.25" customHeight="1">
      <c r="A11" s="65"/>
      <c r="B11" s="1390" t="s">
        <v>152</v>
      </c>
      <c r="C11" s="274">
        <v>700000</v>
      </c>
      <c r="D11" s="274">
        <v>700330</v>
      </c>
      <c r="E11" s="274">
        <v>1007376</v>
      </c>
      <c r="F11" s="393">
        <f t="shared" si="0"/>
        <v>143.84304542144417</v>
      </c>
    </row>
    <row r="12" spans="1:6" s="54" customFormat="1" ht="23.25" customHeight="1">
      <c r="A12" s="65"/>
      <c r="B12" s="1390" t="s">
        <v>261</v>
      </c>
      <c r="C12" s="274">
        <v>160000</v>
      </c>
      <c r="D12" s="274">
        <v>160000</v>
      </c>
      <c r="E12" s="292"/>
      <c r="F12" s="393">
        <f t="shared" si="0"/>
        <v>0</v>
      </c>
    </row>
    <row r="13" spans="1:6" s="54" customFormat="1" ht="23.25" customHeight="1">
      <c r="A13" s="64"/>
      <c r="B13" s="1390" t="s">
        <v>129</v>
      </c>
      <c r="C13" s="274">
        <v>0</v>
      </c>
      <c r="D13" s="274">
        <v>21112</v>
      </c>
      <c r="E13" s="274">
        <v>21112</v>
      </c>
      <c r="F13" s="393">
        <f t="shared" si="0"/>
        <v>100</v>
      </c>
    </row>
    <row r="14" spans="1:6" s="54" customFormat="1" ht="23.25" customHeight="1">
      <c r="A14" s="64"/>
      <c r="B14" s="1390" t="s">
        <v>243</v>
      </c>
      <c r="C14" s="274">
        <v>0</v>
      </c>
      <c r="D14" s="274">
        <v>3137</v>
      </c>
      <c r="E14" s="274">
        <v>3137</v>
      </c>
      <c r="F14" s="393">
        <f t="shared" si="0"/>
        <v>100</v>
      </c>
    </row>
    <row r="15" spans="1:6" s="54" customFormat="1" ht="23.25" customHeight="1">
      <c r="A15" s="64"/>
      <c r="B15" s="1390" t="s">
        <v>4</v>
      </c>
      <c r="C15" s="274">
        <v>554736</v>
      </c>
      <c r="D15" s="274">
        <v>554736</v>
      </c>
      <c r="E15" s="274">
        <v>554736</v>
      </c>
      <c r="F15" s="396">
        <f t="shared" si="0"/>
        <v>100</v>
      </c>
    </row>
    <row r="16" spans="1:6" s="54" customFormat="1" ht="23.25" customHeight="1">
      <c r="A16" s="64"/>
      <c r="B16" s="1391" t="s">
        <v>68</v>
      </c>
      <c r="C16" s="183">
        <f>SUM(C10:C15)</f>
        <v>1814736</v>
      </c>
      <c r="D16" s="184">
        <f>SUM(D10:D15)</f>
        <v>1857261</v>
      </c>
      <c r="E16" s="184">
        <f>SUM(E10:E15)</f>
        <v>1865357</v>
      </c>
      <c r="F16" s="185">
        <f t="shared" si="0"/>
        <v>100.43591073090965</v>
      </c>
    </row>
    <row r="17" spans="1:7" s="54" customFormat="1" ht="23.25" customHeight="1">
      <c r="A17" s="64"/>
      <c r="B17" s="1392" t="s">
        <v>22</v>
      </c>
      <c r="C17" s="87"/>
      <c r="D17" s="87"/>
      <c r="E17" s="87"/>
      <c r="F17" s="309"/>
    </row>
    <row r="18" spans="1:7" s="54" customFormat="1" ht="23.25" customHeight="1">
      <c r="A18" s="64"/>
      <c r="B18" s="1393" t="s">
        <v>378</v>
      </c>
      <c r="C18" s="402">
        <v>63000</v>
      </c>
      <c r="D18" s="402">
        <v>63000</v>
      </c>
      <c r="E18" s="402">
        <v>60330</v>
      </c>
      <c r="F18" s="410">
        <f t="shared" si="0"/>
        <v>95.761904761904759</v>
      </c>
    </row>
    <row r="19" spans="1:7" s="54" customFormat="1" ht="23.25" customHeight="1">
      <c r="A19" s="64"/>
      <c r="B19" s="1394" t="s">
        <v>278</v>
      </c>
      <c r="C19" s="391">
        <v>80000</v>
      </c>
      <c r="D19" s="391">
        <v>88044</v>
      </c>
      <c r="E19" s="391">
        <v>88044</v>
      </c>
      <c r="F19" s="405">
        <f t="shared" si="0"/>
        <v>100</v>
      </c>
      <c r="G19" s="64"/>
    </row>
    <row r="20" spans="1:7" s="54" customFormat="1" ht="23.25" customHeight="1">
      <c r="A20" s="64"/>
      <c r="B20" s="1395" t="s">
        <v>182</v>
      </c>
      <c r="C20" s="89">
        <v>17500</v>
      </c>
      <c r="D20" s="89">
        <v>27579</v>
      </c>
      <c r="E20" s="89">
        <v>17001</v>
      </c>
      <c r="F20" s="187">
        <f t="shared" si="0"/>
        <v>61.644729685630374</v>
      </c>
    </row>
    <row r="21" spans="1:7" s="54" customFormat="1" ht="23.25" customHeight="1">
      <c r="A21" s="64"/>
      <c r="B21" s="1394" t="s">
        <v>6</v>
      </c>
      <c r="C21" s="391">
        <v>15000</v>
      </c>
      <c r="D21" s="391">
        <v>15000</v>
      </c>
      <c r="E21" s="391">
        <v>14877</v>
      </c>
      <c r="F21" s="411">
        <f t="shared" si="0"/>
        <v>99.18</v>
      </c>
    </row>
    <row r="22" spans="1:7" s="54" customFormat="1" ht="23.25" customHeight="1">
      <c r="A22" s="64"/>
      <c r="B22" s="1396" t="s">
        <v>471</v>
      </c>
      <c r="C22" s="274">
        <v>472625</v>
      </c>
      <c r="D22" s="274">
        <v>484928</v>
      </c>
      <c r="E22" s="274">
        <f>424782+41745</f>
        <v>466527</v>
      </c>
      <c r="F22" s="412">
        <f t="shared" si="0"/>
        <v>96.205416061765874</v>
      </c>
    </row>
    <row r="23" spans="1:7" s="54" customFormat="1" ht="23.25" customHeight="1">
      <c r="A23" s="64"/>
      <c r="B23" s="1393" t="s">
        <v>175</v>
      </c>
      <c r="C23" s="402">
        <v>13040</v>
      </c>
      <c r="D23" s="402">
        <v>13040</v>
      </c>
      <c r="E23" s="402">
        <v>13040</v>
      </c>
      <c r="F23" s="405">
        <f t="shared" si="0"/>
        <v>100</v>
      </c>
    </row>
    <row r="24" spans="1:7" s="54" customFormat="1" ht="23.25" customHeight="1">
      <c r="A24" s="64"/>
      <c r="B24" s="1397" t="s">
        <v>379</v>
      </c>
      <c r="C24" s="113">
        <v>1200</v>
      </c>
      <c r="D24" s="113">
        <v>1200</v>
      </c>
      <c r="E24" s="238">
        <v>1200</v>
      </c>
      <c r="F24" s="154">
        <f t="shared" si="0"/>
        <v>100</v>
      </c>
    </row>
    <row r="25" spans="1:7" s="54" customFormat="1" ht="23.25" customHeight="1">
      <c r="A25" s="64"/>
      <c r="B25" s="1397" t="s">
        <v>340</v>
      </c>
      <c r="C25" s="113"/>
      <c r="D25" s="113">
        <v>1500</v>
      </c>
      <c r="E25" s="238">
        <v>1500</v>
      </c>
      <c r="F25" s="154">
        <f t="shared" si="0"/>
        <v>100</v>
      </c>
    </row>
    <row r="26" spans="1:7" s="54" customFormat="1" ht="23.25" customHeight="1">
      <c r="A26" s="64"/>
      <c r="B26" s="1398" t="s">
        <v>430</v>
      </c>
      <c r="C26" s="113"/>
      <c r="D26" s="113">
        <v>3000</v>
      </c>
      <c r="E26" s="238">
        <v>3000</v>
      </c>
      <c r="F26" s="249">
        <f t="shared" si="0"/>
        <v>100</v>
      </c>
    </row>
    <row r="27" spans="1:7" s="54" customFormat="1" ht="23.25" customHeight="1">
      <c r="A27" s="64"/>
      <c r="B27" s="1398" t="s">
        <v>154</v>
      </c>
      <c r="C27" s="113">
        <v>3154</v>
      </c>
      <c r="D27" s="113">
        <v>3401</v>
      </c>
      <c r="E27" s="238">
        <v>3401</v>
      </c>
      <c r="F27" s="154">
        <f t="shared" si="0"/>
        <v>100</v>
      </c>
    </row>
    <row r="28" spans="1:7" s="54" customFormat="1" ht="23.25" customHeight="1">
      <c r="A28" s="64"/>
      <c r="B28" s="1399" t="s">
        <v>153</v>
      </c>
      <c r="C28" s="89">
        <v>4200</v>
      </c>
      <c r="D28" s="89">
        <v>4200</v>
      </c>
      <c r="E28" s="186">
        <v>3764</v>
      </c>
      <c r="F28" s="188">
        <f t="shared" si="0"/>
        <v>89.61904761904762</v>
      </c>
    </row>
    <row r="29" spans="1:7" s="54" customFormat="1" ht="23.25" customHeight="1">
      <c r="A29" s="64"/>
      <c r="B29" s="1399" t="s">
        <v>150</v>
      </c>
      <c r="C29" s="89">
        <v>10000</v>
      </c>
      <c r="D29" s="89">
        <v>19911</v>
      </c>
      <c r="E29" s="186">
        <v>13753</v>
      </c>
      <c r="F29" s="188">
        <f t="shared" si="0"/>
        <v>69.072372055647634</v>
      </c>
    </row>
    <row r="30" spans="1:7" s="54" customFormat="1" ht="23.25" customHeight="1">
      <c r="A30" s="64"/>
      <c r="B30" s="1399" t="s">
        <v>328</v>
      </c>
      <c r="C30" s="89">
        <v>1000</v>
      </c>
      <c r="D30" s="89">
        <v>2696</v>
      </c>
      <c r="E30" s="243">
        <v>660</v>
      </c>
      <c r="F30" s="188">
        <f t="shared" si="0"/>
        <v>24.480712166172104</v>
      </c>
    </row>
    <row r="31" spans="1:7" s="54" customFormat="1" ht="23.25" customHeight="1">
      <c r="A31" s="64"/>
      <c r="B31" s="1399" t="s">
        <v>380</v>
      </c>
      <c r="C31" s="89">
        <v>1414000</v>
      </c>
      <c r="D31" s="89">
        <v>1533093</v>
      </c>
      <c r="E31" s="189">
        <v>1520804</v>
      </c>
      <c r="F31" s="188">
        <f t="shared" si="0"/>
        <v>99.198417838969974</v>
      </c>
    </row>
    <row r="32" spans="1:7" s="54" customFormat="1" ht="43.5" customHeight="1">
      <c r="A32" s="64"/>
      <c r="B32" s="1400" t="s">
        <v>597</v>
      </c>
      <c r="C32" s="89">
        <v>2500</v>
      </c>
      <c r="D32" s="89">
        <v>2500</v>
      </c>
      <c r="E32" s="190">
        <v>2100</v>
      </c>
      <c r="F32" s="188">
        <f t="shared" si="0"/>
        <v>84</v>
      </c>
    </row>
    <row r="33" spans="1:6" s="54" customFormat="1" ht="23.25" customHeight="1">
      <c r="A33" s="64"/>
      <c r="B33" s="1401" t="s">
        <v>480</v>
      </c>
      <c r="C33" s="113"/>
      <c r="D33" s="113">
        <v>50000</v>
      </c>
      <c r="E33" s="452">
        <v>50000</v>
      </c>
      <c r="F33" s="447">
        <f t="shared" si="0"/>
        <v>100</v>
      </c>
    </row>
    <row r="34" spans="1:6" s="54" customFormat="1" ht="23.25" customHeight="1">
      <c r="A34" s="64"/>
      <c r="B34" s="1401" t="s">
        <v>481</v>
      </c>
      <c r="C34" s="113"/>
      <c r="D34" s="113">
        <v>10516</v>
      </c>
      <c r="E34" s="452">
        <v>10516</v>
      </c>
      <c r="F34" s="447">
        <f t="shared" si="0"/>
        <v>100</v>
      </c>
    </row>
    <row r="35" spans="1:6" s="54" customFormat="1" ht="23.25" customHeight="1">
      <c r="A35" s="64"/>
      <c r="B35" s="1393" t="s">
        <v>598</v>
      </c>
      <c r="C35" s="402">
        <v>3833106</v>
      </c>
      <c r="D35" s="402">
        <v>3833106</v>
      </c>
      <c r="E35" s="402">
        <v>3833106</v>
      </c>
      <c r="F35" s="405">
        <f t="shared" si="0"/>
        <v>100</v>
      </c>
    </row>
    <row r="36" spans="1:6" s="54" customFormat="1" ht="23.25" customHeight="1">
      <c r="A36" s="64"/>
      <c r="B36" s="1394" t="s">
        <v>490</v>
      </c>
      <c r="C36" s="391"/>
      <c r="D36" s="391">
        <v>1556901</v>
      </c>
      <c r="E36" s="391">
        <v>1556901</v>
      </c>
      <c r="F36" s="405">
        <f t="shared" si="0"/>
        <v>100</v>
      </c>
    </row>
    <row r="37" spans="1:6" s="54" customFormat="1" ht="23.25" customHeight="1">
      <c r="A37" s="64"/>
      <c r="B37" s="1402" t="s">
        <v>381</v>
      </c>
      <c r="C37" s="172"/>
      <c r="D37" s="172">
        <v>2500</v>
      </c>
      <c r="E37" s="193">
        <v>2500</v>
      </c>
      <c r="F37" s="188">
        <f t="shared" si="0"/>
        <v>100</v>
      </c>
    </row>
    <row r="38" spans="1:6" s="54" customFormat="1" ht="23.25" customHeight="1">
      <c r="A38" s="64"/>
      <c r="B38" s="1402" t="s">
        <v>361</v>
      </c>
      <c r="C38" s="172">
        <v>3810</v>
      </c>
      <c r="D38" s="172">
        <v>3810</v>
      </c>
      <c r="E38" s="189">
        <v>3810</v>
      </c>
      <c r="F38" s="188">
        <f t="shared" si="0"/>
        <v>100</v>
      </c>
    </row>
    <row r="39" spans="1:6" s="54" customFormat="1" ht="23.25" customHeight="1">
      <c r="A39" s="64"/>
      <c r="B39" s="1403" t="s">
        <v>417</v>
      </c>
      <c r="C39" s="251"/>
      <c r="D39" s="251">
        <v>5000</v>
      </c>
      <c r="E39" s="243"/>
      <c r="F39" s="447">
        <f t="shared" si="0"/>
        <v>0</v>
      </c>
    </row>
    <row r="40" spans="1:6" s="54" customFormat="1" ht="23.25" customHeight="1">
      <c r="A40" s="64"/>
      <c r="B40" s="1402" t="s">
        <v>486</v>
      </c>
      <c r="C40" s="172"/>
      <c r="D40" s="172">
        <v>453</v>
      </c>
      <c r="E40" s="189"/>
      <c r="F40" s="188">
        <f t="shared" si="0"/>
        <v>0</v>
      </c>
    </row>
    <row r="41" spans="1:6" s="54" customFormat="1" ht="23.25" customHeight="1">
      <c r="A41" s="64"/>
      <c r="B41" s="1404" t="s">
        <v>599</v>
      </c>
      <c r="C41" s="89"/>
      <c r="D41" s="172">
        <v>11916</v>
      </c>
      <c r="E41" s="189">
        <v>11916</v>
      </c>
      <c r="F41" s="188">
        <f t="shared" si="0"/>
        <v>100</v>
      </c>
    </row>
    <row r="42" spans="1:6" s="54" customFormat="1" ht="23.25" customHeight="1">
      <c r="A42" s="64"/>
      <c r="B42" s="1405" t="s">
        <v>298</v>
      </c>
      <c r="C42" s="172"/>
      <c r="D42" s="172"/>
      <c r="E42" s="189"/>
      <c r="F42" s="188"/>
    </row>
    <row r="43" spans="1:6" s="54" customFormat="1" ht="23.25" customHeight="1">
      <c r="A43" s="64"/>
      <c r="B43" s="1399" t="s">
        <v>299</v>
      </c>
      <c r="C43" s="89">
        <v>127000</v>
      </c>
      <c r="D43" s="89">
        <v>184000</v>
      </c>
      <c r="E43" s="89">
        <v>184000</v>
      </c>
      <c r="F43" s="188">
        <f t="shared" si="0"/>
        <v>100</v>
      </c>
    </row>
    <row r="44" spans="1:6" s="54" customFormat="1" ht="43.5" customHeight="1">
      <c r="A44" s="64"/>
      <c r="B44" s="1400" t="s">
        <v>349</v>
      </c>
      <c r="C44" s="89">
        <v>67000</v>
      </c>
      <c r="D44" s="89">
        <v>86000</v>
      </c>
      <c r="E44" s="256">
        <v>84998</v>
      </c>
      <c r="F44" s="447">
        <f t="shared" si="0"/>
        <v>98.834883720930236</v>
      </c>
    </row>
    <row r="45" spans="1:6" s="54" customFormat="1" ht="23.25" customHeight="1">
      <c r="A45" s="64"/>
      <c r="B45" s="1405" t="s">
        <v>279</v>
      </c>
      <c r="C45" s="172"/>
      <c r="D45" s="172"/>
      <c r="E45" s="243"/>
      <c r="F45" s="447"/>
    </row>
    <row r="46" spans="1:6" s="54" customFormat="1" ht="23.25" customHeight="1">
      <c r="A46" s="64"/>
      <c r="B46" s="1399" t="s">
        <v>341</v>
      </c>
      <c r="C46" s="89">
        <v>1000</v>
      </c>
      <c r="D46" s="89">
        <v>1000</v>
      </c>
      <c r="E46" s="256">
        <v>1000</v>
      </c>
      <c r="F46" s="447">
        <f t="shared" si="0"/>
        <v>100</v>
      </c>
    </row>
    <row r="47" spans="1:6" s="54" customFormat="1" ht="23.25" customHeight="1">
      <c r="A47" s="64"/>
      <c r="B47" s="1399" t="s">
        <v>143</v>
      </c>
      <c r="C47" s="89">
        <v>8000</v>
      </c>
      <c r="D47" s="89">
        <v>8000</v>
      </c>
      <c r="E47" s="256">
        <v>8000</v>
      </c>
      <c r="F47" s="447">
        <f t="shared" si="0"/>
        <v>100</v>
      </c>
    </row>
    <row r="48" spans="1:6" s="54" customFormat="1" ht="23.25" customHeight="1">
      <c r="A48" s="64"/>
      <c r="B48" s="1400" t="s">
        <v>176</v>
      </c>
      <c r="C48" s="89">
        <v>2000</v>
      </c>
      <c r="D48" s="89">
        <v>2000</v>
      </c>
      <c r="E48" s="256">
        <v>2000</v>
      </c>
      <c r="F48" s="447">
        <f t="shared" si="0"/>
        <v>100</v>
      </c>
    </row>
    <row r="49" spans="1:6" s="54" customFormat="1" ht="23.25" customHeight="1">
      <c r="A49" s="64"/>
      <c r="B49" s="1406" t="s">
        <v>382</v>
      </c>
      <c r="C49" s="172">
        <v>2000</v>
      </c>
      <c r="D49" s="172">
        <v>2000</v>
      </c>
      <c r="E49" s="243">
        <v>2000</v>
      </c>
      <c r="F49" s="447">
        <f t="shared" si="0"/>
        <v>100</v>
      </c>
    </row>
    <row r="50" spans="1:6" s="54" customFormat="1" ht="23.25" customHeight="1">
      <c r="A50" s="64"/>
      <c r="B50" s="1405" t="s">
        <v>300</v>
      </c>
      <c r="C50" s="172"/>
      <c r="D50" s="172"/>
      <c r="E50" s="189"/>
      <c r="F50" s="188"/>
    </row>
    <row r="51" spans="1:6" s="54" customFormat="1" ht="23.25" customHeight="1">
      <c r="A51" s="64"/>
      <c r="B51" s="1407" t="s">
        <v>280</v>
      </c>
      <c r="C51" s="172"/>
      <c r="D51" s="172"/>
      <c r="E51" s="190"/>
      <c r="F51" s="188"/>
    </row>
    <row r="52" spans="1:6" s="54" customFormat="1" ht="25.5" customHeight="1">
      <c r="A52" s="65"/>
      <c r="B52" s="1408" t="s">
        <v>1236</v>
      </c>
      <c r="C52" s="89"/>
      <c r="D52" s="89"/>
      <c r="E52" s="192"/>
      <c r="F52" s="188"/>
    </row>
    <row r="53" spans="1:6" s="54" customFormat="1" ht="23.25" customHeight="1">
      <c r="A53" s="64"/>
      <c r="B53" s="1390" t="s">
        <v>362</v>
      </c>
      <c r="C53" s="274">
        <v>6000</v>
      </c>
      <c r="D53" s="274">
        <v>10260</v>
      </c>
      <c r="E53" s="274">
        <v>5685</v>
      </c>
      <c r="F53" s="414">
        <f t="shared" si="0"/>
        <v>55.409356725146196</v>
      </c>
    </row>
    <row r="54" spans="1:6" s="54" customFormat="1" ht="23.25" customHeight="1">
      <c r="A54" s="64"/>
      <c r="B54" s="1399" t="s">
        <v>293</v>
      </c>
      <c r="C54" s="89">
        <v>2241</v>
      </c>
      <c r="D54" s="89">
        <v>2241</v>
      </c>
      <c r="E54" s="324">
        <v>2241</v>
      </c>
      <c r="F54" s="188">
        <f t="shared" si="0"/>
        <v>100</v>
      </c>
    </row>
    <row r="55" spans="1:6" s="54" customFormat="1" ht="23.25" customHeight="1">
      <c r="A55" s="64"/>
      <c r="B55" s="1409" t="s">
        <v>294</v>
      </c>
      <c r="C55" s="172">
        <v>5500</v>
      </c>
      <c r="D55" s="172">
        <v>7335</v>
      </c>
      <c r="E55" s="193">
        <v>2631</v>
      </c>
      <c r="F55" s="188">
        <f t="shared" si="0"/>
        <v>35.869120654396731</v>
      </c>
    </row>
    <row r="56" spans="1:6" s="54" customFormat="1" ht="23.25" customHeight="1">
      <c r="A56" s="64"/>
      <c r="B56" s="1409" t="s">
        <v>329</v>
      </c>
      <c r="C56" s="172"/>
      <c r="D56" s="172">
        <v>3300</v>
      </c>
      <c r="E56" s="434"/>
      <c r="F56" s="188">
        <f t="shared" si="0"/>
        <v>0</v>
      </c>
    </row>
    <row r="57" spans="1:6" s="54" customFormat="1" ht="23.25" customHeight="1">
      <c r="A57" s="64"/>
      <c r="B57" s="1410" t="s">
        <v>472</v>
      </c>
      <c r="C57" s="172">
        <v>100000</v>
      </c>
      <c r="D57" s="172">
        <v>200000</v>
      </c>
      <c r="E57" s="242">
        <v>200000</v>
      </c>
      <c r="F57" s="188">
        <f t="shared" si="0"/>
        <v>100</v>
      </c>
    </row>
    <row r="58" spans="1:6" s="54" customFormat="1" ht="23.25" customHeight="1">
      <c r="A58" s="64"/>
      <c r="B58" s="1400" t="s">
        <v>354</v>
      </c>
      <c r="C58" s="172">
        <v>18500</v>
      </c>
      <c r="D58" s="172">
        <v>20024</v>
      </c>
      <c r="E58" s="242">
        <v>18288</v>
      </c>
      <c r="F58" s="188">
        <f t="shared" si="0"/>
        <v>91.330403515781072</v>
      </c>
    </row>
    <row r="59" spans="1:6" s="54" customFormat="1" ht="23.25" customHeight="1">
      <c r="A59" s="64"/>
      <c r="B59" s="1400" t="s">
        <v>233</v>
      </c>
      <c r="C59" s="172">
        <v>50000</v>
      </c>
      <c r="D59" s="172">
        <v>50000</v>
      </c>
      <c r="E59" s="193">
        <v>50000</v>
      </c>
      <c r="F59" s="188">
        <f t="shared" ref="F59:F107" si="2">+E59/D59*100</f>
        <v>100</v>
      </c>
    </row>
    <row r="60" spans="1:6" s="54" customFormat="1" ht="23.25" customHeight="1">
      <c r="A60" s="64"/>
      <c r="B60" s="1411" t="s">
        <v>425</v>
      </c>
      <c r="C60" s="172"/>
      <c r="D60" s="172">
        <v>60021</v>
      </c>
      <c r="E60" s="189">
        <v>60021</v>
      </c>
      <c r="F60" s="188">
        <f t="shared" si="2"/>
        <v>100</v>
      </c>
    </row>
    <row r="61" spans="1:6" s="54" customFormat="1" ht="23.25" customHeight="1">
      <c r="A61" s="64"/>
      <c r="B61" s="1398" t="s">
        <v>560</v>
      </c>
      <c r="C61" s="89"/>
      <c r="D61" s="89">
        <v>10000</v>
      </c>
      <c r="E61" s="190"/>
      <c r="F61" s="188">
        <f t="shared" si="2"/>
        <v>0</v>
      </c>
    </row>
    <row r="62" spans="1:6" s="54" customFormat="1" ht="23.25" customHeight="1">
      <c r="A62" s="64"/>
      <c r="B62" s="1398" t="s">
        <v>494</v>
      </c>
      <c r="C62" s="89"/>
      <c r="D62" s="89">
        <v>40000</v>
      </c>
      <c r="E62" s="190">
        <v>40000</v>
      </c>
      <c r="F62" s="188">
        <f>+E62/D62*100</f>
        <v>100</v>
      </c>
    </row>
    <row r="63" spans="1:6" s="54" customFormat="1" ht="23.25" customHeight="1">
      <c r="A63" s="64"/>
      <c r="B63" s="1408" t="s">
        <v>14</v>
      </c>
      <c r="C63" s="89"/>
      <c r="D63" s="89"/>
      <c r="E63" s="190"/>
      <c r="F63" s="188"/>
    </row>
    <row r="64" spans="1:6" s="54" customFormat="1" ht="42.75" customHeight="1">
      <c r="A64" s="64"/>
      <c r="B64" s="1412" t="s">
        <v>600</v>
      </c>
      <c r="C64" s="413">
        <v>8000</v>
      </c>
      <c r="D64" s="413">
        <v>7849</v>
      </c>
      <c r="E64" s="413">
        <v>7849</v>
      </c>
      <c r="F64" s="414">
        <f t="shared" si="2"/>
        <v>100</v>
      </c>
    </row>
    <row r="65" spans="1:6" s="54" customFormat="1" ht="42.75" customHeight="1">
      <c r="A65" s="64"/>
      <c r="B65" s="1412" t="s">
        <v>601</v>
      </c>
      <c r="C65" s="413"/>
      <c r="D65" s="413">
        <v>53</v>
      </c>
      <c r="E65" s="418"/>
      <c r="F65" s="414">
        <f t="shared" si="2"/>
        <v>0</v>
      </c>
    </row>
    <row r="66" spans="1:6" s="54" customFormat="1" ht="23.25" customHeight="1">
      <c r="A66" s="64"/>
      <c r="B66" s="1406" t="s">
        <v>491</v>
      </c>
      <c r="C66" s="172">
        <v>25500</v>
      </c>
      <c r="D66" s="172">
        <v>25421</v>
      </c>
      <c r="E66" s="193">
        <v>25421</v>
      </c>
      <c r="F66" s="154">
        <f t="shared" si="2"/>
        <v>100</v>
      </c>
    </row>
    <row r="67" spans="1:6" s="54" customFormat="1" ht="23.25" customHeight="1">
      <c r="A67" s="65"/>
      <c r="B67" s="1413" t="s">
        <v>109</v>
      </c>
      <c r="C67" s="172">
        <v>7000</v>
      </c>
      <c r="D67" s="172">
        <v>7888</v>
      </c>
      <c r="E67" s="193">
        <v>6560</v>
      </c>
      <c r="F67" s="154">
        <f t="shared" si="2"/>
        <v>83.164300202839755</v>
      </c>
    </row>
    <row r="68" spans="1:6" s="54" customFormat="1" ht="23.25" customHeight="1">
      <c r="A68" s="57"/>
      <c r="B68" s="1413" t="s">
        <v>622</v>
      </c>
      <c r="C68" s="89">
        <v>30000</v>
      </c>
      <c r="D68" s="89">
        <v>31772</v>
      </c>
      <c r="E68" s="242">
        <v>30504</v>
      </c>
      <c r="F68" s="154">
        <f t="shared" si="2"/>
        <v>96.009064585169341</v>
      </c>
    </row>
    <row r="69" spans="1:6" s="54" customFormat="1" ht="23.25" customHeight="1">
      <c r="A69" s="65"/>
      <c r="B69" s="1413" t="s">
        <v>72</v>
      </c>
      <c r="C69" s="89">
        <v>300</v>
      </c>
      <c r="D69" s="89">
        <v>300</v>
      </c>
      <c r="E69" s="193">
        <v>300</v>
      </c>
      <c r="F69" s="154">
        <f t="shared" si="2"/>
        <v>100</v>
      </c>
    </row>
    <row r="70" spans="1:6" s="54" customFormat="1" ht="23.25" customHeight="1">
      <c r="A70" s="64"/>
      <c r="B70" s="1399" t="s">
        <v>110</v>
      </c>
      <c r="C70" s="89">
        <v>8300</v>
      </c>
      <c r="D70" s="89">
        <v>9782</v>
      </c>
      <c r="E70" s="115">
        <v>7407</v>
      </c>
      <c r="F70" s="154">
        <f t="shared" si="2"/>
        <v>75.720711510938457</v>
      </c>
    </row>
    <row r="71" spans="1:6" s="54" customFormat="1" ht="27" customHeight="1">
      <c r="A71" s="64"/>
      <c r="B71" s="1400" t="s">
        <v>230</v>
      </c>
      <c r="C71" s="89">
        <v>3500</v>
      </c>
      <c r="D71" s="89">
        <v>3426</v>
      </c>
      <c r="E71" s="324">
        <v>3426</v>
      </c>
      <c r="F71" s="154">
        <f t="shared" si="2"/>
        <v>100</v>
      </c>
    </row>
    <row r="72" spans="1:6" s="54" customFormat="1" ht="42.75" customHeight="1">
      <c r="A72" s="64"/>
      <c r="B72" s="1400" t="s">
        <v>487</v>
      </c>
      <c r="C72" s="89"/>
      <c r="D72" s="89">
        <v>54</v>
      </c>
      <c r="E72" s="242"/>
      <c r="F72" s="154">
        <f t="shared" si="2"/>
        <v>0</v>
      </c>
    </row>
    <row r="73" spans="1:6" s="54" customFormat="1" ht="23.25" customHeight="1">
      <c r="A73" s="64"/>
      <c r="B73" s="1399" t="s">
        <v>623</v>
      </c>
      <c r="C73" s="89">
        <v>3810</v>
      </c>
      <c r="D73" s="89">
        <v>3810</v>
      </c>
      <c r="E73" s="193">
        <v>3810</v>
      </c>
      <c r="F73" s="154">
        <f t="shared" si="2"/>
        <v>100</v>
      </c>
    </row>
    <row r="74" spans="1:6" s="54" customFormat="1" ht="23.25" customHeight="1">
      <c r="A74" s="64"/>
      <c r="B74" s="1399" t="s">
        <v>281</v>
      </c>
      <c r="C74" s="89">
        <v>500</v>
      </c>
      <c r="D74" s="89">
        <v>500</v>
      </c>
      <c r="E74" s="115">
        <v>175</v>
      </c>
      <c r="F74" s="154">
        <f t="shared" si="2"/>
        <v>35</v>
      </c>
    </row>
    <row r="75" spans="1:6" s="54" customFormat="1" ht="23.25" customHeight="1">
      <c r="A75" s="64"/>
      <c r="B75" s="1400" t="s">
        <v>398</v>
      </c>
      <c r="C75" s="89">
        <v>7500</v>
      </c>
      <c r="D75" s="89">
        <v>8535</v>
      </c>
      <c r="E75" s="115">
        <v>7315</v>
      </c>
      <c r="F75" s="154">
        <f t="shared" si="2"/>
        <v>85.705916813122442</v>
      </c>
    </row>
    <row r="76" spans="1:6" s="54" customFormat="1" ht="23.25" customHeight="1">
      <c r="A76" s="64"/>
      <c r="B76" s="1399" t="s">
        <v>399</v>
      </c>
      <c r="C76" s="89">
        <v>2500</v>
      </c>
      <c r="D76" s="89">
        <v>2779</v>
      </c>
      <c r="E76" s="115">
        <v>2779</v>
      </c>
      <c r="F76" s="154">
        <f t="shared" si="2"/>
        <v>100</v>
      </c>
    </row>
    <row r="77" spans="1:6" s="54" customFormat="1" ht="23.25" customHeight="1">
      <c r="A77" s="64"/>
      <c r="B77" s="1398" t="s">
        <v>400</v>
      </c>
      <c r="C77" s="89">
        <v>2500</v>
      </c>
      <c r="D77" s="89">
        <v>3779</v>
      </c>
      <c r="E77" s="115">
        <v>2779</v>
      </c>
      <c r="F77" s="154">
        <f t="shared" si="2"/>
        <v>73.537973008732465</v>
      </c>
    </row>
    <row r="78" spans="1:6" s="54" customFormat="1" ht="23.25" customHeight="1">
      <c r="A78" s="64"/>
      <c r="B78" s="1414" t="s">
        <v>23</v>
      </c>
      <c r="C78" s="89"/>
      <c r="D78" s="89"/>
      <c r="E78" s="190"/>
      <c r="F78" s="188"/>
    </row>
    <row r="79" spans="1:6" s="54" customFormat="1" ht="23.25" customHeight="1">
      <c r="A79" s="65"/>
      <c r="B79" s="1399" t="s">
        <v>330</v>
      </c>
      <c r="C79" s="89">
        <v>15000</v>
      </c>
      <c r="D79" s="89">
        <v>91263</v>
      </c>
      <c r="E79" s="89">
        <v>46555</v>
      </c>
      <c r="F79" s="90">
        <f t="shared" si="2"/>
        <v>51.01191063190997</v>
      </c>
    </row>
    <row r="80" spans="1:6" s="54" customFormat="1" ht="23.25" customHeight="1">
      <c r="A80" s="65"/>
      <c r="B80" s="1399" t="s">
        <v>602</v>
      </c>
      <c r="C80" s="89">
        <v>1500</v>
      </c>
      <c r="D80" s="89">
        <v>1500</v>
      </c>
      <c r="E80" s="89"/>
      <c r="F80" s="154">
        <f t="shared" si="2"/>
        <v>0</v>
      </c>
    </row>
    <row r="81" spans="1:6" s="54" customFormat="1" ht="23.25" customHeight="1">
      <c r="A81" s="65"/>
      <c r="B81" s="1399" t="s">
        <v>397</v>
      </c>
      <c r="C81" s="89"/>
      <c r="D81" s="89">
        <v>350</v>
      </c>
      <c r="E81" s="115">
        <v>350</v>
      </c>
      <c r="F81" s="154">
        <f t="shared" si="2"/>
        <v>100</v>
      </c>
    </row>
    <row r="82" spans="1:6" s="54" customFormat="1" ht="23.25" customHeight="1">
      <c r="A82" s="65"/>
      <c r="B82" s="1400" t="s">
        <v>331</v>
      </c>
      <c r="C82" s="89"/>
      <c r="D82" s="89">
        <v>350</v>
      </c>
      <c r="E82" s="115">
        <v>350</v>
      </c>
      <c r="F82" s="154">
        <f t="shared" si="2"/>
        <v>100</v>
      </c>
    </row>
    <row r="83" spans="1:6" s="54" customFormat="1" ht="52.5" customHeight="1">
      <c r="A83" s="65"/>
      <c r="B83" s="1400" t="s">
        <v>282</v>
      </c>
      <c r="C83" s="89">
        <v>4500</v>
      </c>
      <c r="D83" s="89">
        <v>4500</v>
      </c>
      <c r="E83" s="115">
        <v>4500</v>
      </c>
      <c r="F83" s="154">
        <f t="shared" si="2"/>
        <v>100</v>
      </c>
    </row>
    <row r="84" spans="1:6" s="54" customFormat="1" ht="30" customHeight="1">
      <c r="A84" s="64"/>
      <c r="B84" s="1414" t="s">
        <v>24</v>
      </c>
      <c r="C84" s="87"/>
      <c r="D84" s="87"/>
      <c r="E84" s="258"/>
      <c r="F84" s="188"/>
    </row>
    <row r="85" spans="1:6" s="54" customFormat="1" ht="23.25" customHeight="1">
      <c r="A85" s="65"/>
      <c r="B85" s="1400" t="s">
        <v>342</v>
      </c>
      <c r="C85" s="89"/>
      <c r="D85" s="89">
        <v>15113</v>
      </c>
      <c r="E85" s="324">
        <v>12091</v>
      </c>
      <c r="F85" s="154">
        <f t="shared" si="2"/>
        <v>80.003970091973798</v>
      </c>
    </row>
    <row r="86" spans="1:6" s="54" customFormat="1" ht="23.25" customHeight="1" thickBot="1">
      <c r="A86" s="64"/>
      <c r="B86" s="1415" t="s">
        <v>155</v>
      </c>
      <c r="C86" s="194">
        <f>SUM(C18:C85)</f>
        <v>6443786</v>
      </c>
      <c r="D86" s="194">
        <f>SUM(D18:D85)</f>
        <v>8642499</v>
      </c>
      <c r="E86" s="195">
        <f>SUM(E18:E85)</f>
        <v>8501785</v>
      </c>
      <c r="F86" s="196">
        <f t="shared" si="2"/>
        <v>98.371836664372196</v>
      </c>
    </row>
    <row r="87" spans="1:6" s="54" customFormat="1" ht="23.25" customHeight="1">
      <c r="A87" s="64"/>
      <c r="B87" s="1388" t="s">
        <v>81</v>
      </c>
      <c r="C87" s="110"/>
      <c r="D87" s="197"/>
      <c r="E87" s="198"/>
      <c r="F87" s="199"/>
    </row>
    <row r="88" spans="1:6" s="54" customFormat="1" ht="23.25" customHeight="1">
      <c r="A88" s="64"/>
      <c r="B88" s="1416" t="s">
        <v>295</v>
      </c>
      <c r="C88" s="113">
        <v>76672</v>
      </c>
      <c r="D88" s="113">
        <v>0</v>
      </c>
      <c r="E88" s="308"/>
      <c r="F88" s="188"/>
    </row>
    <row r="89" spans="1:6" s="54" customFormat="1" ht="42.75" customHeight="1">
      <c r="A89" s="64"/>
      <c r="B89" s="1417" t="s">
        <v>426</v>
      </c>
      <c r="C89" s="89"/>
      <c r="D89" s="113">
        <v>2000</v>
      </c>
      <c r="E89" s="193">
        <v>1999</v>
      </c>
      <c r="F89" s="90">
        <f t="shared" si="2"/>
        <v>99.95</v>
      </c>
    </row>
    <row r="90" spans="1:6" s="54" customFormat="1" ht="18.75">
      <c r="A90" s="64"/>
      <c r="B90" s="1417" t="s">
        <v>483</v>
      </c>
      <c r="C90" s="89"/>
      <c r="D90" s="113">
        <v>347</v>
      </c>
      <c r="E90" s="193">
        <v>347</v>
      </c>
      <c r="F90" s="90">
        <f t="shared" si="2"/>
        <v>100</v>
      </c>
    </row>
    <row r="91" spans="1:6" s="54" customFormat="1" ht="23.25" customHeight="1">
      <c r="A91" s="64"/>
      <c r="B91" s="1418" t="s">
        <v>414</v>
      </c>
      <c r="C91" s="89"/>
      <c r="D91" s="172">
        <v>21701</v>
      </c>
      <c r="E91" s="193">
        <v>13613</v>
      </c>
      <c r="F91" s="90">
        <f t="shared" si="2"/>
        <v>62.729828118519883</v>
      </c>
    </row>
    <row r="92" spans="1:6" s="54" customFormat="1" ht="23.25" customHeight="1">
      <c r="A92" s="64"/>
      <c r="B92" s="1413" t="s">
        <v>440</v>
      </c>
      <c r="C92" s="172"/>
      <c r="D92" s="172">
        <v>15217</v>
      </c>
      <c r="E92" s="193">
        <v>1687</v>
      </c>
      <c r="F92" s="90">
        <f t="shared" si="2"/>
        <v>11.086285075901952</v>
      </c>
    </row>
    <row r="93" spans="1:6" s="54" customFormat="1" ht="23.25" customHeight="1">
      <c r="A93" s="64"/>
      <c r="B93" s="1413" t="s">
        <v>359</v>
      </c>
      <c r="C93" s="172"/>
      <c r="D93" s="172">
        <v>20828</v>
      </c>
      <c r="E93" s="193">
        <v>13856</v>
      </c>
      <c r="F93" s="90">
        <f t="shared" si="2"/>
        <v>66.525830612636838</v>
      </c>
    </row>
    <row r="94" spans="1:6" s="54" customFormat="1" ht="23.25" customHeight="1">
      <c r="A94" s="64"/>
      <c r="B94" s="1413" t="s">
        <v>603</v>
      </c>
      <c r="C94" s="172"/>
      <c r="D94" s="172">
        <v>6681</v>
      </c>
      <c r="E94" s="193"/>
      <c r="F94" s="90">
        <f t="shared" si="2"/>
        <v>0</v>
      </c>
    </row>
    <row r="95" spans="1:6" s="54" customFormat="1" ht="23.25" customHeight="1">
      <c r="A95" s="64"/>
      <c r="B95" s="1413" t="s">
        <v>401</v>
      </c>
      <c r="C95" s="172"/>
      <c r="D95" s="172">
        <v>9278</v>
      </c>
      <c r="E95" s="193">
        <v>9278</v>
      </c>
      <c r="F95" s="90">
        <f t="shared" si="2"/>
        <v>100</v>
      </c>
    </row>
    <row r="96" spans="1:6" s="54" customFormat="1" ht="23.25" customHeight="1">
      <c r="A96" s="64"/>
      <c r="B96" s="1413" t="s">
        <v>428</v>
      </c>
      <c r="C96" s="172"/>
      <c r="D96" s="172">
        <v>2249</v>
      </c>
      <c r="E96" s="193">
        <v>2143</v>
      </c>
      <c r="F96" s="90">
        <f t="shared" si="2"/>
        <v>95.286794130724758</v>
      </c>
    </row>
    <row r="97" spans="1:9" s="54" customFormat="1" ht="23.25" customHeight="1">
      <c r="A97" s="64"/>
      <c r="B97" s="1400" t="s">
        <v>429</v>
      </c>
      <c r="C97" s="89"/>
      <c r="D97" s="89">
        <v>5002</v>
      </c>
      <c r="E97" s="89">
        <v>562</v>
      </c>
      <c r="F97" s="202">
        <f t="shared" si="2"/>
        <v>11.235505797680927</v>
      </c>
    </row>
    <row r="98" spans="1:9" s="54" customFormat="1" ht="23.25" customHeight="1">
      <c r="A98" s="64"/>
      <c r="B98" s="1413" t="s">
        <v>553</v>
      </c>
      <c r="C98" s="89"/>
      <c r="D98" s="89">
        <v>1626</v>
      </c>
      <c r="E98" s="138">
        <v>605</v>
      </c>
      <c r="F98" s="202">
        <f t="shared" si="2"/>
        <v>37.20787207872079</v>
      </c>
    </row>
    <row r="99" spans="1:9" s="54" customFormat="1" ht="23.25" customHeight="1">
      <c r="A99" s="64"/>
      <c r="B99" s="1413" t="s">
        <v>561</v>
      </c>
      <c r="C99" s="89"/>
      <c r="D99" s="89">
        <v>59209</v>
      </c>
      <c r="E99" s="138"/>
      <c r="F99" s="202">
        <f t="shared" si="2"/>
        <v>0</v>
      </c>
    </row>
    <row r="100" spans="1:9" s="54" customFormat="1" ht="23.25" customHeight="1">
      <c r="A100" s="64"/>
      <c r="B100" s="1413" t="s">
        <v>562</v>
      </c>
      <c r="C100" s="89"/>
      <c r="D100" s="89">
        <v>3116</v>
      </c>
      <c r="E100" s="138"/>
      <c r="F100" s="202">
        <f t="shared" si="2"/>
        <v>0</v>
      </c>
    </row>
    <row r="101" spans="1:9" s="54" customFormat="1" ht="26.25" customHeight="1">
      <c r="A101" s="64"/>
      <c r="B101" s="1413" t="s">
        <v>555</v>
      </c>
      <c r="C101" s="89"/>
      <c r="D101" s="89">
        <v>660352</v>
      </c>
      <c r="E101" s="138"/>
      <c r="F101" s="202">
        <f t="shared" si="2"/>
        <v>0</v>
      </c>
    </row>
    <row r="102" spans="1:9" s="54" customFormat="1" ht="42.75" customHeight="1">
      <c r="A102" s="64"/>
      <c r="B102" s="1400" t="s">
        <v>556</v>
      </c>
      <c r="C102" s="89"/>
      <c r="D102" s="89">
        <v>638723</v>
      </c>
      <c r="E102" s="138"/>
      <c r="F102" s="202">
        <f t="shared" si="2"/>
        <v>0</v>
      </c>
    </row>
    <row r="103" spans="1:9" s="54" customFormat="1" ht="22.5" customHeight="1">
      <c r="A103" s="64"/>
      <c r="B103" s="1400" t="s">
        <v>557</v>
      </c>
      <c r="C103" s="89"/>
      <c r="D103" s="89">
        <v>500925</v>
      </c>
      <c r="E103" s="138"/>
      <c r="F103" s="202">
        <f t="shared" si="2"/>
        <v>0</v>
      </c>
    </row>
    <row r="104" spans="1:9" s="54" customFormat="1" ht="42.75" customHeight="1">
      <c r="A104" s="64"/>
      <c r="B104" s="1417" t="s">
        <v>604</v>
      </c>
      <c r="C104" s="89"/>
      <c r="D104" s="89">
        <v>37585</v>
      </c>
      <c r="E104" s="89"/>
      <c r="F104" s="202">
        <f t="shared" si="2"/>
        <v>0</v>
      </c>
    </row>
    <row r="105" spans="1:9" s="54" customFormat="1" ht="23.25" customHeight="1" thickBot="1">
      <c r="A105" s="64"/>
      <c r="B105" s="1419" t="s">
        <v>155</v>
      </c>
      <c r="C105" s="125">
        <f>SUM(C88:C97)</f>
        <v>76672</v>
      </c>
      <c r="D105" s="125">
        <f>SUM(D88:D104)</f>
        <v>1984839</v>
      </c>
      <c r="E105" s="125">
        <f>SUM(E88:E104)</f>
        <v>44090</v>
      </c>
      <c r="F105" s="323">
        <f t="shared" si="2"/>
        <v>2.2213388592223349</v>
      </c>
    </row>
    <row r="106" spans="1:9" s="54" customFormat="1" ht="23.25" customHeight="1" thickBot="1">
      <c r="A106" s="64"/>
      <c r="B106" s="1420" t="s">
        <v>232</v>
      </c>
      <c r="C106" s="108">
        <f>+C16+C86+C105</f>
        <v>8335194</v>
      </c>
      <c r="D106" s="175">
        <f>+D16+D86+D105</f>
        <v>12484599</v>
      </c>
      <c r="E106" s="200">
        <f>+E16+E86+E105</f>
        <v>10411232</v>
      </c>
      <c r="F106" s="201">
        <f t="shared" si="2"/>
        <v>83.392602357512644</v>
      </c>
      <c r="G106" s="64"/>
      <c r="H106" s="64"/>
      <c r="I106" s="64"/>
    </row>
    <row r="107" spans="1:9" s="61" customFormat="1" ht="47.25" customHeight="1" thickBot="1">
      <c r="A107" s="60"/>
      <c r="B107" s="1421" t="s">
        <v>258</v>
      </c>
      <c r="C107" s="125">
        <f>+C8+C106</f>
        <v>11678266</v>
      </c>
      <c r="D107" s="176">
        <f>+D8+D106</f>
        <v>16063475</v>
      </c>
      <c r="E107" s="176">
        <f>+E8+E106</f>
        <v>13743601</v>
      </c>
      <c r="F107" s="160">
        <f t="shared" si="2"/>
        <v>85.558081299345261</v>
      </c>
    </row>
    <row r="108" spans="1:9" s="54" customFormat="1" ht="15" customHeight="1">
      <c r="A108" s="64"/>
      <c r="B108" s="326"/>
      <c r="D108" s="64"/>
      <c r="E108" s="64"/>
    </row>
    <row r="109" spans="1:9" s="333" customFormat="1" ht="36" customHeight="1" thickBot="1">
      <c r="A109" s="174"/>
      <c r="B109" s="1376" t="s">
        <v>13</v>
      </c>
      <c r="C109" s="1377"/>
      <c r="D109" s="1377"/>
      <c r="E109" s="1377"/>
      <c r="F109" s="1377"/>
    </row>
    <row r="110" spans="1:9" s="333" customFormat="1" ht="23.25" customHeight="1">
      <c r="A110" s="174"/>
      <c r="B110" s="1374" t="s">
        <v>25</v>
      </c>
      <c r="C110" s="1887" t="s">
        <v>442</v>
      </c>
      <c r="D110" s="1887"/>
      <c r="E110" s="97" t="s">
        <v>240</v>
      </c>
      <c r="F110" s="150" t="s">
        <v>77</v>
      </c>
    </row>
    <row r="111" spans="1:9" s="333" customFormat="1" ht="23.25" customHeight="1" thickBot="1">
      <c r="A111" s="174"/>
      <c r="B111" s="1375"/>
      <c r="C111" s="151" t="s">
        <v>147</v>
      </c>
      <c r="D111" s="151" t="s">
        <v>75</v>
      </c>
      <c r="E111" s="152" t="s">
        <v>76</v>
      </c>
      <c r="F111" s="106" t="s">
        <v>78</v>
      </c>
    </row>
    <row r="112" spans="1:9" s="61" customFormat="1" ht="23.25" customHeight="1">
      <c r="A112" s="60"/>
      <c r="B112" s="1743" t="s">
        <v>421</v>
      </c>
      <c r="C112" s="110"/>
      <c r="D112" s="167">
        <v>7732</v>
      </c>
      <c r="E112" s="294">
        <v>7139</v>
      </c>
      <c r="F112" s="182">
        <f>+E112/D112*100</f>
        <v>92.330574236937395</v>
      </c>
    </row>
    <row r="113" spans="1:6" s="54" customFormat="1" ht="23.25" customHeight="1" thickBot="1">
      <c r="A113" s="64"/>
      <c r="B113" s="1744" t="s">
        <v>37</v>
      </c>
      <c r="C113" s="267">
        <v>72163</v>
      </c>
      <c r="D113" s="267">
        <v>112037</v>
      </c>
      <c r="E113" s="269">
        <v>84434</v>
      </c>
      <c r="F113" s="268">
        <f t="shared" ref="F113" si="3">+E113/D113*100</f>
        <v>75.362603425654029</v>
      </c>
    </row>
    <row r="114" spans="1:6" s="54" customFormat="1" ht="42.75" customHeight="1" thickBot="1">
      <c r="A114" s="64"/>
      <c r="B114" s="1722" t="s">
        <v>259</v>
      </c>
      <c r="C114" s="108">
        <f>+C112+C113</f>
        <v>72163</v>
      </c>
      <c r="D114" s="108">
        <f t="shared" ref="D114:E114" si="4">+D112+D113</f>
        <v>119769</v>
      </c>
      <c r="E114" s="175">
        <f t="shared" si="4"/>
        <v>91573</v>
      </c>
      <c r="F114" s="160">
        <f>+E114/D114*100</f>
        <v>76.458015012231883</v>
      </c>
    </row>
    <row r="115" spans="1:6" s="54" customFormat="1" ht="15" customHeight="1" thickBot="1">
      <c r="A115" s="64"/>
      <c r="B115" s="1636"/>
      <c r="C115" s="147"/>
      <c r="D115" s="147"/>
      <c r="E115" s="163"/>
      <c r="F115" s="145"/>
    </row>
    <row r="116" spans="1:6" s="54" customFormat="1" ht="36.75" customHeight="1" thickBot="1">
      <c r="A116" s="64"/>
      <c r="B116" s="1722" t="s">
        <v>260</v>
      </c>
      <c r="C116" s="175">
        <f>C107+C114</f>
        <v>11750429</v>
      </c>
      <c r="D116" s="108">
        <f>D107+D114</f>
        <v>16183244</v>
      </c>
      <c r="E116" s="145">
        <f>E107+E114</f>
        <v>13835174</v>
      </c>
      <c r="F116" s="160">
        <f>+E116/D116*100</f>
        <v>85.490733501886268</v>
      </c>
    </row>
    <row r="118" spans="1:6" ht="15" customHeight="1">
      <c r="F118" s="3"/>
    </row>
    <row r="119" spans="1:6" ht="15" customHeight="1">
      <c r="F119" s="3"/>
    </row>
  </sheetData>
  <mergeCells count="4">
    <mergeCell ref="B1:C1"/>
    <mergeCell ref="C4:D4"/>
    <mergeCell ref="C110:D110"/>
    <mergeCell ref="B2:F2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3" orientation="portrait" r:id="rId1"/>
  <headerFooter alignWithMargins="0">
    <oddHeader xml:space="preserve">&amp;R&amp;"Arial,Félkövér"&amp;12 13. melléklet  a .../2026. (........) önkormányzati rendelethez&amp;16
&amp;"Calibri,Félkövér"&amp;11 </oddHeader>
  </headerFooter>
  <rowBreaks count="1" manualBreakCount="1">
    <brk id="62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7"/>
  <dimension ref="A1:H93"/>
  <sheetViews>
    <sheetView zoomScaleNormal="100" zoomScaleSheetLayoutView="75" workbookViewId="0">
      <selection activeCell="B2" sqref="B2:F2"/>
    </sheetView>
  </sheetViews>
  <sheetFormatPr defaultColWidth="9.33203125" defaultRowHeight="15" customHeight="1"/>
  <cols>
    <col min="1" max="1" width="11.83203125" style="11" bestFit="1" customWidth="1"/>
    <col min="2" max="2" width="78.5" style="1" customWidth="1"/>
    <col min="3" max="3" width="18.83203125" style="1" customWidth="1"/>
    <col min="4" max="5" width="18.83203125" style="3" customWidth="1"/>
    <col min="6" max="6" width="18.83203125" style="1" customWidth="1"/>
    <col min="7" max="16384" width="9.33203125" style="1"/>
  </cols>
  <sheetData>
    <row r="1" spans="1:8" s="54" customFormat="1" ht="15" customHeight="1">
      <c r="A1" s="64"/>
      <c r="B1" s="1968"/>
      <c r="C1" s="1968"/>
      <c r="D1" s="64"/>
      <c r="E1" s="64"/>
    </row>
    <row r="2" spans="1:8" s="54" customFormat="1" ht="30" customHeight="1">
      <c r="A2" s="64"/>
      <c r="B2" s="1883" t="s">
        <v>19</v>
      </c>
      <c r="C2" s="1883"/>
      <c r="D2" s="1883"/>
      <c r="E2" s="1883"/>
      <c r="F2" s="1883"/>
    </row>
    <row r="3" spans="1:8" s="54" customFormat="1" ht="14.25" customHeight="1">
      <c r="A3" s="64"/>
      <c r="B3" s="61" t="s">
        <v>48</v>
      </c>
      <c r="D3" s="64"/>
      <c r="E3" s="64"/>
    </row>
    <row r="4" spans="1:8" s="333" customFormat="1" ht="18.75" customHeight="1" thickBot="1">
      <c r="A4" s="174"/>
      <c r="C4" s="1378"/>
      <c r="D4" s="1377"/>
      <c r="E4" s="1377"/>
      <c r="F4" s="1373" t="s">
        <v>12</v>
      </c>
    </row>
    <row r="5" spans="1:8" s="333" customFormat="1" ht="26.1" customHeight="1">
      <c r="A5" s="174"/>
      <c r="B5" s="1374" t="s">
        <v>25</v>
      </c>
      <c r="C5" s="1887" t="s">
        <v>442</v>
      </c>
      <c r="D5" s="1887"/>
      <c r="E5" s="97" t="s">
        <v>240</v>
      </c>
      <c r="F5" s="150" t="s">
        <v>77</v>
      </c>
    </row>
    <row r="6" spans="1:8" s="333" customFormat="1" ht="26.1" customHeight="1" thickBot="1">
      <c r="A6" s="174"/>
      <c r="B6" s="1422"/>
      <c r="C6" s="151" t="s">
        <v>147</v>
      </c>
      <c r="D6" s="151" t="s">
        <v>75</v>
      </c>
      <c r="E6" s="152" t="s">
        <v>76</v>
      </c>
      <c r="F6" s="153" t="s">
        <v>78</v>
      </c>
    </row>
    <row r="7" spans="1:8" s="54" customFormat="1" ht="26.1" customHeight="1">
      <c r="A7" s="64"/>
      <c r="B7" s="1398" t="s">
        <v>344</v>
      </c>
      <c r="C7" s="179">
        <v>420000</v>
      </c>
      <c r="D7" s="179">
        <v>560000</v>
      </c>
      <c r="E7" s="138">
        <v>560000</v>
      </c>
      <c r="F7" s="191">
        <f>+E7/D7*100</f>
        <v>100</v>
      </c>
      <c r="H7" s="64"/>
    </row>
    <row r="8" spans="1:8" s="54" customFormat="1" ht="26.1" customHeight="1">
      <c r="A8" s="64"/>
      <c r="B8" s="1423" t="s">
        <v>43</v>
      </c>
      <c r="C8" s="274">
        <v>18500</v>
      </c>
      <c r="D8" s="274">
        <v>25881</v>
      </c>
      <c r="E8" s="274">
        <v>18263</v>
      </c>
      <c r="F8" s="274">
        <f t="shared" ref="F8:F23" si="0">+E8/D8*100</f>
        <v>70.565279548703685</v>
      </c>
      <c r="H8" s="64"/>
    </row>
    <row r="9" spans="1:8" s="54" customFormat="1" ht="26.1" customHeight="1">
      <c r="A9" s="64"/>
      <c r="B9" s="1399" t="s">
        <v>345</v>
      </c>
      <c r="C9" s="89">
        <v>1089</v>
      </c>
      <c r="D9" s="89">
        <v>1227</v>
      </c>
      <c r="E9" s="256">
        <v>1138</v>
      </c>
      <c r="F9" s="257">
        <f t="shared" si="0"/>
        <v>92.746536267318675</v>
      </c>
      <c r="H9" s="64"/>
    </row>
    <row r="10" spans="1:8" s="54" customFormat="1" ht="43.5" customHeight="1">
      <c r="A10" s="64"/>
      <c r="B10" s="1400" t="s">
        <v>283</v>
      </c>
      <c r="C10" s="89">
        <v>8220</v>
      </c>
      <c r="D10" s="89">
        <v>8220</v>
      </c>
      <c r="E10" s="186">
        <v>8220</v>
      </c>
      <c r="F10" s="187">
        <f t="shared" si="0"/>
        <v>100</v>
      </c>
      <c r="H10" s="64"/>
    </row>
    <row r="11" spans="1:8" s="54" customFormat="1" ht="43.5" customHeight="1">
      <c r="A11" s="64"/>
      <c r="B11" s="1400" t="s">
        <v>284</v>
      </c>
      <c r="C11" s="89">
        <v>8268</v>
      </c>
      <c r="D11" s="89">
        <v>8268</v>
      </c>
      <c r="E11" s="186">
        <v>8268</v>
      </c>
      <c r="F11" s="187">
        <f t="shared" si="0"/>
        <v>100</v>
      </c>
      <c r="H11" s="64"/>
    </row>
    <row r="12" spans="1:8" s="54" customFormat="1" ht="26.1" customHeight="1">
      <c r="A12" s="64"/>
      <c r="B12" s="1399" t="s">
        <v>383</v>
      </c>
      <c r="C12" s="89">
        <v>40000</v>
      </c>
      <c r="D12" s="89">
        <v>40000</v>
      </c>
      <c r="E12" s="186">
        <v>40000</v>
      </c>
      <c r="F12" s="187">
        <f t="shared" si="0"/>
        <v>100</v>
      </c>
      <c r="H12" s="64"/>
    </row>
    <row r="13" spans="1:8" s="54" customFormat="1" ht="26.1" customHeight="1">
      <c r="A13" s="64"/>
      <c r="B13" s="1424" t="s">
        <v>292</v>
      </c>
      <c r="C13" s="89">
        <v>55500</v>
      </c>
      <c r="D13" s="89">
        <v>55500</v>
      </c>
      <c r="E13" s="186">
        <v>55500</v>
      </c>
      <c r="F13" s="187">
        <f t="shared" si="0"/>
        <v>100</v>
      </c>
      <c r="H13" s="64"/>
    </row>
    <row r="14" spans="1:8" s="54" customFormat="1" ht="26.1" customHeight="1">
      <c r="A14" s="64"/>
      <c r="B14" s="1400" t="s">
        <v>343</v>
      </c>
      <c r="C14" s="89">
        <v>4000</v>
      </c>
      <c r="D14" s="89">
        <v>4000</v>
      </c>
      <c r="E14" s="138">
        <v>4000</v>
      </c>
      <c r="F14" s="187">
        <f t="shared" si="0"/>
        <v>100</v>
      </c>
      <c r="H14" s="64"/>
    </row>
    <row r="15" spans="1:8" s="54" customFormat="1" ht="78.75" customHeight="1">
      <c r="A15" s="64"/>
      <c r="B15" s="1413" t="s">
        <v>624</v>
      </c>
      <c r="C15" s="172">
        <v>9200</v>
      </c>
      <c r="D15" s="172">
        <v>15700</v>
      </c>
      <c r="E15" s="242">
        <v>15700</v>
      </c>
      <c r="F15" s="187">
        <f t="shared" si="0"/>
        <v>100</v>
      </c>
      <c r="H15" s="64"/>
    </row>
    <row r="16" spans="1:8" s="54" customFormat="1" ht="43.5" customHeight="1">
      <c r="A16" s="64"/>
      <c r="B16" s="1413" t="s">
        <v>321</v>
      </c>
      <c r="C16" s="172">
        <v>297000</v>
      </c>
      <c r="D16" s="172">
        <v>297000</v>
      </c>
      <c r="E16" s="189">
        <v>297000</v>
      </c>
      <c r="F16" s="187">
        <f t="shared" si="0"/>
        <v>100</v>
      </c>
      <c r="H16" s="64"/>
    </row>
    <row r="17" spans="1:8" s="54" customFormat="1" ht="43.5" customHeight="1">
      <c r="A17" s="64"/>
      <c r="B17" s="1400" t="s">
        <v>316</v>
      </c>
      <c r="C17" s="172">
        <v>200</v>
      </c>
      <c r="D17" s="172">
        <v>1719</v>
      </c>
      <c r="E17" s="242">
        <v>1307</v>
      </c>
      <c r="F17" s="187">
        <f t="shared" si="0"/>
        <v>76.032577079697489</v>
      </c>
      <c r="H17" s="64"/>
    </row>
    <row r="18" spans="1:8" s="54" customFormat="1" ht="26.1" customHeight="1">
      <c r="A18" s="64"/>
      <c r="B18" s="1413" t="s">
        <v>346</v>
      </c>
      <c r="C18" s="172">
        <v>5000</v>
      </c>
      <c r="D18" s="172">
        <v>5000</v>
      </c>
      <c r="E18" s="189">
        <v>5000</v>
      </c>
      <c r="F18" s="187">
        <f t="shared" si="0"/>
        <v>100</v>
      </c>
      <c r="H18" s="64"/>
    </row>
    <row r="19" spans="1:8" s="54" customFormat="1" ht="26.1" customHeight="1">
      <c r="A19" s="64"/>
      <c r="B19" s="1399" t="s">
        <v>355</v>
      </c>
      <c r="C19" s="89">
        <v>1000</v>
      </c>
      <c r="D19" s="89">
        <v>1000</v>
      </c>
      <c r="E19" s="189">
        <v>1000</v>
      </c>
      <c r="F19" s="187">
        <f t="shared" si="0"/>
        <v>100</v>
      </c>
      <c r="H19" s="64"/>
    </row>
    <row r="20" spans="1:8" s="54" customFormat="1" ht="26.1" customHeight="1">
      <c r="A20" s="64"/>
      <c r="B20" s="1413" t="s">
        <v>347</v>
      </c>
      <c r="C20" s="172">
        <v>19000</v>
      </c>
      <c r="D20" s="193">
        <v>19000</v>
      </c>
      <c r="E20" s="189">
        <v>19000</v>
      </c>
      <c r="F20" s="187">
        <f t="shared" si="0"/>
        <v>100</v>
      </c>
      <c r="H20" s="64"/>
    </row>
    <row r="21" spans="1:8" s="54" customFormat="1" ht="26.1" customHeight="1">
      <c r="A21" s="64"/>
      <c r="B21" s="1413" t="s">
        <v>605</v>
      </c>
      <c r="C21" s="193"/>
      <c r="D21" s="193">
        <v>7000</v>
      </c>
      <c r="E21" s="189">
        <v>7000</v>
      </c>
      <c r="F21" s="187">
        <f t="shared" si="0"/>
        <v>100</v>
      </c>
      <c r="H21" s="64"/>
    </row>
    <row r="22" spans="1:8" s="54" customFormat="1" ht="26.1" customHeight="1">
      <c r="A22" s="64"/>
      <c r="B22" s="1413" t="s">
        <v>431</v>
      </c>
      <c r="C22" s="193"/>
      <c r="D22" s="193">
        <v>83000</v>
      </c>
      <c r="E22" s="242">
        <v>83000</v>
      </c>
      <c r="F22" s="187">
        <f t="shared" si="0"/>
        <v>100</v>
      </c>
      <c r="H22" s="64"/>
    </row>
    <row r="23" spans="1:8" s="54" customFormat="1" ht="26.1" customHeight="1" thickBot="1">
      <c r="A23" s="64"/>
      <c r="B23" s="1413" t="s">
        <v>441</v>
      </c>
      <c r="C23" s="193">
        <v>50000</v>
      </c>
      <c r="D23" s="193">
        <v>98000</v>
      </c>
      <c r="E23" s="189">
        <v>98000</v>
      </c>
      <c r="F23" s="187">
        <f t="shared" si="0"/>
        <v>100</v>
      </c>
      <c r="H23" s="64"/>
    </row>
    <row r="24" spans="1:8" s="54" customFormat="1" ht="26.1" customHeight="1" thickBot="1">
      <c r="A24" s="64"/>
      <c r="B24" s="1425" t="s">
        <v>384</v>
      </c>
      <c r="C24" s="175">
        <f>SUM(C7:C23)</f>
        <v>936977</v>
      </c>
      <c r="D24" s="175">
        <f>SUM(D7:D23)</f>
        <v>1230515</v>
      </c>
      <c r="E24" s="175">
        <f>SUM(E7:E23)</f>
        <v>1222396</v>
      </c>
      <c r="F24" s="160">
        <f>+E24/D24*100</f>
        <v>99.340194959021218</v>
      </c>
    </row>
    <row r="25" spans="1:8" ht="20.100000000000001" customHeight="1"/>
    <row r="26" spans="1:8" ht="15" customHeight="1">
      <c r="C26" s="3"/>
      <c r="D26" s="64"/>
      <c r="E26" s="64"/>
      <c r="F26" s="54"/>
    </row>
    <row r="27" spans="1:8" ht="15" customHeight="1">
      <c r="D27" s="64"/>
      <c r="E27" s="64"/>
      <c r="F27" s="54"/>
    </row>
    <row r="93" spans="5:5" ht="15" customHeight="1">
      <c r="E93" s="3">
        <v>3025199</v>
      </c>
    </row>
  </sheetData>
  <mergeCells count="3">
    <mergeCell ref="B1:C1"/>
    <mergeCell ref="C5:D5"/>
    <mergeCell ref="B2:F2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>
    <oddHeader xml:space="preserve">&amp;C
&amp;R&amp;"-,Félkövér"&amp;12  14. melléklet  a .../2026. (........) önkormányzati rendelethez&amp;"Calibri,Félkövér"&amp;11
 &amp;"Arial CE,Normál"&amp;12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5"/>
  <dimension ref="A1:J97"/>
  <sheetViews>
    <sheetView zoomScaleNormal="100" workbookViewId="0">
      <selection activeCell="B7" sqref="B7"/>
    </sheetView>
  </sheetViews>
  <sheetFormatPr defaultColWidth="9.33203125" defaultRowHeight="15" customHeight="1"/>
  <cols>
    <col min="1" max="1" width="17.33203125" style="3" customWidth="1"/>
    <col min="2" max="2" width="5.33203125" style="1" customWidth="1"/>
    <col min="3" max="3" width="9.33203125" style="1"/>
    <col min="4" max="4" width="20.33203125" style="1" customWidth="1"/>
    <col min="5" max="5" width="34.5" style="1" customWidth="1"/>
    <col min="6" max="6" width="36.33203125" style="1" customWidth="1"/>
    <col min="7" max="9" width="20.83203125" style="1" customWidth="1"/>
    <col min="10" max="10" width="20" style="1" bestFit="1" customWidth="1"/>
    <col min="11" max="16384" width="9.33203125" style="1"/>
  </cols>
  <sheetData>
    <row r="1" spans="1:10" s="54" customFormat="1" ht="15" customHeight="1">
      <c r="A1" s="64"/>
      <c r="B1" s="1968"/>
      <c r="C1" s="1968"/>
      <c r="D1" s="1968"/>
      <c r="E1" s="1968"/>
      <c r="F1" s="1968"/>
      <c r="G1" s="1968"/>
      <c r="J1" s="322"/>
    </row>
    <row r="2" spans="1:10" s="54" customFormat="1" ht="23.25" customHeight="1">
      <c r="A2" s="64"/>
      <c r="B2" s="1883" t="s">
        <v>70</v>
      </c>
      <c r="C2" s="1883"/>
      <c r="D2" s="1883"/>
      <c r="E2" s="1883"/>
      <c r="F2" s="1883"/>
      <c r="G2" s="1883"/>
      <c r="H2" s="1883"/>
      <c r="I2" s="1883"/>
      <c r="J2" s="1883"/>
    </row>
    <row r="3" spans="1:10" s="54" customFormat="1" ht="15" customHeight="1">
      <c r="A3" s="64"/>
    </row>
    <row r="4" spans="1:10" s="54" customFormat="1" ht="15" customHeight="1" thickBot="1">
      <c r="A4" s="64"/>
      <c r="B4" s="55"/>
      <c r="C4" s="55"/>
      <c r="D4" s="55"/>
      <c r="E4" s="55"/>
      <c r="G4" s="66"/>
      <c r="H4" s="66"/>
      <c r="I4" s="66"/>
      <c r="J4" s="1378" t="s">
        <v>12</v>
      </c>
    </row>
    <row r="5" spans="1:10" s="333" customFormat="1" ht="24" customHeight="1">
      <c r="A5" s="174"/>
      <c r="B5" s="1975" t="s">
        <v>25</v>
      </c>
      <c r="C5" s="1976"/>
      <c r="D5" s="1976"/>
      <c r="E5" s="1976"/>
      <c r="F5" s="1976"/>
      <c r="G5" s="1887" t="s">
        <v>442</v>
      </c>
      <c r="H5" s="1887"/>
      <c r="I5" s="97" t="s">
        <v>240</v>
      </c>
      <c r="J5" s="173" t="s">
        <v>77</v>
      </c>
    </row>
    <row r="6" spans="1:10" s="333" customFormat="1" ht="43.5" customHeight="1" thickBot="1">
      <c r="A6" s="174"/>
      <c r="B6" s="1375"/>
      <c r="C6" s="1445"/>
      <c r="D6" s="1445"/>
      <c r="E6" s="1445"/>
      <c r="F6" s="1445"/>
      <c r="G6" s="151" t="s">
        <v>147</v>
      </c>
      <c r="H6" s="151" t="s">
        <v>75</v>
      </c>
      <c r="I6" s="152" t="s">
        <v>76</v>
      </c>
      <c r="J6" s="153" t="s">
        <v>78</v>
      </c>
    </row>
    <row r="7" spans="1:10" s="54" customFormat="1" ht="27" customHeight="1">
      <c r="A7" s="64"/>
      <c r="B7" s="1383" t="s">
        <v>385</v>
      </c>
      <c r="C7" s="1426"/>
      <c r="D7" s="1426"/>
      <c r="E7" s="1426"/>
      <c r="F7" s="1427"/>
      <c r="G7" s="415">
        <v>300000</v>
      </c>
      <c r="H7" s="415">
        <v>374911</v>
      </c>
      <c r="I7" s="415">
        <v>318345</v>
      </c>
      <c r="J7" s="273">
        <f>I7/H7*100</f>
        <v>84.91215248418959</v>
      </c>
    </row>
    <row r="8" spans="1:10" s="54" customFormat="1" ht="27" customHeight="1">
      <c r="A8" s="64"/>
      <c r="B8" s="1428" t="s">
        <v>606</v>
      </c>
      <c r="C8" s="1429"/>
      <c r="D8" s="1429"/>
      <c r="E8" s="1429"/>
      <c r="F8" s="1430"/>
      <c r="G8" s="416">
        <v>500000</v>
      </c>
      <c r="H8" s="416">
        <v>572565</v>
      </c>
      <c r="I8" s="416">
        <v>555565</v>
      </c>
      <c r="J8" s="403">
        <f t="shared" ref="J8:J27" si="0">I8/H8*100</f>
        <v>97.03090478810266</v>
      </c>
    </row>
    <row r="9" spans="1:10" s="54" customFormat="1" ht="27" customHeight="1">
      <c r="A9" s="64"/>
      <c r="B9" s="1428" t="s">
        <v>234</v>
      </c>
      <c r="C9" s="1429"/>
      <c r="D9" s="1429"/>
      <c r="E9" s="1429"/>
      <c r="F9" s="1430"/>
      <c r="G9" s="413"/>
      <c r="H9" s="413">
        <v>3933</v>
      </c>
      <c r="I9" s="413"/>
      <c r="J9" s="414">
        <f t="shared" si="0"/>
        <v>0</v>
      </c>
    </row>
    <row r="10" spans="1:10" s="54" customFormat="1" ht="27" customHeight="1">
      <c r="A10" s="64"/>
      <c r="B10" s="1428" t="s">
        <v>214</v>
      </c>
      <c r="C10" s="1429"/>
      <c r="D10" s="1429"/>
      <c r="E10" s="1429"/>
      <c r="F10" s="1430"/>
      <c r="G10" s="413">
        <v>5000</v>
      </c>
      <c r="H10" s="413">
        <v>9985</v>
      </c>
      <c r="I10" s="413">
        <v>8782</v>
      </c>
      <c r="J10" s="414">
        <f t="shared" si="0"/>
        <v>87.951927891837755</v>
      </c>
    </row>
    <row r="11" spans="1:10" s="54" customFormat="1" ht="27" customHeight="1">
      <c r="A11" s="64"/>
      <c r="B11" s="1428" t="s">
        <v>296</v>
      </c>
      <c r="C11" s="1429"/>
      <c r="D11" s="1429"/>
      <c r="E11" s="1429"/>
      <c r="F11" s="1430"/>
      <c r="G11" s="413">
        <v>550000</v>
      </c>
      <c r="H11" s="413">
        <v>609162</v>
      </c>
      <c r="I11" s="413">
        <v>609162</v>
      </c>
      <c r="J11" s="414">
        <f t="shared" si="0"/>
        <v>100</v>
      </c>
    </row>
    <row r="12" spans="1:10" s="54" customFormat="1" ht="27" customHeight="1">
      <c r="A12" s="64"/>
      <c r="B12" s="1431" t="s">
        <v>377</v>
      </c>
      <c r="C12" s="1432"/>
      <c r="D12" s="1432"/>
      <c r="E12" s="1432"/>
      <c r="F12" s="1433"/>
      <c r="G12" s="250">
        <v>11000</v>
      </c>
      <c r="H12" s="250">
        <v>7981</v>
      </c>
      <c r="I12" s="250">
        <v>5998</v>
      </c>
      <c r="J12" s="253">
        <f t="shared" si="0"/>
        <v>75.153489537651922</v>
      </c>
    </row>
    <row r="13" spans="1:10" s="54" customFormat="1" ht="27" customHeight="1">
      <c r="A13" s="64"/>
      <c r="B13" s="1428" t="s">
        <v>386</v>
      </c>
      <c r="C13" s="1429"/>
      <c r="D13" s="1429"/>
      <c r="E13" s="1429"/>
      <c r="F13" s="1430"/>
      <c r="G13" s="413">
        <v>1200</v>
      </c>
      <c r="H13" s="413">
        <v>2719</v>
      </c>
      <c r="I13" s="413">
        <v>877</v>
      </c>
      <c r="J13" s="414">
        <f t="shared" si="0"/>
        <v>32.25450533284296</v>
      </c>
    </row>
    <row r="14" spans="1:10" s="54" customFormat="1" ht="27" customHeight="1">
      <c r="A14" s="64"/>
      <c r="B14" s="1428" t="s">
        <v>107</v>
      </c>
      <c r="C14" s="1429"/>
      <c r="D14" s="1429"/>
      <c r="E14" s="1429"/>
      <c r="F14" s="1430"/>
      <c r="G14" s="413">
        <v>2600</v>
      </c>
      <c r="H14" s="413">
        <v>7136</v>
      </c>
      <c r="I14" s="413">
        <v>6135</v>
      </c>
      <c r="J14" s="414">
        <f t="shared" si="0"/>
        <v>85.972533632286996</v>
      </c>
    </row>
    <row r="15" spans="1:10" s="54" customFormat="1" ht="27" customHeight="1">
      <c r="A15" s="64"/>
      <c r="B15" s="1428" t="s">
        <v>74</v>
      </c>
      <c r="C15" s="1429"/>
      <c r="D15" s="1429"/>
      <c r="E15" s="1429"/>
      <c r="F15" s="1430"/>
      <c r="G15" s="413">
        <v>3000</v>
      </c>
      <c r="H15" s="413">
        <v>5860</v>
      </c>
      <c r="I15" s="413">
        <v>2424</v>
      </c>
      <c r="J15" s="414">
        <f t="shared" si="0"/>
        <v>41.365187713310583</v>
      </c>
    </row>
    <row r="16" spans="1:10" s="54" customFormat="1" ht="27" customHeight="1">
      <c r="A16" s="64"/>
      <c r="B16" s="1428" t="s">
        <v>222</v>
      </c>
      <c r="C16" s="1429"/>
      <c r="D16" s="1429"/>
      <c r="E16" s="1429"/>
      <c r="F16" s="1430"/>
      <c r="G16" s="413">
        <v>6500</v>
      </c>
      <c r="H16" s="413">
        <v>8937</v>
      </c>
      <c r="I16" s="413">
        <v>8691</v>
      </c>
      <c r="J16" s="414">
        <f t="shared" si="0"/>
        <v>97.247398455857663</v>
      </c>
    </row>
    <row r="17" spans="1:10" s="54" customFormat="1" ht="27" customHeight="1">
      <c r="A17" s="64"/>
      <c r="B17" s="1428" t="s">
        <v>144</v>
      </c>
      <c r="C17" s="1429"/>
      <c r="D17" s="1429"/>
      <c r="E17" s="1429"/>
      <c r="F17" s="1430"/>
      <c r="G17" s="417">
        <v>4000</v>
      </c>
      <c r="H17" s="417">
        <v>4000</v>
      </c>
      <c r="I17" s="417">
        <v>349</v>
      </c>
      <c r="J17" s="414">
        <f t="shared" si="0"/>
        <v>8.7249999999999996</v>
      </c>
    </row>
    <row r="18" spans="1:10" s="54" customFormat="1" ht="27" customHeight="1">
      <c r="A18" s="64"/>
      <c r="B18" s="1434" t="s">
        <v>53</v>
      </c>
      <c r="C18" s="1435"/>
      <c r="D18" s="1435"/>
      <c r="E18" s="1435"/>
      <c r="F18" s="1436"/>
      <c r="G18" s="413">
        <v>66000</v>
      </c>
      <c r="H18" s="413">
        <v>85254</v>
      </c>
      <c r="I18" s="413">
        <v>73051</v>
      </c>
      <c r="J18" s="414">
        <f t="shared" si="0"/>
        <v>85.686302108991953</v>
      </c>
    </row>
    <row r="19" spans="1:10" s="54" customFormat="1" ht="51.75" customHeight="1">
      <c r="A19" s="64"/>
      <c r="B19" s="1977" t="s">
        <v>418</v>
      </c>
      <c r="C19" s="1978"/>
      <c r="D19" s="1978"/>
      <c r="E19" s="1978"/>
      <c r="F19" s="1979"/>
      <c r="G19" s="250">
        <v>28632</v>
      </c>
      <c r="H19" s="250">
        <v>28632</v>
      </c>
      <c r="I19" s="242">
        <v>28632</v>
      </c>
      <c r="J19" s="419">
        <f t="shared" si="0"/>
        <v>100</v>
      </c>
    </row>
    <row r="20" spans="1:10" s="54" customFormat="1" ht="27" customHeight="1" thickBot="1">
      <c r="A20" s="64"/>
      <c r="B20" s="1437" t="s">
        <v>479</v>
      </c>
      <c r="C20" s="1438"/>
      <c r="D20" s="1438"/>
      <c r="E20" s="1438"/>
      <c r="F20" s="1439"/>
      <c r="G20" s="420"/>
      <c r="H20" s="420">
        <v>109244</v>
      </c>
      <c r="I20" s="421">
        <v>109244</v>
      </c>
      <c r="J20" s="419">
        <f t="shared" si="0"/>
        <v>100</v>
      </c>
    </row>
    <row r="21" spans="1:10" s="54" customFormat="1" ht="27" customHeight="1" thickBot="1">
      <c r="A21" s="64"/>
      <c r="B21" s="1896" t="s">
        <v>85</v>
      </c>
      <c r="C21" s="1897"/>
      <c r="D21" s="1897"/>
      <c r="E21" s="1897"/>
      <c r="F21" s="1898"/>
      <c r="G21" s="175">
        <f>SUM(G7:G20)</f>
        <v>1477932</v>
      </c>
      <c r="H21" s="175">
        <f>SUM(H7:H20)</f>
        <v>1830319</v>
      </c>
      <c r="I21" s="175">
        <f>SUM(I7:I20)</f>
        <v>1727255</v>
      </c>
      <c r="J21" s="160">
        <f t="shared" si="0"/>
        <v>94.369068998354933</v>
      </c>
    </row>
    <row r="22" spans="1:10" s="54" customFormat="1" ht="27" customHeight="1">
      <c r="A22" s="64"/>
      <c r="B22" s="1440" t="s">
        <v>84</v>
      </c>
      <c r="C22" s="1441"/>
      <c r="D22" s="1441"/>
      <c r="E22" s="1441"/>
      <c r="F22" s="1441"/>
      <c r="G22" s="203">
        <v>1000</v>
      </c>
      <c r="H22" s="203">
        <v>1330</v>
      </c>
      <c r="I22" s="203">
        <v>1217</v>
      </c>
      <c r="J22" s="88">
        <f t="shared" si="0"/>
        <v>91.503759398496243</v>
      </c>
    </row>
    <row r="23" spans="1:10" s="54" customFormat="1" ht="27" customHeight="1">
      <c r="A23" s="64"/>
      <c r="B23" s="331" t="s">
        <v>338</v>
      </c>
      <c r="C23" s="332"/>
      <c r="D23" s="332"/>
      <c r="E23" s="332"/>
      <c r="F23" s="332"/>
      <c r="G23" s="204">
        <v>5000</v>
      </c>
      <c r="H23" s="204">
        <v>9997</v>
      </c>
      <c r="I23" s="204">
        <v>5283</v>
      </c>
      <c r="J23" s="90">
        <f t="shared" si="0"/>
        <v>52.845853756126836</v>
      </c>
    </row>
    <row r="24" spans="1:10" s="54" customFormat="1" ht="27" customHeight="1">
      <c r="A24" s="64"/>
      <c r="B24" s="331" t="s">
        <v>164</v>
      </c>
      <c r="C24" s="332"/>
      <c r="D24" s="332"/>
      <c r="E24" s="332"/>
      <c r="F24" s="332"/>
      <c r="G24" s="204">
        <v>1900</v>
      </c>
      <c r="H24" s="204">
        <v>1900</v>
      </c>
      <c r="I24" s="204"/>
      <c r="J24" s="90">
        <f t="shared" si="0"/>
        <v>0</v>
      </c>
    </row>
    <row r="25" spans="1:10" s="54" customFormat="1" ht="27" customHeight="1" thickBot="1">
      <c r="A25" s="64"/>
      <c r="B25" s="1437" t="s">
        <v>419</v>
      </c>
      <c r="C25" s="1442"/>
      <c r="D25" s="1442"/>
      <c r="E25" s="1442"/>
      <c r="F25" s="1442"/>
      <c r="G25" s="262"/>
      <c r="H25" s="262">
        <v>2915</v>
      </c>
      <c r="I25" s="262">
        <v>2915</v>
      </c>
      <c r="J25" s="252">
        <f t="shared" si="0"/>
        <v>100</v>
      </c>
    </row>
    <row r="26" spans="1:10" s="54" customFormat="1" ht="27" customHeight="1" thickBot="1">
      <c r="A26" s="64"/>
      <c r="B26" s="1443" t="s">
        <v>488</v>
      </c>
      <c r="C26" s="236"/>
      <c r="D26" s="236"/>
      <c r="E26" s="236"/>
      <c r="F26" s="236"/>
      <c r="G26" s="422">
        <f>SUM(G22:G25)</f>
        <v>7900</v>
      </c>
      <c r="H26" s="422">
        <f>SUM(H22:H25)</f>
        <v>16142</v>
      </c>
      <c r="I26" s="422">
        <f>SUM(I22:I25)</f>
        <v>9415</v>
      </c>
      <c r="J26" s="407">
        <f t="shared" si="0"/>
        <v>58.326105810928006</v>
      </c>
    </row>
    <row r="27" spans="1:10" s="54" customFormat="1" ht="47.25" customHeight="1" thickBot="1">
      <c r="A27" s="64"/>
      <c r="B27" s="1972" t="s">
        <v>262</v>
      </c>
      <c r="C27" s="1973"/>
      <c r="D27" s="1973"/>
      <c r="E27" s="1973"/>
      <c r="F27" s="1974"/>
      <c r="G27" s="108">
        <f>+G21+G26</f>
        <v>1485832</v>
      </c>
      <c r="H27" s="108">
        <f>+H21+H26</f>
        <v>1846461</v>
      </c>
      <c r="I27" s="108">
        <f>+I21+I26</f>
        <v>1736670</v>
      </c>
      <c r="J27" s="160">
        <f t="shared" si="0"/>
        <v>94.053976769614962</v>
      </c>
    </row>
    <row r="29" spans="1:10" ht="15" customHeight="1">
      <c r="H29" s="3"/>
      <c r="I29" s="3"/>
    </row>
    <row r="30" spans="1:10" ht="15" customHeight="1">
      <c r="H30" s="3"/>
      <c r="I30" s="3"/>
    </row>
    <row r="31" spans="1:10" ht="15" customHeight="1">
      <c r="I31" s="3"/>
    </row>
    <row r="32" spans="1:10" ht="15" customHeight="1">
      <c r="I32" s="3"/>
    </row>
    <row r="40" spans="7:7" ht="15" customHeight="1">
      <c r="G40" s="446"/>
    </row>
    <row r="41" spans="7:7" ht="15" customHeight="1">
      <c r="G41" s="446"/>
    </row>
    <row r="97" spans="5:7" ht="15" customHeight="1">
      <c r="E97" s="1">
        <v>3025199</v>
      </c>
      <c r="G97" s="1">
        <v>5396966</v>
      </c>
    </row>
  </sheetData>
  <mergeCells count="7">
    <mergeCell ref="B27:F27"/>
    <mergeCell ref="B21:F21"/>
    <mergeCell ref="B1:G1"/>
    <mergeCell ref="B5:F5"/>
    <mergeCell ref="G5:H5"/>
    <mergeCell ref="B2:J2"/>
    <mergeCell ref="B19:F19"/>
  </mergeCells>
  <phoneticPr fontId="0" type="noConversion"/>
  <printOptions horizontalCentered="1" verticalCentered="1"/>
  <pageMargins left="0.27559055118110237" right="0" top="0.59055118110236227" bottom="0.59055118110236227" header="0.31496062992125984" footer="0.31496062992125984"/>
  <pageSetup paperSize="9" scale="65" orientation="portrait" r:id="rId1"/>
  <headerFooter alignWithMargins="0">
    <oddHeader xml:space="preserve">&amp;L
&amp;R&amp;"Calibri,Félkövér"&amp;12 15. melléklet  a .../2026. (........) önkormányzati rendelethez
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6"/>
  <dimension ref="A1:H139"/>
  <sheetViews>
    <sheetView zoomScaleNormal="100" workbookViewId="0">
      <selection activeCell="B2" sqref="B2:F2"/>
    </sheetView>
  </sheetViews>
  <sheetFormatPr defaultColWidth="12" defaultRowHeight="15" customHeight="1"/>
  <cols>
    <col min="1" max="1" width="12" style="11" bestFit="1" customWidth="1"/>
    <col min="2" max="2" width="83.33203125" style="1" customWidth="1"/>
    <col min="3" max="3" width="20.83203125" style="1" customWidth="1"/>
    <col min="4" max="5" width="20.83203125" style="3" customWidth="1"/>
    <col min="6" max="6" width="17.83203125" style="1" customWidth="1"/>
    <col min="7" max="16384" width="12" style="1"/>
  </cols>
  <sheetData>
    <row r="1" spans="1:8" s="54" customFormat="1" ht="15" customHeight="1">
      <c r="A1" s="64"/>
      <c r="B1" s="1968"/>
      <c r="C1" s="1968"/>
      <c r="D1" s="64"/>
      <c r="E1" s="64"/>
      <c r="F1" s="322"/>
    </row>
    <row r="2" spans="1:8" s="54" customFormat="1" ht="24" customHeight="1">
      <c r="A2" s="64"/>
      <c r="B2" s="1883" t="s">
        <v>215</v>
      </c>
      <c r="C2" s="1883"/>
      <c r="D2" s="1883"/>
      <c r="E2" s="1883"/>
      <c r="F2" s="1883"/>
    </row>
    <row r="3" spans="1:8" s="54" customFormat="1" ht="12" customHeight="1">
      <c r="A3" s="64"/>
      <c r="B3" s="53"/>
      <c r="C3" s="53"/>
      <c r="D3" s="64"/>
      <c r="E3" s="64"/>
    </row>
    <row r="4" spans="1:8" s="54" customFormat="1" ht="15" customHeight="1" thickBot="1">
      <c r="A4" s="64"/>
      <c r="B4" s="56"/>
      <c r="C4" s="66"/>
      <c r="D4" s="57"/>
      <c r="E4" s="57"/>
      <c r="F4" s="66" t="s">
        <v>12</v>
      </c>
    </row>
    <row r="5" spans="1:8" s="54" customFormat="1" ht="24" customHeight="1">
      <c r="A5" s="64"/>
      <c r="B5" s="1446" t="s">
        <v>25</v>
      </c>
      <c r="C5" s="1887" t="s">
        <v>442</v>
      </c>
      <c r="D5" s="1887"/>
      <c r="E5" s="97" t="s">
        <v>240</v>
      </c>
      <c r="F5" s="173" t="s">
        <v>77</v>
      </c>
    </row>
    <row r="6" spans="1:8" s="54" customFormat="1" ht="36" customHeight="1" thickBot="1">
      <c r="A6" s="64"/>
      <c r="B6" s="346"/>
      <c r="C6" s="151" t="s">
        <v>147</v>
      </c>
      <c r="D6" s="151" t="s">
        <v>75</v>
      </c>
      <c r="E6" s="152" t="s">
        <v>76</v>
      </c>
      <c r="F6" s="153" t="s">
        <v>78</v>
      </c>
    </row>
    <row r="7" spans="1:8" s="54" customFormat="1" ht="27" customHeight="1">
      <c r="A7" s="64"/>
      <c r="B7" s="1447" t="s">
        <v>54</v>
      </c>
      <c r="C7" s="417">
        <v>40000</v>
      </c>
      <c r="D7" s="417">
        <v>20000</v>
      </c>
      <c r="E7" s="274">
        <v>8720</v>
      </c>
      <c r="F7" s="414">
        <f>+E7/D7*100</f>
        <v>43.6</v>
      </c>
      <c r="H7" s="64"/>
    </row>
    <row r="8" spans="1:8" s="54" customFormat="1" ht="27" customHeight="1">
      <c r="A8" s="64"/>
      <c r="B8" s="1448" t="s">
        <v>148</v>
      </c>
      <c r="C8" s="417">
        <v>15000</v>
      </c>
      <c r="D8" s="417">
        <v>28000</v>
      </c>
      <c r="E8" s="417">
        <v>26922</v>
      </c>
      <c r="F8" s="414">
        <f t="shared" ref="F8:F30" si="0">+E8/D8*100</f>
        <v>96.15</v>
      </c>
      <c r="H8" s="64"/>
    </row>
    <row r="9" spans="1:8" s="54" customFormat="1" ht="27" customHeight="1">
      <c r="A9" s="64"/>
      <c r="B9" s="1448" t="s">
        <v>34</v>
      </c>
      <c r="C9" s="417">
        <v>5000</v>
      </c>
      <c r="D9" s="417">
        <v>0</v>
      </c>
      <c r="E9" s="417"/>
      <c r="F9" s="414"/>
      <c r="H9" s="64"/>
    </row>
    <row r="10" spans="1:8" s="54" customFormat="1" ht="27" customHeight="1">
      <c r="A10" s="64"/>
      <c r="B10" s="1448" t="s">
        <v>242</v>
      </c>
      <c r="C10" s="417">
        <v>100000</v>
      </c>
      <c r="D10" s="417">
        <v>160368</v>
      </c>
      <c r="E10" s="417">
        <v>69451</v>
      </c>
      <c r="F10" s="414">
        <f t="shared" si="0"/>
        <v>43.307268282949217</v>
      </c>
      <c r="H10" s="64"/>
    </row>
    <row r="11" spans="1:8" s="54" customFormat="1" ht="27" customHeight="1">
      <c r="A11" s="64"/>
      <c r="B11" s="1448" t="s">
        <v>223</v>
      </c>
      <c r="C11" s="417">
        <v>20000</v>
      </c>
      <c r="D11" s="417">
        <v>22147</v>
      </c>
      <c r="E11" s="417">
        <v>12208</v>
      </c>
      <c r="F11" s="414">
        <f t="shared" si="0"/>
        <v>55.122589967038429</v>
      </c>
      <c r="H11" s="64"/>
    </row>
    <row r="12" spans="1:8" s="54" customFormat="1" ht="27" customHeight="1">
      <c r="A12" s="64"/>
      <c r="B12" s="1448" t="s">
        <v>285</v>
      </c>
      <c r="C12" s="417">
        <v>6000</v>
      </c>
      <c r="D12" s="417">
        <v>22129</v>
      </c>
      <c r="E12" s="417">
        <v>10312</v>
      </c>
      <c r="F12" s="414">
        <f t="shared" si="0"/>
        <v>46.59948483889918</v>
      </c>
      <c r="H12" s="64"/>
    </row>
    <row r="13" spans="1:8" s="54" customFormat="1" ht="27" customHeight="1">
      <c r="A13" s="64"/>
      <c r="B13" s="1449" t="s">
        <v>286</v>
      </c>
      <c r="C13" s="417">
        <v>5000</v>
      </c>
      <c r="D13" s="417">
        <v>0</v>
      </c>
      <c r="E13" s="417"/>
      <c r="F13" s="414"/>
      <c r="H13" s="64"/>
    </row>
    <row r="14" spans="1:8" s="54" customFormat="1" ht="27" customHeight="1">
      <c r="A14" s="64"/>
      <c r="B14" s="1448" t="s">
        <v>83</v>
      </c>
      <c r="C14" s="417">
        <v>800</v>
      </c>
      <c r="D14" s="417">
        <v>2775</v>
      </c>
      <c r="E14" s="417">
        <v>2178</v>
      </c>
      <c r="F14" s="414">
        <f t="shared" si="0"/>
        <v>78.486486486486484</v>
      </c>
      <c r="H14" s="64"/>
    </row>
    <row r="15" spans="1:8" s="54" customFormat="1" ht="27" customHeight="1">
      <c r="A15" s="64"/>
      <c r="B15" s="1448" t="s">
        <v>35</v>
      </c>
      <c r="C15" s="417">
        <v>6000</v>
      </c>
      <c r="D15" s="417">
        <v>10397</v>
      </c>
      <c r="E15" s="417">
        <v>7490</v>
      </c>
      <c r="F15" s="414">
        <f t="shared" si="0"/>
        <v>72.040011541790903</v>
      </c>
      <c r="H15" s="64"/>
    </row>
    <row r="16" spans="1:8" s="54" customFormat="1" ht="27" customHeight="1">
      <c r="A16" s="64"/>
      <c r="B16" s="1448" t="s">
        <v>45</v>
      </c>
      <c r="C16" s="417"/>
      <c r="D16" s="417">
        <v>6783</v>
      </c>
      <c r="E16" s="417">
        <v>6783</v>
      </c>
      <c r="F16" s="414">
        <f t="shared" si="0"/>
        <v>100</v>
      </c>
      <c r="H16" s="64"/>
    </row>
    <row r="17" spans="1:8" s="54" customFormat="1" ht="27" customHeight="1">
      <c r="A17" s="64"/>
      <c r="B17" s="1448" t="s">
        <v>149</v>
      </c>
      <c r="C17" s="417"/>
      <c r="D17" s="417">
        <v>104814</v>
      </c>
      <c r="E17" s="417">
        <v>16300</v>
      </c>
      <c r="F17" s="414">
        <f t="shared" si="0"/>
        <v>15.55135764306295</v>
      </c>
      <c r="H17" s="64"/>
    </row>
    <row r="18" spans="1:8" s="54" customFormat="1" ht="27" customHeight="1">
      <c r="A18" s="64"/>
      <c r="B18" s="1448" t="s">
        <v>375</v>
      </c>
      <c r="C18" s="417">
        <v>35000</v>
      </c>
      <c r="D18" s="417">
        <v>46036</v>
      </c>
      <c r="E18" s="417">
        <v>30327</v>
      </c>
      <c r="F18" s="414">
        <f t="shared" si="0"/>
        <v>65.876705187244767</v>
      </c>
      <c r="H18" s="64"/>
    </row>
    <row r="19" spans="1:8" s="54" customFormat="1" ht="27" customHeight="1">
      <c r="A19" s="64"/>
      <c r="B19" s="1448" t="s">
        <v>82</v>
      </c>
      <c r="C19" s="417">
        <v>21000</v>
      </c>
      <c r="D19" s="417">
        <v>26300</v>
      </c>
      <c r="E19" s="417">
        <v>23612</v>
      </c>
      <c r="F19" s="414">
        <f t="shared" si="0"/>
        <v>89.779467680608363</v>
      </c>
      <c r="H19" s="64"/>
    </row>
    <row r="20" spans="1:8" s="54" customFormat="1" ht="47.25" customHeight="1">
      <c r="A20" s="64"/>
      <c r="B20" s="1449" t="s">
        <v>387</v>
      </c>
      <c r="C20" s="417">
        <v>6000</v>
      </c>
      <c r="D20" s="417">
        <v>7954</v>
      </c>
      <c r="E20" s="274">
        <v>6185</v>
      </c>
      <c r="F20" s="414">
        <f t="shared" si="0"/>
        <v>77.759617802363593</v>
      </c>
      <c r="H20" s="64"/>
    </row>
    <row r="21" spans="1:8" s="54" customFormat="1" ht="27" customHeight="1">
      <c r="A21" s="64"/>
      <c r="B21" s="1448" t="s">
        <v>376</v>
      </c>
      <c r="C21" s="417">
        <v>4000</v>
      </c>
      <c r="D21" s="417">
        <v>19200</v>
      </c>
      <c r="E21" s="274">
        <v>6575</v>
      </c>
      <c r="F21" s="414">
        <f t="shared" si="0"/>
        <v>34.244791666666671</v>
      </c>
      <c r="H21" s="64"/>
    </row>
    <row r="22" spans="1:8" s="54" customFormat="1" ht="48" customHeight="1">
      <c r="A22" s="64"/>
      <c r="B22" s="1449" t="s">
        <v>224</v>
      </c>
      <c r="C22" s="417">
        <v>3000</v>
      </c>
      <c r="D22" s="417">
        <v>9151</v>
      </c>
      <c r="E22" s="274"/>
      <c r="F22" s="414">
        <f t="shared" si="0"/>
        <v>0</v>
      </c>
      <c r="H22" s="64"/>
    </row>
    <row r="23" spans="1:8" s="54" customFormat="1" ht="27" customHeight="1">
      <c r="A23" s="64"/>
      <c r="B23" s="1450" t="s">
        <v>191</v>
      </c>
      <c r="C23" s="413"/>
      <c r="D23" s="413">
        <v>32241</v>
      </c>
      <c r="E23" s="274">
        <v>27306</v>
      </c>
      <c r="F23" s="414">
        <f t="shared" si="0"/>
        <v>84.693402810086539</v>
      </c>
      <c r="H23" s="64"/>
    </row>
    <row r="24" spans="1:8" s="54" customFormat="1" ht="27" customHeight="1">
      <c r="A24" s="64"/>
      <c r="B24" s="1450" t="s">
        <v>563</v>
      </c>
      <c r="C24" s="413"/>
      <c r="D24" s="413">
        <v>3917</v>
      </c>
      <c r="E24" s="274"/>
      <c r="F24" s="414">
        <f t="shared" si="0"/>
        <v>0</v>
      </c>
      <c r="H24" s="64"/>
    </row>
    <row r="25" spans="1:8" s="54" customFormat="1" ht="27" customHeight="1">
      <c r="A25" s="64"/>
      <c r="B25" s="1450" t="s">
        <v>356</v>
      </c>
      <c r="C25" s="413">
        <v>10000</v>
      </c>
      <c r="D25" s="413">
        <v>10000</v>
      </c>
      <c r="E25" s="274"/>
      <c r="F25" s="414">
        <f t="shared" si="0"/>
        <v>0</v>
      </c>
      <c r="H25" s="64"/>
    </row>
    <row r="26" spans="1:8" s="54" customFormat="1" ht="27" customHeight="1">
      <c r="A26" s="64"/>
      <c r="B26" s="1448" t="s">
        <v>391</v>
      </c>
      <c r="C26" s="417">
        <v>1500</v>
      </c>
      <c r="D26" s="417">
        <v>3087</v>
      </c>
      <c r="E26" s="274"/>
      <c r="F26" s="414">
        <f t="shared" si="0"/>
        <v>0</v>
      </c>
      <c r="H26" s="64"/>
    </row>
    <row r="27" spans="1:8" s="54" customFormat="1" ht="27" customHeight="1">
      <c r="A27" s="64"/>
      <c r="B27" s="1384" t="s">
        <v>564</v>
      </c>
      <c r="C27" s="417"/>
      <c r="D27" s="417">
        <v>15875</v>
      </c>
      <c r="E27" s="292"/>
      <c r="F27" s="414">
        <f t="shared" si="0"/>
        <v>0</v>
      </c>
      <c r="H27" s="64"/>
    </row>
    <row r="28" spans="1:8" s="54" customFormat="1" ht="27" customHeight="1">
      <c r="A28" s="64"/>
      <c r="B28" s="1448" t="s">
        <v>348</v>
      </c>
      <c r="C28" s="417">
        <v>10000</v>
      </c>
      <c r="D28" s="417">
        <v>31029</v>
      </c>
      <c r="E28" s="274">
        <v>5169</v>
      </c>
      <c r="F28" s="414">
        <f t="shared" si="0"/>
        <v>16.658609687711497</v>
      </c>
      <c r="H28" s="64"/>
    </row>
    <row r="29" spans="1:8" s="54" customFormat="1" ht="27" customHeight="1" thickBot="1">
      <c r="A29" s="64"/>
      <c r="B29" s="1451" t="s">
        <v>473</v>
      </c>
      <c r="C29" s="416">
        <v>79000</v>
      </c>
      <c r="D29" s="416">
        <v>114000</v>
      </c>
      <c r="E29" s="392">
        <v>94267</v>
      </c>
      <c r="F29" s="414">
        <f t="shared" si="0"/>
        <v>82.690350877192984</v>
      </c>
      <c r="H29" s="64"/>
    </row>
    <row r="30" spans="1:8" s="54" customFormat="1" ht="27.75" customHeight="1" thickBot="1">
      <c r="A30" s="64"/>
      <c r="B30" s="1253" t="s">
        <v>263</v>
      </c>
      <c r="C30" s="175">
        <f>SUM(C7:C29)</f>
        <v>367300</v>
      </c>
      <c r="D30" s="175">
        <f>SUM(D7:D29)</f>
        <v>696203</v>
      </c>
      <c r="E30" s="175">
        <f>SUM(E7:E29)</f>
        <v>353805</v>
      </c>
      <c r="F30" s="160">
        <f t="shared" si="0"/>
        <v>50.819229448882005</v>
      </c>
    </row>
    <row r="31" spans="1:8" ht="15" customHeight="1">
      <c r="C31" s="5"/>
    </row>
    <row r="32" spans="1:8" ht="15" hidden="1" customHeight="1"/>
    <row r="34" spans="3:6" ht="15" customHeight="1">
      <c r="C34" s="3"/>
    </row>
    <row r="35" spans="3:6" ht="15" customHeight="1">
      <c r="C35" s="3"/>
    </row>
    <row r="36" spans="3:6" ht="15" customHeight="1">
      <c r="C36" s="3"/>
      <c r="F36" s="3"/>
    </row>
    <row r="37" spans="3:6" ht="15" customHeight="1">
      <c r="C37" s="3"/>
    </row>
    <row r="38" spans="3:6" ht="15" customHeight="1">
      <c r="C38" s="3"/>
    </row>
    <row r="39" spans="3:6" ht="15" customHeight="1">
      <c r="C39" s="3"/>
    </row>
    <row r="40" spans="3:6" ht="15" customHeight="1">
      <c r="C40" s="3"/>
    </row>
    <row r="41" spans="3:6" ht="15" customHeight="1">
      <c r="C41" s="3"/>
    </row>
    <row r="42" spans="3:6" ht="15" customHeight="1">
      <c r="C42" s="3"/>
    </row>
    <row r="43" spans="3:6" ht="15" customHeight="1">
      <c r="C43" s="3"/>
    </row>
    <row r="44" spans="3:6" ht="15" customHeight="1">
      <c r="C44" s="3"/>
    </row>
    <row r="45" spans="3:6" ht="15" customHeight="1">
      <c r="C45" s="3"/>
    </row>
    <row r="46" spans="3:6" ht="15" customHeight="1">
      <c r="C46" s="3"/>
    </row>
    <row r="47" spans="3:6" ht="15" customHeight="1">
      <c r="C47" s="3"/>
    </row>
    <row r="48" spans="3:6" ht="15" customHeight="1">
      <c r="C48" s="3"/>
    </row>
    <row r="49" spans="3:3" ht="15" customHeight="1">
      <c r="C49" s="3"/>
    </row>
    <row r="50" spans="3:3" ht="15" customHeight="1">
      <c r="C50" s="3"/>
    </row>
    <row r="51" spans="3:3" ht="15" customHeight="1">
      <c r="C51" s="3"/>
    </row>
    <row r="52" spans="3:3" ht="15" customHeight="1">
      <c r="C52" s="3"/>
    </row>
    <row r="53" spans="3:3" ht="15" customHeight="1">
      <c r="C53" s="3"/>
    </row>
    <row r="54" spans="3:3" ht="15" customHeight="1">
      <c r="C54" s="3"/>
    </row>
    <row r="55" spans="3:3" ht="15" customHeight="1">
      <c r="C55" s="3"/>
    </row>
    <row r="56" spans="3:3" ht="15" customHeight="1">
      <c r="C56" s="3"/>
    </row>
    <row r="57" spans="3:3" ht="15" customHeight="1">
      <c r="C57" s="3"/>
    </row>
    <row r="58" spans="3:3" ht="15" customHeight="1">
      <c r="C58" s="3"/>
    </row>
    <row r="59" spans="3:3" ht="15" customHeight="1">
      <c r="C59" s="3"/>
    </row>
    <row r="60" spans="3:3" ht="15" customHeight="1">
      <c r="C60" s="3"/>
    </row>
    <row r="61" spans="3:3" ht="15" customHeight="1">
      <c r="C61" s="3"/>
    </row>
    <row r="62" spans="3:3" ht="15" customHeight="1">
      <c r="C62" s="3"/>
    </row>
    <row r="63" spans="3:3" ht="15" customHeight="1">
      <c r="C63" s="3"/>
    </row>
    <row r="64" spans="3:3" ht="15" customHeight="1">
      <c r="C64" s="3"/>
    </row>
    <row r="65" spans="3:3" ht="15" customHeight="1">
      <c r="C65" s="3"/>
    </row>
    <row r="66" spans="3:3" ht="15" customHeight="1">
      <c r="C66" s="3"/>
    </row>
    <row r="67" spans="3:3" ht="15" customHeight="1">
      <c r="C67" s="3"/>
    </row>
    <row r="68" spans="3:3" ht="15" customHeight="1">
      <c r="C68" s="3"/>
    </row>
    <row r="69" spans="3:3" ht="15" customHeight="1">
      <c r="C69" s="3"/>
    </row>
    <row r="70" spans="3:3" ht="15" customHeight="1">
      <c r="C70" s="3"/>
    </row>
    <row r="71" spans="3:3" ht="15" customHeight="1">
      <c r="C71" s="3"/>
    </row>
    <row r="72" spans="3:3" ht="15" customHeight="1">
      <c r="C72" s="3"/>
    </row>
    <row r="73" spans="3:3" ht="15" customHeight="1">
      <c r="C73" s="3"/>
    </row>
    <row r="74" spans="3:3" ht="15" customHeight="1">
      <c r="C74" s="3"/>
    </row>
    <row r="75" spans="3:3" ht="15" customHeight="1">
      <c r="C75" s="3"/>
    </row>
    <row r="76" spans="3:3" ht="15" customHeight="1">
      <c r="C76" s="3"/>
    </row>
    <row r="77" spans="3:3" ht="15" customHeight="1">
      <c r="C77" s="3"/>
    </row>
    <row r="78" spans="3:3" ht="15" customHeight="1">
      <c r="C78" s="3"/>
    </row>
    <row r="79" spans="3:3" ht="15" customHeight="1">
      <c r="C79" s="3"/>
    </row>
    <row r="80" spans="3:3" ht="15" customHeight="1">
      <c r="C80" s="3"/>
    </row>
    <row r="81" spans="3:3" ht="15" customHeight="1">
      <c r="C81" s="3"/>
    </row>
    <row r="82" spans="3:3" ht="15" customHeight="1">
      <c r="C82" s="3"/>
    </row>
    <row r="83" spans="3:3" ht="15" customHeight="1">
      <c r="C83" s="3"/>
    </row>
    <row r="84" spans="3:3" ht="15" customHeight="1">
      <c r="C84" s="3"/>
    </row>
    <row r="85" spans="3:3" ht="15" customHeight="1">
      <c r="C85" s="3"/>
    </row>
    <row r="86" spans="3:3" ht="15" customHeight="1">
      <c r="C86" s="3"/>
    </row>
    <row r="87" spans="3:3" ht="15" customHeight="1">
      <c r="C87" s="3"/>
    </row>
    <row r="88" spans="3:3" ht="15" customHeight="1">
      <c r="C88" s="3"/>
    </row>
    <row r="89" spans="3:3" ht="15" customHeight="1">
      <c r="C89" s="3"/>
    </row>
    <row r="90" spans="3:3" ht="15" customHeight="1">
      <c r="C90" s="3"/>
    </row>
    <row r="91" spans="3:3" ht="15" customHeight="1">
      <c r="C91" s="3"/>
    </row>
    <row r="92" spans="3:3" ht="15" customHeight="1">
      <c r="C92" s="3"/>
    </row>
    <row r="93" spans="3:3" ht="15" customHeight="1">
      <c r="C93" s="3"/>
    </row>
    <row r="94" spans="3:3" ht="15" customHeight="1">
      <c r="C94" s="3"/>
    </row>
    <row r="95" spans="3:3" ht="15" customHeight="1">
      <c r="C95" s="3"/>
    </row>
    <row r="96" spans="3:3" ht="15" customHeight="1">
      <c r="C96" s="3"/>
    </row>
    <row r="97" spans="3:5" ht="15" customHeight="1">
      <c r="C97" s="3"/>
    </row>
    <row r="98" spans="3:5" ht="15" customHeight="1">
      <c r="C98" s="3"/>
      <c r="E98" s="3">
        <v>3025199</v>
      </c>
    </row>
    <row r="99" spans="3:5" ht="15" customHeight="1">
      <c r="C99" s="3"/>
    </row>
    <row r="100" spans="3:5" ht="15" customHeight="1">
      <c r="C100" s="3"/>
    </row>
    <row r="101" spans="3:5" ht="15" customHeight="1">
      <c r="C101" s="3"/>
    </row>
    <row r="102" spans="3:5" ht="15" customHeight="1">
      <c r="C102" s="3"/>
    </row>
    <row r="103" spans="3:5" ht="15" customHeight="1">
      <c r="C103" s="3"/>
    </row>
    <row r="104" spans="3:5" ht="15" customHeight="1">
      <c r="C104" s="3"/>
    </row>
    <row r="105" spans="3:5" ht="15" customHeight="1">
      <c r="C105" s="3"/>
    </row>
    <row r="106" spans="3:5" ht="15" customHeight="1">
      <c r="C106" s="3"/>
    </row>
    <row r="107" spans="3:5" ht="15" customHeight="1">
      <c r="C107" s="3"/>
    </row>
    <row r="108" spans="3:5" ht="15" customHeight="1">
      <c r="C108" s="3"/>
    </row>
    <row r="109" spans="3:5" ht="15" customHeight="1">
      <c r="C109" s="3"/>
    </row>
    <row r="110" spans="3:5" ht="15" customHeight="1">
      <c r="C110" s="3"/>
    </row>
    <row r="111" spans="3:5" ht="15" customHeight="1">
      <c r="C111" s="3"/>
    </row>
    <row r="112" spans="3:5" ht="15" customHeight="1">
      <c r="C112" s="3"/>
    </row>
    <row r="113" spans="3:3" ht="15" customHeight="1">
      <c r="C113" s="3"/>
    </row>
    <row r="114" spans="3:3" ht="15" customHeight="1">
      <c r="C114" s="3"/>
    </row>
    <row r="115" spans="3:3" ht="15" customHeight="1">
      <c r="C115" s="3"/>
    </row>
    <row r="116" spans="3:3" ht="15" customHeight="1">
      <c r="C116" s="3"/>
    </row>
    <row r="117" spans="3:3" ht="15" customHeight="1">
      <c r="C117" s="3"/>
    </row>
    <row r="118" spans="3:3" ht="15" customHeight="1">
      <c r="C118" s="3"/>
    </row>
    <row r="119" spans="3:3" ht="15" customHeight="1">
      <c r="C119" s="3"/>
    </row>
    <row r="120" spans="3:3" ht="15" customHeight="1">
      <c r="C120" s="3"/>
    </row>
    <row r="121" spans="3:3" ht="15" customHeight="1">
      <c r="C121" s="3"/>
    </row>
    <row r="122" spans="3:3" ht="15" customHeight="1">
      <c r="C122" s="3"/>
    </row>
    <row r="123" spans="3:3" ht="15" customHeight="1">
      <c r="C123" s="3"/>
    </row>
    <row r="124" spans="3:3" ht="15" customHeight="1">
      <c r="C124" s="3"/>
    </row>
    <row r="125" spans="3:3" ht="15" customHeight="1">
      <c r="C125" s="3"/>
    </row>
    <row r="126" spans="3:3" ht="15" customHeight="1">
      <c r="C126" s="3"/>
    </row>
    <row r="127" spans="3:3" ht="15" customHeight="1">
      <c r="C127" s="3"/>
    </row>
    <row r="128" spans="3:3" ht="15" customHeight="1">
      <c r="C128" s="3"/>
    </row>
    <row r="129" spans="3:3" ht="15" customHeight="1">
      <c r="C129" s="3"/>
    </row>
    <row r="130" spans="3:3" ht="15" customHeight="1">
      <c r="C130" s="3"/>
    </row>
    <row r="131" spans="3:3" ht="15" customHeight="1">
      <c r="C131" s="3"/>
    </row>
    <row r="132" spans="3:3" ht="15" customHeight="1">
      <c r="C132" s="3"/>
    </row>
    <row r="133" spans="3:3" ht="15" customHeight="1">
      <c r="C133" s="3"/>
    </row>
    <row r="134" spans="3:3" ht="15" customHeight="1">
      <c r="C134" s="3"/>
    </row>
    <row r="135" spans="3:3" ht="15" customHeight="1">
      <c r="C135" s="3"/>
    </row>
    <row r="136" spans="3:3" ht="15" customHeight="1">
      <c r="C136" s="3"/>
    </row>
    <row r="137" spans="3:3" ht="15" customHeight="1">
      <c r="C137" s="3"/>
    </row>
    <row r="138" spans="3:3" ht="15" customHeight="1">
      <c r="C138" s="3"/>
    </row>
    <row r="139" spans="3:3" ht="15" customHeight="1">
      <c r="C139" s="3"/>
    </row>
  </sheetData>
  <mergeCells count="3">
    <mergeCell ref="B1:C1"/>
    <mergeCell ref="C5:D5"/>
    <mergeCell ref="B2:F2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0" orientation="portrait" r:id="rId1"/>
  <headerFooter alignWithMargins="0">
    <oddHeader>&amp;R&amp;"Times New Roman CE,Félkövér"&amp;16 &amp;"Calibri,Félkövér"&amp;12 16. melléklet  a .../2026. (........) önkormányzati rendelethez</oddHeader>
    <oddFooter xml:space="preserve">&amp;C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7"/>
  <sheetViews>
    <sheetView zoomScaleNormal="100" workbookViewId="0">
      <selection activeCell="B1" sqref="B1:G1"/>
    </sheetView>
  </sheetViews>
  <sheetFormatPr defaultColWidth="10.6640625" defaultRowHeight="15"/>
  <cols>
    <col min="1" max="1" width="16.5" style="9" customWidth="1"/>
    <col min="2" max="2" width="6" style="9" customWidth="1"/>
    <col min="3" max="3" width="123.83203125" style="9" customWidth="1"/>
    <col min="4" max="4" width="26.1640625" style="9" customWidth="1"/>
    <col min="5" max="6" width="26.5" style="9" customWidth="1"/>
    <col min="7" max="7" width="21.1640625" style="9" bestFit="1" customWidth="1"/>
    <col min="8" max="16384" width="10.6640625" style="9"/>
  </cols>
  <sheetData>
    <row r="1" spans="2:7" s="73" customFormat="1" ht="22.5" customHeight="1">
      <c r="B1" s="1980" t="s">
        <v>270</v>
      </c>
      <c r="C1" s="1980"/>
      <c r="D1" s="1980"/>
      <c r="E1" s="1980"/>
      <c r="F1" s="1980"/>
      <c r="G1" s="1980"/>
    </row>
    <row r="2" spans="2:7" s="73" customFormat="1" ht="19.5" thickBot="1">
      <c r="C2" s="78"/>
      <c r="D2" s="79"/>
      <c r="G2" s="1365" t="s">
        <v>12</v>
      </c>
    </row>
    <row r="3" spans="2:7" s="73" customFormat="1" ht="24" customHeight="1">
      <c r="B3" s="437"/>
      <c r="C3" s="438" t="s">
        <v>25</v>
      </c>
      <c r="D3" s="1887" t="s">
        <v>442</v>
      </c>
      <c r="E3" s="1887"/>
      <c r="F3" s="97" t="s">
        <v>240</v>
      </c>
      <c r="G3" s="161" t="s">
        <v>77</v>
      </c>
    </row>
    <row r="4" spans="2:7" s="73" customFormat="1" ht="24" customHeight="1" thickBot="1">
      <c r="B4" s="439"/>
      <c r="C4" s="440"/>
      <c r="D4" s="151" t="s">
        <v>147</v>
      </c>
      <c r="E4" s="151" t="s">
        <v>75</v>
      </c>
      <c r="F4" s="152" t="s">
        <v>76</v>
      </c>
      <c r="G4" s="233" t="s">
        <v>78</v>
      </c>
    </row>
    <row r="5" spans="2:7" s="73" customFormat="1" ht="23.25" customHeight="1">
      <c r="B5" s="441" t="s">
        <v>199</v>
      </c>
      <c r="C5" s="442"/>
      <c r="D5" s="959"/>
      <c r="E5" s="959"/>
      <c r="F5" s="105"/>
      <c r="G5" s="106"/>
    </row>
    <row r="6" spans="2:7" s="80" customFormat="1" ht="23.25" customHeight="1">
      <c r="B6" s="443"/>
      <c r="C6" s="445" t="s">
        <v>529</v>
      </c>
      <c r="D6" s="1360"/>
      <c r="E6" s="960">
        <v>225150</v>
      </c>
      <c r="F6" s="1360"/>
      <c r="G6" s="1361">
        <f t="shared" ref="G6:G25" si="0">+F6/E6*100</f>
        <v>0</v>
      </c>
    </row>
    <row r="7" spans="2:7" s="80" customFormat="1" ht="51" customHeight="1">
      <c r="B7" s="443"/>
      <c r="C7" s="445" t="s">
        <v>522</v>
      </c>
      <c r="D7" s="1360"/>
      <c r="E7" s="960">
        <v>194800</v>
      </c>
      <c r="F7" s="1360"/>
      <c r="G7" s="1361">
        <f t="shared" si="0"/>
        <v>0</v>
      </c>
    </row>
    <row r="8" spans="2:7" s="80" customFormat="1" ht="24" customHeight="1">
      <c r="B8" s="443"/>
      <c r="C8" s="445" t="s">
        <v>523</v>
      </c>
      <c r="D8" s="1360"/>
      <c r="E8" s="960">
        <v>358920</v>
      </c>
      <c r="F8" s="1360"/>
      <c r="G8" s="1361">
        <f t="shared" si="0"/>
        <v>0</v>
      </c>
    </row>
    <row r="9" spans="2:7" s="80" customFormat="1" ht="51" customHeight="1">
      <c r="B9" s="443"/>
      <c r="C9" s="445" t="s">
        <v>524</v>
      </c>
      <c r="D9" s="1360"/>
      <c r="E9" s="960">
        <v>109473</v>
      </c>
      <c r="F9" s="1360"/>
      <c r="G9" s="1361">
        <f t="shared" si="0"/>
        <v>0</v>
      </c>
    </row>
    <row r="10" spans="2:7" s="80" customFormat="1" ht="24" customHeight="1">
      <c r="B10" s="443"/>
      <c r="C10" s="463" t="s">
        <v>519</v>
      </c>
      <c r="D10" s="1362"/>
      <c r="E10" s="961">
        <v>647071</v>
      </c>
      <c r="F10" s="1362"/>
      <c r="G10" s="1363">
        <f t="shared" si="0"/>
        <v>0</v>
      </c>
    </row>
    <row r="11" spans="2:7" s="80" customFormat="1" ht="24" customHeight="1">
      <c r="B11" s="443"/>
      <c r="C11" s="445" t="s">
        <v>521</v>
      </c>
      <c r="D11" s="1360"/>
      <c r="E11" s="960">
        <v>544045</v>
      </c>
      <c r="F11" s="1360"/>
      <c r="G11" s="1361">
        <f t="shared" si="0"/>
        <v>0</v>
      </c>
    </row>
    <row r="12" spans="2:7" s="80" customFormat="1" ht="51" customHeight="1">
      <c r="B12" s="443"/>
      <c r="C12" s="445" t="s">
        <v>520</v>
      </c>
      <c r="D12" s="1360"/>
      <c r="E12" s="960">
        <v>194065</v>
      </c>
      <c r="F12" s="1360"/>
      <c r="G12" s="1361">
        <f t="shared" si="0"/>
        <v>0</v>
      </c>
    </row>
    <row r="13" spans="2:7" s="80" customFormat="1" ht="51" customHeight="1">
      <c r="B13" s="443"/>
      <c r="C13" s="445" t="s">
        <v>530</v>
      </c>
      <c r="D13" s="1360"/>
      <c r="E13" s="960">
        <v>393968</v>
      </c>
      <c r="F13" s="1360"/>
      <c r="G13" s="1361">
        <f t="shared" si="0"/>
        <v>0</v>
      </c>
    </row>
    <row r="14" spans="2:7" s="80" customFormat="1" ht="24" customHeight="1">
      <c r="B14" s="443"/>
      <c r="C14" s="445" t="s">
        <v>558</v>
      </c>
      <c r="D14" s="1362"/>
      <c r="E14" s="961">
        <v>44024</v>
      </c>
      <c r="F14" s="1362"/>
      <c r="G14" s="1363">
        <f t="shared" si="0"/>
        <v>0</v>
      </c>
    </row>
    <row r="15" spans="2:7" s="80" customFormat="1" ht="24" customHeight="1">
      <c r="B15" s="443"/>
      <c r="C15" s="445" t="s">
        <v>528</v>
      </c>
      <c r="D15" s="1360"/>
      <c r="E15" s="960">
        <v>423301</v>
      </c>
      <c r="F15" s="1360"/>
      <c r="G15" s="1361">
        <f t="shared" si="0"/>
        <v>0</v>
      </c>
    </row>
    <row r="16" spans="2:7" s="80" customFormat="1" ht="51" customHeight="1">
      <c r="B16" s="443"/>
      <c r="C16" s="445" t="s">
        <v>546</v>
      </c>
      <c r="D16" s="1360"/>
      <c r="E16" s="960">
        <v>4515</v>
      </c>
      <c r="F16" s="1364">
        <v>4515</v>
      </c>
      <c r="G16" s="1361">
        <f t="shared" si="0"/>
        <v>100</v>
      </c>
    </row>
    <row r="17" spans="1:7" s="80" customFormat="1" ht="24" customHeight="1">
      <c r="B17" s="443"/>
      <c r="C17" s="445" t="s">
        <v>532</v>
      </c>
      <c r="D17" s="1360"/>
      <c r="E17" s="960">
        <v>589110</v>
      </c>
      <c r="F17" s="1360"/>
      <c r="G17" s="1361">
        <f t="shared" si="0"/>
        <v>0</v>
      </c>
    </row>
    <row r="18" spans="1:7" s="80" customFormat="1" ht="51" customHeight="1">
      <c r="B18" s="443"/>
      <c r="C18" s="445" t="s">
        <v>527</v>
      </c>
      <c r="D18" s="1360"/>
      <c r="E18" s="960">
        <v>449186</v>
      </c>
      <c r="F18" s="1360"/>
      <c r="G18" s="1361">
        <f t="shared" si="0"/>
        <v>0</v>
      </c>
    </row>
    <row r="19" spans="1:7" s="80" customFormat="1" ht="24" customHeight="1">
      <c r="B19" s="443"/>
      <c r="C19" s="445" t="s">
        <v>525</v>
      </c>
      <c r="D19" s="1360"/>
      <c r="E19" s="960">
        <v>460184</v>
      </c>
      <c r="F19" s="1360"/>
      <c r="G19" s="1361">
        <f t="shared" si="0"/>
        <v>0</v>
      </c>
    </row>
    <row r="20" spans="1:7" s="80" customFormat="1" ht="23.25" customHeight="1">
      <c r="B20" s="443"/>
      <c r="C20" s="445" t="s">
        <v>547</v>
      </c>
      <c r="D20" s="1360"/>
      <c r="E20" s="960">
        <v>4198</v>
      </c>
      <c r="F20" s="1364">
        <v>4198</v>
      </c>
      <c r="G20" s="1361">
        <f t="shared" si="0"/>
        <v>100</v>
      </c>
    </row>
    <row r="21" spans="1:7" s="80" customFormat="1" ht="24" customHeight="1">
      <c r="B21" s="443"/>
      <c r="C21" s="445" t="s">
        <v>548</v>
      </c>
      <c r="D21" s="1360"/>
      <c r="E21" s="960">
        <v>8509</v>
      </c>
      <c r="F21" s="1364">
        <v>3429</v>
      </c>
      <c r="G21" s="1361">
        <f t="shared" si="0"/>
        <v>40.298507462686565</v>
      </c>
    </row>
    <row r="22" spans="1:7" s="80" customFormat="1" ht="24" customHeight="1">
      <c r="B22" s="443"/>
      <c r="C22" s="445" t="s">
        <v>549</v>
      </c>
      <c r="D22" s="1360"/>
      <c r="E22" s="960">
        <v>4873</v>
      </c>
      <c r="F22" s="1364">
        <v>3222</v>
      </c>
      <c r="G22" s="1361">
        <f t="shared" si="0"/>
        <v>66.119433613790264</v>
      </c>
    </row>
    <row r="23" spans="1:7" s="80" customFormat="1" ht="24" customHeight="1">
      <c r="B23" s="443"/>
      <c r="C23" s="445" t="s">
        <v>526</v>
      </c>
      <c r="D23" s="1360"/>
      <c r="E23" s="960">
        <v>474062</v>
      </c>
      <c r="F23" s="1360"/>
      <c r="G23" s="1361">
        <f t="shared" si="0"/>
        <v>0</v>
      </c>
    </row>
    <row r="24" spans="1:7" s="80" customFormat="1" ht="24" customHeight="1">
      <c r="B24" s="443"/>
      <c r="C24" s="445" t="s">
        <v>533</v>
      </c>
      <c r="D24" s="1360"/>
      <c r="E24" s="960">
        <v>662601</v>
      </c>
      <c r="F24" s="1360"/>
      <c r="G24" s="1361">
        <f t="shared" si="0"/>
        <v>0</v>
      </c>
    </row>
    <row r="25" spans="1:7" s="80" customFormat="1" ht="24" customHeight="1">
      <c r="B25" s="443"/>
      <c r="C25" s="445" t="s">
        <v>559</v>
      </c>
      <c r="D25" s="1362"/>
      <c r="E25" s="961">
        <v>1666437</v>
      </c>
      <c r="F25" s="1362"/>
      <c r="G25" s="1363">
        <f t="shared" si="0"/>
        <v>0</v>
      </c>
    </row>
    <row r="26" spans="1:7" s="80" customFormat="1" ht="51.75" customHeight="1" thickBot="1">
      <c r="B26" s="443"/>
      <c r="C26" s="445" t="s">
        <v>531</v>
      </c>
      <c r="D26" s="1360"/>
      <c r="E26" s="960">
        <v>514871</v>
      </c>
      <c r="F26" s="1360"/>
      <c r="G26" s="1361">
        <f t="shared" ref="G26" si="1">+F26/E26*100</f>
        <v>0</v>
      </c>
    </row>
    <row r="27" spans="1:7" s="1251" customFormat="1" ht="35.1" customHeight="1" thickBot="1">
      <c r="B27" s="1315" t="s">
        <v>196</v>
      </c>
      <c r="C27" s="1316"/>
      <c r="D27" s="1334">
        <f>SUM(D10:D26)</f>
        <v>0</v>
      </c>
      <c r="E27" s="1334">
        <f>SUM(E6:E26)</f>
        <v>7973363</v>
      </c>
      <c r="F27" s="1334">
        <f>SUM(F6:F26)</f>
        <v>15364</v>
      </c>
      <c r="G27" s="1335">
        <f t="shared" ref="G27:G33" si="2">+F27/E27*100</f>
        <v>0.19269159073781039</v>
      </c>
    </row>
    <row r="28" spans="1:7" s="1251" customFormat="1" ht="24" customHeight="1">
      <c r="B28" s="1317" t="s">
        <v>193</v>
      </c>
      <c r="C28" s="1318"/>
      <c r="D28" s="1336"/>
      <c r="E28" s="1336"/>
      <c r="F28" s="1336"/>
      <c r="G28" s="1337"/>
    </row>
    <row r="29" spans="1:7" s="1251" customFormat="1" ht="24" customHeight="1">
      <c r="A29" s="1452"/>
      <c r="B29" s="1319"/>
      <c r="C29" s="1320" t="s">
        <v>174</v>
      </c>
      <c r="D29" s="1338">
        <v>1000000</v>
      </c>
      <c r="E29" s="1338">
        <v>793559</v>
      </c>
      <c r="F29" s="1338">
        <v>793559</v>
      </c>
      <c r="G29" s="1339">
        <f t="shared" si="2"/>
        <v>100</v>
      </c>
    </row>
    <row r="30" spans="1:7" s="1251" customFormat="1" ht="24" customHeight="1">
      <c r="B30" s="1319"/>
      <c r="C30" s="1320" t="s">
        <v>478</v>
      </c>
      <c r="D30" s="1338"/>
      <c r="E30" s="1338">
        <v>990</v>
      </c>
      <c r="F30" s="1338">
        <v>990</v>
      </c>
      <c r="G30" s="1339">
        <f t="shared" si="2"/>
        <v>100</v>
      </c>
    </row>
    <row r="31" spans="1:7" s="1251" customFormat="1" ht="24" customHeight="1">
      <c r="B31" s="1319"/>
      <c r="C31" s="1320" t="s">
        <v>393</v>
      </c>
      <c r="D31" s="1338"/>
      <c r="E31" s="1338">
        <v>4330</v>
      </c>
      <c r="F31" s="1338">
        <v>4330</v>
      </c>
      <c r="G31" s="1339">
        <f t="shared" si="2"/>
        <v>100</v>
      </c>
    </row>
    <row r="32" spans="1:7" s="1251" customFormat="1" ht="24" customHeight="1">
      <c r="B32" s="1319"/>
      <c r="C32" s="1320" t="s">
        <v>607</v>
      </c>
      <c r="D32" s="1338"/>
      <c r="E32" s="1338">
        <v>79270</v>
      </c>
      <c r="F32" s="1338">
        <v>79270</v>
      </c>
      <c r="G32" s="1339">
        <f t="shared" si="2"/>
        <v>100</v>
      </c>
    </row>
    <row r="33" spans="2:7" s="1251" customFormat="1" ht="24" customHeight="1" thickBot="1">
      <c r="B33" s="1319"/>
      <c r="C33" s="376" t="s">
        <v>542</v>
      </c>
      <c r="D33" s="960"/>
      <c r="E33" s="960">
        <v>24100</v>
      </c>
      <c r="F33" s="960">
        <v>24100</v>
      </c>
      <c r="G33" s="1339">
        <f t="shared" si="2"/>
        <v>100</v>
      </c>
    </row>
    <row r="34" spans="2:7" s="1251" customFormat="1" ht="24" customHeight="1" thickBot="1">
      <c r="B34" s="1321" t="s">
        <v>194</v>
      </c>
      <c r="C34" s="1322"/>
      <c r="D34" s="1340">
        <f>SUM(D29:D33)</f>
        <v>1000000</v>
      </c>
      <c r="E34" s="1340">
        <f>SUM(E29:E33)</f>
        <v>902249</v>
      </c>
      <c r="F34" s="1340">
        <f>SUM(F29:F33)</f>
        <v>902249</v>
      </c>
      <c r="G34" s="1341">
        <f>+F34/E34*100</f>
        <v>100</v>
      </c>
    </row>
    <row r="35" spans="2:7" s="1251" customFormat="1" ht="24" customHeight="1">
      <c r="B35" s="1323" t="s">
        <v>197</v>
      </c>
      <c r="C35" s="1324"/>
      <c r="D35" s="1342"/>
      <c r="E35" s="1342"/>
      <c r="F35" s="1342"/>
      <c r="G35" s="1343"/>
    </row>
    <row r="36" spans="2:7" s="1251" customFormat="1" ht="33.75" customHeight="1">
      <c r="B36" s="1323"/>
      <c r="C36" s="1325" t="s">
        <v>66</v>
      </c>
      <c r="D36" s="1344"/>
      <c r="E36" s="1344"/>
      <c r="F36" s="1344"/>
      <c r="G36" s="1345"/>
    </row>
    <row r="37" spans="2:7" s="1251" customFormat="1" ht="24" customHeight="1">
      <c r="B37" s="1319"/>
      <c r="C37" s="1326" t="s">
        <v>168</v>
      </c>
      <c r="D37" s="960">
        <v>8000</v>
      </c>
      <c r="E37" s="960">
        <v>8044</v>
      </c>
      <c r="F37" s="1346">
        <f>8044+621</f>
        <v>8665</v>
      </c>
      <c r="G37" s="1347">
        <f t="shared" ref="G37:G42" si="3">+F37/E37*100</f>
        <v>107.7200397812034</v>
      </c>
    </row>
    <row r="38" spans="2:7" s="1251" customFormat="1" ht="24" customHeight="1">
      <c r="B38" s="1319"/>
      <c r="C38" s="1326" t="s">
        <v>32</v>
      </c>
      <c r="D38" s="960"/>
      <c r="E38" s="960">
        <v>2935</v>
      </c>
      <c r="F38" s="960">
        <v>2935</v>
      </c>
      <c r="G38" s="1347">
        <f t="shared" si="3"/>
        <v>100</v>
      </c>
    </row>
    <row r="39" spans="2:7" s="1251" customFormat="1" ht="24" customHeight="1">
      <c r="B39" s="1319"/>
      <c r="C39" s="1327" t="s">
        <v>93</v>
      </c>
      <c r="D39" s="960"/>
      <c r="E39" s="960"/>
      <c r="F39" s="960"/>
      <c r="G39" s="1347"/>
    </row>
    <row r="40" spans="2:7" s="1251" customFormat="1" ht="24" customHeight="1">
      <c r="B40" s="1319"/>
      <c r="C40" s="1326" t="s">
        <v>314</v>
      </c>
      <c r="D40" s="1348"/>
      <c r="E40" s="1348">
        <v>92239</v>
      </c>
      <c r="F40" s="1349">
        <v>80108</v>
      </c>
      <c r="G40" s="1350">
        <f t="shared" si="3"/>
        <v>86.848296273810433</v>
      </c>
    </row>
    <row r="41" spans="2:7" s="1251" customFormat="1" ht="24" customHeight="1">
      <c r="B41" s="1319"/>
      <c r="C41" s="1320" t="s">
        <v>534</v>
      </c>
      <c r="D41" s="960"/>
      <c r="E41" s="960">
        <v>800</v>
      </c>
      <c r="F41" s="960">
        <v>800</v>
      </c>
      <c r="G41" s="1351">
        <f t="shared" si="3"/>
        <v>100</v>
      </c>
    </row>
    <row r="42" spans="2:7" s="1251" customFormat="1" ht="51.75" customHeight="1">
      <c r="B42" s="1319"/>
      <c r="C42" s="1320" t="s">
        <v>608</v>
      </c>
      <c r="D42" s="960"/>
      <c r="E42" s="960">
        <v>38449</v>
      </c>
      <c r="F42" s="960">
        <v>38449</v>
      </c>
      <c r="G42" s="1351">
        <f t="shared" si="3"/>
        <v>100</v>
      </c>
    </row>
    <row r="43" spans="2:7" s="1251" customFormat="1" ht="24" customHeight="1">
      <c r="B43" s="1981" t="s">
        <v>0</v>
      </c>
      <c r="C43" s="1982"/>
      <c r="D43" s="1352">
        <f>SUM(D37:D42)</f>
        <v>8000</v>
      </c>
      <c r="E43" s="1352">
        <f>SUM(E37:E42)</f>
        <v>142467</v>
      </c>
      <c r="F43" s="1352">
        <f>SUM(F37:F42)</f>
        <v>130957</v>
      </c>
      <c r="G43" s="1353">
        <f>+F43/E43*100</f>
        <v>91.920936076424724</v>
      </c>
    </row>
    <row r="44" spans="2:7" s="1251" customFormat="1" ht="24" customHeight="1">
      <c r="B44" s="1328" t="s">
        <v>188</v>
      </c>
      <c r="C44" s="1329"/>
      <c r="D44" s="1342"/>
      <c r="E44" s="1342"/>
      <c r="F44" s="1342"/>
      <c r="G44" s="1343"/>
    </row>
    <row r="45" spans="2:7" s="1251" customFormat="1" ht="24" customHeight="1">
      <c r="B45" s="1323"/>
      <c r="C45" s="1330" t="s">
        <v>64</v>
      </c>
      <c r="D45" s="961"/>
      <c r="E45" s="961">
        <v>774</v>
      </c>
      <c r="F45" s="961">
        <v>774</v>
      </c>
      <c r="G45" s="1354">
        <f t="shared" ref="G45:G49" si="4">+F45/E45*100</f>
        <v>100</v>
      </c>
    </row>
    <row r="46" spans="2:7" s="1251" customFormat="1" ht="24" customHeight="1">
      <c r="B46" s="1323"/>
      <c r="C46" s="1331" t="s">
        <v>245</v>
      </c>
      <c r="D46" s="960"/>
      <c r="E46" s="960">
        <v>35</v>
      </c>
      <c r="F46" s="960">
        <v>35</v>
      </c>
      <c r="G46" s="1347">
        <f t="shared" si="4"/>
        <v>100</v>
      </c>
    </row>
    <row r="47" spans="2:7" s="1251" customFormat="1" ht="24" customHeight="1">
      <c r="B47" s="1323"/>
      <c r="C47" s="332" t="s">
        <v>169</v>
      </c>
      <c r="D47" s="1338"/>
      <c r="E47" s="1338"/>
      <c r="F47" s="1338"/>
      <c r="G47" s="1347"/>
    </row>
    <row r="48" spans="2:7" s="1251" customFormat="1" ht="24" customHeight="1">
      <c r="B48" s="1323"/>
      <c r="C48" s="332" t="s">
        <v>477</v>
      </c>
      <c r="D48" s="1342"/>
      <c r="E48" s="1348">
        <v>31678</v>
      </c>
      <c r="F48" s="1348">
        <v>31679</v>
      </c>
      <c r="G48" s="1354">
        <f t="shared" si="4"/>
        <v>100.00315676494729</v>
      </c>
    </row>
    <row r="49" spans="2:7" s="1251" customFormat="1" ht="24" customHeight="1">
      <c r="B49" s="1323"/>
      <c r="C49" s="332" t="s">
        <v>189</v>
      </c>
      <c r="D49" s="960"/>
      <c r="E49" s="960">
        <v>5800</v>
      </c>
      <c r="F49" s="960">
        <v>5800</v>
      </c>
      <c r="G49" s="1347">
        <f t="shared" si="4"/>
        <v>100</v>
      </c>
    </row>
    <row r="50" spans="2:7" s="1251" customFormat="1" ht="24" customHeight="1">
      <c r="B50" s="1323"/>
      <c r="C50" s="332" t="s">
        <v>190</v>
      </c>
      <c r="D50" s="1342"/>
      <c r="E50" s="1348"/>
      <c r="F50" s="1342"/>
      <c r="G50" s="1347"/>
    </row>
    <row r="51" spans="2:7" s="1251" customFormat="1" ht="24" customHeight="1">
      <c r="B51" s="1323"/>
      <c r="C51" s="1331" t="s">
        <v>38</v>
      </c>
      <c r="D51" s="960"/>
      <c r="E51" s="960"/>
      <c r="F51" s="960"/>
      <c r="G51" s="1347"/>
    </row>
    <row r="52" spans="2:7" s="1251" customFormat="1" ht="24" customHeight="1">
      <c r="B52" s="1323"/>
      <c r="C52" s="1331" t="s">
        <v>432</v>
      </c>
      <c r="D52" s="960"/>
      <c r="E52" s="960">
        <v>6009</v>
      </c>
      <c r="F52" s="960">
        <v>6009</v>
      </c>
      <c r="G52" s="1354">
        <f t="shared" ref="G52:G53" si="5">+F52/E52*100</f>
        <v>100</v>
      </c>
    </row>
    <row r="53" spans="2:7" s="1251" customFormat="1" ht="24" customHeight="1">
      <c r="B53" s="1323"/>
      <c r="C53" s="332" t="s">
        <v>56</v>
      </c>
      <c r="D53" s="1342"/>
      <c r="E53" s="960">
        <v>120</v>
      </c>
      <c r="F53" s="1348">
        <v>121</v>
      </c>
      <c r="G53" s="1347">
        <f t="shared" si="5"/>
        <v>100.83333333333333</v>
      </c>
    </row>
    <row r="54" spans="2:7" s="1251" customFormat="1" ht="24" customHeight="1">
      <c r="B54" s="1323"/>
      <c r="C54" s="1331" t="s">
        <v>57</v>
      </c>
      <c r="D54" s="960"/>
      <c r="E54" s="960"/>
      <c r="F54" s="960"/>
      <c r="G54" s="1347"/>
    </row>
    <row r="55" spans="2:7" s="1251" customFormat="1" ht="24" customHeight="1">
      <c r="B55" s="1323"/>
      <c r="C55" s="1332" t="s">
        <v>51</v>
      </c>
      <c r="D55" s="1355"/>
      <c r="E55" s="1355"/>
      <c r="F55" s="1355"/>
      <c r="G55" s="1356"/>
    </row>
    <row r="56" spans="2:7" s="1251" customFormat="1" ht="24" customHeight="1">
      <c r="B56" s="1323"/>
      <c r="C56" s="1330" t="s">
        <v>37</v>
      </c>
      <c r="D56" s="1357"/>
      <c r="E56" s="1357">
        <v>1580</v>
      </c>
      <c r="F56" s="1357">
        <v>1580</v>
      </c>
      <c r="G56" s="1347">
        <f t="shared" ref="G56" si="6">+F56/E56*100</f>
        <v>100</v>
      </c>
    </row>
    <row r="57" spans="2:7" s="1251" customFormat="1" ht="24" customHeight="1">
      <c r="B57" s="1981" t="s">
        <v>79</v>
      </c>
      <c r="C57" s="1982"/>
      <c r="D57" s="1352">
        <f>SUM(D45:D56)</f>
        <v>0</v>
      </c>
      <c r="E57" s="1352">
        <f>SUM(E45:E56)</f>
        <v>45996</v>
      </c>
      <c r="F57" s="1352">
        <f>SUM(F45:F56)</f>
        <v>45998</v>
      </c>
      <c r="G57" s="1353">
        <f>+F57/E57*100</f>
        <v>100.00434820419166</v>
      </c>
    </row>
    <row r="58" spans="2:7" s="1251" customFormat="1" ht="24" customHeight="1" thickBot="1">
      <c r="B58" s="1985" t="s">
        <v>235</v>
      </c>
      <c r="C58" s="1986"/>
      <c r="D58" s="1358">
        <f>+D34+D43+D57+D27</f>
        <v>1008000</v>
      </c>
      <c r="E58" s="1358">
        <f>+E34+E43+E57+E27</f>
        <v>9064075</v>
      </c>
      <c r="F58" s="1358">
        <f>+F34+F43+F57+F27</f>
        <v>1094568</v>
      </c>
      <c r="G58" s="1359">
        <f>+F58/E58*100</f>
        <v>12.075893017213559</v>
      </c>
    </row>
    <row r="61" spans="2:7">
      <c r="F61" s="10"/>
    </row>
    <row r="62" spans="2:7">
      <c r="F62" s="10"/>
    </row>
    <row r="68" spans="3:7" ht="15.75">
      <c r="C68" s="1983"/>
      <c r="D68" s="1983"/>
      <c r="E68" s="1983"/>
    </row>
    <row r="69" spans="3:7" ht="15.75">
      <c r="D69" s="16"/>
      <c r="E69" s="17"/>
    </row>
    <row r="70" spans="3:7" ht="15.75">
      <c r="D70" s="19"/>
      <c r="E70" s="1984"/>
      <c r="F70" s="1984"/>
      <c r="G70" s="13"/>
    </row>
    <row r="71" spans="3:7" ht="15.75">
      <c r="D71" s="18"/>
      <c r="E71" s="6"/>
      <c r="F71" s="6"/>
      <c r="G71" s="13"/>
    </row>
    <row r="72" spans="3:7" ht="15.75">
      <c r="C72" s="27"/>
      <c r="D72" s="18"/>
      <c r="E72" s="22"/>
      <c r="F72" s="22"/>
      <c r="G72" s="22"/>
    </row>
    <row r="73" spans="3:7">
      <c r="C73" s="28"/>
      <c r="D73" s="25"/>
      <c r="E73" s="29"/>
      <c r="F73" s="29"/>
      <c r="G73" s="29"/>
    </row>
    <row r="74" spans="3:7">
      <c r="C74" s="10"/>
      <c r="D74" s="24"/>
      <c r="E74" s="30"/>
      <c r="F74" s="30"/>
      <c r="G74" s="30"/>
    </row>
    <row r="75" spans="3:7">
      <c r="C75" s="10"/>
      <c r="D75" s="24"/>
      <c r="E75" s="30"/>
      <c r="F75" s="30"/>
      <c r="G75" s="30"/>
    </row>
    <row r="76" spans="3:7">
      <c r="C76" s="10"/>
      <c r="D76" s="24"/>
      <c r="E76" s="30"/>
      <c r="F76" s="30"/>
      <c r="G76" s="30"/>
    </row>
    <row r="117" spans="5:7">
      <c r="E117" s="9">
        <v>3025199</v>
      </c>
      <c r="G117" s="9">
        <v>5396966</v>
      </c>
    </row>
  </sheetData>
  <mergeCells count="7">
    <mergeCell ref="B1:G1"/>
    <mergeCell ref="B43:C43"/>
    <mergeCell ref="D3:E3"/>
    <mergeCell ref="C68:E68"/>
    <mergeCell ref="E70:F70"/>
    <mergeCell ref="B57:C57"/>
    <mergeCell ref="B58:C58"/>
  </mergeCells>
  <phoneticPr fontId="0" type="noConversion"/>
  <printOptions horizontalCentered="1" verticalCentered="1"/>
  <pageMargins left="0.39370078740157483" right="0" top="0.78740157480314965" bottom="0" header="0.51181102362204722" footer="0"/>
  <pageSetup paperSize="9" scale="52" orientation="portrait" r:id="rId1"/>
  <headerFooter alignWithMargins="0">
    <oddHeader>&amp;R&amp;"Calibri,Félkövér"&amp;12 &amp;14 17. melléklet  a .../2026. (........) önkormányzati rendelethez</oddHeader>
  </headerFooter>
  <rowBreaks count="1" manualBreakCount="1">
    <brk id="43" min="1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1009"/>
  <sheetViews>
    <sheetView zoomScaleNormal="100" workbookViewId="0">
      <selection activeCell="C2" sqref="C2:H2"/>
    </sheetView>
  </sheetViews>
  <sheetFormatPr defaultColWidth="10.6640625" defaultRowHeight="15" customHeight="1"/>
  <cols>
    <col min="1" max="1" width="21.1640625" style="9" customWidth="1"/>
    <col min="2" max="2" width="17.5" style="45" customWidth="1"/>
    <col min="3" max="3" width="5.6640625" style="9" customWidth="1"/>
    <col min="4" max="4" width="116" style="9" customWidth="1"/>
    <col min="5" max="5" width="22" style="9" customWidth="1"/>
    <col min="6" max="6" width="22" style="10" customWidth="1"/>
    <col min="7" max="7" width="21" style="10" customWidth="1"/>
    <col min="8" max="8" width="18.83203125" style="9" customWidth="1"/>
    <col min="9" max="9" width="10.6640625" style="9"/>
    <col min="10" max="10" width="15.6640625" style="9" bestFit="1" customWidth="1"/>
    <col min="11" max="11" width="24.33203125" style="9" customWidth="1"/>
    <col min="12" max="12" width="15.6640625" style="9" bestFit="1" customWidth="1"/>
    <col min="13" max="16384" width="10.6640625" style="9"/>
  </cols>
  <sheetData>
    <row r="1" spans="2:8" s="73" customFormat="1" ht="24" customHeight="1">
      <c r="B1" s="81"/>
      <c r="C1" s="1987"/>
      <c r="D1" s="1987"/>
      <c r="E1" s="1987"/>
      <c r="F1" s="1987"/>
      <c r="G1" s="1987"/>
      <c r="H1" s="1987"/>
    </row>
    <row r="2" spans="2:8" s="73" customFormat="1" ht="24" customHeight="1">
      <c r="B2" s="81"/>
      <c r="C2" s="1990" t="s">
        <v>178</v>
      </c>
      <c r="D2" s="1990"/>
      <c r="E2" s="1990"/>
      <c r="F2" s="1990"/>
      <c r="G2" s="1990"/>
      <c r="H2" s="1990"/>
    </row>
    <row r="3" spans="2:8" s="73" customFormat="1" ht="24.75" customHeight="1" thickBot="1">
      <c r="B3" s="81"/>
      <c r="C3" s="73" t="s">
        <v>48</v>
      </c>
      <c r="D3" s="82"/>
      <c r="F3" s="80"/>
      <c r="G3" s="80"/>
      <c r="H3" s="1456" t="s">
        <v>12</v>
      </c>
    </row>
    <row r="4" spans="2:8" s="1251" customFormat="1" ht="26.1" customHeight="1">
      <c r="B4" s="1453"/>
      <c r="C4" s="1988" t="s">
        <v>25</v>
      </c>
      <c r="D4" s="1989"/>
      <c r="E4" s="1887" t="s">
        <v>442</v>
      </c>
      <c r="F4" s="1887"/>
      <c r="G4" s="97" t="s">
        <v>240</v>
      </c>
      <c r="H4" s="173" t="s">
        <v>77</v>
      </c>
    </row>
    <row r="5" spans="2:8" s="1251" customFormat="1" ht="22.5" customHeight="1" thickBot="1">
      <c r="B5" s="1453"/>
      <c r="C5" s="1455"/>
      <c r="D5" s="1254"/>
      <c r="E5" s="151" t="s">
        <v>147</v>
      </c>
      <c r="F5" s="151" t="s">
        <v>75</v>
      </c>
      <c r="G5" s="152" t="s">
        <v>76</v>
      </c>
      <c r="H5" s="153" t="s">
        <v>78</v>
      </c>
    </row>
    <row r="6" spans="2:8" s="73" customFormat="1" ht="26.1" customHeight="1">
      <c r="B6" s="81"/>
      <c r="C6" s="1745" t="s">
        <v>134</v>
      </c>
      <c r="D6" s="1746" t="s">
        <v>69</v>
      </c>
      <c r="E6" s="310"/>
      <c r="F6" s="311"/>
      <c r="G6" s="311"/>
      <c r="H6" s="962"/>
    </row>
    <row r="7" spans="2:8" s="73" customFormat="1" ht="24" customHeight="1">
      <c r="B7" s="81"/>
      <c r="C7" s="1747"/>
      <c r="D7" s="1748" t="s">
        <v>609</v>
      </c>
      <c r="E7" s="217">
        <v>50000</v>
      </c>
      <c r="F7" s="217">
        <v>50000</v>
      </c>
      <c r="G7" s="312">
        <v>2308</v>
      </c>
      <c r="H7" s="315">
        <f t="shared" ref="H7:H10" si="0">+G7/F7*100</f>
        <v>4.6159999999999997</v>
      </c>
    </row>
    <row r="8" spans="2:8" s="73" customFormat="1" ht="24" customHeight="1">
      <c r="B8" s="81"/>
      <c r="C8" s="1747"/>
      <c r="D8" s="1748" t="s">
        <v>489</v>
      </c>
      <c r="E8" s="209"/>
      <c r="F8" s="209">
        <v>7000</v>
      </c>
      <c r="G8" s="423"/>
      <c r="H8" s="315">
        <f t="shared" si="0"/>
        <v>0</v>
      </c>
    </row>
    <row r="9" spans="2:8" s="73" customFormat="1" ht="24" customHeight="1">
      <c r="B9" s="81"/>
      <c r="C9" s="1747"/>
      <c r="D9" s="1670" t="s">
        <v>388</v>
      </c>
      <c r="E9" s="265"/>
      <c r="F9" s="265">
        <v>81755</v>
      </c>
      <c r="G9" s="266"/>
      <c r="H9" s="963">
        <f>+G9/F9*100</f>
        <v>0</v>
      </c>
    </row>
    <row r="10" spans="2:8" s="73" customFormat="1" ht="24" customHeight="1">
      <c r="B10" s="81"/>
      <c r="C10" s="1749"/>
      <c r="D10" s="1750" t="s">
        <v>138</v>
      </c>
      <c r="E10" s="210">
        <f>SUM(E7:E7)</f>
        <v>50000</v>
      </c>
      <c r="F10" s="210">
        <f>SUM(F7:F9)</f>
        <v>138755</v>
      </c>
      <c r="G10" s="210">
        <f>SUM(G7:G9)</f>
        <v>2308</v>
      </c>
      <c r="H10" s="263">
        <f t="shared" si="0"/>
        <v>1.6633634823970307</v>
      </c>
    </row>
    <row r="11" spans="2:8" s="73" customFormat="1" ht="24" customHeight="1">
      <c r="B11" s="81"/>
      <c r="C11" s="1751" t="s">
        <v>29</v>
      </c>
      <c r="D11" s="1752" t="s">
        <v>28</v>
      </c>
      <c r="E11" s="313"/>
      <c r="F11" s="313"/>
      <c r="G11" s="313"/>
      <c r="H11" s="314"/>
    </row>
    <row r="12" spans="2:8" s="73" customFormat="1" ht="24" customHeight="1">
      <c r="B12" s="81"/>
      <c r="C12" s="1753"/>
      <c r="D12" s="1754" t="s">
        <v>225</v>
      </c>
      <c r="E12" s="206"/>
      <c r="F12" s="206"/>
      <c r="G12" s="206"/>
      <c r="H12" s="264"/>
    </row>
    <row r="13" spans="2:8" s="73" customFormat="1" ht="24" customHeight="1">
      <c r="B13" s="81"/>
      <c r="C13" s="1753"/>
      <c r="D13" s="1754" t="s">
        <v>476</v>
      </c>
      <c r="E13" s="211">
        <v>100000</v>
      </c>
      <c r="F13" s="211">
        <v>106525</v>
      </c>
      <c r="G13" s="211">
        <v>30426</v>
      </c>
      <c r="H13" s="240">
        <f>+G13/F13*100</f>
        <v>28.562309317061725</v>
      </c>
    </row>
    <row r="14" spans="2:8" s="73" customFormat="1" ht="24" customHeight="1">
      <c r="B14" s="81"/>
      <c r="C14" s="1753"/>
      <c r="D14" s="1754" t="s">
        <v>565</v>
      </c>
      <c r="E14" s="206"/>
      <c r="F14" s="206">
        <v>23174</v>
      </c>
      <c r="G14" s="206"/>
      <c r="H14" s="264"/>
    </row>
    <row r="15" spans="2:8" s="73" customFormat="1" ht="24" customHeight="1">
      <c r="B15" s="81"/>
      <c r="C15" s="1749"/>
      <c r="D15" s="1750" t="s">
        <v>111</v>
      </c>
      <c r="E15" s="210">
        <f>SUM(E13:E14)</f>
        <v>100000</v>
      </c>
      <c r="F15" s="210">
        <f>SUM(F13:F14)</f>
        <v>129699</v>
      </c>
      <c r="G15" s="210">
        <f>SUM(G13:G14)</f>
        <v>30426</v>
      </c>
      <c r="H15" s="239">
        <f>+G15/F15*100</f>
        <v>23.458931834478292</v>
      </c>
    </row>
    <row r="16" spans="2:8" s="73" customFormat="1" ht="24" customHeight="1">
      <c r="B16" s="81"/>
      <c r="C16" s="1753" t="s">
        <v>135</v>
      </c>
      <c r="D16" s="1755" t="s">
        <v>137</v>
      </c>
      <c r="E16" s="205"/>
      <c r="F16" s="206"/>
      <c r="G16" s="206"/>
      <c r="H16" s="264"/>
    </row>
    <row r="17" spans="2:10" s="73" customFormat="1" ht="24" customHeight="1">
      <c r="B17" s="81"/>
      <c r="C17" s="1747"/>
      <c r="D17" s="1756" t="s">
        <v>104</v>
      </c>
      <c r="E17" s="217">
        <v>15000</v>
      </c>
      <c r="F17" s="217">
        <v>13000</v>
      </c>
      <c r="G17" s="213">
        <v>2568</v>
      </c>
      <c r="H17" s="315">
        <f t="shared" ref="H17:H21" si="1">+G17/F17*100</f>
        <v>19.753846153846155</v>
      </c>
    </row>
    <row r="18" spans="2:10" s="73" customFormat="1" ht="24" customHeight="1">
      <c r="B18" s="81"/>
      <c r="C18" s="1747"/>
      <c r="D18" s="1757" t="s">
        <v>322</v>
      </c>
      <c r="E18" s="212"/>
      <c r="F18" s="212"/>
      <c r="G18" s="211"/>
      <c r="H18" s="240"/>
    </row>
    <row r="19" spans="2:10" s="73" customFormat="1" ht="24" customHeight="1">
      <c r="B19" s="81"/>
      <c r="C19" s="1747"/>
      <c r="D19" s="1757" t="s">
        <v>482</v>
      </c>
      <c r="E19" s="212"/>
      <c r="F19" s="212">
        <v>5499</v>
      </c>
      <c r="G19" s="211">
        <v>5499</v>
      </c>
      <c r="H19" s="315">
        <f t="shared" si="1"/>
        <v>100</v>
      </c>
    </row>
    <row r="20" spans="2:10" s="73" customFormat="1" ht="42" customHeight="1">
      <c r="B20" s="81"/>
      <c r="C20" s="1747"/>
      <c r="D20" s="1757" t="s">
        <v>474</v>
      </c>
      <c r="E20" s="212">
        <v>40000</v>
      </c>
      <c r="F20" s="212">
        <v>49257</v>
      </c>
      <c r="G20" s="244">
        <v>49257</v>
      </c>
      <c r="H20" s="315">
        <f t="shared" si="1"/>
        <v>100</v>
      </c>
    </row>
    <row r="21" spans="2:10" s="73" customFormat="1" ht="40.5" customHeight="1">
      <c r="B21" s="81"/>
      <c r="C21" s="1747"/>
      <c r="D21" s="1757" t="s">
        <v>536</v>
      </c>
      <c r="E21" s="212"/>
      <c r="F21" s="212">
        <v>3484</v>
      </c>
      <c r="G21" s="244"/>
      <c r="H21" s="315">
        <f t="shared" si="1"/>
        <v>0</v>
      </c>
    </row>
    <row r="22" spans="2:10" s="73" customFormat="1" ht="24" customHeight="1">
      <c r="B22" s="81"/>
      <c r="C22" s="1747"/>
      <c r="D22" s="1757" t="s">
        <v>317</v>
      </c>
      <c r="E22" s="207"/>
      <c r="F22" s="207"/>
      <c r="G22" s="211"/>
      <c r="H22" s="240"/>
    </row>
    <row r="23" spans="2:10" s="73" customFormat="1" ht="24" customHeight="1">
      <c r="B23" s="81"/>
      <c r="C23" s="1749"/>
      <c r="D23" s="1758" t="s">
        <v>139</v>
      </c>
      <c r="E23" s="210">
        <f>SUM(E17:E22)</f>
        <v>55000</v>
      </c>
      <c r="F23" s="210">
        <f>SUM(F17:F22)</f>
        <v>71240</v>
      </c>
      <c r="G23" s="210">
        <f>SUM(G17:G22)</f>
        <v>57324</v>
      </c>
      <c r="H23" s="263">
        <f t="shared" ref="H23" si="2">+G23/F23*100</f>
        <v>80.466030320044922</v>
      </c>
    </row>
    <row r="24" spans="2:10" s="73" customFormat="1" ht="24" customHeight="1">
      <c r="B24" s="81"/>
      <c r="C24" s="1753" t="s">
        <v>136</v>
      </c>
      <c r="D24" s="1755" t="s">
        <v>140</v>
      </c>
      <c r="E24" s="205"/>
      <c r="F24" s="206"/>
      <c r="G24" s="206"/>
      <c r="H24" s="964"/>
    </row>
    <row r="25" spans="2:10" s="73" customFormat="1" ht="24" customHeight="1">
      <c r="B25" s="81"/>
      <c r="C25" s="1759" t="s">
        <v>132</v>
      </c>
      <c r="D25" s="1760"/>
      <c r="E25" s="205"/>
      <c r="F25" s="206"/>
      <c r="G25" s="206"/>
      <c r="H25" s="264"/>
    </row>
    <row r="26" spans="2:10" s="73" customFormat="1" ht="24" customHeight="1">
      <c r="B26" s="83"/>
      <c r="C26" s="1747"/>
      <c r="D26" s="1761" t="s">
        <v>198</v>
      </c>
      <c r="E26" s="207"/>
      <c r="F26" s="207">
        <v>349433</v>
      </c>
      <c r="G26" s="211">
        <v>146499</v>
      </c>
      <c r="H26" s="240">
        <f t="shared" ref="H26:H72" si="3">+G26/F26*100</f>
        <v>41.924775278808809</v>
      </c>
      <c r="J26" s="80"/>
    </row>
    <row r="27" spans="2:10" s="73" customFormat="1" ht="42" customHeight="1">
      <c r="B27" s="83"/>
      <c r="C27" s="1747"/>
      <c r="D27" s="1779" t="s">
        <v>411</v>
      </c>
      <c r="E27" s="207"/>
      <c r="F27" s="207">
        <v>312</v>
      </c>
      <c r="G27" s="211">
        <v>37</v>
      </c>
      <c r="H27" s="240">
        <f t="shared" si="3"/>
        <v>11.858974358974358</v>
      </c>
    </row>
    <row r="28" spans="2:10" s="73" customFormat="1" ht="24" customHeight="1">
      <c r="B28" s="81"/>
      <c r="C28" s="1759" t="s">
        <v>131</v>
      </c>
      <c r="D28" s="1762"/>
      <c r="E28" s="207"/>
      <c r="F28" s="207"/>
      <c r="G28" s="211"/>
      <c r="H28" s="240"/>
    </row>
    <row r="29" spans="2:10" s="73" customFormat="1" ht="24" customHeight="1">
      <c r="B29" s="81"/>
      <c r="C29" s="1747"/>
      <c r="D29" s="1756" t="s">
        <v>357</v>
      </c>
      <c r="E29" s="113"/>
      <c r="F29" s="113">
        <v>4191</v>
      </c>
      <c r="G29" s="213">
        <v>4191</v>
      </c>
      <c r="H29" s="240">
        <f t="shared" ref="H29:H30" si="4">+G29/F29*100</f>
        <v>100</v>
      </c>
    </row>
    <row r="30" spans="2:10" s="73" customFormat="1" ht="24" customHeight="1">
      <c r="B30" s="81"/>
      <c r="C30" s="1747"/>
      <c r="D30" s="1756" t="s">
        <v>610</v>
      </c>
      <c r="E30" s="89">
        <v>10000</v>
      </c>
      <c r="F30" s="89">
        <v>33000</v>
      </c>
      <c r="G30" s="214"/>
      <c r="H30" s="240">
        <f t="shared" si="4"/>
        <v>0</v>
      </c>
    </row>
    <row r="31" spans="2:10" s="85" customFormat="1" ht="24" customHeight="1">
      <c r="B31" s="81"/>
      <c r="C31" s="1763"/>
      <c r="D31" s="1764" t="s">
        <v>365</v>
      </c>
      <c r="E31" s="215"/>
      <c r="F31" s="215">
        <v>983</v>
      </c>
      <c r="G31" s="216">
        <v>983</v>
      </c>
      <c r="H31" s="240">
        <f t="shared" ref="H31:H33" si="5">+G31/F31*100</f>
        <v>100</v>
      </c>
    </row>
    <row r="32" spans="2:10" s="85" customFormat="1" ht="24" customHeight="1">
      <c r="B32" s="81"/>
      <c r="C32" s="1763"/>
      <c r="D32" s="1764" t="s">
        <v>475</v>
      </c>
      <c r="E32" s="215">
        <v>15000</v>
      </c>
      <c r="F32" s="215">
        <v>15000</v>
      </c>
      <c r="G32" s="216"/>
      <c r="H32" s="240">
        <f t="shared" si="5"/>
        <v>0</v>
      </c>
    </row>
    <row r="33" spans="2:8" s="85" customFormat="1" ht="24" customHeight="1">
      <c r="B33" s="81"/>
      <c r="C33" s="1763"/>
      <c r="D33" s="1764" t="s">
        <v>544</v>
      </c>
      <c r="E33" s="215"/>
      <c r="F33" s="215">
        <v>38449</v>
      </c>
      <c r="G33" s="216"/>
      <c r="H33" s="240">
        <f t="shared" si="5"/>
        <v>0</v>
      </c>
    </row>
    <row r="34" spans="2:8" s="73" customFormat="1" ht="24" customHeight="1">
      <c r="B34" s="81"/>
      <c r="C34" s="1759" t="s">
        <v>133</v>
      </c>
      <c r="D34" s="1633"/>
      <c r="E34" s="217"/>
      <c r="F34" s="217"/>
      <c r="G34" s="213"/>
      <c r="H34" s="240"/>
    </row>
    <row r="35" spans="2:8" s="73" customFormat="1" ht="55.5" customHeight="1">
      <c r="B35" s="80"/>
      <c r="C35" s="1759"/>
      <c r="D35" s="1668" t="s">
        <v>412</v>
      </c>
      <c r="E35" s="217"/>
      <c r="F35" s="217">
        <v>21128</v>
      </c>
      <c r="G35" s="213">
        <v>565</v>
      </c>
      <c r="H35" s="240">
        <f t="shared" ref="H35:H37" si="6">+G35/F35*100</f>
        <v>2.6741764483150323</v>
      </c>
    </row>
    <row r="36" spans="2:8" s="73" customFormat="1" ht="60.75" customHeight="1">
      <c r="B36" s="86"/>
      <c r="C36" s="1759"/>
      <c r="D36" s="1668" t="s">
        <v>566</v>
      </c>
      <c r="E36" s="217"/>
      <c r="F36" s="217">
        <v>3882</v>
      </c>
      <c r="G36" s="213"/>
      <c r="H36" s="240">
        <f t="shared" si="6"/>
        <v>0</v>
      </c>
    </row>
    <row r="37" spans="2:8" s="73" customFormat="1" ht="24" customHeight="1">
      <c r="B37" s="81"/>
      <c r="C37" s="1747"/>
      <c r="D37" s="1761" t="s">
        <v>86</v>
      </c>
      <c r="E37" s="207"/>
      <c r="F37" s="207">
        <v>2807</v>
      </c>
      <c r="G37" s="211"/>
      <c r="H37" s="240">
        <f t="shared" si="6"/>
        <v>0</v>
      </c>
    </row>
    <row r="38" spans="2:8" s="73" customFormat="1" ht="40.5" customHeight="1">
      <c r="B38" s="81"/>
      <c r="C38" s="1747"/>
      <c r="D38" s="1679" t="s">
        <v>350</v>
      </c>
      <c r="E38" s="207"/>
      <c r="F38" s="207">
        <v>7608</v>
      </c>
      <c r="G38" s="214"/>
      <c r="H38" s="240">
        <f t="shared" si="3"/>
        <v>0</v>
      </c>
    </row>
    <row r="39" spans="2:8" s="73" customFormat="1" ht="24" customHeight="1">
      <c r="B39" s="81"/>
      <c r="C39" s="1747"/>
      <c r="D39" s="1679" t="s">
        <v>611</v>
      </c>
      <c r="E39" s="207"/>
      <c r="F39" s="207">
        <v>385</v>
      </c>
      <c r="G39" s="214"/>
      <c r="H39" s="240">
        <f t="shared" si="3"/>
        <v>0</v>
      </c>
    </row>
    <row r="40" spans="2:8" s="73" customFormat="1" ht="24" customHeight="1">
      <c r="B40" s="81"/>
      <c r="C40" s="1765" t="s">
        <v>159</v>
      </c>
      <c r="D40" s="1761"/>
      <c r="E40" s="219"/>
      <c r="F40" s="219"/>
      <c r="G40" s="211"/>
      <c r="H40" s="240"/>
    </row>
    <row r="41" spans="2:8" s="73" customFormat="1" ht="24" customHeight="1">
      <c r="B41" s="81"/>
      <c r="C41" s="1747"/>
      <c r="D41" s="1761" t="s">
        <v>389</v>
      </c>
      <c r="E41" s="207"/>
      <c r="F41" s="207">
        <v>8206</v>
      </c>
      <c r="G41" s="211">
        <v>1841</v>
      </c>
      <c r="H41" s="240">
        <f t="shared" si="3"/>
        <v>22.434803802096027</v>
      </c>
    </row>
    <row r="42" spans="2:8" s="73" customFormat="1" ht="24" customHeight="1">
      <c r="B42" s="81"/>
      <c r="C42" s="1765" t="s">
        <v>15</v>
      </c>
      <c r="D42" s="1754"/>
      <c r="E42" s="218"/>
      <c r="F42" s="218"/>
      <c r="G42" s="211"/>
      <c r="H42" s="240"/>
    </row>
    <row r="43" spans="2:8" s="73" customFormat="1" ht="24" customHeight="1">
      <c r="B43" s="80"/>
      <c r="C43" s="1747"/>
      <c r="D43" s="1766" t="s">
        <v>537</v>
      </c>
      <c r="E43" s="212"/>
      <c r="F43" s="212">
        <v>2005</v>
      </c>
      <c r="G43" s="220">
        <v>2005</v>
      </c>
      <c r="H43" s="240">
        <f t="shared" ref="H43:H45" si="7">+G43/F43*100</f>
        <v>100</v>
      </c>
    </row>
    <row r="44" spans="2:8" s="73" customFormat="1" ht="24" customHeight="1">
      <c r="B44" s="80"/>
      <c r="C44" s="1747"/>
      <c r="D44" s="1767" t="s">
        <v>545</v>
      </c>
      <c r="E44" s="212"/>
      <c r="F44" s="212">
        <v>2500</v>
      </c>
      <c r="G44" s="245">
        <v>2256</v>
      </c>
      <c r="H44" s="240">
        <f t="shared" si="7"/>
        <v>90.24</v>
      </c>
    </row>
    <row r="45" spans="2:8" s="73" customFormat="1" ht="24" customHeight="1">
      <c r="B45" s="80"/>
      <c r="C45" s="1747"/>
      <c r="D45" s="1768" t="s">
        <v>551</v>
      </c>
      <c r="E45" s="212"/>
      <c r="F45" s="212">
        <v>2600</v>
      </c>
      <c r="G45" s="448"/>
      <c r="H45" s="240">
        <f t="shared" si="7"/>
        <v>0</v>
      </c>
    </row>
    <row r="46" spans="2:8" s="73" customFormat="1" ht="24" customHeight="1">
      <c r="B46" s="81"/>
      <c r="C46" s="1765" t="s">
        <v>30</v>
      </c>
      <c r="D46" s="1769"/>
      <c r="E46" s="212"/>
      <c r="F46" s="212"/>
      <c r="G46" s="218"/>
      <c r="H46" s="240"/>
    </row>
    <row r="47" spans="2:8" s="73" customFormat="1" ht="24" customHeight="1">
      <c r="B47" s="81"/>
      <c r="C47" s="1765"/>
      <c r="D47" s="1769" t="s">
        <v>297</v>
      </c>
      <c r="E47" s="212">
        <v>65542</v>
      </c>
      <c r="F47" s="212">
        <v>0</v>
      </c>
      <c r="G47" s="218"/>
      <c r="H47" s="240"/>
    </row>
    <row r="48" spans="2:8" s="73" customFormat="1" ht="42" customHeight="1">
      <c r="B48" s="81"/>
      <c r="C48" s="1747"/>
      <c r="D48" s="1685" t="s">
        <v>339</v>
      </c>
      <c r="E48" s="218"/>
      <c r="F48" s="218">
        <v>82</v>
      </c>
      <c r="G48" s="245"/>
      <c r="H48" s="240">
        <f>+G48/F48*100</f>
        <v>0</v>
      </c>
    </row>
    <row r="49" spans="2:8" s="85" customFormat="1" ht="24" customHeight="1">
      <c r="B49" s="81"/>
      <c r="C49" s="1763"/>
      <c r="D49" s="1770" t="s">
        <v>422</v>
      </c>
      <c r="E49" s="208"/>
      <c r="F49" s="208">
        <v>26544</v>
      </c>
      <c r="G49" s="241">
        <v>17289</v>
      </c>
      <c r="H49" s="240">
        <f t="shared" si="3"/>
        <v>65.133363471971066</v>
      </c>
    </row>
    <row r="50" spans="2:8" s="85" customFormat="1" ht="42" customHeight="1">
      <c r="B50" s="81"/>
      <c r="C50" s="1763"/>
      <c r="D50" s="1771" t="s">
        <v>492</v>
      </c>
      <c r="E50" s="208"/>
      <c r="F50" s="208">
        <v>393968</v>
      </c>
      <c r="G50" s="241">
        <v>3175</v>
      </c>
      <c r="H50" s="240">
        <f t="shared" si="3"/>
        <v>0.80590301750395976</v>
      </c>
    </row>
    <row r="51" spans="2:8" s="85" customFormat="1" ht="24" customHeight="1">
      <c r="B51" s="81"/>
      <c r="C51" s="1763"/>
      <c r="D51" s="1771" t="s">
        <v>495</v>
      </c>
      <c r="E51" s="208"/>
      <c r="F51" s="967">
        <v>44024</v>
      </c>
      <c r="G51" s="967">
        <v>3175</v>
      </c>
      <c r="H51" s="240">
        <f t="shared" si="3"/>
        <v>7.2119752862075224</v>
      </c>
    </row>
    <row r="52" spans="2:8" s="85" customFormat="1" ht="24" customHeight="1">
      <c r="B52" s="81"/>
      <c r="C52" s="1763"/>
      <c r="D52" s="1771" t="s">
        <v>496</v>
      </c>
      <c r="E52" s="208"/>
      <c r="F52" s="967">
        <v>423301</v>
      </c>
      <c r="G52" s="967">
        <v>3302</v>
      </c>
      <c r="H52" s="240">
        <f t="shared" si="3"/>
        <v>0.78005957935369863</v>
      </c>
    </row>
    <row r="53" spans="2:8" s="85" customFormat="1" ht="24" customHeight="1">
      <c r="B53" s="81"/>
      <c r="C53" s="1763"/>
      <c r="D53" s="1771" t="s">
        <v>497</v>
      </c>
      <c r="E53" s="208"/>
      <c r="F53" s="967">
        <v>4515</v>
      </c>
      <c r="G53" s="967">
        <v>3493</v>
      </c>
      <c r="H53" s="240">
        <f t="shared" si="3"/>
        <v>77.36434108527132</v>
      </c>
    </row>
    <row r="54" spans="2:8" s="85" customFormat="1" ht="24" customHeight="1">
      <c r="B54" s="81"/>
      <c r="C54" s="1763"/>
      <c r="D54" s="1771" t="s">
        <v>498</v>
      </c>
      <c r="E54" s="208"/>
      <c r="F54" s="967">
        <v>589110</v>
      </c>
      <c r="G54" s="967">
        <v>3175</v>
      </c>
      <c r="H54" s="240">
        <f t="shared" si="3"/>
        <v>0.53894858345640029</v>
      </c>
    </row>
    <row r="55" spans="2:8" s="85" customFormat="1" ht="24" customHeight="1">
      <c r="B55" s="81"/>
      <c r="C55" s="1763"/>
      <c r="D55" s="1771" t="s">
        <v>499</v>
      </c>
      <c r="E55" s="208"/>
      <c r="F55" s="967">
        <v>449186</v>
      </c>
      <c r="G55" s="967">
        <v>3175</v>
      </c>
      <c r="H55" s="240">
        <f t="shared" si="3"/>
        <v>0.70683413997764843</v>
      </c>
    </row>
    <row r="56" spans="2:8" s="85" customFormat="1" ht="24" customHeight="1">
      <c r="B56" s="81"/>
      <c r="C56" s="1763"/>
      <c r="D56" s="1771" t="s">
        <v>500</v>
      </c>
      <c r="E56" s="208"/>
      <c r="F56" s="967">
        <v>460184</v>
      </c>
      <c r="G56" s="967">
        <v>3175</v>
      </c>
      <c r="H56" s="240">
        <f t="shared" si="3"/>
        <v>0.68994141473845239</v>
      </c>
    </row>
    <row r="57" spans="2:8" s="85" customFormat="1" ht="24" customHeight="1">
      <c r="B57" s="81"/>
      <c r="C57" s="1763"/>
      <c r="D57" s="1771" t="s">
        <v>501</v>
      </c>
      <c r="E57" s="208"/>
      <c r="F57" s="967">
        <v>4198</v>
      </c>
      <c r="G57" s="967">
        <v>3175</v>
      </c>
      <c r="H57" s="240">
        <f t="shared" si="3"/>
        <v>75.631252977608384</v>
      </c>
    </row>
    <row r="58" spans="2:8" s="85" customFormat="1" ht="24" customHeight="1">
      <c r="B58" s="81"/>
      <c r="C58" s="1763"/>
      <c r="D58" s="1771" t="s">
        <v>502</v>
      </c>
      <c r="E58" s="208"/>
      <c r="F58" s="967">
        <v>8509</v>
      </c>
      <c r="G58" s="967">
        <v>3175</v>
      </c>
      <c r="H58" s="240">
        <f t="shared" si="3"/>
        <v>37.313432835820898</v>
      </c>
    </row>
    <row r="59" spans="2:8" s="85" customFormat="1" ht="24" customHeight="1">
      <c r="B59" s="81"/>
      <c r="C59" s="1763"/>
      <c r="D59" s="1771" t="s">
        <v>567</v>
      </c>
      <c r="E59" s="208"/>
      <c r="F59" s="208">
        <v>4873</v>
      </c>
      <c r="G59" s="241"/>
      <c r="H59" s="240">
        <f t="shared" si="3"/>
        <v>0</v>
      </c>
    </row>
    <row r="60" spans="2:8" s="85" customFormat="1" ht="24" customHeight="1">
      <c r="B60" s="81"/>
      <c r="C60" s="1763"/>
      <c r="D60" s="1771" t="s">
        <v>511</v>
      </c>
      <c r="E60" s="208"/>
      <c r="F60" s="208">
        <v>474062</v>
      </c>
      <c r="G60" s="241"/>
      <c r="H60" s="240">
        <f t="shared" si="3"/>
        <v>0</v>
      </c>
    </row>
    <row r="61" spans="2:8" s="85" customFormat="1" ht="24" customHeight="1">
      <c r="B61" s="81"/>
      <c r="C61" s="1763"/>
      <c r="D61" s="1771" t="s">
        <v>543</v>
      </c>
      <c r="E61" s="208"/>
      <c r="F61" s="208">
        <v>662601</v>
      </c>
      <c r="G61" s="241"/>
      <c r="H61" s="240">
        <f t="shared" si="3"/>
        <v>0</v>
      </c>
    </row>
    <row r="62" spans="2:8" s="85" customFormat="1" ht="24" customHeight="1">
      <c r="B62" s="81"/>
      <c r="C62" s="1763"/>
      <c r="D62" s="1771" t="s">
        <v>510</v>
      </c>
      <c r="E62" s="208"/>
      <c r="F62" s="208">
        <v>1666437</v>
      </c>
      <c r="G62" s="208">
        <v>952</v>
      </c>
      <c r="H62" s="240">
        <f t="shared" si="3"/>
        <v>5.7127872220792027E-2</v>
      </c>
    </row>
    <row r="63" spans="2:8" s="85" customFormat="1" ht="24" customHeight="1">
      <c r="B63" s="81"/>
      <c r="C63" s="1763"/>
      <c r="D63" s="1771" t="s">
        <v>538</v>
      </c>
      <c r="E63" s="208"/>
      <c r="F63" s="208">
        <v>514871</v>
      </c>
      <c r="G63" s="241"/>
      <c r="H63" s="240">
        <f t="shared" si="3"/>
        <v>0</v>
      </c>
    </row>
    <row r="64" spans="2:8" s="85" customFormat="1" ht="24" customHeight="1">
      <c r="B64" s="81"/>
      <c r="C64" s="1763"/>
      <c r="D64" s="1771" t="s">
        <v>503</v>
      </c>
      <c r="E64" s="208"/>
      <c r="F64" s="208">
        <v>225150</v>
      </c>
      <c r="G64" s="241">
        <v>450</v>
      </c>
      <c r="H64" s="240">
        <f t="shared" si="3"/>
        <v>0.19986675549633579</v>
      </c>
    </row>
    <row r="65" spans="2:12" s="85" customFormat="1" ht="42" customHeight="1">
      <c r="B65" s="81"/>
      <c r="C65" s="1763"/>
      <c r="D65" s="1771" t="s">
        <v>504</v>
      </c>
      <c r="E65" s="208"/>
      <c r="F65" s="208">
        <v>194800</v>
      </c>
      <c r="G65" s="241"/>
      <c r="H65" s="240">
        <f t="shared" si="3"/>
        <v>0</v>
      </c>
    </row>
    <row r="66" spans="2:12" s="85" customFormat="1" ht="24" customHeight="1">
      <c r="B66" s="81"/>
      <c r="C66" s="1763"/>
      <c r="D66" s="1771" t="s">
        <v>505</v>
      </c>
      <c r="E66" s="208"/>
      <c r="F66" s="208">
        <v>358920</v>
      </c>
      <c r="G66" s="241"/>
      <c r="H66" s="240">
        <f t="shared" si="3"/>
        <v>0</v>
      </c>
    </row>
    <row r="67" spans="2:12" s="85" customFormat="1" ht="24" customHeight="1">
      <c r="B67" s="81"/>
      <c r="C67" s="1763"/>
      <c r="D67" s="1771" t="s">
        <v>506</v>
      </c>
      <c r="E67" s="208"/>
      <c r="F67" s="208">
        <v>109473</v>
      </c>
      <c r="G67" s="241">
        <v>3810</v>
      </c>
      <c r="H67" s="240">
        <f t="shared" si="3"/>
        <v>3.4803102134772961</v>
      </c>
    </row>
    <row r="68" spans="2:12" s="85" customFormat="1" ht="24" customHeight="1">
      <c r="B68" s="81"/>
      <c r="C68" s="1763"/>
      <c r="D68" s="1771" t="s">
        <v>507</v>
      </c>
      <c r="E68" s="208"/>
      <c r="F68" s="208">
        <v>647071</v>
      </c>
      <c r="G68" s="241">
        <v>51</v>
      </c>
      <c r="H68" s="240">
        <f t="shared" si="3"/>
        <v>7.881669863121667E-3</v>
      </c>
    </row>
    <row r="69" spans="2:12" s="85" customFormat="1" ht="24" customHeight="1">
      <c r="B69" s="81"/>
      <c r="C69" s="1763"/>
      <c r="D69" s="1771" t="s">
        <v>508</v>
      </c>
      <c r="E69" s="208"/>
      <c r="F69" s="208">
        <v>544045</v>
      </c>
      <c r="G69" s="241"/>
      <c r="H69" s="240">
        <f t="shared" si="3"/>
        <v>0</v>
      </c>
    </row>
    <row r="70" spans="2:12" s="85" customFormat="1" ht="30.75" customHeight="1">
      <c r="B70" s="81"/>
      <c r="C70" s="1763"/>
      <c r="D70" s="1771" t="s">
        <v>509</v>
      </c>
      <c r="E70" s="208"/>
      <c r="F70" s="208">
        <v>194065</v>
      </c>
      <c r="G70" s="241">
        <v>6350</v>
      </c>
      <c r="H70" s="240">
        <f t="shared" si="3"/>
        <v>3.2720995542730531</v>
      </c>
    </row>
    <row r="71" spans="2:12" s="85" customFormat="1" ht="24" customHeight="1">
      <c r="B71" s="81"/>
      <c r="C71" s="1763"/>
      <c r="D71" s="1764" t="s">
        <v>314</v>
      </c>
      <c r="E71" s="208"/>
      <c r="F71" s="208">
        <v>30610</v>
      </c>
      <c r="G71" s="241">
        <v>5903</v>
      </c>
      <c r="H71" s="240">
        <f t="shared" si="3"/>
        <v>19.284547533485789</v>
      </c>
    </row>
    <row r="72" spans="2:12" s="85" customFormat="1" ht="24" customHeight="1" thickBot="1">
      <c r="B72" s="81"/>
      <c r="C72" s="1763"/>
      <c r="D72" s="1772" t="s">
        <v>363</v>
      </c>
      <c r="E72" s="221"/>
      <c r="F72" s="221">
        <v>78</v>
      </c>
      <c r="G72" s="464"/>
      <c r="H72" s="965">
        <f t="shared" si="3"/>
        <v>0</v>
      </c>
    </row>
    <row r="73" spans="2:12" s="73" customFormat="1" ht="24" customHeight="1" thickBot="1">
      <c r="B73" s="81"/>
      <c r="C73" s="1773"/>
      <c r="D73" s="1774" t="s">
        <v>33</v>
      </c>
      <c r="E73" s="468">
        <f>SUM(E26:E72)</f>
        <v>90542</v>
      </c>
      <c r="F73" s="469">
        <f>SUM(F26:F72)</f>
        <v>8523166</v>
      </c>
      <c r="G73" s="470">
        <f>SUM(G26:G72)</f>
        <v>222202</v>
      </c>
      <c r="H73" s="966">
        <f>+G73/F73*100</f>
        <v>2.6070359300757491</v>
      </c>
      <c r="J73" s="80"/>
      <c r="K73" s="80"/>
      <c r="L73" s="80"/>
    </row>
    <row r="74" spans="2:12" s="84" customFormat="1" ht="24" customHeight="1" thickBot="1">
      <c r="B74" s="81"/>
      <c r="C74" s="1775" t="s">
        <v>698</v>
      </c>
      <c r="D74" s="1776" t="s">
        <v>49</v>
      </c>
      <c r="E74" s="465">
        <v>1200</v>
      </c>
      <c r="F74" s="465">
        <v>1200</v>
      </c>
      <c r="G74" s="466">
        <v>1027</v>
      </c>
      <c r="H74" s="467">
        <f>+G74/F74*100</f>
        <v>85.583333333333329</v>
      </c>
    </row>
    <row r="75" spans="2:12" s="73" customFormat="1" ht="24" customHeight="1" thickBot="1">
      <c r="B75" s="81"/>
      <c r="C75" s="1777" t="s">
        <v>390</v>
      </c>
      <c r="D75" s="1778"/>
      <c r="E75" s="222">
        <f>E10+E11+E23+E73+E74+E15</f>
        <v>296742</v>
      </c>
      <c r="F75" s="222">
        <f>F10+F11+F23+F73+F74+F15</f>
        <v>8864060</v>
      </c>
      <c r="G75" s="222">
        <f>G10+G11+G23+G73+G74+G15</f>
        <v>313287</v>
      </c>
      <c r="H75" s="223">
        <f>+G75/F75*100</f>
        <v>3.5343510761434374</v>
      </c>
    </row>
    <row r="76" spans="2:12" ht="19.5" customHeight="1">
      <c r="C76" s="43"/>
      <c r="D76" s="43"/>
      <c r="E76" s="44"/>
      <c r="F76" s="80"/>
      <c r="G76" s="80"/>
      <c r="H76" s="73"/>
    </row>
    <row r="77" spans="2:12" ht="19.5" customHeight="1">
      <c r="C77" s="44"/>
      <c r="D77" s="44"/>
      <c r="E77" s="44"/>
      <c r="F77" s="80"/>
      <c r="G77" s="80"/>
      <c r="H77" s="73"/>
    </row>
    <row r="78" spans="2:12" ht="19.5" customHeight="1">
      <c r="C78" s="44"/>
      <c r="D78" s="44"/>
      <c r="E78" s="44"/>
      <c r="F78" s="86"/>
      <c r="G78" s="86"/>
      <c r="H78" s="73"/>
    </row>
    <row r="79" spans="2:12" ht="19.5" customHeight="1">
      <c r="C79" s="44"/>
      <c r="D79" s="44"/>
      <c r="E79" s="44"/>
      <c r="F79" s="80"/>
      <c r="G79" s="80"/>
      <c r="H79" s="73"/>
    </row>
    <row r="80" spans="2:12" ht="19.5" customHeight="1">
      <c r="C80" s="44"/>
      <c r="D80" s="44"/>
      <c r="E80" s="44"/>
      <c r="F80" s="80"/>
      <c r="G80" s="80"/>
      <c r="H80" s="73"/>
    </row>
    <row r="81" spans="2:8" ht="15" customHeight="1">
      <c r="H81" s="10"/>
    </row>
    <row r="83" spans="2:8" s="10" customFormat="1" ht="15" customHeight="1">
      <c r="B83" s="45"/>
      <c r="C83" s="9"/>
      <c r="D83" s="9"/>
      <c r="E83" s="9"/>
      <c r="H83" s="9"/>
    </row>
    <row r="84" spans="2:8" s="10" customFormat="1" ht="15" customHeight="1">
      <c r="B84" s="45"/>
      <c r="C84" s="9"/>
      <c r="D84" s="9"/>
      <c r="E84" s="9"/>
      <c r="H84" s="9"/>
    </row>
    <row r="85" spans="2:8" s="10" customFormat="1" ht="15" customHeight="1">
      <c r="B85" s="45"/>
      <c r="C85" s="9"/>
      <c r="D85" s="9"/>
      <c r="E85" s="9"/>
      <c r="H85" s="9"/>
    </row>
    <row r="86" spans="2:8" s="10" customFormat="1" ht="15" customHeight="1">
      <c r="B86" s="45"/>
      <c r="C86" s="9"/>
      <c r="D86" s="9"/>
      <c r="E86" s="9"/>
      <c r="H86" s="9"/>
    </row>
    <row r="87" spans="2:8" s="10" customFormat="1" ht="15" customHeight="1">
      <c r="B87" s="45"/>
      <c r="C87" s="9"/>
      <c r="D87" s="9"/>
      <c r="E87" s="9"/>
      <c r="H87" s="9"/>
    </row>
    <row r="88" spans="2:8" s="10" customFormat="1" ht="15" customHeight="1">
      <c r="B88" s="45"/>
      <c r="C88" s="9"/>
      <c r="D88" s="9"/>
      <c r="E88" s="9"/>
      <c r="H88" s="9"/>
    </row>
    <row r="89" spans="2:8" s="10" customFormat="1" ht="15" customHeight="1">
      <c r="B89" s="45"/>
      <c r="C89" s="9"/>
      <c r="D89" s="9"/>
      <c r="E89" s="9"/>
      <c r="H89" s="9"/>
    </row>
    <row r="90" spans="2:8" s="10" customFormat="1" ht="15" customHeight="1">
      <c r="B90" s="45"/>
      <c r="C90" s="9"/>
      <c r="D90" s="9"/>
      <c r="E90" s="9"/>
      <c r="H90" s="9"/>
    </row>
    <row r="91" spans="2:8" s="10" customFormat="1" ht="15" customHeight="1">
      <c r="B91" s="45"/>
      <c r="C91" s="9"/>
      <c r="D91" s="9"/>
      <c r="E91" s="9"/>
      <c r="H91" s="9"/>
    </row>
    <row r="92" spans="2:8" s="10" customFormat="1" ht="15" customHeight="1">
      <c r="B92" s="45"/>
      <c r="C92" s="9"/>
      <c r="D92" s="9"/>
      <c r="E92" s="9"/>
      <c r="H92" s="9"/>
    </row>
    <row r="93" spans="2:8" s="10" customFormat="1" ht="15" customHeight="1">
      <c r="B93" s="45"/>
      <c r="C93" s="9"/>
      <c r="D93" s="9"/>
      <c r="E93" s="9"/>
      <c r="H93" s="9"/>
    </row>
    <row r="94" spans="2:8" s="10" customFormat="1" ht="15" customHeight="1">
      <c r="B94" s="45"/>
      <c r="C94" s="9"/>
      <c r="D94" s="9"/>
      <c r="E94" s="9"/>
      <c r="H94" s="9"/>
    </row>
    <row r="95" spans="2:8" s="10" customFormat="1" ht="15" customHeight="1">
      <c r="B95" s="45"/>
      <c r="C95" s="9"/>
      <c r="D95" s="9"/>
      <c r="E95" s="9"/>
      <c r="H95" s="9"/>
    </row>
    <row r="96" spans="2:8" s="10" customFormat="1" ht="15" customHeight="1">
      <c r="B96" s="45"/>
      <c r="C96" s="9"/>
      <c r="D96" s="9"/>
      <c r="E96" s="9"/>
      <c r="H96" s="9"/>
    </row>
    <row r="97" spans="2:8" s="10" customFormat="1" ht="15" customHeight="1">
      <c r="B97" s="45"/>
      <c r="C97" s="9"/>
      <c r="D97" s="9"/>
      <c r="E97" s="9"/>
      <c r="H97" s="9"/>
    </row>
    <row r="98" spans="2:8" s="10" customFormat="1" ht="15" customHeight="1">
      <c r="B98" s="45"/>
      <c r="C98" s="9"/>
      <c r="D98" s="9"/>
      <c r="E98" s="9"/>
      <c r="H98" s="9"/>
    </row>
    <row r="99" spans="2:8" s="10" customFormat="1" ht="15" customHeight="1">
      <c r="B99" s="45"/>
      <c r="C99" s="9"/>
      <c r="D99" s="9"/>
      <c r="E99" s="9"/>
      <c r="H99" s="9"/>
    </row>
    <row r="100" spans="2:8" s="10" customFormat="1" ht="15" customHeight="1">
      <c r="B100" s="45"/>
      <c r="C100" s="9"/>
      <c r="D100" s="9"/>
      <c r="E100" s="9"/>
      <c r="H100" s="9"/>
    </row>
    <row r="101" spans="2:8" s="10" customFormat="1" ht="15" customHeight="1">
      <c r="B101" s="45"/>
      <c r="C101" s="9"/>
      <c r="D101" s="9"/>
      <c r="E101" s="9"/>
      <c r="H101" s="9"/>
    </row>
    <row r="102" spans="2:8" s="10" customFormat="1" ht="15" customHeight="1">
      <c r="B102" s="45"/>
      <c r="C102" s="9"/>
      <c r="D102" s="9"/>
      <c r="E102" s="9"/>
      <c r="H102" s="9"/>
    </row>
    <row r="103" spans="2:8" s="10" customFormat="1" ht="15" customHeight="1">
      <c r="B103" s="45"/>
      <c r="C103" s="9"/>
      <c r="D103" s="9"/>
      <c r="E103" s="9"/>
      <c r="H103" s="9"/>
    </row>
    <row r="104" spans="2:8" s="10" customFormat="1" ht="15" customHeight="1">
      <c r="B104" s="45"/>
      <c r="C104" s="9"/>
      <c r="D104" s="9"/>
      <c r="E104" s="9"/>
      <c r="H104" s="9"/>
    </row>
    <row r="105" spans="2:8" s="10" customFormat="1" ht="15" customHeight="1">
      <c r="B105" s="45"/>
      <c r="C105" s="9"/>
      <c r="D105" s="9"/>
      <c r="E105" s="9"/>
      <c r="H105" s="9"/>
    </row>
    <row r="106" spans="2:8" s="10" customFormat="1" ht="15" customHeight="1">
      <c r="B106" s="45"/>
      <c r="C106" s="9"/>
      <c r="D106" s="9"/>
      <c r="E106" s="9"/>
      <c r="H106" s="9"/>
    </row>
    <row r="107" spans="2:8" s="10" customFormat="1" ht="15" customHeight="1">
      <c r="B107" s="45"/>
      <c r="C107" s="9"/>
      <c r="D107" s="9"/>
      <c r="E107" s="9"/>
      <c r="H107" s="9"/>
    </row>
    <row r="108" spans="2:8" s="10" customFormat="1" ht="15" customHeight="1">
      <c r="B108" s="45"/>
      <c r="C108" s="9"/>
      <c r="D108" s="9"/>
      <c r="E108" s="9"/>
      <c r="H108" s="9"/>
    </row>
    <row r="109" spans="2:8" s="10" customFormat="1" ht="15" customHeight="1">
      <c r="B109" s="45"/>
      <c r="C109" s="9"/>
      <c r="D109" s="9"/>
      <c r="E109" s="9"/>
      <c r="H109" s="9"/>
    </row>
    <row r="110" spans="2:8" s="10" customFormat="1" ht="15" customHeight="1">
      <c r="B110" s="45"/>
      <c r="C110" s="9"/>
      <c r="D110" s="9"/>
      <c r="E110" s="9"/>
      <c r="H110" s="9"/>
    </row>
    <row r="111" spans="2:8" s="10" customFormat="1" ht="15" customHeight="1">
      <c r="B111" s="45"/>
      <c r="C111" s="9"/>
      <c r="D111" s="9"/>
      <c r="E111" s="9"/>
      <c r="H111" s="9"/>
    </row>
    <row r="112" spans="2:8" s="10" customFormat="1" ht="15" customHeight="1">
      <c r="B112" s="45"/>
      <c r="C112" s="9"/>
      <c r="D112" s="9"/>
      <c r="E112" s="9"/>
      <c r="H112" s="9"/>
    </row>
    <row r="113" spans="2:8" s="10" customFormat="1" ht="15" customHeight="1">
      <c r="B113" s="45"/>
      <c r="C113" s="9"/>
      <c r="D113" s="9"/>
      <c r="E113" s="9"/>
      <c r="H113" s="9"/>
    </row>
    <row r="114" spans="2:8" s="10" customFormat="1" ht="15" customHeight="1">
      <c r="B114" s="45"/>
      <c r="C114" s="9"/>
      <c r="D114" s="9"/>
      <c r="E114" s="9"/>
      <c r="H114" s="9"/>
    </row>
    <row r="115" spans="2:8" s="10" customFormat="1" ht="15" customHeight="1">
      <c r="B115" s="45"/>
      <c r="C115" s="9"/>
      <c r="D115" s="9"/>
      <c r="E115" s="9"/>
      <c r="H115" s="9"/>
    </row>
    <row r="116" spans="2:8" s="10" customFormat="1" ht="15" customHeight="1">
      <c r="B116" s="45"/>
      <c r="C116" s="9"/>
      <c r="D116" s="9"/>
      <c r="E116" s="9"/>
      <c r="H116" s="9"/>
    </row>
    <row r="117" spans="2:8" s="10" customFormat="1" ht="15" customHeight="1">
      <c r="B117" s="45"/>
      <c r="C117" s="9"/>
      <c r="D117" s="9"/>
      <c r="E117" s="9"/>
      <c r="H117" s="9"/>
    </row>
    <row r="118" spans="2:8" s="10" customFormat="1" ht="15" customHeight="1">
      <c r="B118" s="45"/>
      <c r="C118" s="9"/>
      <c r="D118" s="9"/>
      <c r="E118" s="9"/>
      <c r="H118" s="9"/>
    </row>
    <row r="119" spans="2:8" s="10" customFormat="1" ht="15" customHeight="1">
      <c r="B119" s="45"/>
      <c r="C119" s="9"/>
      <c r="D119" s="9"/>
      <c r="E119" s="9"/>
      <c r="H119" s="9"/>
    </row>
    <row r="120" spans="2:8" s="10" customFormat="1" ht="15" customHeight="1">
      <c r="B120" s="45"/>
      <c r="C120" s="9"/>
      <c r="D120" s="9"/>
      <c r="E120" s="9"/>
      <c r="H120" s="9"/>
    </row>
    <row r="121" spans="2:8" s="10" customFormat="1" ht="15" customHeight="1">
      <c r="B121" s="45"/>
      <c r="C121" s="9"/>
      <c r="D121" s="9"/>
      <c r="E121" s="9"/>
      <c r="H121" s="9"/>
    </row>
    <row r="122" spans="2:8" s="10" customFormat="1" ht="15" customHeight="1">
      <c r="B122" s="45"/>
      <c r="C122" s="9"/>
      <c r="D122" s="9"/>
      <c r="E122" s="9"/>
      <c r="H122" s="9"/>
    </row>
    <row r="123" spans="2:8" s="10" customFormat="1" ht="15" customHeight="1">
      <c r="B123" s="45"/>
      <c r="C123" s="9"/>
      <c r="D123" s="9"/>
      <c r="E123" s="9"/>
      <c r="H123" s="9"/>
    </row>
    <row r="124" spans="2:8" s="10" customFormat="1" ht="15" customHeight="1">
      <c r="B124" s="45"/>
      <c r="C124" s="9"/>
      <c r="D124" s="9"/>
      <c r="E124" s="9"/>
      <c r="H124" s="9"/>
    </row>
    <row r="125" spans="2:8" s="10" customFormat="1" ht="15" customHeight="1">
      <c r="B125" s="45"/>
      <c r="C125" s="9"/>
      <c r="D125" s="9"/>
      <c r="E125" s="9"/>
      <c r="H125" s="9"/>
    </row>
    <row r="126" spans="2:8" s="10" customFormat="1" ht="15" customHeight="1">
      <c r="B126" s="45"/>
      <c r="C126" s="9"/>
      <c r="D126" s="9"/>
      <c r="E126" s="9"/>
      <c r="H126" s="9"/>
    </row>
    <row r="127" spans="2:8" s="10" customFormat="1" ht="15" customHeight="1">
      <c r="B127" s="45"/>
      <c r="C127" s="9"/>
      <c r="D127" s="9"/>
      <c r="E127" s="9"/>
      <c r="H127" s="9"/>
    </row>
    <row r="128" spans="2:8" s="10" customFormat="1" ht="15" customHeight="1">
      <c r="B128" s="45"/>
      <c r="C128" s="9"/>
      <c r="D128" s="9"/>
      <c r="E128" s="9"/>
      <c r="H128" s="9"/>
    </row>
    <row r="129" spans="2:8" s="10" customFormat="1" ht="15" customHeight="1">
      <c r="B129" s="45"/>
      <c r="C129" s="9"/>
      <c r="D129" s="9"/>
      <c r="E129" s="9"/>
      <c r="H129" s="9"/>
    </row>
    <row r="130" spans="2:8" s="10" customFormat="1" ht="15" customHeight="1">
      <c r="B130" s="45"/>
      <c r="C130" s="9"/>
      <c r="D130" s="9"/>
      <c r="E130" s="9"/>
      <c r="H130" s="9"/>
    </row>
    <row r="131" spans="2:8" s="10" customFormat="1" ht="15" customHeight="1">
      <c r="B131" s="45"/>
      <c r="C131" s="9"/>
      <c r="D131" s="9"/>
      <c r="E131" s="9"/>
      <c r="H131" s="9"/>
    </row>
    <row r="132" spans="2:8" s="10" customFormat="1" ht="15" customHeight="1">
      <c r="B132" s="45"/>
      <c r="C132" s="9"/>
      <c r="D132" s="9"/>
      <c r="E132" s="9"/>
      <c r="H132" s="9"/>
    </row>
    <row r="133" spans="2:8" s="10" customFormat="1" ht="15" customHeight="1">
      <c r="B133" s="45"/>
      <c r="C133" s="9"/>
      <c r="D133" s="9"/>
      <c r="E133" s="9"/>
      <c r="H133" s="9"/>
    </row>
    <row r="134" spans="2:8" s="10" customFormat="1" ht="15" customHeight="1">
      <c r="B134" s="45"/>
      <c r="C134" s="9"/>
      <c r="D134" s="9"/>
      <c r="E134" s="9"/>
      <c r="H134" s="9"/>
    </row>
    <row r="135" spans="2:8" s="10" customFormat="1" ht="15" customHeight="1">
      <c r="B135" s="45"/>
      <c r="C135" s="9"/>
      <c r="D135" s="9"/>
      <c r="E135" s="9"/>
      <c r="H135" s="9"/>
    </row>
    <row r="136" spans="2:8" s="10" customFormat="1" ht="15" customHeight="1">
      <c r="B136" s="45"/>
      <c r="C136" s="9"/>
      <c r="D136" s="9"/>
      <c r="E136" s="9"/>
      <c r="H136" s="9"/>
    </row>
    <row r="137" spans="2:8" s="10" customFormat="1" ht="15" customHeight="1">
      <c r="B137" s="45"/>
      <c r="C137" s="9"/>
      <c r="D137" s="9"/>
      <c r="E137" s="9"/>
      <c r="H137" s="9"/>
    </row>
    <row r="138" spans="2:8" s="10" customFormat="1" ht="15" customHeight="1">
      <c r="B138" s="45"/>
      <c r="C138" s="9"/>
      <c r="D138" s="9"/>
      <c r="E138" s="9"/>
      <c r="H138" s="9"/>
    </row>
    <row r="139" spans="2:8" s="10" customFormat="1" ht="15" customHeight="1">
      <c r="B139" s="45"/>
      <c r="C139" s="9"/>
      <c r="D139" s="9"/>
      <c r="E139" s="9"/>
      <c r="H139" s="9"/>
    </row>
    <row r="140" spans="2:8" s="10" customFormat="1" ht="15" customHeight="1">
      <c r="B140" s="45"/>
      <c r="C140" s="9"/>
      <c r="D140" s="9"/>
      <c r="E140" s="9"/>
      <c r="H140" s="9"/>
    </row>
    <row r="141" spans="2:8" s="10" customFormat="1" ht="15" customHeight="1">
      <c r="B141" s="45"/>
      <c r="C141" s="9"/>
      <c r="D141" s="9"/>
      <c r="E141" s="9"/>
      <c r="H141" s="9"/>
    </row>
    <row r="142" spans="2:8" s="10" customFormat="1" ht="15" customHeight="1">
      <c r="B142" s="45"/>
      <c r="C142" s="9"/>
      <c r="D142" s="9"/>
      <c r="E142" s="9"/>
      <c r="H142" s="9"/>
    </row>
    <row r="143" spans="2:8" s="10" customFormat="1" ht="15" customHeight="1">
      <c r="B143" s="45"/>
      <c r="C143" s="9"/>
      <c r="D143" s="9"/>
      <c r="E143" s="9"/>
      <c r="H143" s="9"/>
    </row>
    <row r="144" spans="2:8" s="10" customFormat="1" ht="15" customHeight="1">
      <c r="B144" s="45"/>
      <c r="C144" s="9"/>
      <c r="D144" s="9"/>
      <c r="E144" s="9"/>
      <c r="H144" s="9"/>
    </row>
    <row r="145" spans="2:8" s="10" customFormat="1" ht="15" customHeight="1">
      <c r="B145" s="45"/>
      <c r="C145" s="9"/>
      <c r="D145" s="9"/>
      <c r="E145" s="9"/>
      <c r="H145" s="9"/>
    </row>
    <row r="146" spans="2:8" s="10" customFormat="1" ht="15" customHeight="1">
      <c r="B146" s="45"/>
      <c r="C146" s="9"/>
      <c r="D146" s="9"/>
      <c r="E146" s="9"/>
      <c r="H146" s="9"/>
    </row>
    <row r="147" spans="2:8" s="10" customFormat="1" ht="15" customHeight="1">
      <c r="B147" s="45"/>
      <c r="C147" s="9"/>
      <c r="D147" s="9"/>
      <c r="E147" s="9"/>
      <c r="H147" s="9"/>
    </row>
    <row r="148" spans="2:8" s="10" customFormat="1" ht="15" customHeight="1">
      <c r="B148" s="45"/>
      <c r="C148" s="9"/>
      <c r="D148" s="9"/>
      <c r="E148" s="9"/>
      <c r="H148" s="9"/>
    </row>
    <row r="149" spans="2:8" s="10" customFormat="1" ht="15" customHeight="1">
      <c r="B149" s="45"/>
      <c r="C149" s="9"/>
      <c r="D149" s="9"/>
      <c r="E149" s="9"/>
      <c r="H149" s="9"/>
    </row>
    <row r="150" spans="2:8" s="10" customFormat="1" ht="15" customHeight="1">
      <c r="B150" s="45"/>
      <c r="C150" s="9"/>
      <c r="D150" s="9"/>
      <c r="E150" s="9"/>
      <c r="H150" s="9"/>
    </row>
    <row r="151" spans="2:8" s="10" customFormat="1" ht="15" customHeight="1">
      <c r="B151" s="45"/>
      <c r="C151" s="9"/>
      <c r="D151" s="9"/>
      <c r="E151" s="9"/>
      <c r="H151" s="9"/>
    </row>
    <row r="152" spans="2:8" s="10" customFormat="1" ht="15" customHeight="1">
      <c r="B152" s="45"/>
      <c r="C152" s="9"/>
      <c r="D152" s="9"/>
      <c r="E152" s="9"/>
      <c r="H152" s="9"/>
    </row>
    <row r="153" spans="2:8" s="10" customFormat="1" ht="15" customHeight="1">
      <c r="B153" s="45"/>
      <c r="C153" s="9"/>
      <c r="D153" s="9"/>
      <c r="E153" s="9"/>
      <c r="H153" s="9"/>
    </row>
    <row r="154" spans="2:8" s="10" customFormat="1" ht="15" customHeight="1">
      <c r="B154" s="45"/>
      <c r="C154" s="9"/>
      <c r="D154" s="9"/>
      <c r="E154" s="9"/>
      <c r="H154" s="9"/>
    </row>
    <row r="155" spans="2:8" s="10" customFormat="1" ht="15" customHeight="1">
      <c r="B155" s="45"/>
      <c r="C155" s="9"/>
      <c r="D155" s="9"/>
      <c r="E155" s="9"/>
      <c r="H155" s="9"/>
    </row>
    <row r="156" spans="2:8" s="10" customFormat="1" ht="15" customHeight="1">
      <c r="B156" s="45"/>
      <c r="C156" s="9"/>
      <c r="D156" s="9"/>
      <c r="E156" s="9"/>
      <c r="H156" s="9"/>
    </row>
    <row r="157" spans="2:8" s="10" customFormat="1" ht="15" customHeight="1">
      <c r="B157" s="45"/>
      <c r="C157" s="9"/>
      <c r="D157" s="9"/>
      <c r="E157" s="9"/>
      <c r="H157" s="9"/>
    </row>
    <row r="158" spans="2:8" s="10" customFormat="1" ht="15" customHeight="1">
      <c r="B158" s="45"/>
      <c r="C158" s="9"/>
      <c r="D158" s="9"/>
      <c r="E158" s="9"/>
      <c r="H158" s="9"/>
    </row>
    <row r="159" spans="2:8" s="10" customFormat="1" ht="15" customHeight="1">
      <c r="B159" s="45"/>
      <c r="C159" s="9"/>
      <c r="D159" s="9"/>
      <c r="E159" s="9"/>
      <c r="H159" s="9"/>
    </row>
    <row r="160" spans="2:8" s="10" customFormat="1" ht="15" customHeight="1">
      <c r="B160" s="45"/>
      <c r="C160" s="9"/>
      <c r="D160" s="9"/>
      <c r="E160" s="9"/>
      <c r="H160" s="9"/>
    </row>
    <row r="161" spans="2:8" s="10" customFormat="1" ht="15" customHeight="1">
      <c r="B161" s="45"/>
      <c r="C161" s="9"/>
      <c r="D161" s="9"/>
      <c r="E161" s="9"/>
      <c r="H161" s="9"/>
    </row>
    <row r="162" spans="2:8" s="10" customFormat="1" ht="15" customHeight="1">
      <c r="B162" s="45"/>
      <c r="C162" s="9"/>
      <c r="D162" s="9"/>
      <c r="E162" s="9"/>
      <c r="H162" s="9"/>
    </row>
    <row r="163" spans="2:8" s="10" customFormat="1" ht="15" customHeight="1">
      <c r="B163" s="45"/>
      <c r="C163" s="9"/>
      <c r="D163" s="9"/>
      <c r="E163" s="9"/>
      <c r="H163" s="9"/>
    </row>
    <row r="164" spans="2:8" s="10" customFormat="1" ht="15" customHeight="1">
      <c r="B164" s="45"/>
      <c r="C164" s="9"/>
      <c r="D164" s="9"/>
      <c r="E164" s="9"/>
      <c r="H164" s="9"/>
    </row>
    <row r="165" spans="2:8" s="10" customFormat="1" ht="15" customHeight="1">
      <c r="B165" s="45"/>
      <c r="C165" s="9"/>
      <c r="D165" s="9"/>
      <c r="E165" s="9"/>
      <c r="H165" s="9"/>
    </row>
    <row r="166" spans="2:8" s="10" customFormat="1" ht="15" customHeight="1">
      <c r="B166" s="45"/>
      <c r="C166" s="9"/>
      <c r="D166" s="9"/>
      <c r="E166" s="9"/>
      <c r="H166" s="9"/>
    </row>
    <row r="167" spans="2:8" s="10" customFormat="1" ht="15" customHeight="1">
      <c r="B167" s="45"/>
      <c r="C167" s="9"/>
      <c r="D167" s="9"/>
      <c r="E167" s="9"/>
      <c r="H167" s="9"/>
    </row>
    <row r="168" spans="2:8" s="10" customFormat="1" ht="15" customHeight="1">
      <c r="B168" s="45"/>
      <c r="C168" s="9"/>
      <c r="D168" s="9"/>
      <c r="E168" s="9"/>
      <c r="H168" s="9"/>
    </row>
    <row r="169" spans="2:8" s="10" customFormat="1" ht="15" customHeight="1">
      <c r="B169" s="45"/>
      <c r="C169" s="9"/>
      <c r="D169" s="9"/>
      <c r="E169" s="9"/>
      <c r="H169" s="9"/>
    </row>
    <row r="170" spans="2:8" s="10" customFormat="1" ht="15" customHeight="1">
      <c r="B170" s="45"/>
      <c r="C170" s="9"/>
      <c r="D170" s="9"/>
      <c r="E170" s="9"/>
      <c r="H170" s="9"/>
    </row>
    <row r="171" spans="2:8" s="10" customFormat="1" ht="15" customHeight="1">
      <c r="B171" s="45"/>
      <c r="C171" s="9"/>
      <c r="D171" s="9"/>
      <c r="E171" s="9"/>
      <c r="H171" s="9"/>
    </row>
    <row r="172" spans="2:8" s="10" customFormat="1" ht="15" customHeight="1">
      <c r="B172" s="45"/>
      <c r="C172" s="9"/>
      <c r="D172" s="9"/>
      <c r="E172" s="9"/>
      <c r="H172" s="9"/>
    </row>
    <row r="173" spans="2:8" s="10" customFormat="1" ht="15" customHeight="1">
      <c r="B173" s="45"/>
      <c r="C173" s="9"/>
      <c r="D173" s="9"/>
      <c r="E173" s="9"/>
      <c r="H173" s="9"/>
    </row>
    <row r="174" spans="2:8" s="10" customFormat="1" ht="15" customHeight="1">
      <c r="B174" s="45"/>
      <c r="C174" s="9"/>
      <c r="D174" s="9"/>
      <c r="E174" s="9"/>
      <c r="H174" s="9"/>
    </row>
    <row r="175" spans="2:8" s="10" customFormat="1" ht="15" customHeight="1">
      <c r="B175" s="45"/>
      <c r="C175" s="9"/>
      <c r="D175" s="9"/>
      <c r="E175" s="9"/>
      <c r="H175" s="9"/>
    </row>
    <row r="176" spans="2:8" s="10" customFormat="1" ht="15" customHeight="1">
      <c r="B176" s="45"/>
      <c r="C176" s="9"/>
      <c r="D176" s="9"/>
      <c r="E176" s="9"/>
      <c r="H176" s="9"/>
    </row>
    <row r="177" spans="2:8" s="10" customFormat="1" ht="15" customHeight="1">
      <c r="B177" s="45"/>
      <c r="C177" s="9"/>
      <c r="D177" s="9"/>
      <c r="E177" s="9"/>
      <c r="H177" s="9"/>
    </row>
    <row r="178" spans="2:8" s="10" customFormat="1" ht="15" customHeight="1">
      <c r="B178" s="45"/>
      <c r="C178" s="9"/>
      <c r="D178" s="9"/>
      <c r="E178" s="9"/>
      <c r="H178" s="9"/>
    </row>
    <row r="179" spans="2:8" s="10" customFormat="1" ht="15" customHeight="1">
      <c r="B179" s="45"/>
      <c r="C179" s="9"/>
      <c r="D179" s="9"/>
      <c r="E179" s="9"/>
      <c r="H179" s="9"/>
    </row>
    <row r="180" spans="2:8" s="10" customFormat="1" ht="15" customHeight="1">
      <c r="B180" s="45"/>
      <c r="C180" s="9"/>
      <c r="D180" s="9"/>
      <c r="E180" s="9"/>
      <c r="H180" s="9"/>
    </row>
    <row r="181" spans="2:8" s="10" customFormat="1" ht="15" customHeight="1">
      <c r="B181" s="45"/>
      <c r="C181" s="9"/>
      <c r="D181" s="9"/>
      <c r="E181" s="9"/>
      <c r="H181" s="9"/>
    </row>
    <row r="182" spans="2:8" s="10" customFormat="1" ht="15" customHeight="1">
      <c r="B182" s="45"/>
      <c r="C182" s="9"/>
      <c r="D182" s="9"/>
      <c r="E182" s="9"/>
      <c r="H182" s="9"/>
    </row>
    <row r="183" spans="2:8" s="10" customFormat="1" ht="15" customHeight="1">
      <c r="B183" s="45"/>
      <c r="C183" s="9"/>
      <c r="D183" s="9"/>
      <c r="E183" s="9"/>
      <c r="H183" s="9"/>
    </row>
    <row r="184" spans="2:8" s="10" customFormat="1" ht="15" customHeight="1">
      <c r="B184" s="45"/>
      <c r="C184" s="9"/>
      <c r="D184" s="9"/>
      <c r="E184" s="9"/>
      <c r="H184" s="9"/>
    </row>
    <row r="185" spans="2:8" s="10" customFormat="1" ht="15" customHeight="1">
      <c r="B185" s="45"/>
      <c r="C185" s="9"/>
      <c r="D185" s="9"/>
      <c r="E185" s="9"/>
      <c r="H185" s="9"/>
    </row>
    <row r="186" spans="2:8" s="10" customFormat="1" ht="15" customHeight="1">
      <c r="B186" s="45"/>
      <c r="C186" s="9"/>
      <c r="D186" s="9"/>
      <c r="E186" s="9"/>
      <c r="H186" s="9"/>
    </row>
    <row r="187" spans="2:8" s="10" customFormat="1" ht="15" customHeight="1">
      <c r="B187" s="45"/>
      <c r="C187" s="9"/>
      <c r="D187" s="9"/>
      <c r="E187" s="9"/>
      <c r="H187" s="9"/>
    </row>
    <row r="188" spans="2:8" s="10" customFormat="1" ht="15" customHeight="1">
      <c r="B188" s="45"/>
      <c r="C188" s="9"/>
      <c r="D188" s="9"/>
      <c r="E188" s="9"/>
      <c r="H188" s="9"/>
    </row>
    <row r="189" spans="2:8" s="10" customFormat="1" ht="15" customHeight="1">
      <c r="B189" s="45"/>
      <c r="C189" s="9"/>
      <c r="D189" s="9"/>
      <c r="E189" s="9"/>
      <c r="H189" s="9"/>
    </row>
    <row r="190" spans="2:8" s="10" customFormat="1" ht="15" customHeight="1">
      <c r="B190" s="45"/>
      <c r="C190" s="9"/>
      <c r="D190" s="9"/>
      <c r="E190" s="9"/>
      <c r="H190" s="9"/>
    </row>
    <row r="191" spans="2:8" s="10" customFormat="1" ht="15" customHeight="1">
      <c r="B191" s="45"/>
      <c r="C191" s="9"/>
      <c r="D191" s="9"/>
      <c r="E191" s="9"/>
      <c r="H191" s="9"/>
    </row>
    <row r="192" spans="2:8" s="10" customFormat="1" ht="15" customHeight="1">
      <c r="B192" s="45"/>
      <c r="C192" s="9"/>
      <c r="D192" s="9"/>
      <c r="E192" s="9"/>
      <c r="H192" s="9"/>
    </row>
    <row r="193" spans="2:8" s="10" customFormat="1" ht="15" customHeight="1">
      <c r="B193" s="45"/>
      <c r="C193" s="9"/>
      <c r="D193" s="9"/>
      <c r="E193" s="9"/>
      <c r="H193" s="9"/>
    </row>
    <row r="194" spans="2:8" s="10" customFormat="1" ht="15" customHeight="1">
      <c r="B194" s="45"/>
      <c r="C194" s="9"/>
      <c r="D194" s="9"/>
      <c r="E194" s="9"/>
      <c r="H194" s="9"/>
    </row>
    <row r="195" spans="2:8" s="10" customFormat="1" ht="15" customHeight="1">
      <c r="B195" s="45"/>
      <c r="C195" s="9"/>
      <c r="D195" s="9"/>
      <c r="E195" s="9"/>
      <c r="H195" s="9"/>
    </row>
    <row r="196" spans="2:8" s="10" customFormat="1" ht="15" customHeight="1">
      <c r="B196" s="45"/>
      <c r="C196" s="9"/>
      <c r="D196" s="9"/>
      <c r="E196" s="9"/>
      <c r="H196" s="9"/>
    </row>
    <row r="197" spans="2:8" s="10" customFormat="1" ht="15" customHeight="1">
      <c r="B197" s="45"/>
      <c r="C197" s="9"/>
      <c r="D197" s="9"/>
      <c r="E197" s="9"/>
      <c r="H197" s="9"/>
    </row>
    <row r="198" spans="2:8" s="10" customFormat="1" ht="15" customHeight="1">
      <c r="B198" s="45"/>
      <c r="C198" s="9"/>
      <c r="D198" s="9"/>
      <c r="E198" s="9"/>
      <c r="H198" s="9"/>
    </row>
    <row r="199" spans="2:8" s="10" customFormat="1" ht="15" customHeight="1">
      <c r="B199" s="45"/>
      <c r="C199" s="9"/>
      <c r="D199" s="9"/>
      <c r="E199" s="9"/>
      <c r="H199" s="9"/>
    </row>
    <row r="200" spans="2:8" s="10" customFormat="1" ht="15" customHeight="1">
      <c r="B200" s="45"/>
      <c r="C200" s="9"/>
      <c r="D200" s="9"/>
      <c r="E200" s="9"/>
      <c r="H200" s="9"/>
    </row>
    <row r="201" spans="2:8" s="10" customFormat="1" ht="15" customHeight="1">
      <c r="B201" s="45"/>
      <c r="C201" s="9"/>
      <c r="D201" s="9"/>
      <c r="E201" s="9"/>
      <c r="H201" s="9"/>
    </row>
    <row r="202" spans="2:8" s="10" customFormat="1" ht="15" customHeight="1">
      <c r="B202" s="45"/>
      <c r="C202" s="9"/>
      <c r="D202" s="9"/>
      <c r="E202" s="9"/>
      <c r="H202" s="9"/>
    </row>
    <row r="203" spans="2:8" s="10" customFormat="1" ht="15" customHeight="1">
      <c r="B203" s="45"/>
      <c r="C203" s="9"/>
      <c r="D203" s="9"/>
      <c r="E203" s="9"/>
      <c r="H203" s="9"/>
    </row>
    <row r="204" spans="2:8" s="10" customFormat="1" ht="15" customHeight="1">
      <c r="B204" s="45"/>
      <c r="C204" s="9"/>
      <c r="D204" s="9"/>
      <c r="E204" s="9"/>
      <c r="H204" s="9"/>
    </row>
    <row r="205" spans="2:8" s="10" customFormat="1" ht="15" customHeight="1">
      <c r="B205" s="45"/>
      <c r="C205" s="9"/>
      <c r="D205" s="9"/>
      <c r="E205" s="9"/>
      <c r="H205" s="9"/>
    </row>
    <row r="206" spans="2:8" s="10" customFormat="1" ht="15" customHeight="1">
      <c r="B206" s="45"/>
      <c r="C206" s="9"/>
      <c r="D206" s="9"/>
      <c r="E206" s="9"/>
      <c r="H206" s="9"/>
    </row>
    <row r="207" spans="2:8" s="10" customFormat="1" ht="15" customHeight="1">
      <c r="B207" s="45"/>
      <c r="C207" s="9"/>
      <c r="D207" s="9"/>
      <c r="E207" s="9"/>
      <c r="H207" s="9"/>
    </row>
    <row r="208" spans="2:8" s="10" customFormat="1" ht="15" customHeight="1">
      <c r="B208" s="45"/>
      <c r="C208" s="9"/>
      <c r="D208" s="9"/>
      <c r="E208" s="9"/>
      <c r="H208" s="9"/>
    </row>
    <row r="209" spans="2:8" s="10" customFormat="1" ht="15" customHeight="1">
      <c r="B209" s="45"/>
      <c r="C209" s="9"/>
      <c r="D209" s="9"/>
      <c r="E209" s="9"/>
      <c r="H209" s="9"/>
    </row>
    <row r="210" spans="2:8" s="10" customFormat="1" ht="15" customHeight="1">
      <c r="B210" s="45"/>
      <c r="C210" s="9"/>
      <c r="D210" s="9"/>
      <c r="E210" s="9"/>
      <c r="H210" s="9"/>
    </row>
    <row r="211" spans="2:8" s="10" customFormat="1" ht="15" customHeight="1">
      <c r="B211" s="45"/>
      <c r="C211" s="9"/>
      <c r="D211" s="9"/>
      <c r="E211" s="9"/>
      <c r="H211" s="9"/>
    </row>
    <row r="212" spans="2:8" s="10" customFormat="1" ht="15" customHeight="1">
      <c r="B212" s="45"/>
      <c r="C212" s="9"/>
      <c r="D212" s="9"/>
      <c r="E212" s="9"/>
      <c r="H212" s="9"/>
    </row>
    <row r="213" spans="2:8" s="10" customFormat="1" ht="15" customHeight="1">
      <c r="B213" s="45"/>
      <c r="C213" s="9"/>
      <c r="D213" s="9"/>
      <c r="E213" s="9"/>
      <c r="H213" s="9"/>
    </row>
    <row r="214" spans="2:8" s="10" customFormat="1" ht="15" customHeight="1">
      <c r="B214" s="45"/>
      <c r="C214" s="9"/>
      <c r="D214" s="9"/>
      <c r="E214" s="9"/>
      <c r="H214" s="9"/>
    </row>
    <row r="215" spans="2:8" s="10" customFormat="1" ht="15" customHeight="1">
      <c r="B215" s="45"/>
      <c r="C215" s="9"/>
      <c r="D215" s="9"/>
      <c r="E215" s="9"/>
      <c r="H215" s="9"/>
    </row>
    <row r="216" spans="2:8" s="10" customFormat="1" ht="15" customHeight="1">
      <c r="B216" s="45"/>
      <c r="C216" s="9"/>
      <c r="D216" s="9"/>
      <c r="E216" s="9"/>
      <c r="H216" s="9"/>
    </row>
    <row r="217" spans="2:8" s="10" customFormat="1" ht="15" customHeight="1">
      <c r="B217" s="45"/>
      <c r="C217" s="9"/>
      <c r="D217" s="9"/>
      <c r="E217" s="9"/>
      <c r="H217" s="9"/>
    </row>
    <row r="218" spans="2:8" s="10" customFormat="1" ht="15" customHeight="1">
      <c r="B218" s="45"/>
      <c r="C218" s="9"/>
      <c r="D218" s="9"/>
      <c r="E218" s="9"/>
      <c r="H218" s="9"/>
    </row>
    <row r="219" spans="2:8" s="10" customFormat="1" ht="15" customHeight="1">
      <c r="B219" s="45"/>
      <c r="C219" s="9"/>
      <c r="D219" s="9"/>
      <c r="E219" s="9"/>
      <c r="H219" s="9"/>
    </row>
    <row r="220" spans="2:8" s="10" customFormat="1" ht="15" customHeight="1">
      <c r="B220" s="45"/>
      <c r="C220" s="9"/>
      <c r="D220" s="9"/>
      <c r="E220" s="9"/>
      <c r="H220" s="9"/>
    </row>
    <row r="221" spans="2:8" s="10" customFormat="1" ht="15" customHeight="1">
      <c r="B221" s="45"/>
      <c r="C221" s="9"/>
      <c r="D221" s="9"/>
      <c r="E221" s="9"/>
      <c r="H221" s="9"/>
    </row>
    <row r="222" spans="2:8" s="10" customFormat="1" ht="15" customHeight="1">
      <c r="B222" s="45"/>
      <c r="C222" s="9"/>
      <c r="D222" s="9"/>
      <c r="E222" s="9"/>
      <c r="H222" s="9"/>
    </row>
    <row r="223" spans="2:8" s="10" customFormat="1" ht="15" customHeight="1">
      <c r="B223" s="45"/>
      <c r="C223" s="9"/>
      <c r="D223" s="9"/>
      <c r="E223" s="9"/>
      <c r="H223" s="9"/>
    </row>
    <row r="224" spans="2:8" s="10" customFormat="1" ht="15" customHeight="1">
      <c r="B224" s="45"/>
      <c r="C224" s="9"/>
      <c r="D224" s="9"/>
      <c r="E224" s="9"/>
      <c r="H224" s="9"/>
    </row>
    <row r="225" spans="2:8" s="10" customFormat="1" ht="15" customHeight="1">
      <c r="B225" s="45"/>
      <c r="C225" s="9"/>
      <c r="D225" s="9"/>
      <c r="E225" s="9"/>
      <c r="H225" s="9"/>
    </row>
    <row r="226" spans="2:8" s="10" customFormat="1" ht="15" customHeight="1">
      <c r="B226" s="45"/>
      <c r="C226" s="9"/>
      <c r="D226" s="9"/>
      <c r="E226" s="9"/>
      <c r="H226" s="9"/>
    </row>
    <row r="227" spans="2:8" s="10" customFormat="1" ht="15" customHeight="1">
      <c r="B227" s="45"/>
      <c r="C227" s="9"/>
      <c r="D227" s="9"/>
      <c r="E227" s="9"/>
      <c r="H227" s="9"/>
    </row>
    <row r="228" spans="2:8" s="10" customFormat="1" ht="15" customHeight="1">
      <c r="B228" s="45"/>
      <c r="C228" s="9"/>
      <c r="D228" s="9"/>
      <c r="E228" s="9"/>
      <c r="H228" s="9"/>
    </row>
    <row r="229" spans="2:8" s="10" customFormat="1" ht="15" customHeight="1">
      <c r="B229" s="45"/>
      <c r="C229" s="9"/>
      <c r="D229" s="9"/>
      <c r="E229" s="9"/>
      <c r="H229" s="9"/>
    </row>
    <row r="230" spans="2:8" s="10" customFormat="1" ht="15" customHeight="1">
      <c r="B230" s="45"/>
      <c r="C230" s="9"/>
      <c r="D230" s="9"/>
      <c r="E230" s="9"/>
      <c r="H230" s="9"/>
    </row>
    <row r="231" spans="2:8" s="10" customFormat="1" ht="15" customHeight="1">
      <c r="B231" s="45"/>
      <c r="C231" s="9"/>
      <c r="D231" s="9"/>
      <c r="E231" s="9"/>
      <c r="H231" s="9"/>
    </row>
    <row r="232" spans="2:8" s="10" customFormat="1" ht="15" customHeight="1">
      <c r="B232" s="45"/>
      <c r="C232" s="9"/>
      <c r="D232" s="9"/>
      <c r="E232" s="9"/>
      <c r="H232" s="9"/>
    </row>
    <row r="233" spans="2:8" s="10" customFormat="1" ht="15" customHeight="1">
      <c r="B233" s="45"/>
      <c r="C233" s="9"/>
      <c r="D233" s="9"/>
      <c r="E233" s="9"/>
      <c r="H233" s="9"/>
    </row>
    <row r="234" spans="2:8" s="10" customFormat="1" ht="15" customHeight="1">
      <c r="B234" s="45"/>
      <c r="C234" s="9"/>
      <c r="D234" s="9"/>
      <c r="E234" s="9"/>
      <c r="H234" s="9"/>
    </row>
    <row r="235" spans="2:8" s="10" customFormat="1" ht="15" customHeight="1">
      <c r="B235" s="45"/>
      <c r="C235" s="9"/>
      <c r="D235" s="9"/>
      <c r="E235" s="9"/>
      <c r="H235" s="9"/>
    </row>
    <row r="236" spans="2:8" s="10" customFormat="1" ht="15" customHeight="1">
      <c r="B236" s="45"/>
      <c r="C236" s="9"/>
      <c r="D236" s="9"/>
      <c r="E236" s="9"/>
      <c r="H236" s="9"/>
    </row>
    <row r="237" spans="2:8" s="10" customFormat="1" ht="15" customHeight="1">
      <c r="B237" s="45"/>
      <c r="C237" s="9"/>
      <c r="D237" s="9"/>
      <c r="E237" s="9"/>
      <c r="H237" s="9"/>
    </row>
    <row r="238" spans="2:8" s="10" customFormat="1" ht="15" customHeight="1">
      <c r="B238" s="45"/>
      <c r="C238" s="9"/>
      <c r="D238" s="9"/>
      <c r="E238" s="9"/>
      <c r="H238" s="9"/>
    </row>
    <row r="239" spans="2:8" s="10" customFormat="1" ht="15" customHeight="1">
      <c r="B239" s="45"/>
      <c r="C239" s="9"/>
      <c r="D239" s="9"/>
      <c r="E239" s="9"/>
      <c r="H239" s="9"/>
    </row>
    <row r="240" spans="2:8" s="10" customFormat="1" ht="15" customHeight="1">
      <c r="B240" s="45"/>
      <c r="C240" s="9"/>
      <c r="D240" s="9"/>
      <c r="E240" s="9"/>
      <c r="H240" s="9"/>
    </row>
    <row r="241" spans="2:8" s="10" customFormat="1" ht="15" customHeight="1">
      <c r="B241" s="45"/>
      <c r="C241" s="9"/>
      <c r="D241" s="9"/>
      <c r="E241" s="9"/>
      <c r="H241" s="9"/>
    </row>
    <row r="242" spans="2:8" s="10" customFormat="1" ht="15" customHeight="1">
      <c r="B242" s="45"/>
      <c r="C242" s="9"/>
      <c r="D242" s="9"/>
      <c r="E242" s="9"/>
      <c r="H242" s="9"/>
    </row>
    <row r="243" spans="2:8" s="10" customFormat="1" ht="15" customHeight="1">
      <c r="B243" s="45"/>
      <c r="C243" s="9"/>
      <c r="D243" s="9"/>
      <c r="E243" s="9"/>
      <c r="H243" s="9"/>
    </row>
    <row r="244" spans="2:8" s="10" customFormat="1" ht="15" customHeight="1">
      <c r="B244" s="45"/>
      <c r="C244" s="9"/>
      <c r="D244" s="9"/>
      <c r="E244" s="9"/>
      <c r="H244" s="9"/>
    </row>
    <row r="245" spans="2:8" s="10" customFormat="1" ht="15" customHeight="1">
      <c r="B245" s="45"/>
      <c r="C245" s="9"/>
      <c r="D245" s="9"/>
      <c r="E245" s="9"/>
      <c r="H245" s="9"/>
    </row>
    <row r="246" spans="2:8" s="10" customFormat="1" ht="15" customHeight="1">
      <c r="B246" s="45"/>
      <c r="C246" s="9"/>
      <c r="D246" s="9"/>
      <c r="E246" s="9"/>
      <c r="H246" s="9"/>
    </row>
    <row r="247" spans="2:8" s="10" customFormat="1" ht="15" customHeight="1">
      <c r="B247" s="45"/>
      <c r="C247" s="9"/>
      <c r="D247" s="9"/>
      <c r="E247" s="9"/>
      <c r="H247" s="9"/>
    </row>
    <row r="248" spans="2:8" s="10" customFormat="1" ht="15" customHeight="1">
      <c r="B248" s="45"/>
      <c r="C248" s="9"/>
      <c r="D248" s="9"/>
      <c r="E248" s="9"/>
      <c r="H248" s="9"/>
    </row>
    <row r="249" spans="2:8" s="10" customFormat="1" ht="15" customHeight="1">
      <c r="B249" s="45"/>
      <c r="C249" s="9"/>
      <c r="D249" s="9"/>
      <c r="E249" s="9"/>
      <c r="H249" s="9"/>
    </row>
    <row r="250" spans="2:8" s="10" customFormat="1" ht="15" customHeight="1">
      <c r="B250" s="45"/>
      <c r="C250" s="9"/>
      <c r="D250" s="9"/>
      <c r="E250" s="9"/>
      <c r="H250" s="9"/>
    </row>
    <row r="251" spans="2:8" s="10" customFormat="1" ht="15" customHeight="1">
      <c r="B251" s="45"/>
      <c r="C251" s="9"/>
      <c r="D251" s="9"/>
      <c r="E251" s="9"/>
      <c r="H251" s="9"/>
    </row>
    <row r="252" spans="2:8" s="10" customFormat="1" ht="15" customHeight="1">
      <c r="B252" s="45"/>
      <c r="C252" s="9"/>
      <c r="D252" s="9"/>
      <c r="E252" s="9"/>
      <c r="H252" s="9"/>
    </row>
    <row r="253" spans="2:8" s="10" customFormat="1" ht="15" customHeight="1">
      <c r="B253" s="45"/>
      <c r="C253" s="9"/>
      <c r="D253" s="9"/>
      <c r="E253" s="9"/>
      <c r="H253" s="9"/>
    </row>
    <row r="254" spans="2:8" s="10" customFormat="1" ht="15" customHeight="1">
      <c r="B254" s="45"/>
      <c r="C254" s="9"/>
      <c r="D254" s="9"/>
      <c r="E254" s="9"/>
      <c r="H254" s="9"/>
    </row>
    <row r="255" spans="2:8" s="10" customFormat="1" ht="15" customHeight="1">
      <c r="B255" s="45"/>
      <c r="C255" s="9"/>
      <c r="D255" s="9"/>
      <c r="E255" s="9"/>
      <c r="H255" s="9"/>
    </row>
    <row r="256" spans="2:8" s="10" customFormat="1" ht="15" customHeight="1">
      <c r="B256" s="45"/>
      <c r="C256" s="9"/>
      <c r="D256" s="9"/>
      <c r="E256" s="9"/>
      <c r="H256" s="9"/>
    </row>
    <row r="257" spans="2:8" s="10" customFormat="1" ht="15" customHeight="1">
      <c r="B257" s="45"/>
      <c r="C257" s="9"/>
      <c r="D257" s="9"/>
      <c r="E257" s="9"/>
      <c r="H257" s="9"/>
    </row>
    <row r="258" spans="2:8" s="10" customFormat="1" ht="15" customHeight="1">
      <c r="B258" s="45"/>
      <c r="C258" s="9"/>
      <c r="D258" s="9"/>
      <c r="E258" s="9"/>
      <c r="H258" s="9"/>
    </row>
    <row r="259" spans="2:8" s="10" customFormat="1" ht="15" customHeight="1">
      <c r="B259" s="45"/>
      <c r="C259" s="9"/>
      <c r="D259" s="9"/>
      <c r="E259" s="9"/>
      <c r="H259" s="9"/>
    </row>
    <row r="260" spans="2:8" s="10" customFormat="1" ht="15" customHeight="1">
      <c r="B260" s="45"/>
      <c r="C260" s="9"/>
      <c r="D260" s="9"/>
      <c r="E260" s="9"/>
      <c r="H260" s="9"/>
    </row>
    <row r="261" spans="2:8" s="10" customFormat="1" ht="15" customHeight="1">
      <c r="B261" s="45"/>
      <c r="C261" s="9"/>
      <c r="D261" s="9"/>
      <c r="E261" s="9"/>
      <c r="H261" s="9"/>
    </row>
    <row r="262" spans="2:8" s="10" customFormat="1" ht="15" customHeight="1">
      <c r="B262" s="45"/>
      <c r="C262" s="9"/>
      <c r="D262" s="9"/>
      <c r="E262" s="9"/>
      <c r="H262" s="9"/>
    </row>
    <row r="263" spans="2:8" s="10" customFormat="1" ht="15" customHeight="1">
      <c r="B263" s="45"/>
      <c r="C263" s="9"/>
      <c r="D263" s="9"/>
      <c r="E263" s="9"/>
      <c r="H263" s="9"/>
    </row>
    <row r="264" spans="2:8" s="10" customFormat="1" ht="15" customHeight="1">
      <c r="B264" s="45"/>
      <c r="C264" s="9"/>
      <c r="D264" s="9"/>
      <c r="E264" s="9"/>
      <c r="H264" s="9"/>
    </row>
    <row r="265" spans="2:8" s="10" customFormat="1" ht="15" customHeight="1">
      <c r="B265" s="45"/>
      <c r="C265" s="9"/>
      <c r="D265" s="9"/>
      <c r="E265" s="9"/>
      <c r="H265" s="9"/>
    </row>
    <row r="266" spans="2:8" s="10" customFormat="1" ht="15" customHeight="1">
      <c r="B266" s="45"/>
      <c r="C266" s="9"/>
      <c r="D266" s="9"/>
      <c r="E266" s="9"/>
      <c r="H266" s="9"/>
    </row>
    <row r="267" spans="2:8" s="10" customFormat="1" ht="15" customHeight="1">
      <c r="B267" s="45"/>
      <c r="C267" s="9"/>
      <c r="D267" s="9"/>
      <c r="E267" s="9"/>
      <c r="H267" s="9"/>
    </row>
    <row r="268" spans="2:8" s="10" customFormat="1" ht="15" customHeight="1">
      <c r="B268" s="45"/>
      <c r="C268" s="9"/>
      <c r="D268" s="9"/>
      <c r="E268" s="9"/>
      <c r="H268" s="9"/>
    </row>
    <row r="269" spans="2:8" s="10" customFormat="1" ht="15" customHeight="1">
      <c r="B269" s="45"/>
      <c r="C269" s="9"/>
      <c r="D269" s="9"/>
      <c r="E269" s="9"/>
      <c r="H269" s="9"/>
    </row>
    <row r="270" spans="2:8" s="10" customFormat="1" ht="15" customHeight="1">
      <c r="B270" s="45"/>
      <c r="C270" s="9"/>
      <c r="D270" s="9"/>
      <c r="E270" s="9"/>
      <c r="H270" s="9"/>
    </row>
    <row r="271" spans="2:8" s="10" customFormat="1" ht="15" customHeight="1">
      <c r="B271" s="45"/>
      <c r="C271" s="9"/>
      <c r="D271" s="9"/>
      <c r="E271" s="9"/>
      <c r="H271" s="9"/>
    </row>
    <row r="272" spans="2:8" s="10" customFormat="1" ht="15" customHeight="1">
      <c r="B272" s="45"/>
      <c r="C272" s="9"/>
      <c r="D272" s="9"/>
      <c r="E272" s="9"/>
      <c r="H272" s="9"/>
    </row>
    <row r="273" spans="2:8" s="10" customFormat="1" ht="15" customHeight="1">
      <c r="B273" s="45"/>
      <c r="C273" s="9"/>
      <c r="D273" s="9"/>
      <c r="E273" s="9"/>
      <c r="H273" s="9"/>
    </row>
    <row r="274" spans="2:8" s="10" customFormat="1" ht="15" customHeight="1">
      <c r="B274" s="45"/>
      <c r="C274" s="9"/>
      <c r="D274" s="9"/>
      <c r="E274" s="9"/>
      <c r="H274" s="9"/>
    </row>
    <row r="275" spans="2:8" s="10" customFormat="1" ht="15" customHeight="1">
      <c r="B275" s="45"/>
      <c r="C275" s="9"/>
      <c r="D275" s="9"/>
      <c r="E275" s="9"/>
      <c r="H275" s="9"/>
    </row>
    <row r="276" spans="2:8" s="10" customFormat="1" ht="15" customHeight="1">
      <c r="B276" s="45"/>
      <c r="C276" s="9"/>
      <c r="D276" s="9"/>
      <c r="E276" s="9"/>
      <c r="H276" s="9"/>
    </row>
    <row r="277" spans="2:8" s="10" customFormat="1" ht="15" customHeight="1">
      <c r="B277" s="45"/>
      <c r="C277" s="9"/>
      <c r="D277" s="9"/>
      <c r="E277" s="9"/>
      <c r="H277" s="9"/>
    </row>
    <row r="278" spans="2:8" s="10" customFormat="1" ht="15" customHeight="1">
      <c r="B278" s="45"/>
      <c r="C278" s="9"/>
      <c r="D278" s="9"/>
      <c r="E278" s="9"/>
      <c r="H278" s="9"/>
    </row>
    <row r="279" spans="2:8" s="10" customFormat="1" ht="15" customHeight="1">
      <c r="B279" s="45"/>
      <c r="C279" s="9"/>
      <c r="D279" s="9"/>
      <c r="E279" s="9"/>
      <c r="H279" s="9"/>
    </row>
    <row r="280" spans="2:8" s="10" customFormat="1" ht="15" customHeight="1">
      <c r="B280" s="45"/>
      <c r="C280" s="9"/>
      <c r="D280" s="9"/>
      <c r="E280" s="9"/>
      <c r="H280" s="9"/>
    </row>
    <row r="281" spans="2:8" s="10" customFormat="1" ht="15" customHeight="1">
      <c r="B281" s="45"/>
      <c r="C281" s="9"/>
      <c r="D281" s="9"/>
      <c r="E281" s="9"/>
      <c r="H281" s="9"/>
    </row>
    <row r="282" spans="2:8" s="10" customFormat="1" ht="15" customHeight="1">
      <c r="B282" s="45"/>
      <c r="C282" s="9"/>
      <c r="D282" s="9"/>
      <c r="E282" s="9"/>
      <c r="H282" s="9"/>
    </row>
    <row r="283" spans="2:8" s="10" customFormat="1" ht="15" customHeight="1">
      <c r="B283" s="45"/>
      <c r="C283" s="9"/>
      <c r="D283" s="9"/>
      <c r="E283" s="9"/>
      <c r="H283" s="9"/>
    </row>
    <row r="284" spans="2:8" s="10" customFormat="1" ht="15" customHeight="1">
      <c r="B284" s="45"/>
      <c r="C284" s="9"/>
      <c r="D284" s="9"/>
      <c r="E284" s="9"/>
      <c r="H284" s="9"/>
    </row>
    <row r="285" spans="2:8" s="10" customFormat="1" ht="15" customHeight="1">
      <c r="B285" s="45"/>
      <c r="C285" s="9"/>
      <c r="D285" s="9"/>
      <c r="E285" s="9"/>
      <c r="H285" s="9"/>
    </row>
    <row r="286" spans="2:8" s="10" customFormat="1" ht="15" customHeight="1">
      <c r="B286" s="45"/>
      <c r="C286" s="9"/>
      <c r="D286" s="9"/>
      <c r="E286" s="9"/>
      <c r="H286" s="9"/>
    </row>
    <row r="287" spans="2:8" s="10" customFormat="1" ht="15" customHeight="1">
      <c r="B287" s="45"/>
      <c r="C287" s="9"/>
      <c r="D287" s="9"/>
      <c r="E287" s="9"/>
      <c r="H287" s="9"/>
    </row>
    <row r="288" spans="2:8" s="10" customFormat="1" ht="15" customHeight="1">
      <c r="B288" s="45"/>
      <c r="C288" s="9"/>
      <c r="D288" s="9"/>
      <c r="E288" s="9"/>
      <c r="H288" s="9"/>
    </row>
    <row r="289" spans="2:8" s="10" customFormat="1" ht="15" customHeight="1">
      <c r="B289" s="45"/>
      <c r="C289" s="9"/>
      <c r="D289" s="9"/>
      <c r="E289" s="9"/>
      <c r="H289" s="9"/>
    </row>
    <row r="290" spans="2:8" s="10" customFormat="1" ht="15" customHeight="1">
      <c r="B290" s="45"/>
      <c r="C290" s="9"/>
      <c r="D290" s="9"/>
      <c r="E290" s="9"/>
      <c r="H290" s="9"/>
    </row>
    <row r="291" spans="2:8" s="10" customFormat="1" ht="15" customHeight="1">
      <c r="B291" s="45"/>
      <c r="C291" s="9"/>
      <c r="D291" s="9"/>
      <c r="E291" s="9"/>
      <c r="H291" s="9"/>
    </row>
    <row r="292" spans="2:8" s="10" customFormat="1" ht="15" customHeight="1">
      <c r="B292" s="45"/>
      <c r="C292" s="9"/>
      <c r="D292" s="9"/>
      <c r="E292" s="9"/>
      <c r="H292" s="9"/>
    </row>
    <row r="293" spans="2:8" s="10" customFormat="1" ht="15" customHeight="1">
      <c r="B293" s="45"/>
      <c r="C293" s="9"/>
      <c r="D293" s="9"/>
      <c r="E293" s="9"/>
      <c r="H293" s="9"/>
    </row>
    <row r="294" spans="2:8" s="10" customFormat="1" ht="15" customHeight="1">
      <c r="B294" s="45"/>
      <c r="C294" s="9"/>
      <c r="D294" s="9"/>
      <c r="E294" s="9"/>
      <c r="H294" s="9"/>
    </row>
    <row r="295" spans="2:8" s="10" customFormat="1" ht="15" customHeight="1">
      <c r="B295" s="45"/>
      <c r="C295" s="9"/>
      <c r="D295" s="9"/>
      <c r="E295" s="9"/>
      <c r="H295" s="9"/>
    </row>
    <row r="296" spans="2:8" s="10" customFormat="1" ht="15" customHeight="1">
      <c r="B296" s="45"/>
      <c r="C296" s="9"/>
      <c r="D296" s="9"/>
      <c r="E296" s="9"/>
      <c r="H296" s="9"/>
    </row>
    <row r="297" spans="2:8" s="10" customFormat="1" ht="15" customHeight="1">
      <c r="B297" s="45"/>
      <c r="C297" s="9"/>
      <c r="D297" s="9"/>
      <c r="E297" s="9"/>
      <c r="H297" s="9"/>
    </row>
    <row r="298" spans="2:8" s="10" customFormat="1" ht="15" customHeight="1">
      <c r="B298" s="45"/>
      <c r="C298" s="9"/>
      <c r="D298" s="9"/>
      <c r="E298" s="9"/>
      <c r="H298" s="9"/>
    </row>
    <row r="299" spans="2:8" s="10" customFormat="1" ht="15" customHeight="1">
      <c r="B299" s="45"/>
      <c r="C299" s="9"/>
      <c r="D299" s="9"/>
      <c r="E299" s="9"/>
      <c r="H299" s="9"/>
    </row>
    <row r="300" spans="2:8" s="10" customFormat="1" ht="15" customHeight="1">
      <c r="B300" s="45"/>
      <c r="C300" s="9"/>
      <c r="D300" s="9"/>
      <c r="E300" s="9"/>
      <c r="H300" s="9"/>
    </row>
    <row r="301" spans="2:8" s="10" customFormat="1" ht="15" customHeight="1">
      <c r="B301" s="45"/>
      <c r="C301" s="9"/>
      <c r="D301" s="9"/>
      <c r="E301" s="9"/>
      <c r="H301" s="9"/>
    </row>
    <row r="302" spans="2:8" s="10" customFormat="1" ht="15" customHeight="1">
      <c r="B302" s="45"/>
      <c r="C302" s="9"/>
      <c r="D302" s="9"/>
      <c r="E302" s="9"/>
      <c r="H302" s="9"/>
    </row>
    <row r="303" spans="2:8" s="10" customFormat="1" ht="15" customHeight="1">
      <c r="B303" s="45"/>
      <c r="C303" s="9"/>
      <c r="D303" s="9"/>
      <c r="E303" s="9"/>
      <c r="H303" s="9"/>
    </row>
    <row r="304" spans="2:8" s="10" customFormat="1" ht="15" customHeight="1">
      <c r="B304" s="45"/>
      <c r="C304" s="9"/>
      <c r="D304" s="9"/>
      <c r="E304" s="9"/>
      <c r="H304" s="9"/>
    </row>
    <row r="305" spans="2:8" s="10" customFormat="1" ht="15" customHeight="1">
      <c r="B305" s="45"/>
      <c r="C305" s="9"/>
      <c r="D305" s="9"/>
      <c r="E305" s="9"/>
      <c r="H305" s="9"/>
    </row>
    <row r="306" spans="2:8" s="10" customFormat="1" ht="15" customHeight="1">
      <c r="B306" s="45"/>
      <c r="C306" s="9"/>
      <c r="D306" s="9"/>
      <c r="E306" s="9"/>
      <c r="H306" s="9"/>
    </row>
    <row r="307" spans="2:8" s="10" customFormat="1" ht="15" customHeight="1">
      <c r="B307" s="45"/>
      <c r="C307" s="9"/>
      <c r="D307" s="9"/>
      <c r="E307" s="9"/>
      <c r="H307" s="9"/>
    </row>
    <row r="308" spans="2:8" s="10" customFormat="1" ht="15" customHeight="1">
      <c r="B308" s="45"/>
      <c r="C308" s="9"/>
      <c r="D308" s="9"/>
      <c r="E308" s="9"/>
      <c r="H308" s="9"/>
    </row>
    <row r="309" spans="2:8" s="10" customFormat="1" ht="15" customHeight="1">
      <c r="B309" s="45"/>
      <c r="C309" s="9"/>
      <c r="D309" s="9"/>
      <c r="E309" s="9"/>
      <c r="H309" s="9"/>
    </row>
    <row r="310" spans="2:8" s="10" customFormat="1" ht="15" customHeight="1">
      <c r="B310" s="45"/>
      <c r="C310" s="9"/>
      <c r="D310" s="9"/>
      <c r="E310" s="9"/>
      <c r="H310" s="9"/>
    </row>
    <row r="311" spans="2:8" s="10" customFormat="1" ht="15" customHeight="1">
      <c r="B311" s="45"/>
      <c r="C311" s="9"/>
      <c r="D311" s="9"/>
      <c r="E311" s="9"/>
      <c r="H311" s="9"/>
    </row>
    <row r="312" spans="2:8" s="10" customFormat="1" ht="15" customHeight="1">
      <c r="B312" s="45"/>
      <c r="C312" s="9"/>
      <c r="D312" s="9"/>
      <c r="E312" s="9"/>
      <c r="H312" s="9"/>
    </row>
    <row r="313" spans="2:8" s="10" customFormat="1" ht="15" customHeight="1">
      <c r="B313" s="45"/>
      <c r="C313" s="9"/>
      <c r="D313" s="9"/>
      <c r="E313" s="9"/>
      <c r="H313" s="9"/>
    </row>
    <row r="314" spans="2:8" s="10" customFormat="1" ht="15" customHeight="1">
      <c r="B314" s="45"/>
      <c r="C314" s="9"/>
      <c r="D314" s="9"/>
      <c r="E314" s="9"/>
      <c r="H314" s="9"/>
    </row>
    <row r="315" spans="2:8" s="10" customFormat="1" ht="15" customHeight="1">
      <c r="B315" s="45"/>
      <c r="C315" s="9"/>
      <c r="D315" s="9"/>
      <c r="E315" s="9"/>
      <c r="H315" s="9"/>
    </row>
    <row r="316" spans="2:8" s="10" customFormat="1" ht="15" customHeight="1">
      <c r="B316" s="45"/>
      <c r="C316" s="9"/>
      <c r="D316" s="9"/>
      <c r="E316" s="9"/>
      <c r="H316" s="9"/>
    </row>
    <row r="317" spans="2:8" s="10" customFormat="1" ht="15" customHeight="1">
      <c r="B317" s="45"/>
      <c r="C317" s="9"/>
      <c r="D317" s="9"/>
      <c r="E317" s="9"/>
      <c r="H317" s="9"/>
    </row>
    <row r="318" spans="2:8" s="10" customFormat="1" ht="15" customHeight="1">
      <c r="B318" s="45"/>
      <c r="C318" s="9"/>
      <c r="D318" s="9"/>
      <c r="E318" s="9"/>
      <c r="H318" s="9"/>
    </row>
    <row r="319" spans="2:8" s="10" customFormat="1" ht="15" customHeight="1">
      <c r="B319" s="45"/>
      <c r="C319" s="9"/>
      <c r="D319" s="9"/>
      <c r="E319" s="9"/>
      <c r="H319" s="9"/>
    </row>
    <row r="320" spans="2:8" s="10" customFormat="1" ht="15" customHeight="1">
      <c r="B320" s="45"/>
      <c r="C320" s="9"/>
      <c r="D320" s="9"/>
      <c r="E320" s="9"/>
      <c r="H320" s="9"/>
    </row>
    <row r="321" spans="2:8" s="10" customFormat="1" ht="15" customHeight="1">
      <c r="B321" s="45"/>
      <c r="C321" s="9"/>
      <c r="D321" s="9"/>
      <c r="E321" s="9"/>
      <c r="H321" s="9"/>
    </row>
    <row r="322" spans="2:8" s="10" customFormat="1" ht="15" customHeight="1">
      <c r="B322" s="45"/>
      <c r="C322" s="9"/>
      <c r="D322" s="9"/>
      <c r="E322" s="9"/>
      <c r="H322" s="9"/>
    </row>
    <row r="323" spans="2:8" s="10" customFormat="1" ht="15" customHeight="1">
      <c r="B323" s="45"/>
      <c r="C323" s="9"/>
      <c r="D323" s="9"/>
      <c r="E323" s="9"/>
      <c r="H323" s="9"/>
    </row>
    <row r="324" spans="2:8" s="10" customFormat="1" ht="15" customHeight="1">
      <c r="B324" s="45"/>
      <c r="C324" s="9"/>
      <c r="D324" s="9"/>
      <c r="E324" s="9"/>
      <c r="H324" s="9"/>
    </row>
    <row r="325" spans="2:8" s="10" customFormat="1" ht="15" customHeight="1">
      <c r="B325" s="45"/>
      <c r="C325" s="9"/>
      <c r="D325" s="9"/>
      <c r="E325" s="9"/>
      <c r="H325" s="9"/>
    </row>
    <row r="326" spans="2:8" s="10" customFormat="1" ht="15" customHeight="1">
      <c r="B326" s="45"/>
      <c r="C326" s="9"/>
      <c r="D326" s="9"/>
      <c r="E326" s="9"/>
      <c r="H326" s="9"/>
    </row>
    <row r="327" spans="2:8" s="10" customFormat="1" ht="15" customHeight="1">
      <c r="B327" s="45"/>
      <c r="C327" s="9"/>
      <c r="D327" s="9"/>
      <c r="E327" s="9"/>
      <c r="H327" s="9"/>
    </row>
    <row r="328" spans="2:8" s="10" customFormat="1" ht="15" customHeight="1">
      <c r="B328" s="45"/>
      <c r="C328" s="9"/>
      <c r="D328" s="9"/>
      <c r="E328" s="9"/>
      <c r="H328" s="9"/>
    </row>
    <row r="329" spans="2:8" s="10" customFormat="1" ht="15" customHeight="1">
      <c r="B329" s="45"/>
      <c r="C329" s="9"/>
      <c r="D329" s="9"/>
      <c r="E329" s="9"/>
      <c r="H329" s="9"/>
    </row>
    <row r="330" spans="2:8" s="10" customFormat="1" ht="15" customHeight="1">
      <c r="B330" s="45"/>
      <c r="C330" s="9"/>
      <c r="D330" s="9"/>
      <c r="E330" s="9"/>
      <c r="H330" s="9"/>
    </row>
    <row r="331" spans="2:8" s="10" customFormat="1" ht="15" customHeight="1">
      <c r="B331" s="45"/>
      <c r="C331" s="9"/>
      <c r="D331" s="9"/>
      <c r="E331" s="9"/>
      <c r="H331" s="9"/>
    </row>
    <row r="332" spans="2:8" s="10" customFormat="1" ht="15" customHeight="1">
      <c r="B332" s="45"/>
      <c r="C332" s="9"/>
      <c r="D332" s="9"/>
      <c r="E332" s="9"/>
      <c r="H332" s="9"/>
    </row>
    <row r="333" spans="2:8" s="10" customFormat="1" ht="15" customHeight="1">
      <c r="B333" s="45"/>
      <c r="C333" s="9"/>
      <c r="D333" s="9"/>
      <c r="E333" s="9"/>
      <c r="H333" s="9"/>
    </row>
    <row r="334" spans="2:8" s="10" customFormat="1" ht="15" customHeight="1">
      <c r="B334" s="45"/>
      <c r="C334" s="9"/>
      <c r="D334" s="9"/>
      <c r="E334" s="9"/>
      <c r="H334" s="9"/>
    </row>
    <row r="335" spans="2:8" s="10" customFormat="1" ht="15" customHeight="1">
      <c r="B335" s="45"/>
      <c r="C335" s="9"/>
      <c r="D335" s="9"/>
      <c r="E335" s="9"/>
      <c r="H335" s="9"/>
    </row>
    <row r="336" spans="2:8" s="10" customFormat="1" ht="15" customHeight="1">
      <c r="B336" s="45"/>
      <c r="C336" s="9"/>
      <c r="D336" s="9"/>
      <c r="E336" s="9"/>
      <c r="H336" s="9"/>
    </row>
    <row r="337" spans="2:8" s="10" customFormat="1" ht="15" customHeight="1">
      <c r="B337" s="45"/>
      <c r="C337" s="9"/>
      <c r="D337" s="9"/>
      <c r="E337" s="9"/>
      <c r="H337" s="9"/>
    </row>
    <row r="338" spans="2:8" s="10" customFormat="1" ht="15" customHeight="1">
      <c r="B338" s="45"/>
      <c r="C338" s="9"/>
      <c r="D338" s="9"/>
      <c r="E338" s="9"/>
      <c r="H338" s="9"/>
    </row>
    <row r="339" spans="2:8" s="10" customFormat="1" ht="15" customHeight="1">
      <c r="B339" s="45"/>
      <c r="C339" s="9"/>
      <c r="D339" s="9"/>
      <c r="E339" s="9"/>
      <c r="H339" s="9"/>
    </row>
    <row r="340" spans="2:8" s="10" customFormat="1" ht="15" customHeight="1">
      <c r="B340" s="45"/>
      <c r="C340" s="9"/>
      <c r="D340" s="9"/>
      <c r="E340" s="9"/>
      <c r="H340" s="9"/>
    </row>
    <row r="341" spans="2:8" s="10" customFormat="1" ht="15" customHeight="1">
      <c r="B341" s="45"/>
      <c r="C341" s="9"/>
      <c r="D341" s="9"/>
      <c r="E341" s="9"/>
      <c r="H341" s="9"/>
    </row>
    <row r="342" spans="2:8" s="10" customFormat="1" ht="15" customHeight="1">
      <c r="B342" s="45"/>
      <c r="C342" s="9"/>
      <c r="D342" s="9"/>
      <c r="E342" s="9"/>
      <c r="H342" s="9"/>
    </row>
    <row r="343" spans="2:8" s="10" customFormat="1" ht="15" customHeight="1">
      <c r="B343" s="45"/>
      <c r="C343" s="9"/>
      <c r="D343" s="9"/>
      <c r="E343" s="9"/>
      <c r="H343" s="9"/>
    </row>
    <row r="344" spans="2:8" s="10" customFormat="1" ht="15" customHeight="1">
      <c r="B344" s="45"/>
      <c r="C344" s="9"/>
      <c r="D344" s="9"/>
      <c r="E344" s="9"/>
      <c r="H344" s="9"/>
    </row>
    <row r="345" spans="2:8" s="10" customFormat="1" ht="15" customHeight="1">
      <c r="B345" s="45"/>
      <c r="C345" s="9"/>
      <c r="D345" s="9"/>
      <c r="E345" s="9"/>
      <c r="H345" s="9"/>
    </row>
    <row r="346" spans="2:8" s="10" customFormat="1" ht="15" customHeight="1">
      <c r="B346" s="45"/>
      <c r="C346" s="9"/>
      <c r="D346" s="9"/>
      <c r="E346" s="9"/>
      <c r="H346" s="9"/>
    </row>
    <row r="347" spans="2:8" s="10" customFormat="1" ht="15" customHeight="1">
      <c r="B347" s="45"/>
      <c r="C347" s="9"/>
      <c r="D347" s="9"/>
      <c r="E347" s="9"/>
      <c r="H347" s="9"/>
    </row>
    <row r="348" spans="2:8" s="10" customFormat="1" ht="15" customHeight="1">
      <c r="B348" s="45"/>
      <c r="C348" s="9"/>
      <c r="D348" s="9"/>
      <c r="E348" s="9"/>
      <c r="H348" s="9"/>
    </row>
    <row r="349" spans="2:8" s="10" customFormat="1" ht="15" customHeight="1">
      <c r="B349" s="45"/>
      <c r="C349" s="9"/>
      <c r="D349" s="9"/>
      <c r="E349" s="9"/>
      <c r="H349" s="9"/>
    </row>
    <row r="350" spans="2:8" s="10" customFormat="1" ht="15" customHeight="1">
      <c r="B350" s="45"/>
      <c r="C350" s="9"/>
      <c r="D350" s="9"/>
      <c r="E350" s="9"/>
      <c r="H350" s="9"/>
    </row>
    <row r="351" spans="2:8" s="10" customFormat="1" ht="15" customHeight="1">
      <c r="B351" s="45"/>
      <c r="C351" s="9"/>
      <c r="D351" s="9"/>
      <c r="E351" s="9"/>
      <c r="H351" s="9"/>
    </row>
    <row r="352" spans="2:8" s="10" customFormat="1" ht="15" customHeight="1">
      <c r="B352" s="45"/>
      <c r="C352" s="9"/>
      <c r="D352" s="9"/>
      <c r="E352" s="9"/>
      <c r="H352" s="9"/>
    </row>
    <row r="353" spans="2:8" s="10" customFormat="1" ht="15" customHeight="1">
      <c r="B353" s="45"/>
      <c r="C353" s="9"/>
      <c r="D353" s="9"/>
      <c r="E353" s="9"/>
      <c r="H353" s="9"/>
    </row>
    <row r="354" spans="2:8" s="10" customFormat="1" ht="15" customHeight="1">
      <c r="B354" s="45"/>
      <c r="C354" s="9"/>
      <c r="D354" s="9"/>
      <c r="E354" s="9"/>
      <c r="H354" s="9"/>
    </row>
    <row r="355" spans="2:8" s="10" customFormat="1" ht="15" customHeight="1">
      <c r="B355" s="45"/>
      <c r="C355" s="9"/>
      <c r="D355" s="9"/>
      <c r="E355" s="9"/>
      <c r="H355" s="9"/>
    </row>
    <row r="356" spans="2:8" s="10" customFormat="1" ht="15" customHeight="1">
      <c r="B356" s="45"/>
      <c r="C356" s="9"/>
      <c r="D356" s="9"/>
      <c r="E356" s="9"/>
      <c r="H356" s="9"/>
    </row>
    <row r="357" spans="2:8" s="10" customFormat="1" ht="15" customHeight="1">
      <c r="B357" s="45"/>
      <c r="C357" s="9"/>
      <c r="D357" s="9"/>
      <c r="E357" s="9"/>
      <c r="H357" s="9"/>
    </row>
    <row r="358" spans="2:8" s="10" customFormat="1" ht="15" customHeight="1">
      <c r="B358" s="45"/>
      <c r="C358" s="9"/>
      <c r="D358" s="9"/>
      <c r="E358" s="9"/>
      <c r="H358" s="9"/>
    </row>
    <row r="359" spans="2:8" s="10" customFormat="1" ht="15" customHeight="1">
      <c r="B359" s="45"/>
      <c r="C359" s="9"/>
      <c r="D359" s="9"/>
      <c r="E359" s="9"/>
      <c r="H359" s="9"/>
    </row>
    <row r="360" spans="2:8" s="10" customFormat="1" ht="15" customHeight="1">
      <c r="B360" s="45"/>
      <c r="C360" s="9"/>
      <c r="D360" s="9"/>
      <c r="E360" s="9"/>
      <c r="H360" s="9"/>
    </row>
    <row r="361" spans="2:8" s="10" customFormat="1" ht="15" customHeight="1">
      <c r="B361" s="45"/>
      <c r="C361" s="9"/>
      <c r="D361" s="9"/>
      <c r="E361" s="9"/>
      <c r="H361" s="9"/>
    </row>
    <row r="362" spans="2:8" s="10" customFormat="1" ht="15" customHeight="1">
      <c r="B362" s="45"/>
      <c r="C362" s="9"/>
      <c r="D362" s="9"/>
      <c r="E362" s="9"/>
      <c r="H362" s="9"/>
    </row>
    <row r="363" spans="2:8" s="10" customFormat="1" ht="15" customHeight="1">
      <c r="B363" s="45"/>
      <c r="C363" s="9"/>
      <c r="D363" s="9"/>
      <c r="E363" s="9"/>
      <c r="H363" s="9"/>
    </row>
    <row r="364" spans="2:8" s="10" customFormat="1" ht="15" customHeight="1">
      <c r="B364" s="45"/>
      <c r="C364" s="9"/>
      <c r="D364" s="9"/>
      <c r="E364" s="9"/>
      <c r="H364" s="9"/>
    </row>
    <row r="365" spans="2:8" s="10" customFormat="1" ht="15" customHeight="1">
      <c r="B365" s="45"/>
      <c r="C365" s="9"/>
      <c r="D365" s="9"/>
      <c r="E365" s="9"/>
      <c r="H365" s="9"/>
    </row>
    <row r="366" spans="2:8" s="10" customFormat="1" ht="15" customHeight="1">
      <c r="B366" s="45"/>
      <c r="C366" s="9"/>
      <c r="D366" s="9"/>
      <c r="E366" s="9"/>
      <c r="H366" s="9"/>
    </row>
    <row r="367" spans="2:8" s="10" customFormat="1" ht="15" customHeight="1">
      <c r="B367" s="45"/>
      <c r="C367" s="9"/>
      <c r="D367" s="9"/>
      <c r="E367" s="9"/>
      <c r="H367" s="9"/>
    </row>
    <row r="368" spans="2:8" s="10" customFormat="1" ht="15" customHeight="1">
      <c r="B368" s="45"/>
      <c r="C368" s="9"/>
      <c r="D368" s="9"/>
      <c r="E368" s="9"/>
      <c r="H368" s="9"/>
    </row>
    <row r="369" spans="2:8" s="10" customFormat="1" ht="15" customHeight="1">
      <c r="B369" s="45"/>
      <c r="C369" s="9"/>
      <c r="D369" s="9"/>
      <c r="E369" s="9"/>
      <c r="H369" s="9"/>
    </row>
    <row r="370" spans="2:8" s="10" customFormat="1" ht="15" customHeight="1">
      <c r="B370" s="45"/>
      <c r="C370" s="9"/>
      <c r="D370" s="9"/>
      <c r="E370" s="9"/>
      <c r="H370" s="9"/>
    </row>
    <row r="371" spans="2:8" s="10" customFormat="1" ht="15" customHeight="1">
      <c r="B371" s="45"/>
      <c r="C371" s="9"/>
      <c r="D371" s="9"/>
      <c r="E371" s="9"/>
      <c r="H371" s="9"/>
    </row>
    <row r="372" spans="2:8" s="10" customFormat="1" ht="15" customHeight="1">
      <c r="B372" s="45"/>
      <c r="C372" s="9"/>
      <c r="D372" s="9"/>
      <c r="E372" s="9"/>
      <c r="H372" s="9"/>
    </row>
    <row r="373" spans="2:8" s="10" customFormat="1" ht="15" customHeight="1">
      <c r="B373" s="45"/>
      <c r="C373" s="9"/>
      <c r="D373" s="9"/>
      <c r="E373" s="9"/>
      <c r="H373" s="9"/>
    </row>
    <row r="374" spans="2:8" s="10" customFormat="1" ht="15" customHeight="1">
      <c r="B374" s="45"/>
      <c r="C374" s="9"/>
      <c r="D374" s="9"/>
      <c r="E374" s="9"/>
      <c r="H374" s="9"/>
    </row>
    <row r="375" spans="2:8" s="10" customFormat="1" ht="15" customHeight="1">
      <c r="B375" s="45"/>
      <c r="C375" s="9"/>
      <c r="D375" s="9"/>
      <c r="E375" s="9"/>
      <c r="H375" s="9"/>
    </row>
    <row r="376" spans="2:8" s="10" customFormat="1" ht="15" customHeight="1">
      <c r="B376" s="45"/>
      <c r="C376" s="9"/>
      <c r="D376" s="9"/>
      <c r="E376" s="9"/>
      <c r="H376" s="9"/>
    </row>
    <row r="377" spans="2:8" s="10" customFormat="1" ht="15" customHeight="1">
      <c r="B377" s="45"/>
      <c r="C377" s="9"/>
      <c r="D377" s="9"/>
      <c r="E377" s="9"/>
      <c r="H377" s="9"/>
    </row>
    <row r="378" spans="2:8" s="10" customFormat="1" ht="15" customHeight="1">
      <c r="B378" s="45"/>
      <c r="C378" s="9"/>
      <c r="D378" s="9"/>
      <c r="E378" s="9"/>
      <c r="H378" s="9"/>
    </row>
    <row r="379" spans="2:8" s="10" customFormat="1" ht="15" customHeight="1">
      <c r="B379" s="45"/>
      <c r="C379" s="9"/>
      <c r="D379" s="9"/>
      <c r="E379" s="9"/>
      <c r="H379" s="9"/>
    </row>
    <row r="380" spans="2:8" s="10" customFormat="1" ht="15" customHeight="1">
      <c r="B380" s="45"/>
      <c r="C380" s="9"/>
      <c r="D380" s="9"/>
      <c r="E380" s="9"/>
      <c r="H380" s="9"/>
    </row>
    <row r="381" spans="2:8" s="10" customFormat="1" ht="15" customHeight="1">
      <c r="B381" s="45"/>
      <c r="C381" s="9"/>
      <c r="D381" s="9"/>
      <c r="E381" s="9"/>
      <c r="H381" s="9"/>
    </row>
    <row r="382" spans="2:8" s="10" customFormat="1" ht="15" customHeight="1">
      <c r="B382" s="45"/>
      <c r="C382" s="9"/>
      <c r="D382" s="9"/>
      <c r="E382" s="9"/>
      <c r="H382" s="9"/>
    </row>
    <row r="383" spans="2:8" s="10" customFormat="1" ht="15" customHeight="1">
      <c r="B383" s="45"/>
      <c r="C383" s="9"/>
      <c r="D383" s="9"/>
      <c r="E383" s="9"/>
      <c r="H383" s="9"/>
    </row>
    <row r="384" spans="2:8" s="10" customFormat="1" ht="15" customHeight="1">
      <c r="B384" s="45"/>
      <c r="C384" s="9"/>
      <c r="D384" s="9"/>
      <c r="E384" s="9"/>
      <c r="H384" s="9"/>
    </row>
    <row r="385" spans="2:8" s="10" customFormat="1" ht="15" customHeight="1">
      <c r="B385" s="45"/>
      <c r="C385" s="9"/>
      <c r="D385" s="9"/>
      <c r="E385" s="9"/>
      <c r="H385" s="9"/>
    </row>
    <row r="386" spans="2:8" s="10" customFormat="1" ht="15" customHeight="1">
      <c r="B386" s="45"/>
      <c r="C386" s="9"/>
      <c r="D386" s="9"/>
      <c r="E386" s="9"/>
      <c r="H386" s="9"/>
    </row>
    <row r="387" spans="2:8" s="10" customFormat="1" ht="15" customHeight="1">
      <c r="B387" s="45"/>
      <c r="C387" s="9"/>
      <c r="D387" s="9"/>
      <c r="E387" s="9"/>
      <c r="H387" s="9"/>
    </row>
    <row r="388" spans="2:8" s="10" customFormat="1" ht="15" customHeight="1">
      <c r="B388" s="45"/>
      <c r="C388" s="9"/>
      <c r="D388" s="9"/>
      <c r="E388" s="9"/>
      <c r="H388" s="9"/>
    </row>
    <row r="389" spans="2:8" s="10" customFormat="1" ht="15" customHeight="1">
      <c r="B389" s="45"/>
      <c r="C389" s="9"/>
      <c r="D389" s="9"/>
      <c r="E389" s="9"/>
      <c r="H389" s="9"/>
    </row>
    <row r="390" spans="2:8" s="10" customFormat="1" ht="15" customHeight="1">
      <c r="B390" s="45"/>
      <c r="C390" s="9"/>
      <c r="D390" s="9"/>
      <c r="E390" s="9"/>
      <c r="H390" s="9"/>
    </row>
    <row r="391" spans="2:8" s="10" customFormat="1" ht="15" customHeight="1">
      <c r="B391" s="45"/>
      <c r="C391" s="9"/>
      <c r="D391" s="9"/>
      <c r="E391" s="9"/>
      <c r="H391" s="9"/>
    </row>
    <row r="392" spans="2:8" s="10" customFormat="1" ht="15" customHeight="1">
      <c r="B392" s="45"/>
      <c r="C392" s="9"/>
      <c r="D392" s="9"/>
      <c r="E392" s="9"/>
      <c r="H392" s="9"/>
    </row>
    <row r="393" spans="2:8" s="10" customFormat="1" ht="15" customHeight="1">
      <c r="B393" s="45"/>
      <c r="C393" s="9"/>
      <c r="D393" s="9"/>
      <c r="E393" s="9"/>
      <c r="H393" s="9"/>
    </row>
    <row r="394" spans="2:8" s="10" customFormat="1" ht="15" customHeight="1">
      <c r="B394" s="45"/>
      <c r="C394" s="9"/>
      <c r="D394" s="9"/>
      <c r="E394" s="9"/>
      <c r="H394" s="9"/>
    </row>
    <row r="395" spans="2:8" s="10" customFormat="1" ht="15" customHeight="1">
      <c r="B395" s="45"/>
      <c r="C395" s="9"/>
      <c r="D395" s="9"/>
      <c r="E395" s="9"/>
      <c r="H395" s="9"/>
    </row>
    <row r="396" spans="2:8" s="10" customFormat="1" ht="15" customHeight="1">
      <c r="B396" s="45"/>
      <c r="C396" s="9"/>
      <c r="D396" s="9"/>
      <c r="E396" s="9"/>
      <c r="H396" s="9"/>
    </row>
    <row r="397" spans="2:8" s="10" customFormat="1" ht="15" customHeight="1">
      <c r="B397" s="45"/>
      <c r="C397" s="9"/>
      <c r="D397" s="9"/>
      <c r="E397" s="9"/>
      <c r="H397" s="9"/>
    </row>
    <row r="398" spans="2:8" s="10" customFormat="1" ht="15" customHeight="1">
      <c r="B398" s="45"/>
      <c r="C398" s="9"/>
      <c r="D398" s="9"/>
      <c r="E398" s="9"/>
      <c r="H398" s="9"/>
    </row>
    <row r="399" spans="2:8" s="10" customFormat="1" ht="15" customHeight="1">
      <c r="B399" s="45"/>
      <c r="C399" s="9"/>
      <c r="D399" s="9"/>
      <c r="E399" s="9"/>
      <c r="H399" s="9"/>
    </row>
    <row r="400" spans="2:8" s="10" customFormat="1" ht="15" customHeight="1">
      <c r="B400" s="45"/>
      <c r="C400" s="9"/>
      <c r="D400" s="9"/>
      <c r="E400" s="9"/>
      <c r="H400" s="9"/>
    </row>
    <row r="401" spans="2:8" s="10" customFormat="1" ht="15" customHeight="1">
      <c r="B401" s="45"/>
      <c r="C401" s="9"/>
      <c r="D401" s="9"/>
      <c r="E401" s="9"/>
      <c r="H401" s="9"/>
    </row>
    <row r="402" spans="2:8" s="10" customFormat="1" ht="15" customHeight="1">
      <c r="B402" s="45"/>
      <c r="C402" s="9"/>
      <c r="D402" s="9"/>
      <c r="E402" s="9"/>
      <c r="H402" s="9"/>
    </row>
    <row r="403" spans="2:8" s="10" customFormat="1" ht="15" customHeight="1">
      <c r="B403" s="45"/>
      <c r="C403" s="9"/>
      <c r="D403" s="9"/>
      <c r="E403" s="9"/>
      <c r="H403" s="9"/>
    </row>
    <row r="404" spans="2:8" s="10" customFormat="1" ht="15" customHeight="1">
      <c r="B404" s="45"/>
      <c r="C404" s="9"/>
      <c r="D404" s="9"/>
      <c r="E404" s="9"/>
      <c r="H404" s="9"/>
    </row>
    <row r="405" spans="2:8" s="10" customFormat="1" ht="15" customHeight="1">
      <c r="B405" s="45"/>
      <c r="C405" s="9"/>
      <c r="D405" s="9"/>
      <c r="E405" s="9"/>
      <c r="H405" s="9"/>
    </row>
    <row r="406" spans="2:8" s="10" customFormat="1" ht="15" customHeight="1">
      <c r="B406" s="45"/>
      <c r="C406" s="9"/>
      <c r="D406" s="9"/>
      <c r="E406" s="9"/>
      <c r="H406" s="9"/>
    </row>
    <row r="407" spans="2:8" s="10" customFormat="1" ht="15" customHeight="1">
      <c r="B407" s="45"/>
      <c r="C407" s="9"/>
      <c r="D407" s="9"/>
      <c r="E407" s="9"/>
      <c r="H407" s="9"/>
    </row>
    <row r="408" spans="2:8" s="10" customFormat="1" ht="15" customHeight="1">
      <c r="B408" s="45"/>
      <c r="C408" s="9"/>
      <c r="D408" s="9"/>
      <c r="E408" s="9"/>
      <c r="H408" s="9"/>
    </row>
    <row r="409" spans="2:8" s="10" customFormat="1" ht="15" customHeight="1">
      <c r="B409" s="45"/>
      <c r="C409" s="9"/>
      <c r="D409" s="9"/>
      <c r="E409" s="9"/>
      <c r="H409" s="9"/>
    </row>
    <row r="410" spans="2:8" s="10" customFormat="1" ht="15" customHeight="1">
      <c r="B410" s="45"/>
      <c r="C410" s="9"/>
      <c r="D410" s="9"/>
      <c r="E410" s="9"/>
      <c r="H410" s="9"/>
    </row>
    <row r="411" spans="2:8" s="10" customFormat="1" ht="15" customHeight="1">
      <c r="B411" s="45"/>
      <c r="C411" s="9"/>
      <c r="D411" s="9"/>
      <c r="E411" s="9"/>
      <c r="H411" s="9"/>
    </row>
    <row r="412" spans="2:8" s="10" customFormat="1" ht="15" customHeight="1">
      <c r="B412" s="45"/>
      <c r="C412" s="9"/>
      <c r="D412" s="9"/>
      <c r="E412" s="9"/>
      <c r="H412" s="9"/>
    </row>
    <row r="413" spans="2:8" s="10" customFormat="1" ht="15" customHeight="1">
      <c r="B413" s="45"/>
      <c r="C413" s="9"/>
      <c r="D413" s="9"/>
      <c r="E413" s="9"/>
      <c r="H413" s="9"/>
    </row>
    <row r="414" spans="2:8" s="10" customFormat="1" ht="15" customHeight="1">
      <c r="B414" s="45"/>
      <c r="C414" s="9"/>
      <c r="D414" s="9"/>
      <c r="E414" s="9"/>
      <c r="H414" s="9"/>
    </row>
    <row r="415" spans="2:8" s="10" customFormat="1" ht="15" customHeight="1">
      <c r="B415" s="45"/>
      <c r="C415" s="9"/>
      <c r="D415" s="9"/>
      <c r="E415" s="9"/>
      <c r="H415" s="9"/>
    </row>
    <row r="416" spans="2:8" s="10" customFormat="1" ht="15" customHeight="1">
      <c r="B416" s="45"/>
      <c r="C416" s="9"/>
      <c r="D416" s="9"/>
      <c r="E416" s="9"/>
      <c r="H416" s="9"/>
    </row>
    <row r="417" spans="2:8" s="10" customFormat="1" ht="15" customHeight="1">
      <c r="B417" s="45"/>
      <c r="C417" s="9"/>
      <c r="D417" s="9"/>
      <c r="E417" s="9"/>
      <c r="H417" s="9"/>
    </row>
    <row r="418" spans="2:8" s="10" customFormat="1" ht="15" customHeight="1">
      <c r="B418" s="45"/>
      <c r="C418" s="9"/>
      <c r="D418" s="9"/>
      <c r="E418" s="9"/>
      <c r="H418" s="9"/>
    </row>
    <row r="419" spans="2:8" s="10" customFormat="1" ht="15" customHeight="1">
      <c r="B419" s="45"/>
      <c r="C419" s="9"/>
      <c r="D419" s="9"/>
      <c r="E419" s="9"/>
      <c r="H419" s="9"/>
    </row>
    <row r="420" spans="2:8" s="10" customFormat="1" ht="15" customHeight="1">
      <c r="B420" s="45"/>
      <c r="C420" s="9"/>
      <c r="D420" s="9"/>
      <c r="E420" s="9"/>
      <c r="H420" s="9"/>
    </row>
    <row r="421" spans="2:8" s="10" customFormat="1" ht="15" customHeight="1">
      <c r="B421" s="45"/>
      <c r="C421" s="9"/>
      <c r="D421" s="9"/>
      <c r="E421" s="9"/>
      <c r="H421" s="9"/>
    </row>
    <row r="422" spans="2:8" s="10" customFormat="1" ht="15" customHeight="1">
      <c r="B422" s="45"/>
      <c r="C422" s="9"/>
      <c r="D422" s="9"/>
      <c r="E422" s="9"/>
      <c r="H422" s="9"/>
    </row>
    <row r="423" spans="2:8" s="10" customFormat="1" ht="15" customHeight="1">
      <c r="B423" s="45"/>
      <c r="C423" s="9"/>
      <c r="D423" s="9"/>
      <c r="E423" s="9"/>
      <c r="H423" s="9"/>
    </row>
    <row r="424" spans="2:8" s="10" customFormat="1" ht="15" customHeight="1">
      <c r="B424" s="45"/>
      <c r="C424" s="9"/>
      <c r="D424" s="9"/>
      <c r="E424" s="9"/>
      <c r="H424" s="9"/>
    </row>
    <row r="425" spans="2:8" s="10" customFormat="1" ht="15" customHeight="1">
      <c r="B425" s="45"/>
      <c r="C425" s="9"/>
      <c r="D425" s="9"/>
      <c r="E425" s="9"/>
      <c r="H425" s="9"/>
    </row>
    <row r="426" spans="2:8" s="10" customFormat="1" ht="15" customHeight="1">
      <c r="B426" s="45"/>
      <c r="C426" s="9"/>
      <c r="D426" s="9"/>
      <c r="E426" s="9"/>
      <c r="H426" s="9"/>
    </row>
    <row r="427" spans="2:8" s="10" customFormat="1" ht="15" customHeight="1">
      <c r="B427" s="45"/>
      <c r="C427" s="9"/>
      <c r="D427" s="9"/>
      <c r="E427" s="9"/>
      <c r="H427" s="9"/>
    </row>
    <row r="428" spans="2:8" s="10" customFormat="1" ht="15" customHeight="1">
      <c r="B428" s="45"/>
      <c r="C428" s="9"/>
      <c r="D428" s="9"/>
      <c r="E428" s="9"/>
      <c r="H428" s="9"/>
    </row>
    <row r="429" spans="2:8" s="10" customFormat="1" ht="15" customHeight="1">
      <c r="B429" s="45"/>
      <c r="C429" s="9"/>
      <c r="D429" s="9"/>
      <c r="E429" s="9"/>
      <c r="H429" s="9"/>
    </row>
    <row r="430" spans="2:8" s="10" customFormat="1" ht="15" customHeight="1">
      <c r="B430" s="45"/>
      <c r="C430" s="9"/>
      <c r="D430" s="9"/>
      <c r="E430" s="9"/>
      <c r="H430" s="9"/>
    </row>
    <row r="431" spans="2:8" s="10" customFormat="1" ht="15" customHeight="1">
      <c r="B431" s="45"/>
      <c r="C431" s="9"/>
      <c r="D431" s="9"/>
      <c r="E431" s="9"/>
      <c r="H431" s="9"/>
    </row>
    <row r="432" spans="2:8" s="10" customFormat="1" ht="15" customHeight="1">
      <c r="B432" s="45"/>
      <c r="C432" s="9"/>
      <c r="D432" s="9"/>
      <c r="E432" s="9"/>
      <c r="H432" s="9"/>
    </row>
    <row r="433" spans="2:8" s="10" customFormat="1" ht="15" customHeight="1">
      <c r="B433" s="45"/>
      <c r="C433" s="9"/>
      <c r="D433" s="9"/>
      <c r="E433" s="9"/>
      <c r="H433" s="9"/>
    </row>
    <row r="434" spans="2:8" s="10" customFormat="1" ht="15" customHeight="1">
      <c r="B434" s="45"/>
      <c r="C434" s="9"/>
      <c r="D434" s="9"/>
      <c r="E434" s="9"/>
      <c r="H434" s="9"/>
    </row>
    <row r="435" spans="2:8" s="10" customFormat="1" ht="15" customHeight="1">
      <c r="B435" s="45"/>
      <c r="C435" s="9"/>
      <c r="D435" s="9"/>
      <c r="E435" s="9"/>
      <c r="H435" s="9"/>
    </row>
    <row r="436" spans="2:8" s="10" customFormat="1" ht="15" customHeight="1">
      <c r="B436" s="45"/>
      <c r="C436" s="9"/>
      <c r="D436" s="9"/>
      <c r="E436" s="9"/>
      <c r="H436" s="9"/>
    </row>
    <row r="437" spans="2:8" s="10" customFormat="1" ht="15" customHeight="1">
      <c r="B437" s="45"/>
      <c r="C437" s="9"/>
      <c r="D437" s="9"/>
      <c r="E437" s="9"/>
      <c r="H437" s="9"/>
    </row>
    <row r="438" spans="2:8" s="10" customFormat="1" ht="15" customHeight="1">
      <c r="B438" s="45"/>
      <c r="C438" s="9"/>
      <c r="D438" s="9"/>
      <c r="E438" s="9"/>
      <c r="H438" s="9"/>
    </row>
    <row r="439" spans="2:8" s="10" customFormat="1" ht="15" customHeight="1">
      <c r="B439" s="45"/>
      <c r="C439" s="9"/>
      <c r="D439" s="9"/>
      <c r="E439" s="9"/>
      <c r="H439" s="9"/>
    </row>
    <row r="440" spans="2:8" s="10" customFormat="1" ht="15" customHeight="1">
      <c r="B440" s="45"/>
      <c r="C440" s="9"/>
      <c r="D440" s="9"/>
      <c r="E440" s="9"/>
      <c r="H440" s="9"/>
    </row>
    <row r="441" spans="2:8" s="10" customFormat="1" ht="15" customHeight="1">
      <c r="B441" s="45"/>
      <c r="C441" s="9"/>
      <c r="D441" s="9"/>
      <c r="E441" s="9"/>
      <c r="H441" s="9"/>
    </row>
    <row r="442" spans="2:8" s="10" customFormat="1" ht="15" customHeight="1">
      <c r="B442" s="45"/>
      <c r="C442" s="9"/>
      <c r="D442" s="9"/>
      <c r="E442" s="9"/>
      <c r="H442" s="9"/>
    </row>
    <row r="443" spans="2:8" s="10" customFormat="1" ht="15" customHeight="1">
      <c r="B443" s="45"/>
      <c r="C443" s="9"/>
      <c r="D443" s="9"/>
      <c r="E443" s="9"/>
      <c r="H443" s="9"/>
    </row>
    <row r="444" spans="2:8" s="10" customFormat="1" ht="15" customHeight="1">
      <c r="B444" s="45"/>
      <c r="C444" s="9"/>
      <c r="D444" s="9"/>
      <c r="E444" s="9"/>
      <c r="H444" s="9"/>
    </row>
    <row r="445" spans="2:8" s="10" customFormat="1" ht="15" customHeight="1">
      <c r="B445" s="45"/>
      <c r="C445" s="9"/>
      <c r="D445" s="9"/>
      <c r="E445" s="9"/>
      <c r="H445" s="9"/>
    </row>
    <row r="446" spans="2:8" s="10" customFormat="1" ht="15" customHeight="1">
      <c r="B446" s="45"/>
      <c r="C446" s="9"/>
      <c r="D446" s="9"/>
      <c r="E446" s="9"/>
      <c r="H446" s="9"/>
    </row>
    <row r="447" spans="2:8" s="10" customFormat="1" ht="15" customHeight="1">
      <c r="B447" s="45"/>
      <c r="C447" s="9"/>
      <c r="D447" s="9"/>
      <c r="E447" s="9"/>
      <c r="H447" s="9"/>
    </row>
    <row r="448" spans="2:8" s="10" customFormat="1" ht="15" customHeight="1">
      <c r="B448" s="45"/>
      <c r="C448" s="9"/>
      <c r="D448" s="9"/>
      <c r="E448" s="9"/>
      <c r="H448" s="9"/>
    </row>
    <row r="449" spans="2:8" s="10" customFormat="1" ht="15" customHeight="1">
      <c r="B449" s="45"/>
      <c r="C449" s="9"/>
      <c r="D449" s="9"/>
      <c r="E449" s="9"/>
      <c r="H449" s="9"/>
    </row>
    <row r="450" spans="2:8" s="10" customFormat="1" ht="15" customHeight="1">
      <c r="B450" s="45"/>
      <c r="C450" s="9"/>
      <c r="D450" s="9"/>
      <c r="E450" s="9"/>
      <c r="H450" s="9"/>
    </row>
    <row r="451" spans="2:8" s="10" customFormat="1" ht="15" customHeight="1">
      <c r="B451" s="45"/>
      <c r="C451" s="9"/>
      <c r="D451" s="9"/>
      <c r="E451" s="9"/>
      <c r="H451" s="9"/>
    </row>
    <row r="452" spans="2:8" s="10" customFormat="1" ht="15" customHeight="1">
      <c r="B452" s="45"/>
      <c r="C452" s="9"/>
      <c r="D452" s="9"/>
      <c r="E452" s="9"/>
      <c r="H452" s="9"/>
    </row>
    <row r="453" spans="2:8" s="10" customFormat="1" ht="15" customHeight="1">
      <c r="B453" s="45"/>
      <c r="C453" s="9"/>
      <c r="D453" s="9"/>
      <c r="E453" s="9"/>
      <c r="H453" s="9"/>
    </row>
    <row r="454" spans="2:8" s="10" customFormat="1" ht="15" customHeight="1">
      <c r="B454" s="45"/>
      <c r="C454" s="9"/>
      <c r="D454" s="9"/>
      <c r="E454" s="9"/>
      <c r="H454" s="9"/>
    </row>
    <row r="455" spans="2:8" s="10" customFormat="1" ht="15" customHeight="1">
      <c r="B455" s="45"/>
      <c r="C455" s="9"/>
      <c r="D455" s="9"/>
      <c r="E455" s="9"/>
      <c r="H455" s="9"/>
    </row>
    <row r="456" spans="2:8" s="10" customFormat="1" ht="15" customHeight="1">
      <c r="B456" s="45"/>
      <c r="C456" s="9"/>
      <c r="D456" s="9"/>
      <c r="E456" s="9"/>
      <c r="H456" s="9"/>
    </row>
    <row r="457" spans="2:8" s="10" customFormat="1" ht="15" customHeight="1">
      <c r="B457" s="45"/>
      <c r="C457" s="9"/>
      <c r="D457" s="9"/>
      <c r="E457" s="9"/>
      <c r="H457" s="9"/>
    </row>
    <row r="458" spans="2:8" s="10" customFormat="1" ht="15" customHeight="1">
      <c r="B458" s="45"/>
      <c r="C458" s="9"/>
      <c r="D458" s="9"/>
      <c r="E458" s="9"/>
      <c r="H458" s="9"/>
    </row>
    <row r="459" spans="2:8" s="10" customFormat="1" ht="15" customHeight="1">
      <c r="B459" s="45"/>
      <c r="C459" s="9"/>
      <c r="D459" s="9"/>
      <c r="E459" s="9"/>
      <c r="H459" s="9"/>
    </row>
    <row r="460" spans="2:8" s="10" customFormat="1" ht="15" customHeight="1">
      <c r="B460" s="45"/>
      <c r="C460" s="9"/>
      <c r="D460" s="9"/>
      <c r="E460" s="9"/>
      <c r="H460" s="9"/>
    </row>
    <row r="461" spans="2:8" s="10" customFormat="1" ht="15" customHeight="1">
      <c r="B461" s="45"/>
      <c r="C461" s="9"/>
      <c r="D461" s="9"/>
      <c r="E461" s="9"/>
      <c r="H461" s="9"/>
    </row>
    <row r="462" spans="2:8" s="10" customFormat="1" ht="15" customHeight="1">
      <c r="B462" s="45"/>
      <c r="C462" s="9"/>
      <c r="D462" s="9"/>
      <c r="E462" s="9"/>
      <c r="H462" s="9"/>
    </row>
    <row r="463" spans="2:8" s="10" customFormat="1" ht="15" customHeight="1">
      <c r="B463" s="45"/>
      <c r="C463" s="9"/>
      <c r="D463" s="9"/>
      <c r="E463" s="9"/>
      <c r="H463" s="9"/>
    </row>
    <row r="464" spans="2:8" s="10" customFormat="1" ht="15" customHeight="1">
      <c r="B464" s="45"/>
      <c r="C464" s="9"/>
      <c r="D464" s="9"/>
      <c r="E464" s="9"/>
      <c r="H464" s="9"/>
    </row>
    <row r="465" spans="2:8" s="10" customFormat="1" ht="15" customHeight="1">
      <c r="B465" s="45"/>
      <c r="C465" s="9"/>
      <c r="D465" s="9"/>
      <c r="E465" s="9"/>
      <c r="H465" s="9"/>
    </row>
    <row r="466" spans="2:8" s="10" customFormat="1" ht="15" customHeight="1">
      <c r="B466" s="45"/>
      <c r="C466" s="9"/>
      <c r="D466" s="9"/>
      <c r="E466" s="9"/>
      <c r="H466" s="9"/>
    </row>
    <row r="467" spans="2:8" s="10" customFormat="1" ht="15" customHeight="1">
      <c r="B467" s="45"/>
      <c r="C467" s="9"/>
      <c r="D467" s="9"/>
      <c r="E467" s="9"/>
      <c r="H467" s="9"/>
    </row>
    <row r="468" spans="2:8" s="10" customFormat="1" ht="15" customHeight="1">
      <c r="B468" s="45"/>
      <c r="C468" s="9"/>
      <c r="D468" s="9"/>
      <c r="E468" s="9"/>
      <c r="H468" s="9"/>
    </row>
    <row r="469" spans="2:8" s="10" customFormat="1" ht="15" customHeight="1">
      <c r="B469" s="45"/>
      <c r="C469" s="9"/>
      <c r="D469" s="9"/>
      <c r="E469" s="9"/>
      <c r="H469" s="9"/>
    </row>
    <row r="470" spans="2:8" s="10" customFormat="1" ht="15" customHeight="1">
      <c r="B470" s="45"/>
      <c r="C470" s="9"/>
      <c r="D470" s="9"/>
      <c r="E470" s="9"/>
      <c r="H470" s="9"/>
    </row>
    <row r="471" spans="2:8" s="10" customFormat="1" ht="15" customHeight="1">
      <c r="B471" s="45"/>
      <c r="C471" s="9"/>
      <c r="D471" s="9"/>
      <c r="E471" s="9"/>
      <c r="H471" s="9"/>
    </row>
    <row r="472" spans="2:8" s="10" customFormat="1" ht="15" customHeight="1">
      <c r="B472" s="45"/>
      <c r="C472" s="9"/>
      <c r="D472" s="9"/>
      <c r="E472" s="9"/>
      <c r="H472" s="9"/>
    </row>
    <row r="473" spans="2:8" s="10" customFormat="1" ht="15" customHeight="1">
      <c r="B473" s="45"/>
      <c r="C473" s="9"/>
      <c r="D473" s="9"/>
      <c r="E473" s="9"/>
      <c r="H473" s="9"/>
    </row>
    <row r="474" spans="2:8" s="10" customFormat="1" ht="15" customHeight="1">
      <c r="B474" s="45"/>
      <c r="C474" s="9"/>
      <c r="D474" s="9"/>
      <c r="E474" s="9"/>
      <c r="H474" s="9"/>
    </row>
    <row r="475" spans="2:8" s="10" customFormat="1" ht="15" customHeight="1">
      <c r="B475" s="45"/>
      <c r="C475" s="9"/>
      <c r="D475" s="9"/>
      <c r="E475" s="9"/>
      <c r="H475" s="9"/>
    </row>
    <row r="476" spans="2:8" s="10" customFormat="1" ht="15" customHeight="1">
      <c r="B476" s="45"/>
      <c r="C476" s="9"/>
      <c r="D476" s="9"/>
      <c r="E476" s="9"/>
      <c r="H476" s="9"/>
    </row>
    <row r="477" spans="2:8" s="10" customFormat="1" ht="15" customHeight="1">
      <c r="B477" s="45"/>
      <c r="C477" s="9"/>
      <c r="D477" s="9"/>
      <c r="E477" s="9"/>
      <c r="H477" s="9"/>
    </row>
    <row r="478" spans="2:8" s="10" customFormat="1" ht="15" customHeight="1">
      <c r="B478" s="45"/>
      <c r="C478" s="9"/>
      <c r="D478" s="9"/>
      <c r="E478" s="9"/>
      <c r="H478" s="9"/>
    </row>
    <row r="479" spans="2:8" s="10" customFormat="1" ht="15" customHeight="1">
      <c r="B479" s="45"/>
      <c r="C479" s="9"/>
      <c r="D479" s="9"/>
      <c r="E479" s="9"/>
      <c r="H479" s="9"/>
    </row>
    <row r="480" spans="2:8" s="10" customFormat="1" ht="15" customHeight="1">
      <c r="B480" s="45"/>
      <c r="C480" s="9"/>
      <c r="D480" s="9"/>
      <c r="E480" s="9"/>
      <c r="H480" s="9"/>
    </row>
    <row r="481" spans="2:8" s="10" customFormat="1" ht="15" customHeight="1">
      <c r="B481" s="45"/>
      <c r="C481" s="9"/>
      <c r="D481" s="9"/>
      <c r="E481" s="9"/>
      <c r="H481" s="9"/>
    </row>
    <row r="482" spans="2:8" s="10" customFormat="1" ht="15" customHeight="1">
      <c r="B482" s="45"/>
      <c r="C482" s="9"/>
      <c r="D482" s="9"/>
      <c r="E482" s="9"/>
      <c r="H482" s="9"/>
    </row>
    <row r="483" spans="2:8" s="10" customFormat="1" ht="15" customHeight="1">
      <c r="B483" s="45"/>
      <c r="C483" s="9"/>
      <c r="D483" s="9"/>
      <c r="E483" s="9"/>
      <c r="H483" s="9"/>
    </row>
    <row r="484" spans="2:8" s="10" customFormat="1" ht="15" customHeight="1">
      <c r="B484" s="45"/>
      <c r="C484" s="9"/>
      <c r="D484" s="9"/>
      <c r="E484" s="9"/>
      <c r="H484" s="9"/>
    </row>
    <row r="485" spans="2:8" s="10" customFormat="1" ht="15" customHeight="1">
      <c r="B485" s="45"/>
      <c r="C485" s="9"/>
      <c r="D485" s="9"/>
      <c r="E485" s="9"/>
      <c r="H485" s="9"/>
    </row>
    <row r="486" spans="2:8" s="10" customFormat="1" ht="15" customHeight="1">
      <c r="B486" s="45"/>
      <c r="C486" s="9"/>
      <c r="D486" s="9"/>
      <c r="E486" s="9"/>
      <c r="H486" s="9"/>
    </row>
    <row r="487" spans="2:8" s="10" customFormat="1" ht="15" customHeight="1">
      <c r="B487" s="45"/>
      <c r="C487" s="9"/>
      <c r="D487" s="9"/>
      <c r="E487" s="9"/>
      <c r="H487" s="9"/>
    </row>
    <row r="488" spans="2:8" s="10" customFormat="1" ht="15" customHeight="1">
      <c r="B488" s="45"/>
      <c r="C488" s="9"/>
      <c r="D488" s="9"/>
      <c r="E488" s="9"/>
      <c r="H488" s="9"/>
    </row>
    <row r="489" spans="2:8" s="10" customFormat="1" ht="15" customHeight="1">
      <c r="B489" s="45"/>
      <c r="C489" s="9"/>
      <c r="D489" s="9"/>
      <c r="E489" s="9"/>
      <c r="H489" s="9"/>
    </row>
    <row r="490" spans="2:8" s="10" customFormat="1" ht="15" customHeight="1">
      <c r="B490" s="45"/>
      <c r="C490" s="9"/>
      <c r="D490" s="9"/>
      <c r="E490" s="9"/>
      <c r="H490" s="9"/>
    </row>
    <row r="491" spans="2:8" s="10" customFormat="1" ht="15" customHeight="1">
      <c r="B491" s="45"/>
      <c r="C491" s="9"/>
      <c r="D491" s="9"/>
      <c r="E491" s="9"/>
      <c r="H491" s="9"/>
    </row>
    <row r="492" spans="2:8" s="10" customFormat="1" ht="15" customHeight="1">
      <c r="B492" s="45"/>
      <c r="C492" s="9"/>
      <c r="D492" s="9"/>
      <c r="E492" s="9"/>
      <c r="H492" s="9"/>
    </row>
    <row r="493" spans="2:8" s="10" customFormat="1" ht="15" customHeight="1">
      <c r="B493" s="45"/>
      <c r="C493" s="9"/>
      <c r="D493" s="9"/>
      <c r="E493" s="9"/>
      <c r="H493" s="9"/>
    </row>
    <row r="494" spans="2:8" s="10" customFormat="1" ht="15" customHeight="1">
      <c r="B494" s="45"/>
      <c r="C494" s="9"/>
      <c r="D494" s="9"/>
      <c r="E494" s="9"/>
      <c r="H494" s="9"/>
    </row>
    <row r="495" spans="2:8" s="10" customFormat="1" ht="15" customHeight="1">
      <c r="B495" s="45"/>
      <c r="C495" s="9"/>
      <c r="D495" s="9"/>
      <c r="E495" s="9"/>
      <c r="H495" s="9"/>
    </row>
    <row r="496" spans="2:8" s="10" customFormat="1" ht="15" customHeight="1">
      <c r="B496" s="45"/>
      <c r="C496" s="9"/>
      <c r="D496" s="9"/>
      <c r="E496" s="9"/>
      <c r="H496" s="9"/>
    </row>
    <row r="497" spans="2:8" s="10" customFormat="1" ht="15" customHeight="1">
      <c r="B497" s="45"/>
      <c r="C497" s="9"/>
      <c r="D497" s="9"/>
      <c r="E497" s="9"/>
      <c r="H497" s="9"/>
    </row>
    <row r="498" spans="2:8" s="10" customFormat="1" ht="15" customHeight="1">
      <c r="B498" s="45"/>
      <c r="C498" s="9"/>
      <c r="D498" s="9"/>
      <c r="E498" s="9"/>
      <c r="H498" s="9"/>
    </row>
    <row r="499" spans="2:8" s="10" customFormat="1" ht="15" customHeight="1">
      <c r="B499" s="45"/>
      <c r="C499" s="9"/>
      <c r="D499" s="9"/>
      <c r="E499" s="9"/>
      <c r="H499" s="9"/>
    </row>
    <row r="500" spans="2:8" s="10" customFormat="1" ht="15" customHeight="1">
      <c r="B500" s="45"/>
      <c r="C500" s="9"/>
      <c r="D500" s="9"/>
      <c r="E500" s="9"/>
      <c r="H500" s="9"/>
    </row>
    <row r="501" spans="2:8" s="10" customFormat="1" ht="15" customHeight="1">
      <c r="B501" s="45"/>
      <c r="C501" s="9"/>
      <c r="D501" s="9"/>
      <c r="E501" s="9"/>
      <c r="H501" s="9"/>
    </row>
    <row r="502" spans="2:8" s="10" customFormat="1" ht="15" customHeight="1">
      <c r="B502" s="45"/>
      <c r="C502" s="9"/>
      <c r="D502" s="9"/>
      <c r="E502" s="9"/>
      <c r="H502" s="9"/>
    </row>
    <row r="503" spans="2:8" s="10" customFormat="1" ht="15" customHeight="1">
      <c r="B503" s="45"/>
      <c r="C503" s="9"/>
      <c r="D503" s="9"/>
      <c r="E503" s="9"/>
      <c r="H503" s="9"/>
    </row>
    <row r="504" spans="2:8" s="10" customFormat="1" ht="15" customHeight="1">
      <c r="B504" s="45"/>
      <c r="C504" s="9"/>
      <c r="D504" s="9"/>
      <c r="E504" s="9"/>
      <c r="H504" s="9"/>
    </row>
    <row r="505" spans="2:8" s="10" customFormat="1" ht="15" customHeight="1">
      <c r="B505" s="45"/>
      <c r="C505" s="9"/>
      <c r="D505" s="9"/>
      <c r="E505" s="9"/>
      <c r="H505" s="9"/>
    </row>
    <row r="506" spans="2:8" s="10" customFormat="1" ht="15" customHeight="1">
      <c r="B506" s="45"/>
      <c r="C506" s="9"/>
      <c r="D506" s="9"/>
      <c r="E506" s="9"/>
      <c r="H506" s="9"/>
    </row>
    <row r="507" spans="2:8" s="10" customFormat="1" ht="15" customHeight="1">
      <c r="B507" s="45"/>
      <c r="C507" s="9"/>
      <c r="D507" s="9"/>
      <c r="E507" s="9"/>
      <c r="H507" s="9"/>
    </row>
    <row r="508" spans="2:8" s="10" customFormat="1" ht="15" customHeight="1">
      <c r="B508" s="45"/>
      <c r="C508" s="9"/>
      <c r="D508" s="9"/>
      <c r="E508" s="9"/>
      <c r="H508" s="9"/>
    </row>
    <row r="509" spans="2:8" s="10" customFormat="1" ht="15" customHeight="1">
      <c r="B509" s="45"/>
      <c r="C509" s="9"/>
      <c r="D509" s="9"/>
      <c r="E509" s="9"/>
      <c r="H509" s="9"/>
    </row>
    <row r="510" spans="2:8" s="10" customFormat="1" ht="15" customHeight="1">
      <c r="B510" s="45"/>
      <c r="C510" s="9"/>
      <c r="D510" s="9"/>
      <c r="E510" s="9"/>
      <c r="H510" s="9"/>
    </row>
    <row r="511" spans="2:8" s="10" customFormat="1" ht="15" customHeight="1">
      <c r="B511" s="45"/>
      <c r="C511" s="9"/>
      <c r="D511" s="9"/>
      <c r="E511" s="9"/>
      <c r="H511" s="9"/>
    </row>
    <row r="512" spans="2:8" s="10" customFormat="1" ht="15" customHeight="1">
      <c r="B512" s="45"/>
      <c r="C512" s="9"/>
      <c r="D512" s="9"/>
      <c r="E512" s="9"/>
      <c r="H512" s="9"/>
    </row>
    <row r="513" spans="2:8" s="10" customFormat="1" ht="15" customHeight="1">
      <c r="B513" s="45"/>
      <c r="C513" s="9"/>
      <c r="D513" s="9"/>
      <c r="E513" s="9"/>
      <c r="H513" s="9"/>
    </row>
    <row r="514" spans="2:8" s="10" customFormat="1" ht="15" customHeight="1">
      <c r="B514" s="45"/>
      <c r="C514" s="9"/>
      <c r="D514" s="9"/>
      <c r="E514" s="9"/>
      <c r="H514" s="9"/>
    </row>
    <row r="515" spans="2:8" s="10" customFormat="1" ht="15" customHeight="1">
      <c r="B515" s="45"/>
      <c r="C515" s="9"/>
      <c r="D515" s="9"/>
      <c r="E515" s="9"/>
      <c r="H515" s="9"/>
    </row>
    <row r="516" spans="2:8" s="10" customFormat="1" ht="15" customHeight="1">
      <c r="B516" s="45"/>
      <c r="C516" s="9"/>
      <c r="D516" s="9"/>
      <c r="E516" s="9"/>
      <c r="H516" s="9"/>
    </row>
    <row r="517" spans="2:8" s="10" customFormat="1" ht="15" customHeight="1">
      <c r="B517" s="45"/>
      <c r="C517" s="9"/>
      <c r="D517" s="9"/>
      <c r="E517" s="9"/>
      <c r="H517" s="9"/>
    </row>
    <row r="518" spans="2:8" s="10" customFormat="1" ht="15" customHeight="1">
      <c r="B518" s="45"/>
      <c r="C518" s="9"/>
      <c r="D518" s="9"/>
      <c r="E518" s="9"/>
      <c r="H518" s="9"/>
    </row>
    <row r="519" spans="2:8" s="10" customFormat="1" ht="15" customHeight="1">
      <c r="B519" s="45"/>
      <c r="C519" s="9"/>
      <c r="D519" s="9"/>
      <c r="E519" s="9"/>
      <c r="H519" s="9"/>
    </row>
    <row r="520" spans="2:8" s="10" customFormat="1" ht="15" customHeight="1">
      <c r="B520" s="45"/>
      <c r="C520" s="9"/>
      <c r="D520" s="9"/>
      <c r="E520" s="9"/>
      <c r="H520" s="9"/>
    </row>
    <row r="521" spans="2:8" s="10" customFormat="1" ht="15" customHeight="1">
      <c r="B521" s="45"/>
      <c r="C521" s="9"/>
      <c r="D521" s="9"/>
      <c r="E521" s="9"/>
      <c r="H521" s="9"/>
    </row>
    <row r="522" spans="2:8" s="10" customFormat="1" ht="15" customHeight="1">
      <c r="B522" s="45"/>
      <c r="C522" s="9"/>
      <c r="D522" s="9"/>
      <c r="E522" s="9"/>
      <c r="H522" s="9"/>
    </row>
    <row r="523" spans="2:8" s="10" customFormat="1" ht="15" customHeight="1">
      <c r="B523" s="45"/>
      <c r="C523" s="9"/>
      <c r="D523" s="9"/>
      <c r="E523" s="9"/>
      <c r="H523" s="9"/>
    </row>
    <row r="524" spans="2:8" s="10" customFormat="1" ht="15" customHeight="1">
      <c r="B524" s="45"/>
      <c r="C524" s="9"/>
      <c r="D524" s="9"/>
      <c r="E524" s="9"/>
      <c r="H524" s="9"/>
    </row>
    <row r="525" spans="2:8" s="10" customFormat="1" ht="15" customHeight="1">
      <c r="B525" s="45"/>
      <c r="C525" s="9"/>
      <c r="D525" s="9"/>
      <c r="E525" s="9"/>
      <c r="H525" s="9"/>
    </row>
    <row r="526" spans="2:8" s="10" customFormat="1" ht="15" customHeight="1">
      <c r="B526" s="45"/>
      <c r="C526" s="9"/>
      <c r="D526" s="9"/>
      <c r="E526" s="9"/>
      <c r="H526" s="9"/>
    </row>
    <row r="527" spans="2:8" s="10" customFormat="1" ht="15" customHeight="1">
      <c r="B527" s="45"/>
      <c r="C527" s="9"/>
      <c r="D527" s="9"/>
      <c r="E527" s="9"/>
      <c r="H527" s="9"/>
    </row>
    <row r="528" spans="2:8" s="10" customFormat="1" ht="15" customHeight="1">
      <c r="B528" s="45"/>
      <c r="C528" s="9"/>
      <c r="D528" s="9"/>
      <c r="E528" s="9"/>
      <c r="H528" s="9"/>
    </row>
    <row r="529" spans="2:8" s="10" customFormat="1" ht="15" customHeight="1">
      <c r="B529" s="45"/>
      <c r="C529" s="9"/>
      <c r="D529" s="9"/>
      <c r="E529" s="9"/>
      <c r="H529" s="9"/>
    </row>
    <row r="530" spans="2:8" s="10" customFormat="1" ht="15" customHeight="1">
      <c r="B530" s="45"/>
      <c r="C530" s="9"/>
      <c r="D530" s="9"/>
      <c r="E530" s="9"/>
      <c r="H530" s="9"/>
    </row>
    <row r="531" spans="2:8" s="10" customFormat="1" ht="15" customHeight="1">
      <c r="B531" s="45"/>
      <c r="C531" s="9"/>
      <c r="D531" s="9"/>
      <c r="E531" s="9"/>
      <c r="H531" s="9"/>
    </row>
    <row r="532" spans="2:8" s="10" customFormat="1" ht="15" customHeight="1">
      <c r="B532" s="45"/>
      <c r="C532" s="9"/>
      <c r="D532" s="9"/>
      <c r="E532" s="9"/>
      <c r="H532" s="9"/>
    </row>
    <row r="533" spans="2:8" s="10" customFormat="1" ht="15" customHeight="1">
      <c r="B533" s="45"/>
      <c r="C533" s="9"/>
      <c r="D533" s="9"/>
      <c r="E533" s="9"/>
      <c r="H533" s="9"/>
    </row>
    <row r="534" spans="2:8" s="10" customFormat="1" ht="15" customHeight="1">
      <c r="B534" s="45"/>
      <c r="C534" s="9"/>
      <c r="D534" s="9"/>
      <c r="E534" s="9"/>
      <c r="H534" s="9"/>
    </row>
    <row r="535" spans="2:8" s="10" customFormat="1" ht="15" customHeight="1">
      <c r="B535" s="45"/>
      <c r="C535" s="9"/>
      <c r="D535" s="9"/>
      <c r="E535" s="9"/>
      <c r="H535" s="9"/>
    </row>
    <row r="536" spans="2:8" s="10" customFormat="1" ht="15" customHeight="1">
      <c r="B536" s="45"/>
      <c r="C536" s="9"/>
      <c r="D536" s="9"/>
      <c r="E536" s="9"/>
      <c r="H536" s="9"/>
    </row>
    <row r="537" spans="2:8" s="10" customFormat="1" ht="15" customHeight="1">
      <c r="B537" s="45"/>
      <c r="C537" s="9"/>
      <c r="D537" s="9"/>
      <c r="E537" s="9"/>
      <c r="H537" s="9"/>
    </row>
    <row r="538" spans="2:8" s="10" customFormat="1" ht="15" customHeight="1">
      <c r="B538" s="45"/>
      <c r="C538" s="9"/>
      <c r="D538" s="9"/>
      <c r="E538" s="9"/>
      <c r="H538" s="9"/>
    </row>
    <row r="539" spans="2:8" s="10" customFormat="1" ht="15" customHeight="1">
      <c r="B539" s="45"/>
      <c r="C539" s="9"/>
      <c r="D539" s="9"/>
      <c r="E539" s="9"/>
      <c r="H539" s="9"/>
    </row>
    <row r="540" spans="2:8" s="10" customFormat="1" ht="15" customHeight="1">
      <c r="B540" s="45"/>
      <c r="C540" s="9"/>
      <c r="D540" s="9"/>
      <c r="E540" s="9"/>
      <c r="H540" s="9"/>
    </row>
    <row r="541" spans="2:8" s="10" customFormat="1" ht="15" customHeight="1">
      <c r="B541" s="45"/>
      <c r="C541" s="9"/>
      <c r="D541" s="9"/>
      <c r="E541" s="9"/>
      <c r="H541" s="9"/>
    </row>
    <row r="542" spans="2:8" s="10" customFormat="1" ht="15" customHeight="1">
      <c r="B542" s="45"/>
      <c r="C542" s="9"/>
      <c r="D542" s="9"/>
      <c r="E542" s="9"/>
      <c r="H542" s="9"/>
    </row>
    <row r="543" spans="2:8" s="10" customFormat="1" ht="15" customHeight="1">
      <c r="B543" s="45"/>
      <c r="C543" s="9"/>
      <c r="D543" s="9"/>
      <c r="E543" s="9"/>
      <c r="H543" s="9"/>
    </row>
    <row r="544" spans="2:8" s="10" customFormat="1" ht="15" customHeight="1">
      <c r="B544" s="45"/>
      <c r="C544" s="9"/>
      <c r="D544" s="9"/>
      <c r="E544" s="9"/>
      <c r="H544" s="9"/>
    </row>
    <row r="545" spans="2:8" s="10" customFormat="1" ht="15" customHeight="1">
      <c r="B545" s="45"/>
      <c r="C545" s="9"/>
      <c r="D545" s="9"/>
      <c r="E545" s="9"/>
      <c r="H545" s="9"/>
    </row>
    <row r="546" spans="2:8" s="10" customFormat="1" ht="15" customHeight="1">
      <c r="B546" s="45"/>
      <c r="C546" s="9"/>
      <c r="D546" s="9"/>
      <c r="E546" s="9"/>
      <c r="H546" s="9"/>
    </row>
    <row r="547" spans="2:8" s="10" customFormat="1" ht="15" customHeight="1">
      <c r="B547" s="45"/>
      <c r="C547" s="9"/>
      <c r="D547" s="9"/>
      <c r="E547" s="9"/>
      <c r="H547" s="9"/>
    </row>
    <row r="548" spans="2:8" s="10" customFormat="1" ht="15" customHeight="1">
      <c r="B548" s="45"/>
      <c r="C548" s="9"/>
      <c r="D548" s="9"/>
      <c r="E548" s="9"/>
      <c r="H548" s="9"/>
    </row>
    <row r="549" spans="2:8" s="10" customFormat="1" ht="15" customHeight="1">
      <c r="B549" s="45"/>
      <c r="C549" s="9"/>
      <c r="D549" s="9"/>
      <c r="E549" s="9"/>
      <c r="H549" s="9"/>
    </row>
    <row r="550" spans="2:8" s="10" customFormat="1" ht="15" customHeight="1">
      <c r="B550" s="45"/>
      <c r="C550" s="9"/>
      <c r="D550" s="9"/>
      <c r="E550" s="9"/>
      <c r="H550" s="9"/>
    </row>
    <row r="551" spans="2:8" s="10" customFormat="1" ht="15" customHeight="1">
      <c r="B551" s="45"/>
      <c r="C551" s="9"/>
      <c r="D551" s="9"/>
      <c r="E551" s="9"/>
      <c r="H551" s="9"/>
    </row>
    <row r="552" spans="2:8" s="10" customFormat="1" ht="15" customHeight="1">
      <c r="B552" s="45"/>
      <c r="C552" s="9"/>
      <c r="D552" s="9"/>
      <c r="E552" s="9"/>
      <c r="H552" s="9"/>
    </row>
    <row r="553" spans="2:8" s="10" customFormat="1" ht="15" customHeight="1">
      <c r="B553" s="45"/>
      <c r="C553" s="9"/>
      <c r="D553" s="9"/>
      <c r="E553" s="9"/>
      <c r="H553" s="9"/>
    </row>
    <row r="554" spans="2:8" s="10" customFormat="1" ht="15" customHeight="1">
      <c r="B554" s="45"/>
      <c r="C554" s="9"/>
      <c r="D554" s="9"/>
      <c r="E554" s="9"/>
      <c r="H554" s="9"/>
    </row>
    <row r="555" spans="2:8" s="10" customFormat="1" ht="15" customHeight="1">
      <c r="B555" s="45"/>
      <c r="C555" s="9"/>
      <c r="D555" s="9"/>
      <c r="E555" s="9"/>
      <c r="H555" s="9"/>
    </row>
    <row r="556" spans="2:8" s="10" customFormat="1" ht="15" customHeight="1">
      <c r="B556" s="45"/>
      <c r="C556" s="9"/>
      <c r="D556" s="9"/>
      <c r="E556" s="9"/>
      <c r="H556" s="9"/>
    </row>
    <row r="557" spans="2:8" s="10" customFormat="1" ht="15" customHeight="1">
      <c r="B557" s="45"/>
      <c r="C557" s="9"/>
      <c r="D557" s="9"/>
      <c r="E557" s="9"/>
      <c r="H557" s="9"/>
    </row>
    <row r="558" spans="2:8" s="10" customFormat="1" ht="15" customHeight="1">
      <c r="B558" s="45"/>
      <c r="C558" s="9"/>
      <c r="D558" s="9"/>
      <c r="E558" s="9"/>
      <c r="H558" s="9"/>
    </row>
    <row r="559" spans="2:8" s="10" customFormat="1" ht="15" customHeight="1">
      <c r="B559" s="45"/>
      <c r="C559" s="9"/>
      <c r="D559" s="9"/>
      <c r="E559" s="9"/>
      <c r="H559" s="9"/>
    </row>
    <row r="560" spans="2:8" s="10" customFormat="1" ht="15" customHeight="1">
      <c r="B560" s="45"/>
      <c r="C560" s="9"/>
      <c r="D560" s="9"/>
      <c r="E560" s="9"/>
      <c r="H560" s="9"/>
    </row>
    <row r="561" spans="2:8" s="10" customFormat="1" ht="15" customHeight="1">
      <c r="B561" s="45"/>
      <c r="C561" s="9"/>
      <c r="D561" s="9"/>
      <c r="E561" s="9"/>
      <c r="H561" s="9"/>
    </row>
    <row r="562" spans="2:8" s="10" customFormat="1" ht="15" customHeight="1">
      <c r="B562" s="45"/>
      <c r="C562" s="9"/>
      <c r="D562" s="9"/>
      <c r="E562" s="9"/>
      <c r="H562" s="9"/>
    </row>
    <row r="563" spans="2:8" s="10" customFormat="1" ht="15" customHeight="1">
      <c r="B563" s="45"/>
      <c r="C563" s="9"/>
      <c r="D563" s="9"/>
      <c r="E563" s="9"/>
      <c r="H563" s="9"/>
    </row>
    <row r="564" spans="2:8" s="10" customFormat="1" ht="15" customHeight="1">
      <c r="B564" s="45"/>
      <c r="C564" s="9"/>
      <c r="D564" s="9"/>
      <c r="E564" s="9"/>
      <c r="H564" s="9"/>
    </row>
    <row r="565" spans="2:8" s="10" customFormat="1" ht="15" customHeight="1">
      <c r="B565" s="45"/>
      <c r="C565" s="9"/>
      <c r="D565" s="9"/>
      <c r="E565" s="9"/>
      <c r="H565" s="9"/>
    </row>
    <row r="566" spans="2:8" s="10" customFormat="1" ht="15" customHeight="1">
      <c r="B566" s="45"/>
      <c r="C566" s="9"/>
      <c r="D566" s="9"/>
      <c r="E566" s="9"/>
      <c r="H566" s="9"/>
    </row>
    <row r="567" spans="2:8" s="10" customFormat="1" ht="15" customHeight="1">
      <c r="B567" s="45"/>
      <c r="C567" s="9"/>
      <c r="D567" s="9"/>
      <c r="E567" s="9"/>
      <c r="H567" s="9"/>
    </row>
    <row r="568" spans="2:8" s="10" customFormat="1" ht="15" customHeight="1">
      <c r="B568" s="45"/>
      <c r="C568" s="9"/>
      <c r="D568" s="9"/>
      <c r="E568" s="9"/>
      <c r="H568" s="9"/>
    </row>
    <row r="569" spans="2:8" s="10" customFormat="1" ht="15" customHeight="1">
      <c r="B569" s="45"/>
      <c r="C569" s="9"/>
      <c r="D569" s="9"/>
      <c r="E569" s="9"/>
      <c r="H569" s="9"/>
    </row>
    <row r="570" spans="2:8" s="10" customFormat="1" ht="15" customHeight="1">
      <c r="B570" s="45"/>
      <c r="C570" s="9"/>
      <c r="D570" s="9"/>
      <c r="E570" s="9"/>
      <c r="H570" s="9"/>
    </row>
    <row r="571" spans="2:8" s="10" customFormat="1" ht="15" customHeight="1">
      <c r="B571" s="45"/>
      <c r="C571" s="9"/>
      <c r="D571" s="9"/>
      <c r="E571" s="9"/>
      <c r="H571" s="9"/>
    </row>
    <row r="572" spans="2:8" s="10" customFormat="1" ht="15" customHeight="1">
      <c r="B572" s="45"/>
      <c r="C572" s="9"/>
      <c r="D572" s="9"/>
      <c r="E572" s="9"/>
      <c r="H572" s="9"/>
    </row>
    <row r="573" spans="2:8" s="10" customFormat="1" ht="15" customHeight="1">
      <c r="B573" s="45"/>
      <c r="C573" s="9"/>
      <c r="D573" s="9"/>
      <c r="E573" s="9"/>
      <c r="H573" s="9"/>
    </row>
    <row r="574" spans="2:8" s="10" customFormat="1" ht="15" customHeight="1">
      <c r="B574" s="45"/>
      <c r="C574" s="9"/>
      <c r="D574" s="9"/>
      <c r="E574" s="9"/>
      <c r="H574" s="9"/>
    </row>
    <row r="575" spans="2:8" s="10" customFormat="1" ht="15" customHeight="1">
      <c r="B575" s="45"/>
      <c r="C575" s="9"/>
      <c r="D575" s="9"/>
      <c r="E575" s="9"/>
      <c r="H575" s="9"/>
    </row>
    <row r="576" spans="2:8" s="10" customFormat="1" ht="15" customHeight="1">
      <c r="B576" s="45"/>
      <c r="C576" s="9"/>
      <c r="D576" s="9"/>
      <c r="E576" s="9"/>
      <c r="H576" s="9"/>
    </row>
    <row r="577" spans="2:8" s="10" customFormat="1" ht="15" customHeight="1">
      <c r="B577" s="45"/>
      <c r="C577" s="9"/>
      <c r="D577" s="9"/>
      <c r="E577" s="9"/>
      <c r="H577" s="9"/>
    </row>
    <row r="578" spans="2:8" s="10" customFormat="1" ht="15" customHeight="1">
      <c r="B578" s="45"/>
      <c r="C578" s="9"/>
      <c r="D578" s="9"/>
      <c r="E578" s="9"/>
      <c r="H578" s="9"/>
    </row>
    <row r="579" spans="2:8" s="10" customFormat="1" ht="15" customHeight="1">
      <c r="B579" s="45"/>
      <c r="C579" s="9"/>
      <c r="D579" s="9"/>
      <c r="E579" s="9"/>
      <c r="H579" s="9"/>
    </row>
    <row r="580" spans="2:8" s="10" customFormat="1" ht="15" customHeight="1">
      <c r="B580" s="45"/>
      <c r="C580" s="9"/>
      <c r="D580" s="9"/>
      <c r="E580" s="9"/>
      <c r="H580" s="9"/>
    </row>
    <row r="581" spans="2:8" s="10" customFormat="1" ht="15" customHeight="1">
      <c r="B581" s="45"/>
      <c r="C581" s="9"/>
      <c r="D581" s="9"/>
      <c r="E581" s="9"/>
      <c r="H581" s="9"/>
    </row>
    <row r="582" spans="2:8" s="10" customFormat="1" ht="15" customHeight="1">
      <c r="B582" s="45"/>
      <c r="C582" s="9"/>
      <c r="D582" s="9"/>
      <c r="E582" s="9"/>
      <c r="H582" s="9"/>
    </row>
    <row r="583" spans="2:8" s="10" customFormat="1" ht="15" customHeight="1">
      <c r="B583" s="45"/>
      <c r="C583" s="9"/>
      <c r="D583" s="9"/>
      <c r="E583" s="9"/>
      <c r="H583" s="9"/>
    </row>
    <row r="584" spans="2:8" s="10" customFormat="1" ht="15" customHeight="1">
      <c r="B584" s="45"/>
      <c r="C584" s="9"/>
      <c r="D584" s="9"/>
      <c r="E584" s="9"/>
      <c r="H584" s="9"/>
    </row>
    <row r="585" spans="2:8" s="10" customFormat="1" ht="15" customHeight="1">
      <c r="B585" s="45"/>
      <c r="C585" s="9"/>
      <c r="D585" s="9"/>
      <c r="E585" s="9"/>
      <c r="H585" s="9"/>
    </row>
    <row r="586" spans="2:8" s="10" customFormat="1" ht="15" customHeight="1">
      <c r="B586" s="45"/>
      <c r="C586" s="9"/>
      <c r="D586" s="9"/>
      <c r="E586" s="9"/>
      <c r="H586" s="9"/>
    </row>
    <row r="587" spans="2:8" s="10" customFormat="1" ht="15" customHeight="1">
      <c r="B587" s="45"/>
      <c r="C587" s="9"/>
      <c r="D587" s="9"/>
      <c r="E587" s="9"/>
      <c r="H587" s="9"/>
    </row>
    <row r="588" spans="2:8" s="10" customFormat="1" ht="15" customHeight="1">
      <c r="B588" s="45"/>
      <c r="C588" s="9"/>
      <c r="D588" s="9"/>
      <c r="E588" s="9"/>
      <c r="H588" s="9"/>
    </row>
    <row r="589" spans="2:8" s="10" customFormat="1" ht="15" customHeight="1">
      <c r="B589" s="45"/>
      <c r="C589" s="9"/>
      <c r="D589" s="9"/>
      <c r="E589" s="9"/>
      <c r="H589" s="9"/>
    </row>
    <row r="590" spans="2:8" s="10" customFormat="1" ht="15" customHeight="1">
      <c r="B590" s="45"/>
      <c r="C590" s="9"/>
      <c r="D590" s="9"/>
      <c r="E590" s="9"/>
      <c r="H590" s="9"/>
    </row>
    <row r="591" spans="2:8" s="10" customFormat="1" ht="15" customHeight="1">
      <c r="B591" s="45"/>
      <c r="C591" s="9"/>
      <c r="D591" s="9"/>
      <c r="E591" s="9"/>
      <c r="H591" s="9"/>
    </row>
    <row r="592" spans="2:8" s="10" customFormat="1" ht="15" customHeight="1">
      <c r="B592" s="45"/>
      <c r="C592" s="9"/>
      <c r="D592" s="9"/>
      <c r="E592" s="9"/>
      <c r="H592" s="9"/>
    </row>
    <row r="593" spans="2:8" s="10" customFormat="1" ht="15" customHeight="1">
      <c r="B593" s="45"/>
      <c r="C593" s="9"/>
      <c r="D593" s="9"/>
      <c r="E593" s="9"/>
      <c r="H593" s="9"/>
    </row>
    <row r="594" spans="2:8" s="10" customFormat="1" ht="15" customHeight="1">
      <c r="B594" s="45"/>
      <c r="C594" s="9"/>
      <c r="D594" s="9"/>
      <c r="E594" s="9"/>
      <c r="H594" s="9"/>
    </row>
    <row r="595" spans="2:8" s="10" customFormat="1" ht="15" customHeight="1">
      <c r="B595" s="45"/>
      <c r="C595" s="9"/>
      <c r="D595" s="9"/>
      <c r="E595" s="9"/>
      <c r="H595" s="9"/>
    </row>
    <row r="596" spans="2:8" s="10" customFormat="1" ht="15" customHeight="1">
      <c r="B596" s="45"/>
      <c r="C596" s="9"/>
      <c r="D596" s="9"/>
      <c r="E596" s="9"/>
      <c r="H596" s="9"/>
    </row>
    <row r="597" spans="2:8" s="10" customFormat="1" ht="15" customHeight="1">
      <c r="B597" s="45"/>
      <c r="C597" s="9"/>
      <c r="D597" s="9"/>
      <c r="E597" s="9"/>
      <c r="H597" s="9"/>
    </row>
    <row r="598" spans="2:8" s="10" customFormat="1" ht="15" customHeight="1">
      <c r="B598" s="45"/>
      <c r="C598" s="9"/>
      <c r="D598" s="9"/>
      <c r="E598" s="9"/>
      <c r="H598" s="9"/>
    </row>
    <row r="599" spans="2:8" s="10" customFormat="1" ht="15" customHeight="1">
      <c r="B599" s="45"/>
      <c r="C599" s="9"/>
      <c r="D599" s="9"/>
      <c r="E599" s="9"/>
      <c r="H599" s="9"/>
    </row>
    <row r="600" spans="2:8" s="10" customFormat="1" ht="15" customHeight="1">
      <c r="B600" s="45"/>
      <c r="C600" s="9"/>
      <c r="D600" s="9"/>
      <c r="E600" s="9"/>
      <c r="H600" s="9"/>
    </row>
    <row r="601" spans="2:8" s="10" customFormat="1" ht="15" customHeight="1">
      <c r="B601" s="45"/>
      <c r="C601" s="9"/>
      <c r="D601" s="9"/>
      <c r="E601" s="9"/>
      <c r="H601" s="9"/>
    </row>
    <row r="602" spans="2:8" s="10" customFormat="1" ht="15" customHeight="1">
      <c r="B602" s="45"/>
      <c r="C602" s="9"/>
      <c r="D602" s="9"/>
      <c r="E602" s="9"/>
      <c r="H602" s="9"/>
    </row>
    <row r="603" spans="2:8" s="10" customFormat="1" ht="15" customHeight="1">
      <c r="B603" s="45"/>
      <c r="C603" s="9"/>
      <c r="D603" s="9"/>
      <c r="E603" s="9"/>
      <c r="H603" s="9"/>
    </row>
    <row r="604" spans="2:8" s="10" customFormat="1" ht="15" customHeight="1">
      <c r="B604" s="45"/>
      <c r="C604" s="9"/>
      <c r="D604" s="9"/>
      <c r="E604" s="9"/>
      <c r="H604" s="9"/>
    </row>
    <row r="605" spans="2:8" s="10" customFormat="1" ht="15" customHeight="1">
      <c r="B605" s="45"/>
      <c r="C605" s="9"/>
      <c r="D605" s="9"/>
      <c r="E605" s="9"/>
      <c r="H605" s="9"/>
    </row>
    <row r="606" spans="2:8" s="10" customFormat="1" ht="15" customHeight="1">
      <c r="B606" s="45"/>
      <c r="C606" s="9"/>
      <c r="D606" s="9"/>
      <c r="E606" s="9"/>
      <c r="H606" s="9"/>
    </row>
    <row r="607" spans="2:8" s="10" customFormat="1" ht="15" customHeight="1">
      <c r="B607" s="45"/>
      <c r="C607" s="9"/>
      <c r="D607" s="9"/>
      <c r="E607" s="9"/>
      <c r="H607" s="9"/>
    </row>
    <row r="608" spans="2:8" s="10" customFormat="1" ht="15" customHeight="1">
      <c r="B608" s="45"/>
      <c r="C608" s="9"/>
      <c r="D608" s="9"/>
      <c r="E608" s="9"/>
      <c r="H608" s="9"/>
    </row>
    <row r="609" spans="2:8" s="10" customFormat="1" ht="15" customHeight="1">
      <c r="B609" s="45"/>
      <c r="C609" s="9"/>
      <c r="D609" s="9"/>
      <c r="E609" s="9"/>
      <c r="H609" s="9"/>
    </row>
    <row r="610" spans="2:8" s="10" customFormat="1" ht="15" customHeight="1">
      <c r="B610" s="45"/>
      <c r="C610" s="9"/>
      <c r="D610" s="9"/>
      <c r="E610" s="9"/>
      <c r="H610" s="9"/>
    </row>
    <row r="611" spans="2:8" s="10" customFormat="1" ht="15" customHeight="1">
      <c r="B611" s="45"/>
      <c r="C611" s="9"/>
      <c r="D611" s="9"/>
      <c r="E611" s="9"/>
      <c r="H611" s="9"/>
    </row>
    <row r="612" spans="2:8" s="10" customFormat="1" ht="15" customHeight="1">
      <c r="B612" s="45"/>
      <c r="C612" s="9"/>
      <c r="D612" s="9"/>
      <c r="E612" s="9"/>
      <c r="H612" s="9"/>
    </row>
    <row r="613" spans="2:8" s="10" customFormat="1" ht="15" customHeight="1">
      <c r="B613" s="45"/>
      <c r="C613" s="9"/>
      <c r="D613" s="9"/>
      <c r="E613" s="9"/>
      <c r="H613" s="9"/>
    </row>
    <row r="614" spans="2:8" s="10" customFormat="1" ht="15" customHeight="1">
      <c r="B614" s="45"/>
      <c r="C614" s="9"/>
      <c r="D614" s="9"/>
      <c r="E614" s="9"/>
      <c r="H614" s="9"/>
    </row>
    <row r="615" spans="2:8" s="10" customFormat="1" ht="15" customHeight="1">
      <c r="B615" s="45"/>
      <c r="C615" s="9"/>
      <c r="D615" s="9"/>
      <c r="E615" s="9"/>
      <c r="H615" s="9"/>
    </row>
    <row r="616" spans="2:8" s="10" customFormat="1" ht="15" customHeight="1">
      <c r="B616" s="45"/>
      <c r="C616" s="9"/>
      <c r="D616" s="9"/>
      <c r="E616" s="9"/>
      <c r="H616" s="9"/>
    </row>
    <row r="617" spans="2:8" s="10" customFormat="1" ht="15" customHeight="1">
      <c r="B617" s="45"/>
      <c r="C617" s="9"/>
      <c r="D617" s="9"/>
      <c r="E617" s="9"/>
      <c r="H617" s="9"/>
    </row>
    <row r="618" spans="2:8" s="10" customFormat="1" ht="15" customHeight="1">
      <c r="B618" s="45"/>
      <c r="C618" s="9"/>
      <c r="D618" s="9"/>
      <c r="E618" s="9"/>
      <c r="H618" s="9"/>
    </row>
    <row r="619" spans="2:8" s="10" customFormat="1" ht="15" customHeight="1">
      <c r="B619" s="45"/>
      <c r="C619" s="9"/>
      <c r="D619" s="9"/>
      <c r="E619" s="9"/>
      <c r="H619" s="9"/>
    </row>
    <row r="620" spans="2:8" s="10" customFormat="1" ht="15" customHeight="1">
      <c r="B620" s="45"/>
      <c r="C620" s="9"/>
      <c r="D620" s="9"/>
      <c r="E620" s="9"/>
      <c r="H620" s="9"/>
    </row>
    <row r="621" spans="2:8" s="10" customFormat="1" ht="15" customHeight="1">
      <c r="B621" s="45"/>
      <c r="C621" s="9"/>
      <c r="D621" s="9"/>
      <c r="E621" s="9"/>
      <c r="H621" s="9"/>
    </row>
    <row r="622" spans="2:8" s="10" customFormat="1" ht="15" customHeight="1">
      <c r="B622" s="45"/>
      <c r="C622" s="9"/>
      <c r="D622" s="9"/>
      <c r="E622" s="9"/>
      <c r="H622" s="9"/>
    </row>
    <row r="623" spans="2:8" s="10" customFormat="1" ht="15" customHeight="1">
      <c r="B623" s="45"/>
      <c r="C623" s="9"/>
      <c r="D623" s="9"/>
      <c r="E623" s="9"/>
      <c r="H623" s="9"/>
    </row>
    <row r="624" spans="2:8" s="10" customFormat="1" ht="15" customHeight="1">
      <c r="B624" s="45"/>
      <c r="C624" s="9"/>
      <c r="D624" s="9"/>
      <c r="E624" s="9"/>
      <c r="H624" s="9"/>
    </row>
    <row r="625" spans="2:8" s="10" customFormat="1" ht="15" customHeight="1">
      <c r="B625" s="45"/>
      <c r="C625" s="9"/>
      <c r="D625" s="9"/>
      <c r="E625" s="9"/>
      <c r="H625" s="9"/>
    </row>
    <row r="626" spans="2:8" s="10" customFormat="1" ht="15" customHeight="1">
      <c r="B626" s="45"/>
      <c r="C626" s="9"/>
      <c r="D626" s="9"/>
      <c r="E626" s="9"/>
      <c r="H626" s="9"/>
    </row>
    <row r="627" spans="2:8" s="10" customFormat="1" ht="15" customHeight="1">
      <c r="B627" s="45"/>
      <c r="C627" s="9"/>
      <c r="D627" s="9"/>
      <c r="E627" s="9"/>
      <c r="H627" s="9"/>
    </row>
    <row r="628" spans="2:8" s="10" customFormat="1" ht="15" customHeight="1">
      <c r="B628" s="45"/>
      <c r="C628" s="9"/>
      <c r="D628" s="9"/>
      <c r="E628" s="9"/>
      <c r="H628" s="9"/>
    </row>
    <row r="629" spans="2:8" s="10" customFormat="1" ht="15" customHeight="1">
      <c r="B629" s="45"/>
      <c r="C629" s="9"/>
      <c r="D629" s="9"/>
      <c r="E629" s="9"/>
      <c r="H629" s="9"/>
    </row>
    <row r="630" spans="2:8" s="10" customFormat="1" ht="15" customHeight="1">
      <c r="B630" s="45"/>
      <c r="C630" s="9"/>
      <c r="D630" s="9"/>
      <c r="E630" s="9"/>
      <c r="H630" s="9"/>
    </row>
    <row r="631" spans="2:8" s="10" customFormat="1" ht="15" customHeight="1">
      <c r="B631" s="45"/>
      <c r="C631" s="9"/>
      <c r="D631" s="9"/>
      <c r="E631" s="9"/>
      <c r="H631" s="9"/>
    </row>
    <row r="632" spans="2:8" s="10" customFormat="1" ht="15" customHeight="1">
      <c r="B632" s="45"/>
      <c r="C632" s="9"/>
      <c r="D632" s="9"/>
      <c r="E632" s="9"/>
      <c r="H632" s="9"/>
    </row>
    <row r="633" spans="2:8" s="10" customFormat="1" ht="15" customHeight="1">
      <c r="B633" s="45"/>
      <c r="C633" s="9"/>
      <c r="D633" s="9"/>
      <c r="E633" s="9"/>
      <c r="H633" s="9"/>
    </row>
    <row r="634" spans="2:8" s="10" customFormat="1" ht="15" customHeight="1">
      <c r="B634" s="45"/>
      <c r="C634" s="9"/>
      <c r="D634" s="9"/>
      <c r="E634" s="9"/>
      <c r="H634" s="9"/>
    </row>
    <row r="635" spans="2:8" s="10" customFormat="1" ht="15" customHeight="1">
      <c r="B635" s="45"/>
      <c r="C635" s="9"/>
      <c r="D635" s="9"/>
      <c r="E635" s="9"/>
      <c r="H635" s="9"/>
    </row>
    <row r="636" spans="2:8" s="10" customFormat="1" ht="15" customHeight="1">
      <c r="B636" s="45"/>
      <c r="C636" s="9"/>
      <c r="D636" s="9"/>
      <c r="E636" s="9"/>
      <c r="H636" s="9"/>
    </row>
    <row r="637" spans="2:8" s="10" customFormat="1" ht="15" customHeight="1">
      <c r="B637" s="45"/>
      <c r="C637" s="9"/>
      <c r="D637" s="9"/>
      <c r="E637" s="9"/>
      <c r="H637" s="9"/>
    </row>
    <row r="638" spans="2:8" s="10" customFormat="1" ht="15" customHeight="1">
      <c r="B638" s="45"/>
      <c r="C638" s="9"/>
      <c r="D638" s="9"/>
      <c r="E638" s="9"/>
      <c r="H638" s="9"/>
    </row>
    <row r="639" spans="2:8" s="10" customFormat="1" ht="15" customHeight="1">
      <c r="B639" s="45"/>
      <c r="C639" s="9"/>
      <c r="D639" s="9"/>
      <c r="E639" s="9"/>
      <c r="H639" s="9"/>
    </row>
    <row r="640" spans="2:8" s="10" customFormat="1" ht="15" customHeight="1">
      <c r="B640" s="45"/>
      <c r="C640" s="9"/>
      <c r="D640" s="9"/>
      <c r="E640" s="9"/>
      <c r="H640" s="9"/>
    </row>
    <row r="641" spans="2:8" s="10" customFormat="1" ht="15" customHeight="1">
      <c r="B641" s="45"/>
      <c r="C641" s="9"/>
      <c r="D641" s="9"/>
      <c r="E641" s="9"/>
      <c r="H641" s="9"/>
    </row>
    <row r="642" spans="2:8" s="10" customFormat="1" ht="15" customHeight="1">
      <c r="B642" s="45"/>
      <c r="C642" s="9"/>
      <c r="D642" s="9"/>
      <c r="E642" s="9"/>
      <c r="H642" s="9"/>
    </row>
    <row r="643" spans="2:8" s="10" customFormat="1" ht="15" customHeight="1">
      <c r="B643" s="45"/>
      <c r="C643" s="9"/>
      <c r="D643" s="9"/>
      <c r="E643" s="9"/>
      <c r="H643" s="9"/>
    </row>
    <row r="644" spans="2:8" s="10" customFormat="1" ht="15" customHeight="1">
      <c r="B644" s="45"/>
      <c r="C644" s="9"/>
      <c r="D644" s="9"/>
      <c r="E644" s="9"/>
      <c r="H644" s="9"/>
    </row>
    <row r="645" spans="2:8" s="10" customFormat="1" ht="15" customHeight="1">
      <c r="B645" s="45"/>
      <c r="C645" s="9"/>
      <c r="D645" s="9"/>
      <c r="E645" s="9"/>
      <c r="H645" s="9"/>
    </row>
    <row r="646" spans="2:8" s="10" customFormat="1" ht="15" customHeight="1">
      <c r="B646" s="45"/>
      <c r="C646" s="9"/>
      <c r="D646" s="9"/>
      <c r="E646" s="9"/>
      <c r="H646" s="9"/>
    </row>
    <row r="647" spans="2:8" s="10" customFormat="1" ht="15" customHeight="1">
      <c r="B647" s="45"/>
      <c r="C647" s="9"/>
      <c r="D647" s="9"/>
      <c r="E647" s="9"/>
      <c r="H647" s="9"/>
    </row>
    <row r="648" spans="2:8" s="10" customFormat="1" ht="15" customHeight="1">
      <c r="B648" s="45"/>
      <c r="C648" s="9"/>
      <c r="D648" s="9"/>
      <c r="E648" s="9"/>
      <c r="H648" s="9"/>
    </row>
    <row r="649" spans="2:8" s="10" customFormat="1" ht="15" customHeight="1">
      <c r="B649" s="45"/>
      <c r="C649" s="9"/>
      <c r="D649" s="9"/>
      <c r="E649" s="9"/>
      <c r="H649" s="9"/>
    </row>
    <row r="650" spans="2:8" s="10" customFormat="1" ht="15" customHeight="1">
      <c r="B650" s="45"/>
      <c r="C650" s="9"/>
      <c r="D650" s="9"/>
      <c r="E650" s="9"/>
      <c r="H650" s="9"/>
    </row>
    <row r="651" spans="2:8" s="10" customFormat="1" ht="15" customHeight="1">
      <c r="B651" s="45"/>
      <c r="C651" s="9"/>
      <c r="D651" s="9"/>
      <c r="E651" s="9"/>
      <c r="H651" s="9"/>
    </row>
    <row r="652" spans="2:8" s="10" customFormat="1" ht="15" customHeight="1">
      <c r="B652" s="45"/>
      <c r="C652" s="9"/>
      <c r="D652" s="9"/>
      <c r="E652" s="9"/>
      <c r="H652" s="9"/>
    </row>
    <row r="653" spans="2:8" s="10" customFormat="1" ht="15" customHeight="1">
      <c r="B653" s="45"/>
      <c r="C653" s="9"/>
      <c r="D653" s="9"/>
      <c r="E653" s="9"/>
      <c r="H653" s="9"/>
    </row>
    <row r="654" spans="2:8" s="10" customFormat="1" ht="15" customHeight="1">
      <c r="B654" s="45"/>
      <c r="C654" s="9"/>
      <c r="D654" s="9"/>
      <c r="E654" s="9"/>
      <c r="H654" s="9"/>
    </row>
    <row r="655" spans="2:8" s="10" customFormat="1" ht="15" customHeight="1">
      <c r="B655" s="45"/>
      <c r="C655" s="9"/>
      <c r="D655" s="9"/>
      <c r="E655" s="9"/>
      <c r="H655" s="9"/>
    </row>
    <row r="656" spans="2:8" s="10" customFormat="1" ht="15" customHeight="1">
      <c r="B656" s="45"/>
      <c r="C656" s="9"/>
      <c r="D656" s="9"/>
      <c r="E656" s="9"/>
      <c r="H656" s="9"/>
    </row>
    <row r="657" spans="2:8" s="10" customFormat="1" ht="15" customHeight="1">
      <c r="B657" s="45"/>
      <c r="C657" s="9"/>
      <c r="D657" s="9"/>
      <c r="E657" s="9"/>
      <c r="H657" s="9"/>
    </row>
    <row r="658" spans="2:8" s="10" customFormat="1" ht="15" customHeight="1">
      <c r="B658" s="45"/>
      <c r="C658" s="9"/>
      <c r="D658" s="9"/>
      <c r="E658" s="9"/>
      <c r="H658" s="9"/>
    </row>
    <row r="659" spans="2:8" s="10" customFormat="1" ht="15" customHeight="1">
      <c r="B659" s="45"/>
      <c r="C659" s="9"/>
      <c r="D659" s="9"/>
      <c r="E659" s="9"/>
      <c r="H659" s="9"/>
    </row>
    <row r="660" spans="2:8" s="10" customFormat="1" ht="15" customHeight="1">
      <c r="B660" s="45"/>
      <c r="C660" s="9"/>
      <c r="D660" s="9"/>
      <c r="E660" s="9"/>
      <c r="H660" s="9"/>
    </row>
    <row r="661" spans="2:8" s="10" customFormat="1" ht="15" customHeight="1">
      <c r="B661" s="45"/>
      <c r="C661" s="9"/>
      <c r="D661" s="9"/>
      <c r="E661" s="9"/>
      <c r="H661" s="9"/>
    </row>
    <row r="662" spans="2:8" s="10" customFormat="1" ht="15" customHeight="1">
      <c r="B662" s="45"/>
      <c r="C662" s="9"/>
      <c r="D662" s="9"/>
      <c r="E662" s="9"/>
      <c r="H662" s="9"/>
    </row>
    <row r="663" spans="2:8" s="10" customFormat="1" ht="15" customHeight="1">
      <c r="B663" s="45"/>
      <c r="C663" s="9"/>
      <c r="D663" s="9"/>
      <c r="E663" s="9"/>
      <c r="H663" s="9"/>
    </row>
    <row r="664" spans="2:8" s="10" customFormat="1" ht="15" customHeight="1">
      <c r="B664" s="45"/>
      <c r="C664" s="9"/>
      <c r="D664" s="9"/>
      <c r="E664" s="9"/>
      <c r="H664" s="9"/>
    </row>
    <row r="665" spans="2:8" s="10" customFormat="1" ht="15" customHeight="1">
      <c r="B665" s="45"/>
      <c r="C665" s="9"/>
      <c r="D665" s="9"/>
      <c r="E665" s="9"/>
      <c r="H665" s="9"/>
    </row>
    <row r="666" spans="2:8" s="10" customFormat="1" ht="15" customHeight="1">
      <c r="B666" s="45"/>
      <c r="C666" s="9"/>
      <c r="D666" s="9"/>
      <c r="E666" s="9"/>
      <c r="H666" s="9"/>
    </row>
    <row r="667" spans="2:8" s="10" customFormat="1" ht="15" customHeight="1">
      <c r="B667" s="45"/>
      <c r="C667" s="9"/>
      <c r="D667" s="9"/>
      <c r="E667" s="9"/>
      <c r="H667" s="9"/>
    </row>
    <row r="668" spans="2:8" s="10" customFormat="1" ht="15" customHeight="1">
      <c r="B668" s="45"/>
      <c r="C668" s="9"/>
      <c r="D668" s="9"/>
      <c r="E668" s="9"/>
      <c r="H668" s="9"/>
    </row>
    <row r="669" spans="2:8" s="10" customFormat="1" ht="15" customHeight="1">
      <c r="B669" s="45"/>
      <c r="C669" s="9"/>
      <c r="D669" s="9"/>
      <c r="E669" s="9"/>
      <c r="H669" s="9"/>
    </row>
    <row r="670" spans="2:8" s="10" customFormat="1" ht="15" customHeight="1">
      <c r="B670" s="45"/>
      <c r="C670" s="9"/>
      <c r="D670" s="9"/>
      <c r="E670" s="9"/>
      <c r="H670" s="9"/>
    </row>
    <row r="671" spans="2:8" s="10" customFormat="1" ht="15" customHeight="1">
      <c r="B671" s="45"/>
      <c r="C671" s="9"/>
      <c r="D671" s="9"/>
      <c r="E671" s="9"/>
      <c r="H671" s="9"/>
    </row>
    <row r="672" spans="2:8" s="10" customFormat="1" ht="15" customHeight="1">
      <c r="B672" s="45"/>
      <c r="C672" s="9"/>
      <c r="D672" s="9"/>
      <c r="E672" s="9"/>
      <c r="H672" s="9"/>
    </row>
    <row r="673" spans="2:8" s="10" customFormat="1" ht="15" customHeight="1">
      <c r="B673" s="45"/>
      <c r="C673" s="9"/>
      <c r="D673" s="9"/>
      <c r="E673" s="9"/>
      <c r="H673" s="9"/>
    </row>
    <row r="674" spans="2:8" s="10" customFormat="1" ht="15" customHeight="1">
      <c r="B674" s="45"/>
      <c r="C674" s="9"/>
      <c r="D674" s="9"/>
      <c r="E674" s="9"/>
      <c r="H674" s="9"/>
    </row>
    <row r="675" spans="2:8" s="10" customFormat="1" ht="15" customHeight="1">
      <c r="B675" s="45"/>
      <c r="C675" s="9"/>
      <c r="D675" s="9"/>
      <c r="E675" s="9"/>
      <c r="H675" s="9"/>
    </row>
    <row r="676" spans="2:8" s="10" customFormat="1" ht="15" customHeight="1">
      <c r="B676" s="45"/>
      <c r="C676" s="9"/>
      <c r="D676" s="9"/>
      <c r="E676" s="9"/>
      <c r="H676" s="9"/>
    </row>
    <row r="677" spans="2:8" s="10" customFormat="1" ht="15" customHeight="1">
      <c r="B677" s="45"/>
      <c r="C677" s="9"/>
      <c r="D677" s="9"/>
      <c r="E677" s="9"/>
      <c r="H677" s="9"/>
    </row>
    <row r="678" spans="2:8" s="10" customFormat="1" ht="15" customHeight="1">
      <c r="B678" s="45"/>
      <c r="C678" s="9"/>
      <c r="D678" s="9"/>
      <c r="E678" s="9"/>
      <c r="H678" s="9"/>
    </row>
    <row r="679" spans="2:8" s="10" customFormat="1" ht="15" customHeight="1">
      <c r="B679" s="45"/>
      <c r="C679" s="9"/>
      <c r="D679" s="9"/>
      <c r="E679" s="9"/>
      <c r="H679" s="9"/>
    </row>
    <row r="680" spans="2:8" s="10" customFormat="1" ht="15" customHeight="1">
      <c r="B680" s="45"/>
      <c r="C680" s="9"/>
      <c r="D680" s="9"/>
      <c r="E680" s="9"/>
      <c r="H680" s="9"/>
    </row>
    <row r="681" spans="2:8" s="10" customFormat="1" ht="15" customHeight="1">
      <c r="B681" s="45"/>
      <c r="C681" s="9"/>
      <c r="D681" s="9"/>
      <c r="E681" s="9"/>
      <c r="H681" s="9"/>
    </row>
    <row r="682" spans="2:8" s="10" customFormat="1" ht="15" customHeight="1">
      <c r="B682" s="45"/>
      <c r="C682" s="9"/>
      <c r="D682" s="9"/>
      <c r="E682" s="9"/>
      <c r="H682" s="9"/>
    </row>
    <row r="683" spans="2:8" s="10" customFormat="1" ht="15" customHeight="1">
      <c r="B683" s="45"/>
      <c r="C683" s="9"/>
      <c r="D683" s="9"/>
      <c r="E683" s="9"/>
      <c r="H683" s="9"/>
    </row>
    <row r="684" spans="2:8" s="10" customFormat="1" ht="15" customHeight="1">
      <c r="B684" s="45"/>
      <c r="C684" s="9"/>
      <c r="D684" s="9"/>
      <c r="E684" s="9"/>
      <c r="H684" s="9"/>
    </row>
    <row r="685" spans="2:8" s="10" customFormat="1" ht="15" customHeight="1">
      <c r="B685" s="45"/>
      <c r="C685" s="9"/>
      <c r="D685" s="9"/>
      <c r="E685" s="9"/>
      <c r="H685" s="9"/>
    </row>
    <row r="686" spans="2:8" s="10" customFormat="1" ht="15" customHeight="1">
      <c r="B686" s="45"/>
      <c r="C686" s="9"/>
      <c r="D686" s="9"/>
      <c r="E686" s="9"/>
      <c r="H686" s="9"/>
    </row>
    <row r="687" spans="2:8" s="10" customFormat="1" ht="15" customHeight="1">
      <c r="B687" s="45"/>
      <c r="C687" s="9"/>
      <c r="D687" s="9"/>
      <c r="E687" s="9"/>
      <c r="H687" s="9"/>
    </row>
    <row r="688" spans="2:8" s="10" customFormat="1" ht="15" customHeight="1">
      <c r="B688" s="45"/>
      <c r="C688" s="9"/>
      <c r="D688" s="9"/>
      <c r="E688" s="9"/>
      <c r="H688" s="9"/>
    </row>
    <row r="689" spans="2:8" s="10" customFormat="1" ht="15" customHeight="1">
      <c r="B689" s="45"/>
      <c r="C689" s="9"/>
      <c r="D689" s="9"/>
      <c r="E689" s="9"/>
      <c r="H689" s="9"/>
    </row>
    <row r="690" spans="2:8" s="10" customFormat="1" ht="15" customHeight="1">
      <c r="B690" s="45"/>
      <c r="C690" s="9"/>
      <c r="D690" s="9"/>
      <c r="E690" s="9"/>
      <c r="H690" s="9"/>
    </row>
    <row r="691" spans="2:8" s="10" customFormat="1" ht="15" customHeight="1">
      <c r="B691" s="45"/>
      <c r="C691" s="9"/>
      <c r="D691" s="9"/>
      <c r="E691" s="9"/>
      <c r="H691" s="9"/>
    </row>
    <row r="692" spans="2:8" s="10" customFormat="1" ht="15" customHeight="1">
      <c r="B692" s="45"/>
      <c r="C692" s="9"/>
      <c r="D692" s="9"/>
      <c r="E692" s="9"/>
      <c r="H692" s="9"/>
    </row>
    <row r="693" spans="2:8" s="10" customFormat="1" ht="15" customHeight="1">
      <c r="B693" s="45"/>
      <c r="C693" s="9"/>
      <c r="D693" s="9"/>
      <c r="E693" s="9"/>
      <c r="H693" s="9"/>
    </row>
    <row r="694" spans="2:8" s="10" customFormat="1" ht="15" customHeight="1">
      <c r="B694" s="45"/>
      <c r="C694" s="9"/>
      <c r="D694" s="9"/>
      <c r="E694" s="9"/>
      <c r="H694" s="9"/>
    </row>
    <row r="695" spans="2:8" s="10" customFormat="1" ht="15" customHeight="1">
      <c r="B695" s="45"/>
      <c r="C695" s="9"/>
      <c r="D695" s="9"/>
      <c r="E695" s="9"/>
      <c r="H695" s="9"/>
    </row>
    <row r="696" spans="2:8" s="10" customFormat="1" ht="15" customHeight="1">
      <c r="B696" s="45"/>
      <c r="C696" s="9"/>
      <c r="D696" s="9"/>
      <c r="E696" s="9"/>
      <c r="H696" s="9"/>
    </row>
    <row r="697" spans="2:8" s="10" customFormat="1" ht="15" customHeight="1">
      <c r="B697" s="45"/>
      <c r="C697" s="9"/>
      <c r="D697" s="9"/>
      <c r="E697" s="9"/>
      <c r="H697" s="9"/>
    </row>
    <row r="698" spans="2:8" s="10" customFormat="1" ht="15" customHeight="1">
      <c r="B698" s="45"/>
      <c r="C698" s="9"/>
      <c r="D698" s="9"/>
      <c r="E698" s="9"/>
      <c r="H698" s="9"/>
    </row>
    <row r="699" spans="2:8" s="10" customFormat="1" ht="15" customHeight="1">
      <c r="B699" s="45"/>
      <c r="C699" s="9"/>
      <c r="D699" s="9"/>
      <c r="E699" s="9"/>
      <c r="H699" s="9"/>
    </row>
    <row r="700" spans="2:8" s="10" customFormat="1" ht="15" customHeight="1">
      <c r="B700" s="45"/>
      <c r="C700" s="9"/>
      <c r="D700" s="9"/>
      <c r="E700" s="9"/>
      <c r="H700" s="9"/>
    </row>
    <row r="701" spans="2:8" s="10" customFormat="1" ht="15" customHeight="1">
      <c r="B701" s="45"/>
      <c r="C701" s="9"/>
      <c r="D701" s="9"/>
      <c r="E701" s="9"/>
      <c r="H701" s="9"/>
    </row>
    <row r="702" spans="2:8" s="10" customFormat="1" ht="15" customHeight="1">
      <c r="B702" s="45"/>
      <c r="C702" s="9"/>
      <c r="D702" s="9"/>
      <c r="E702" s="9"/>
      <c r="H702" s="9"/>
    </row>
    <row r="703" spans="2:8" s="10" customFormat="1" ht="15" customHeight="1">
      <c r="B703" s="45"/>
      <c r="C703" s="9"/>
      <c r="D703" s="9"/>
      <c r="E703" s="9"/>
      <c r="H703" s="9"/>
    </row>
    <row r="704" spans="2:8" s="10" customFormat="1" ht="15" customHeight="1">
      <c r="B704" s="45"/>
      <c r="C704" s="9"/>
      <c r="D704" s="9"/>
      <c r="E704" s="9"/>
      <c r="H704" s="9"/>
    </row>
    <row r="705" spans="2:8" s="10" customFormat="1" ht="15" customHeight="1">
      <c r="B705" s="45"/>
      <c r="C705" s="9"/>
      <c r="D705" s="9"/>
      <c r="E705" s="9"/>
      <c r="H705" s="9"/>
    </row>
    <row r="706" spans="2:8" s="10" customFormat="1" ht="15" customHeight="1">
      <c r="B706" s="45"/>
      <c r="C706" s="9"/>
      <c r="D706" s="9"/>
      <c r="E706" s="9"/>
      <c r="H706" s="9"/>
    </row>
    <row r="707" spans="2:8" s="10" customFormat="1" ht="15" customHeight="1">
      <c r="B707" s="45"/>
      <c r="C707" s="9"/>
      <c r="D707" s="9"/>
      <c r="E707" s="9"/>
      <c r="H707" s="9"/>
    </row>
    <row r="708" spans="2:8" s="10" customFormat="1" ht="15" customHeight="1">
      <c r="B708" s="45"/>
      <c r="C708" s="9"/>
      <c r="D708" s="9"/>
      <c r="E708" s="9"/>
      <c r="H708" s="9"/>
    </row>
    <row r="709" spans="2:8" s="10" customFormat="1" ht="15" customHeight="1">
      <c r="B709" s="45"/>
      <c r="C709" s="9"/>
      <c r="D709" s="9"/>
      <c r="E709" s="9"/>
      <c r="H709" s="9"/>
    </row>
    <row r="710" spans="2:8" s="10" customFormat="1" ht="15" customHeight="1">
      <c r="B710" s="45"/>
      <c r="C710" s="9"/>
      <c r="D710" s="9"/>
      <c r="E710" s="9"/>
      <c r="H710" s="9"/>
    </row>
    <row r="711" spans="2:8" s="10" customFormat="1" ht="15" customHeight="1">
      <c r="B711" s="45"/>
      <c r="C711" s="9"/>
      <c r="D711" s="9"/>
      <c r="E711" s="9"/>
      <c r="H711" s="9"/>
    </row>
    <row r="712" spans="2:8" s="10" customFormat="1" ht="15" customHeight="1">
      <c r="B712" s="45"/>
      <c r="C712" s="9"/>
      <c r="D712" s="9"/>
      <c r="E712" s="9"/>
      <c r="H712" s="9"/>
    </row>
    <row r="713" spans="2:8" s="10" customFormat="1" ht="15" customHeight="1">
      <c r="B713" s="45"/>
      <c r="C713" s="9"/>
      <c r="D713" s="9"/>
      <c r="E713" s="9"/>
      <c r="H713" s="9"/>
    </row>
    <row r="714" spans="2:8" s="10" customFormat="1" ht="15" customHeight="1">
      <c r="B714" s="45"/>
      <c r="C714" s="9"/>
      <c r="D714" s="9"/>
      <c r="E714" s="9"/>
      <c r="H714" s="9"/>
    </row>
    <row r="715" spans="2:8" s="10" customFormat="1" ht="15" customHeight="1">
      <c r="B715" s="45"/>
      <c r="C715" s="9"/>
      <c r="D715" s="9"/>
      <c r="E715" s="9"/>
      <c r="H715" s="9"/>
    </row>
    <row r="716" spans="2:8" s="10" customFormat="1" ht="15" customHeight="1">
      <c r="B716" s="45"/>
      <c r="C716" s="9"/>
      <c r="D716" s="9"/>
      <c r="E716" s="9"/>
      <c r="H716" s="9"/>
    </row>
    <row r="717" spans="2:8" s="10" customFormat="1" ht="15" customHeight="1">
      <c r="B717" s="45"/>
      <c r="C717" s="9"/>
      <c r="D717" s="9"/>
      <c r="E717" s="9"/>
      <c r="H717" s="9"/>
    </row>
    <row r="718" spans="2:8" s="10" customFormat="1" ht="15" customHeight="1">
      <c r="B718" s="45"/>
      <c r="C718" s="9"/>
      <c r="D718" s="9"/>
      <c r="E718" s="9"/>
      <c r="H718" s="9"/>
    </row>
    <row r="719" spans="2:8" s="10" customFormat="1" ht="15" customHeight="1">
      <c r="B719" s="45"/>
      <c r="C719" s="9"/>
      <c r="D719" s="9"/>
      <c r="E719" s="9"/>
      <c r="H719" s="9"/>
    </row>
    <row r="720" spans="2:8" s="10" customFormat="1" ht="15" customHeight="1">
      <c r="B720" s="45"/>
      <c r="C720" s="9"/>
      <c r="D720" s="9"/>
      <c r="E720" s="9"/>
      <c r="H720" s="9"/>
    </row>
    <row r="721" spans="2:8" s="10" customFormat="1" ht="15" customHeight="1">
      <c r="B721" s="45"/>
      <c r="C721" s="9"/>
      <c r="D721" s="9"/>
      <c r="E721" s="9"/>
      <c r="H721" s="9"/>
    </row>
    <row r="722" spans="2:8" s="10" customFormat="1" ht="15" customHeight="1">
      <c r="B722" s="45"/>
      <c r="C722" s="9"/>
      <c r="D722" s="9"/>
      <c r="E722" s="9"/>
      <c r="H722" s="9"/>
    </row>
    <row r="723" spans="2:8" s="10" customFormat="1" ht="15" customHeight="1">
      <c r="B723" s="45"/>
      <c r="C723" s="9"/>
      <c r="D723" s="9"/>
      <c r="E723" s="9"/>
      <c r="H723" s="9"/>
    </row>
    <row r="724" spans="2:8" s="10" customFormat="1" ht="15" customHeight="1">
      <c r="B724" s="45"/>
      <c r="C724" s="9"/>
      <c r="D724" s="9"/>
      <c r="E724" s="9"/>
      <c r="H724" s="9"/>
    </row>
    <row r="725" spans="2:8" s="10" customFormat="1" ht="15" customHeight="1">
      <c r="B725" s="45"/>
      <c r="C725" s="9"/>
      <c r="D725" s="9"/>
      <c r="E725" s="9"/>
      <c r="H725" s="9"/>
    </row>
    <row r="726" spans="2:8" s="10" customFormat="1" ht="15" customHeight="1">
      <c r="B726" s="45"/>
      <c r="C726" s="9"/>
      <c r="D726" s="9"/>
      <c r="E726" s="9"/>
      <c r="H726" s="9"/>
    </row>
    <row r="727" spans="2:8" s="10" customFormat="1" ht="15" customHeight="1">
      <c r="B727" s="45"/>
      <c r="C727" s="9"/>
      <c r="D727" s="9"/>
      <c r="E727" s="9"/>
      <c r="H727" s="9"/>
    </row>
    <row r="728" spans="2:8" s="10" customFormat="1" ht="15" customHeight="1">
      <c r="B728" s="45"/>
      <c r="C728" s="9"/>
      <c r="D728" s="9"/>
      <c r="E728" s="9"/>
      <c r="H728" s="9"/>
    </row>
    <row r="729" spans="2:8" s="10" customFormat="1" ht="15" customHeight="1">
      <c r="B729" s="45"/>
      <c r="C729" s="9"/>
      <c r="D729" s="9"/>
      <c r="E729" s="9"/>
      <c r="H729" s="9"/>
    </row>
    <row r="730" spans="2:8" s="10" customFormat="1" ht="15" customHeight="1">
      <c r="B730" s="45"/>
      <c r="C730" s="9"/>
      <c r="D730" s="9"/>
      <c r="E730" s="9"/>
      <c r="H730" s="9"/>
    </row>
    <row r="731" spans="2:8" s="10" customFormat="1" ht="15" customHeight="1">
      <c r="B731" s="45"/>
      <c r="C731" s="9"/>
      <c r="D731" s="9"/>
      <c r="E731" s="9"/>
      <c r="H731" s="9"/>
    </row>
    <row r="732" spans="2:8" s="10" customFormat="1" ht="15" customHeight="1">
      <c r="B732" s="45"/>
      <c r="C732" s="9"/>
      <c r="D732" s="9"/>
      <c r="E732" s="9"/>
      <c r="H732" s="9"/>
    </row>
    <row r="733" spans="2:8" s="10" customFormat="1" ht="15" customHeight="1">
      <c r="B733" s="45"/>
      <c r="C733" s="9"/>
      <c r="D733" s="9"/>
      <c r="E733" s="9"/>
      <c r="H733" s="9"/>
    </row>
    <row r="734" spans="2:8" s="10" customFormat="1" ht="15" customHeight="1">
      <c r="B734" s="45"/>
      <c r="C734" s="9"/>
      <c r="D734" s="9"/>
      <c r="E734" s="9"/>
      <c r="H734" s="9"/>
    </row>
    <row r="735" spans="2:8" s="10" customFormat="1" ht="15" customHeight="1">
      <c r="B735" s="45"/>
      <c r="C735" s="9"/>
      <c r="D735" s="9"/>
      <c r="E735" s="9"/>
      <c r="H735" s="9"/>
    </row>
    <row r="736" spans="2:8" s="10" customFormat="1" ht="15" customHeight="1">
      <c r="B736" s="45"/>
      <c r="C736" s="9"/>
      <c r="D736" s="9"/>
      <c r="E736" s="9"/>
      <c r="H736" s="9"/>
    </row>
    <row r="737" spans="2:8" s="10" customFormat="1" ht="15" customHeight="1">
      <c r="B737" s="45"/>
      <c r="C737" s="9"/>
      <c r="D737" s="9"/>
      <c r="E737" s="9"/>
      <c r="H737" s="9"/>
    </row>
    <row r="738" spans="2:8" s="10" customFormat="1" ht="15" customHeight="1">
      <c r="B738" s="45"/>
      <c r="C738" s="9"/>
      <c r="D738" s="9"/>
      <c r="E738" s="9"/>
      <c r="H738" s="9"/>
    </row>
    <row r="739" spans="2:8" s="10" customFormat="1" ht="15" customHeight="1">
      <c r="B739" s="45"/>
      <c r="C739" s="9"/>
      <c r="D739" s="9"/>
      <c r="E739" s="9"/>
      <c r="H739" s="9"/>
    </row>
    <row r="740" spans="2:8" s="10" customFormat="1" ht="15" customHeight="1">
      <c r="B740" s="45"/>
      <c r="C740" s="9"/>
      <c r="D740" s="9"/>
      <c r="E740" s="9"/>
      <c r="H740" s="9"/>
    </row>
    <row r="741" spans="2:8" s="10" customFormat="1" ht="15" customHeight="1">
      <c r="B741" s="45"/>
      <c r="C741" s="9"/>
      <c r="D741" s="9"/>
      <c r="E741" s="9"/>
      <c r="H741" s="9"/>
    </row>
    <row r="742" spans="2:8" s="10" customFormat="1" ht="15" customHeight="1">
      <c r="B742" s="45"/>
      <c r="C742" s="9"/>
      <c r="D742" s="9"/>
      <c r="E742" s="9"/>
      <c r="H742" s="9"/>
    </row>
    <row r="743" spans="2:8" s="10" customFormat="1" ht="15" customHeight="1">
      <c r="B743" s="45"/>
      <c r="C743" s="9"/>
      <c r="D743" s="9"/>
      <c r="E743" s="9"/>
      <c r="H743" s="9"/>
    </row>
    <row r="744" spans="2:8" s="10" customFormat="1" ht="15" customHeight="1">
      <c r="B744" s="45"/>
      <c r="C744" s="9"/>
      <c r="D744" s="9"/>
      <c r="E744" s="9"/>
      <c r="H744" s="9"/>
    </row>
    <row r="745" spans="2:8" s="10" customFormat="1" ht="15" customHeight="1">
      <c r="B745" s="45"/>
      <c r="C745" s="9"/>
      <c r="D745" s="9"/>
      <c r="E745" s="9"/>
      <c r="H745" s="9"/>
    </row>
    <row r="746" spans="2:8" s="10" customFormat="1" ht="15" customHeight="1">
      <c r="B746" s="45"/>
      <c r="C746" s="9"/>
      <c r="D746" s="9"/>
      <c r="E746" s="9"/>
      <c r="H746" s="9"/>
    </row>
    <row r="747" spans="2:8" s="10" customFormat="1" ht="15" customHeight="1">
      <c r="B747" s="45"/>
      <c r="C747" s="9"/>
      <c r="D747" s="9"/>
      <c r="E747" s="9"/>
      <c r="H747" s="9"/>
    </row>
    <row r="748" spans="2:8" s="10" customFormat="1" ht="15" customHeight="1">
      <c r="B748" s="45"/>
      <c r="C748" s="9"/>
      <c r="D748" s="9"/>
      <c r="E748" s="9"/>
      <c r="H748" s="9"/>
    </row>
    <row r="749" spans="2:8" s="10" customFormat="1" ht="15" customHeight="1">
      <c r="B749" s="45"/>
      <c r="C749" s="9"/>
      <c r="D749" s="9"/>
      <c r="E749" s="9"/>
      <c r="H749" s="9"/>
    </row>
    <row r="750" spans="2:8" s="10" customFormat="1" ht="15" customHeight="1">
      <c r="B750" s="45"/>
      <c r="C750" s="9"/>
      <c r="D750" s="9"/>
      <c r="E750" s="9"/>
      <c r="H750" s="9"/>
    </row>
    <row r="751" spans="2:8" s="10" customFormat="1" ht="15" customHeight="1">
      <c r="B751" s="45"/>
      <c r="C751" s="9"/>
      <c r="D751" s="9"/>
      <c r="E751" s="9"/>
      <c r="H751" s="9"/>
    </row>
    <row r="752" spans="2:8" s="10" customFormat="1" ht="15" customHeight="1">
      <c r="B752" s="45"/>
      <c r="C752" s="9"/>
      <c r="D752" s="9"/>
      <c r="E752" s="9"/>
      <c r="H752" s="9"/>
    </row>
    <row r="753" spans="2:8" s="10" customFormat="1" ht="15" customHeight="1">
      <c r="B753" s="45"/>
      <c r="C753" s="9"/>
      <c r="D753" s="9"/>
      <c r="E753" s="9"/>
      <c r="H753" s="9"/>
    </row>
    <row r="754" spans="2:8" s="10" customFormat="1" ht="15" customHeight="1">
      <c r="B754" s="45"/>
      <c r="C754" s="9"/>
      <c r="D754" s="9"/>
      <c r="E754" s="9"/>
      <c r="H754" s="9"/>
    </row>
    <row r="755" spans="2:8" s="10" customFormat="1" ht="15" customHeight="1">
      <c r="B755" s="45"/>
      <c r="C755" s="9"/>
      <c r="D755" s="9"/>
      <c r="E755" s="9"/>
      <c r="H755" s="9"/>
    </row>
    <row r="756" spans="2:8" s="10" customFormat="1" ht="15" customHeight="1">
      <c r="B756" s="45"/>
      <c r="C756" s="9"/>
      <c r="D756" s="9"/>
      <c r="E756" s="9"/>
      <c r="H756" s="9"/>
    </row>
    <row r="757" spans="2:8" s="10" customFormat="1" ht="15" customHeight="1">
      <c r="B757" s="45"/>
      <c r="C757" s="9"/>
      <c r="D757" s="9"/>
      <c r="E757" s="9"/>
      <c r="H757" s="9"/>
    </row>
    <row r="758" spans="2:8" s="10" customFormat="1" ht="15" customHeight="1">
      <c r="B758" s="45"/>
      <c r="C758" s="9"/>
      <c r="D758" s="9"/>
      <c r="E758" s="9"/>
      <c r="H758" s="9"/>
    </row>
    <row r="759" spans="2:8" s="10" customFormat="1" ht="15" customHeight="1">
      <c r="B759" s="45"/>
      <c r="C759" s="9"/>
      <c r="D759" s="9"/>
      <c r="E759" s="9"/>
      <c r="H759" s="9"/>
    </row>
    <row r="760" spans="2:8" s="10" customFormat="1" ht="15" customHeight="1">
      <c r="B760" s="45"/>
      <c r="C760" s="9"/>
      <c r="D760" s="9"/>
      <c r="E760" s="9"/>
      <c r="H760" s="9"/>
    </row>
    <row r="761" spans="2:8" s="10" customFormat="1" ht="15" customHeight="1">
      <c r="B761" s="45"/>
      <c r="C761" s="9"/>
      <c r="D761" s="9"/>
      <c r="E761" s="9"/>
      <c r="H761" s="9"/>
    </row>
    <row r="762" spans="2:8" s="10" customFormat="1" ht="15" customHeight="1">
      <c r="B762" s="45"/>
      <c r="C762" s="9"/>
      <c r="D762" s="9"/>
      <c r="E762" s="9"/>
      <c r="H762" s="9"/>
    </row>
    <row r="763" spans="2:8" s="10" customFormat="1" ht="15" customHeight="1">
      <c r="B763" s="45"/>
      <c r="C763" s="9"/>
      <c r="D763" s="9"/>
      <c r="E763" s="9"/>
      <c r="H763" s="9"/>
    </row>
    <row r="764" spans="2:8" s="10" customFormat="1" ht="15" customHeight="1">
      <c r="B764" s="45"/>
      <c r="C764" s="9"/>
      <c r="D764" s="9"/>
      <c r="E764" s="9"/>
      <c r="H764" s="9"/>
    </row>
    <row r="765" spans="2:8" s="10" customFormat="1" ht="15" customHeight="1">
      <c r="B765" s="45"/>
      <c r="C765" s="9"/>
      <c r="D765" s="9"/>
      <c r="E765" s="9"/>
      <c r="H765" s="9"/>
    </row>
    <row r="766" spans="2:8" s="10" customFormat="1" ht="15" customHeight="1">
      <c r="B766" s="45"/>
      <c r="C766" s="9"/>
      <c r="D766" s="9"/>
      <c r="E766" s="9"/>
      <c r="H766" s="9"/>
    </row>
    <row r="767" spans="2:8" s="10" customFormat="1" ht="15" customHeight="1">
      <c r="B767" s="45"/>
      <c r="C767" s="9"/>
      <c r="D767" s="9"/>
      <c r="E767" s="9"/>
      <c r="H767" s="9"/>
    </row>
    <row r="768" spans="2:8" s="10" customFormat="1" ht="15" customHeight="1">
      <c r="B768" s="45"/>
      <c r="C768" s="9"/>
      <c r="D768" s="9"/>
      <c r="E768" s="9"/>
      <c r="H768" s="9"/>
    </row>
    <row r="769" spans="2:8" s="10" customFormat="1" ht="15" customHeight="1">
      <c r="B769" s="45"/>
      <c r="C769" s="9"/>
      <c r="D769" s="9"/>
      <c r="E769" s="9"/>
      <c r="H769" s="9"/>
    </row>
    <row r="770" spans="2:8" s="10" customFormat="1" ht="15" customHeight="1">
      <c r="B770" s="45"/>
      <c r="C770" s="9"/>
      <c r="D770" s="9"/>
      <c r="E770" s="9"/>
      <c r="H770" s="9"/>
    </row>
    <row r="771" spans="2:8" s="10" customFormat="1" ht="15" customHeight="1">
      <c r="B771" s="45"/>
      <c r="C771" s="9"/>
      <c r="D771" s="9"/>
      <c r="E771" s="9"/>
      <c r="H771" s="9"/>
    </row>
    <row r="772" spans="2:8" s="10" customFormat="1" ht="15" customHeight="1">
      <c r="B772" s="45"/>
      <c r="C772" s="9"/>
      <c r="D772" s="9"/>
      <c r="E772" s="9"/>
      <c r="H772" s="9"/>
    </row>
    <row r="773" spans="2:8" s="10" customFormat="1" ht="15" customHeight="1">
      <c r="B773" s="45"/>
      <c r="C773" s="9"/>
      <c r="D773" s="9"/>
      <c r="E773" s="9"/>
      <c r="H773" s="9"/>
    </row>
    <row r="774" spans="2:8" s="10" customFormat="1" ht="15" customHeight="1">
      <c r="B774" s="45"/>
      <c r="C774" s="9"/>
      <c r="D774" s="9"/>
      <c r="E774" s="9"/>
      <c r="H774" s="9"/>
    </row>
    <row r="775" spans="2:8" s="10" customFormat="1" ht="15" customHeight="1">
      <c r="B775" s="45"/>
      <c r="C775" s="9"/>
      <c r="D775" s="9"/>
      <c r="E775" s="9"/>
      <c r="H775" s="9"/>
    </row>
    <row r="776" spans="2:8" s="10" customFormat="1" ht="15" customHeight="1">
      <c r="B776" s="45"/>
      <c r="C776" s="9"/>
      <c r="D776" s="9"/>
      <c r="E776" s="9"/>
      <c r="H776" s="9"/>
    </row>
    <row r="777" spans="2:8" s="10" customFormat="1" ht="15" customHeight="1">
      <c r="B777" s="45"/>
      <c r="C777" s="9"/>
      <c r="D777" s="9"/>
      <c r="E777" s="9"/>
      <c r="H777" s="9"/>
    </row>
    <row r="778" spans="2:8" s="10" customFormat="1" ht="15" customHeight="1">
      <c r="B778" s="45"/>
      <c r="C778" s="9"/>
      <c r="D778" s="9"/>
      <c r="E778" s="9"/>
      <c r="H778" s="9"/>
    </row>
    <row r="779" spans="2:8" s="10" customFormat="1" ht="15" customHeight="1">
      <c r="B779" s="45"/>
      <c r="C779" s="9"/>
      <c r="D779" s="9"/>
      <c r="E779" s="9"/>
      <c r="H779" s="9"/>
    </row>
    <row r="780" spans="2:8" s="10" customFormat="1" ht="15" customHeight="1">
      <c r="B780" s="45"/>
      <c r="C780" s="9"/>
      <c r="D780" s="9"/>
      <c r="E780" s="9"/>
      <c r="H780" s="9"/>
    </row>
    <row r="781" spans="2:8" s="10" customFormat="1" ht="15" customHeight="1">
      <c r="B781" s="45"/>
      <c r="C781" s="9"/>
      <c r="D781" s="9"/>
      <c r="E781" s="9"/>
      <c r="H781" s="9"/>
    </row>
    <row r="782" spans="2:8" s="10" customFormat="1" ht="15" customHeight="1">
      <c r="B782" s="45"/>
      <c r="C782" s="9"/>
      <c r="D782" s="9"/>
      <c r="E782" s="9"/>
      <c r="H782" s="9"/>
    </row>
    <row r="783" spans="2:8" s="10" customFormat="1" ht="15" customHeight="1">
      <c r="B783" s="45"/>
      <c r="C783" s="9"/>
      <c r="D783" s="9"/>
      <c r="E783" s="9"/>
      <c r="H783" s="9"/>
    </row>
    <row r="784" spans="2:8" s="10" customFormat="1" ht="15" customHeight="1">
      <c r="B784" s="45"/>
      <c r="C784" s="9"/>
      <c r="D784" s="9"/>
      <c r="E784" s="9"/>
      <c r="H784" s="9"/>
    </row>
    <row r="785" spans="2:8" s="10" customFormat="1" ht="15" customHeight="1">
      <c r="B785" s="45"/>
      <c r="C785" s="9"/>
      <c r="D785" s="9"/>
      <c r="E785" s="9"/>
      <c r="H785" s="9"/>
    </row>
    <row r="786" spans="2:8" s="10" customFormat="1" ht="15" customHeight="1">
      <c r="B786" s="45"/>
      <c r="C786" s="9"/>
      <c r="D786" s="9"/>
      <c r="E786" s="9"/>
      <c r="H786" s="9"/>
    </row>
    <row r="787" spans="2:8" s="10" customFormat="1" ht="15" customHeight="1">
      <c r="B787" s="45"/>
      <c r="C787" s="9"/>
      <c r="D787" s="9"/>
      <c r="E787" s="9"/>
      <c r="H787" s="9"/>
    </row>
    <row r="788" spans="2:8" s="10" customFormat="1" ht="15" customHeight="1">
      <c r="B788" s="45"/>
      <c r="C788" s="9"/>
      <c r="D788" s="9"/>
      <c r="E788" s="9"/>
      <c r="H788" s="9"/>
    </row>
    <row r="789" spans="2:8" s="10" customFormat="1" ht="15" customHeight="1">
      <c r="B789" s="45"/>
      <c r="C789" s="9"/>
      <c r="D789" s="9"/>
      <c r="E789" s="9"/>
      <c r="H789" s="9"/>
    </row>
    <row r="790" spans="2:8" s="10" customFormat="1" ht="15" customHeight="1">
      <c r="B790" s="45"/>
      <c r="C790" s="9"/>
      <c r="D790" s="9"/>
      <c r="E790" s="9"/>
      <c r="H790" s="9"/>
    </row>
    <row r="791" spans="2:8" s="10" customFormat="1" ht="15" customHeight="1">
      <c r="B791" s="45"/>
      <c r="C791" s="9"/>
      <c r="D791" s="9"/>
      <c r="E791" s="9"/>
      <c r="H791" s="9"/>
    </row>
    <row r="792" spans="2:8" s="10" customFormat="1" ht="15" customHeight="1">
      <c r="B792" s="45"/>
      <c r="C792" s="9"/>
      <c r="D792" s="9"/>
      <c r="E792" s="9"/>
      <c r="H792" s="9"/>
    </row>
    <row r="793" spans="2:8" s="10" customFormat="1" ht="15" customHeight="1">
      <c r="B793" s="45"/>
      <c r="C793" s="9"/>
      <c r="D793" s="9"/>
      <c r="E793" s="9"/>
      <c r="H793" s="9"/>
    </row>
    <row r="794" spans="2:8" s="10" customFormat="1" ht="15" customHeight="1">
      <c r="B794" s="45"/>
      <c r="C794" s="9"/>
      <c r="D794" s="9"/>
      <c r="E794" s="9"/>
      <c r="H794" s="9"/>
    </row>
    <row r="795" spans="2:8" s="10" customFormat="1" ht="15" customHeight="1">
      <c r="B795" s="45"/>
      <c r="C795" s="9"/>
      <c r="D795" s="9"/>
      <c r="E795" s="9"/>
      <c r="H795" s="9"/>
    </row>
    <row r="796" spans="2:8" s="10" customFormat="1" ht="15" customHeight="1">
      <c r="B796" s="45"/>
      <c r="C796" s="9"/>
      <c r="D796" s="9"/>
      <c r="E796" s="9"/>
      <c r="H796" s="9"/>
    </row>
    <row r="797" spans="2:8" s="10" customFormat="1" ht="15" customHeight="1">
      <c r="B797" s="45"/>
      <c r="C797" s="9"/>
      <c r="D797" s="9"/>
      <c r="E797" s="9"/>
      <c r="H797" s="9"/>
    </row>
    <row r="798" spans="2:8" s="10" customFormat="1" ht="15" customHeight="1">
      <c r="B798" s="45"/>
      <c r="C798" s="9"/>
      <c r="D798" s="9"/>
      <c r="E798" s="9"/>
      <c r="H798" s="9"/>
    </row>
    <row r="799" spans="2:8" s="10" customFormat="1" ht="15" customHeight="1">
      <c r="B799" s="45"/>
      <c r="C799" s="9"/>
      <c r="D799" s="9"/>
      <c r="E799" s="9"/>
      <c r="H799" s="9"/>
    </row>
    <row r="800" spans="2:8" s="10" customFormat="1" ht="15" customHeight="1">
      <c r="B800" s="45"/>
      <c r="C800" s="9"/>
      <c r="D800" s="9"/>
      <c r="E800" s="9"/>
      <c r="H800" s="9"/>
    </row>
    <row r="801" spans="2:8" s="10" customFormat="1" ht="15" customHeight="1">
      <c r="B801" s="45"/>
      <c r="C801" s="9"/>
      <c r="D801" s="9"/>
      <c r="E801" s="9"/>
      <c r="H801" s="9"/>
    </row>
    <row r="802" spans="2:8" s="10" customFormat="1" ht="15" customHeight="1">
      <c r="B802" s="45"/>
      <c r="C802" s="9"/>
      <c r="D802" s="9"/>
      <c r="E802" s="9"/>
      <c r="H802" s="9"/>
    </row>
    <row r="803" spans="2:8" s="10" customFormat="1" ht="15" customHeight="1">
      <c r="B803" s="45"/>
      <c r="C803" s="9"/>
      <c r="D803" s="9"/>
      <c r="E803" s="9"/>
      <c r="H803" s="9"/>
    </row>
    <row r="804" spans="2:8" s="10" customFormat="1" ht="15" customHeight="1">
      <c r="B804" s="45"/>
      <c r="C804" s="9"/>
      <c r="D804" s="9"/>
      <c r="E804" s="9"/>
      <c r="H804" s="9"/>
    </row>
    <row r="805" spans="2:8" s="10" customFormat="1" ht="15" customHeight="1">
      <c r="B805" s="45"/>
      <c r="C805" s="9"/>
      <c r="D805" s="9"/>
      <c r="E805" s="9"/>
      <c r="H805" s="9"/>
    </row>
    <row r="806" spans="2:8" s="10" customFormat="1" ht="15" customHeight="1">
      <c r="B806" s="45"/>
      <c r="C806" s="9"/>
      <c r="D806" s="9"/>
      <c r="E806" s="9"/>
      <c r="H806" s="9"/>
    </row>
    <row r="807" spans="2:8" s="10" customFormat="1" ht="15" customHeight="1">
      <c r="B807" s="45"/>
      <c r="C807" s="9"/>
      <c r="D807" s="9"/>
      <c r="E807" s="9"/>
      <c r="H807" s="9"/>
    </row>
    <row r="808" spans="2:8" s="10" customFormat="1" ht="15" customHeight="1">
      <c r="B808" s="45"/>
      <c r="C808" s="9"/>
      <c r="D808" s="9"/>
      <c r="E808" s="9"/>
      <c r="H808" s="9"/>
    </row>
    <row r="809" spans="2:8" s="10" customFormat="1" ht="15" customHeight="1">
      <c r="B809" s="45"/>
      <c r="C809" s="9"/>
      <c r="D809" s="9"/>
      <c r="E809" s="9"/>
      <c r="H809" s="9"/>
    </row>
    <row r="810" spans="2:8" s="10" customFormat="1" ht="15" customHeight="1">
      <c r="B810" s="45"/>
      <c r="C810" s="9"/>
      <c r="D810" s="9"/>
      <c r="E810" s="9"/>
      <c r="H810" s="9"/>
    </row>
    <row r="811" spans="2:8" s="10" customFormat="1" ht="15" customHeight="1">
      <c r="B811" s="45"/>
      <c r="C811" s="9"/>
      <c r="D811" s="9"/>
      <c r="E811" s="9"/>
      <c r="H811" s="9"/>
    </row>
    <row r="812" spans="2:8" s="10" customFormat="1" ht="15" customHeight="1">
      <c r="B812" s="45"/>
      <c r="C812" s="9"/>
      <c r="D812" s="9"/>
      <c r="E812" s="9"/>
      <c r="H812" s="9"/>
    </row>
    <row r="813" spans="2:8" s="10" customFormat="1" ht="15" customHeight="1">
      <c r="B813" s="45"/>
      <c r="C813" s="9"/>
      <c r="D813" s="9"/>
      <c r="E813" s="9"/>
      <c r="H813" s="9"/>
    </row>
    <row r="814" spans="2:8" s="10" customFormat="1" ht="15" customHeight="1">
      <c r="B814" s="45"/>
      <c r="C814" s="9"/>
      <c r="D814" s="9"/>
      <c r="E814" s="9"/>
      <c r="H814" s="9"/>
    </row>
    <row r="815" spans="2:8" s="10" customFormat="1" ht="15" customHeight="1">
      <c r="B815" s="45"/>
      <c r="C815" s="9"/>
      <c r="D815" s="9"/>
      <c r="E815" s="9"/>
      <c r="H815" s="9"/>
    </row>
    <row r="816" spans="2:8" s="10" customFormat="1" ht="15" customHeight="1">
      <c r="B816" s="45"/>
      <c r="C816" s="9"/>
      <c r="D816" s="9"/>
      <c r="E816" s="9"/>
      <c r="H816" s="9"/>
    </row>
    <row r="817" spans="2:8" s="10" customFormat="1" ht="15" customHeight="1">
      <c r="B817" s="45"/>
      <c r="C817" s="9"/>
      <c r="D817" s="9"/>
      <c r="E817" s="9"/>
      <c r="H817" s="9"/>
    </row>
    <row r="818" spans="2:8" s="10" customFormat="1" ht="15" customHeight="1">
      <c r="B818" s="45"/>
      <c r="C818" s="9"/>
      <c r="D818" s="9"/>
      <c r="E818" s="9"/>
      <c r="H818" s="9"/>
    </row>
    <row r="819" spans="2:8" s="10" customFormat="1" ht="15" customHeight="1">
      <c r="B819" s="45"/>
      <c r="C819" s="9"/>
      <c r="D819" s="9"/>
      <c r="E819" s="9"/>
      <c r="H819" s="9"/>
    </row>
    <row r="820" spans="2:8" s="10" customFormat="1" ht="15" customHeight="1">
      <c r="B820" s="45"/>
      <c r="C820" s="9"/>
      <c r="D820" s="9"/>
      <c r="E820" s="9"/>
      <c r="H820" s="9"/>
    </row>
    <row r="821" spans="2:8" s="10" customFormat="1" ht="15" customHeight="1">
      <c r="B821" s="45"/>
      <c r="C821" s="9"/>
      <c r="D821" s="9"/>
      <c r="E821" s="9"/>
      <c r="H821" s="9"/>
    </row>
    <row r="822" spans="2:8" s="10" customFormat="1" ht="15" customHeight="1">
      <c r="B822" s="45"/>
      <c r="C822" s="9"/>
      <c r="D822" s="9"/>
      <c r="E822" s="9"/>
      <c r="H822" s="9"/>
    </row>
    <row r="823" spans="2:8" s="10" customFormat="1" ht="15" customHeight="1">
      <c r="B823" s="45"/>
      <c r="C823" s="9"/>
      <c r="D823" s="9"/>
      <c r="E823" s="9"/>
      <c r="H823" s="9"/>
    </row>
    <row r="824" spans="2:8" s="10" customFormat="1" ht="15" customHeight="1">
      <c r="B824" s="45"/>
      <c r="C824" s="9"/>
      <c r="D824" s="9"/>
      <c r="E824" s="9"/>
      <c r="H824" s="9"/>
    </row>
    <row r="825" spans="2:8" s="10" customFormat="1" ht="15" customHeight="1">
      <c r="B825" s="45"/>
      <c r="C825" s="9"/>
      <c r="D825" s="9"/>
      <c r="E825" s="9"/>
      <c r="H825" s="9"/>
    </row>
    <row r="826" spans="2:8" s="10" customFormat="1" ht="15" customHeight="1">
      <c r="B826" s="45"/>
      <c r="C826" s="9"/>
      <c r="D826" s="9"/>
      <c r="E826" s="9"/>
      <c r="H826" s="9"/>
    </row>
    <row r="827" spans="2:8" s="10" customFormat="1" ht="15" customHeight="1">
      <c r="B827" s="45"/>
      <c r="C827" s="9"/>
      <c r="D827" s="9"/>
      <c r="E827" s="9"/>
      <c r="H827" s="9"/>
    </row>
    <row r="828" spans="2:8" s="10" customFormat="1" ht="15" customHeight="1">
      <c r="B828" s="45"/>
      <c r="C828" s="9"/>
      <c r="D828" s="9"/>
      <c r="E828" s="9"/>
      <c r="H828" s="9"/>
    </row>
    <row r="829" spans="2:8" s="10" customFormat="1" ht="15" customHeight="1">
      <c r="B829" s="45"/>
      <c r="C829" s="9"/>
      <c r="D829" s="9"/>
      <c r="E829" s="9"/>
      <c r="H829" s="9"/>
    </row>
    <row r="830" spans="2:8" s="10" customFormat="1" ht="15" customHeight="1">
      <c r="B830" s="45"/>
      <c r="C830" s="9"/>
      <c r="D830" s="9"/>
      <c r="E830" s="9"/>
      <c r="H830" s="9"/>
    </row>
    <row r="831" spans="2:8" s="10" customFormat="1" ht="15" customHeight="1">
      <c r="B831" s="45"/>
      <c r="C831" s="9"/>
      <c r="D831" s="9"/>
      <c r="E831" s="9"/>
      <c r="H831" s="9"/>
    </row>
    <row r="832" spans="2:8" s="10" customFormat="1" ht="15" customHeight="1">
      <c r="B832" s="45"/>
      <c r="C832" s="9"/>
      <c r="D832" s="9"/>
      <c r="E832" s="9"/>
      <c r="H832" s="9"/>
    </row>
    <row r="833" spans="2:8" s="10" customFormat="1" ht="15" customHeight="1">
      <c r="B833" s="45"/>
      <c r="C833" s="9"/>
      <c r="D833" s="9"/>
      <c r="E833" s="9"/>
      <c r="H833" s="9"/>
    </row>
    <row r="834" spans="2:8" s="10" customFormat="1" ht="15" customHeight="1">
      <c r="B834" s="45"/>
      <c r="C834" s="9"/>
      <c r="D834" s="9"/>
      <c r="E834" s="9"/>
      <c r="H834" s="9"/>
    </row>
    <row r="835" spans="2:8" s="10" customFormat="1" ht="15" customHeight="1">
      <c r="B835" s="45"/>
      <c r="C835" s="9"/>
      <c r="D835" s="9"/>
      <c r="E835" s="9"/>
      <c r="H835" s="9"/>
    </row>
    <row r="836" spans="2:8" s="10" customFormat="1" ht="15" customHeight="1">
      <c r="B836" s="45"/>
      <c r="C836" s="9"/>
      <c r="D836" s="9"/>
      <c r="E836" s="9"/>
      <c r="H836" s="9"/>
    </row>
    <row r="837" spans="2:8" s="10" customFormat="1" ht="15" customHeight="1">
      <c r="B837" s="45"/>
      <c r="C837" s="9"/>
      <c r="D837" s="9"/>
      <c r="E837" s="9"/>
      <c r="H837" s="9"/>
    </row>
    <row r="838" spans="2:8" s="10" customFormat="1" ht="15" customHeight="1">
      <c r="B838" s="45"/>
      <c r="C838" s="9"/>
      <c r="D838" s="9"/>
      <c r="E838" s="9"/>
      <c r="H838" s="9"/>
    </row>
    <row r="839" spans="2:8" s="10" customFormat="1" ht="15" customHeight="1">
      <c r="B839" s="45"/>
      <c r="C839" s="9"/>
      <c r="D839" s="9"/>
      <c r="E839" s="9"/>
      <c r="H839" s="9"/>
    </row>
    <row r="840" spans="2:8" s="10" customFormat="1" ht="15" customHeight="1">
      <c r="B840" s="45"/>
      <c r="C840" s="9"/>
      <c r="D840" s="9"/>
      <c r="E840" s="9"/>
      <c r="H840" s="9"/>
    </row>
    <row r="841" spans="2:8" s="10" customFormat="1" ht="15" customHeight="1">
      <c r="B841" s="45"/>
      <c r="C841" s="9"/>
      <c r="D841" s="9"/>
      <c r="E841" s="9"/>
      <c r="H841" s="9"/>
    </row>
    <row r="842" spans="2:8" s="10" customFormat="1" ht="15" customHeight="1">
      <c r="B842" s="45"/>
      <c r="C842" s="9"/>
      <c r="D842" s="9"/>
      <c r="E842" s="9"/>
      <c r="H842" s="9"/>
    </row>
    <row r="843" spans="2:8" s="10" customFormat="1" ht="15" customHeight="1">
      <c r="B843" s="45"/>
      <c r="C843" s="9"/>
      <c r="D843" s="9"/>
      <c r="E843" s="9"/>
      <c r="H843" s="9"/>
    </row>
    <row r="844" spans="2:8" s="10" customFormat="1" ht="15" customHeight="1">
      <c r="B844" s="45"/>
      <c r="C844" s="9"/>
      <c r="D844" s="9"/>
      <c r="E844" s="9"/>
      <c r="H844" s="9"/>
    </row>
    <row r="845" spans="2:8" s="10" customFormat="1" ht="15" customHeight="1">
      <c r="B845" s="45"/>
      <c r="C845" s="9"/>
      <c r="D845" s="9"/>
      <c r="E845" s="9"/>
      <c r="H845" s="9"/>
    </row>
    <row r="846" spans="2:8" s="10" customFormat="1" ht="15" customHeight="1">
      <c r="B846" s="45"/>
      <c r="C846" s="9"/>
      <c r="D846" s="9"/>
      <c r="E846" s="9"/>
      <c r="H846" s="9"/>
    </row>
    <row r="847" spans="2:8" s="10" customFormat="1" ht="15" customHeight="1">
      <c r="B847" s="45"/>
      <c r="C847" s="9"/>
      <c r="D847" s="9"/>
      <c r="E847" s="9"/>
      <c r="H847" s="9"/>
    </row>
    <row r="848" spans="2:8" s="10" customFormat="1" ht="15" customHeight="1">
      <c r="B848" s="45"/>
      <c r="C848" s="9"/>
      <c r="D848" s="9"/>
      <c r="E848" s="9"/>
      <c r="H848" s="9"/>
    </row>
    <row r="849" spans="2:8" s="10" customFormat="1" ht="15" customHeight="1">
      <c r="B849" s="45"/>
      <c r="C849" s="9"/>
      <c r="D849" s="9"/>
      <c r="E849" s="9"/>
      <c r="H849" s="9"/>
    </row>
    <row r="850" spans="2:8" s="10" customFormat="1" ht="15" customHeight="1">
      <c r="B850" s="45"/>
      <c r="C850" s="9"/>
      <c r="D850" s="9"/>
      <c r="E850" s="9"/>
      <c r="H850" s="9"/>
    </row>
    <row r="851" spans="2:8" s="10" customFormat="1" ht="15" customHeight="1">
      <c r="B851" s="45"/>
      <c r="C851" s="9"/>
      <c r="D851" s="9"/>
      <c r="E851" s="9"/>
      <c r="H851" s="9"/>
    </row>
    <row r="852" spans="2:8" s="10" customFormat="1" ht="15" customHeight="1">
      <c r="B852" s="45"/>
      <c r="C852" s="9"/>
      <c r="D852" s="9"/>
      <c r="E852" s="9"/>
      <c r="H852" s="9"/>
    </row>
    <row r="853" spans="2:8" s="10" customFormat="1" ht="15" customHeight="1">
      <c r="B853" s="45"/>
      <c r="C853" s="9"/>
      <c r="D853" s="9"/>
      <c r="E853" s="9"/>
      <c r="H853" s="9"/>
    </row>
    <row r="854" spans="2:8" s="10" customFormat="1" ht="15" customHeight="1">
      <c r="B854" s="45"/>
      <c r="C854" s="9"/>
      <c r="D854" s="9"/>
      <c r="E854" s="9"/>
      <c r="H854" s="9"/>
    </row>
    <row r="855" spans="2:8" s="10" customFormat="1" ht="15" customHeight="1">
      <c r="B855" s="45"/>
      <c r="C855" s="9"/>
      <c r="D855" s="9"/>
      <c r="E855" s="9"/>
      <c r="H855" s="9"/>
    </row>
    <row r="856" spans="2:8" s="10" customFormat="1" ht="15" customHeight="1">
      <c r="B856" s="45"/>
      <c r="C856" s="9"/>
      <c r="D856" s="9"/>
      <c r="E856" s="9"/>
      <c r="H856" s="9"/>
    </row>
    <row r="857" spans="2:8" s="10" customFormat="1" ht="15" customHeight="1">
      <c r="B857" s="45"/>
      <c r="C857" s="9"/>
      <c r="D857" s="9"/>
      <c r="E857" s="9"/>
      <c r="H857" s="9"/>
    </row>
    <row r="858" spans="2:8" s="10" customFormat="1" ht="15" customHeight="1">
      <c r="B858" s="45"/>
      <c r="C858" s="9"/>
      <c r="D858" s="9"/>
      <c r="E858" s="9"/>
      <c r="H858" s="9"/>
    </row>
    <row r="859" spans="2:8" s="10" customFormat="1" ht="15" customHeight="1">
      <c r="B859" s="45"/>
      <c r="C859" s="9"/>
      <c r="D859" s="9"/>
      <c r="E859" s="9"/>
      <c r="H859" s="9"/>
    </row>
    <row r="860" spans="2:8" s="10" customFormat="1" ht="15" customHeight="1">
      <c r="B860" s="45"/>
      <c r="C860" s="9"/>
      <c r="D860" s="9"/>
      <c r="E860" s="9"/>
      <c r="H860" s="9"/>
    </row>
    <row r="861" spans="2:8" s="10" customFormat="1" ht="15" customHeight="1">
      <c r="B861" s="45"/>
      <c r="C861" s="9"/>
      <c r="D861" s="9"/>
      <c r="E861" s="9"/>
      <c r="H861" s="9"/>
    </row>
    <row r="862" spans="2:8" s="10" customFormat="1" ht="15" customHeight="1">
      <c r="B862" s="45"/>
      <c r="C862" s="9"/>
      <c r="D862" s="9"/>
      <c r="E862" s="9"/>
      <c r="H862" s="9"/>
    </row>
    <row r="863" spans="2:8" s="10" customFormat="1" ht="15" customHeight="1">
      <c r="B863" s="45"/>
      <c r="C863" s="9"/>
      <c r="D863" s="9"/>
      <c r="E863" s="9"/>
      <c r="H863" s="9"/>
    </row>
    <row r="864" spans="2:8" s="10" customFormat="1" ht="15" customHeight="1">
      <c r="B864" s="45"/>
      <c r="C864" s="9"/>
      <c r="D864" s="9"/>
      <c r="E864" s="9"/>
      <c r="H864" s="9"/>
    </row>
    <row r="865" spans="2:8" s="10" customFormat="1" ht="15" customHeight="1">
      <c r="B865" s="45"/>
      <c r="C865" s="9"/>
      <c r="D865" s="9"/>
      <c r="E865" s="9"/>
      <c r="H865" s="9"/>
    </row>
    <row r="866" spans="2:8" s="10" customFormat="1" ht="15" customHeight="1">
      <c r="B866" s="45"/>
      <c r="C866" s="9"/>
      <c r="D866" s="9"/>
      <c r="E866" s="9"/>
      <c r="H866" s="9"/>
    </row>
    <row r="867" spans="2:8" s="10" customFormat="1" ht="15" customHeight="1">
      <c r="B867" s="45"/>
      <c r="C867" s="9"/>
      <c r="D867" s="9"/>
      <c r="E867" s="9"/>
      <c r="H867" s="9"/>
    </row>
    <row r="868" spans="2:8" s="10" customFormat="1" ht="15" customHeight="1">
      <c r="B868" s="45"/>
      <c r="C868" s="9"/>
      <c r="D868" s="9"/>
      <c r="E868" s="9"/>
      <c r="H868" s="9"/>
    </row>
    <row r="869" spans="2:8" s="10" customFormat="1" ht="15" customHeight="1">
      <c r="B869" s="45"/>
      <c r="C869" s="9"/>
      <c r="D869" s="9"/>
      <c r="E869" s="9"/>
      <c r="H869" s="9"/>
    </row>
    <row r="870" spans="2:8" s="10" customFormat="1" ht="15" customHeight="1">
      <c r="B870" s="45"/>
      <c r="C870" s="9"/>
      <c r="D870" s="9"/>
      <c r="E870" s="9"/>
      <c r="H870" s="9"/>
    </row>
    <row r="871" spans="2:8" s="10" customFormat="1" ht="15" customHeight="1">
      <c r="B871" s="45"/>
      <c r="C871" s="9"/>
      <c r="D871" s="9"/>
      <c r="E871" s="9"/>
      <c r="H871" s="9"/>
    </row>
    <row r="872" spans="2:8" s="10" customFormat="1" ht="15" customHeight="1">
      <c r="B872" s="45"/>
      <c r="C872" s="9"/>
      <c r="D872" s="9"/>
      <c r="E872" s="9"/>
      <c r="H872" s="9"/>
    </row>
    <row r="873" spans="2:8" s="10" customFormat="1" ht="15" customHeight="1">
      <c r="B873" s="45"/>
      <c r="C873" s="9"/>
      <c r="D873" s="9"/>
      <c r="E873" s="9"/>
      <c r="H873" s="9"/>
    </row>
    <row r="874" spans="2:8" s="10" customFormat="1" ht="15" customHeight="1">
      <c r="B874" s="45"/>
      <c r="C874" s="9"/>
      <c r="D874" s="9"/>
      <c r="E874" s="9"/>
      <c r="H874" s="9"/>
    </row>
    <row r="875" spans="2:8" s="10" customFormat="1" ht="15" customHeight="1">
      <c r="B875" s="45"/>
      <c r="C875" s="9"/>
      <c r="D875" s="9"/>
      <c r="E875" s="9"/>
      <c r="H875" s="9"/>
    </row>
    <row r="876" spans="2:8" s="10" customFormat="1" ht="15" customHeight="1">
      <c r="B876" s="45"/>
      <c r="C876" s="9"/>
      <c r="D876" s="9"/>
      <c r="E876" s="9"/>
      <c r="H876" s="9"/>
    </row>
    <row r="877" spans="2:8" s="10" customFormat="1" ht="15" customHeight="1">
      <c r="B877" s="45"/>
      <c r="C877" s="9"/>
      <c r="D877" s="9"/>
      <c r="E877" s="9"/>
      <c r="H877" s="9"/>
    </row>
    <row r="878" spans="2:8" s="10" customFormat="1" ht="15" customHeight="1">
      <c r="B878" s="45"/>
      <c r="C878" s="9"/>
      <c r="D878" s="9"/>
      <c r="E878" s="9"/>
      <c r="H878" s="9"/>
    </row>
    <row r="879" spans="2:8" s="10" customFormat="1" ht="15" customHeight="1">
      <c r="B879" s="45"/>
      <c r="C879" s="9"/>
      <c r="D879" s="9"/>
      <c r="E879" s="9"/>
      <c r="H879" s="9"/>
    </row>
    <row r="880" spans="2:8" s="10" customFormat="1" ht="15" customHeight="1">
      <c r="B880" s="45"/>
      <c r="C880" s="9"/>
      <c r="D880" s="9"/>
      <c r="E880" s="9"/>
      <c r="H880" s="9"/>
    </row>
    <row r="881" spans="2:8" s="10" customFormat="1" ht="15" customHeight="1">
      <c r="B881" s="45"/>
      <c r="C881" s="9"/>
      <c r="D881" s="9"/>
      <c r="E881" s="9"/>
      <c r="H881" s="9"/>
    </row>
    <row r="882" spans="2:8" s="10" customFormat="1" ht="15" customHeight="1">
      <c r="B882" s="45"/>
      <c r="C882" s="9"/>
      <c r="D882" s="9"/>
      <c r="E882" s="9"/>
      <c r="H882" s="9"/>
    </row>
    <row r="883" spans="2:8" s="10" customFormat="1" ht="15" customHeight="1">
      <c r="B883" s="45"/>
      <c r="C883" s="9"/>
      <c r="D883" s="9"/>
      <c r="E883" s="9"/>
      <c r="H883" s="9"/>
    </row>
    <row r="884" spans="2:8" s="10" customFormat="1" ht="15" customHeight="1">
      <c r="B884" s="45"/>
      <c r="C884" s="9"/>
      <c r="D884" s="9"/>
      <c r="E884" s="9"/>
      <c r="H884" s="9"/>
    </row>
    <row r="885" spans="2:8" s="10" customFormat="1" ht="15" customHeight="1">
      <c r="B885" s="45"/>
      <c r="C885" s="9"/>
      <c r="D885" s="9"/>
      <c r="E885" s="9"/>
      <c r="H885" s="9"/>
    </row>
    <row r="886" spans="2:8" s="10" customFormat="1" ht="15" customHeight="1">
      <c r="B886" s="45"/>
      <c r="C886" s="9"/>
      <c r="D886" s="9"/>
      <c r="E886" s="9"/>
      <c r="H886" s="9"/>
    </row>
    <row r="887" spans="2:8" s="10" customFormat="1" ht="15" customHeight="1">
      <c r="B887" s="45"/>
      <c r="C887" s="9"/>
      <c r="D887" s="9"/>
      <c r="E887" s="9"/>
      <c r="H887" s="9"/>
    </row>
    <row r="888" spans="2:8" s="10" customFormat="1" ht="15" customHeight="1">
      <c r="B888" s="45"/>
      <c r="C888" s="9"/>
      <c r="D888" s="9"/>
      <c r="E888" s="9"/>
      <c r="H888" s="9"/>
    </row>
    <row r="889" spans="2:8" s="10" customFormat="1" ht="15" customHeight="1">
      <c r="B889" s="45"/>
      <c r="C889" s="9"/>
      <c r="D889" s="9"/>
      <c r="E889" s="9"/>
      <c r="H889" s="9"/>
    </row>
    <row r="890" spans="2:8" s="10" customFormat="1" ht="15" customHeight="1">
      <c r="B890" s="45"/>
      <c r="C890" s="9"/>
      <c r="D890" s="9"/>
      <c r="E890" s="9"/>
      <c r="H890" s="9"/>
    </row>
    <row r="891" spans="2:8" s="10" customFormat="1" ht="15" customHeight="1">
      <c r="B891" s="45"/>
      <c r="C891" s="9"/>
      <c r="D891" s="9"/>
      <c r="E891" s="9"/>
      <c r="H891" s="9"/>
    </row>
    <row r="892" spans="2:8" s="10" customFormat="1" ht="15" customHeight="1">
      <c r="B892" s="45"/>
      <c r="C892" s="9"/>
      <c r="D892" s="9"/>
      <c r="E892" s="9"/>
      <c r="H892" s="9"/>
    </row>
    <row r="893" spans="2:8" s="10" customFormat="1" ht="15" customHeight="1">
      <c r="B893" s="45"/>
      <c r="C893" s="9"/>
      <c r="D893" s="9"/>
      <c r="E893" s="9"/>
      <c r="H893" s="9"/>
    </row>
    <row r="894" spans="2:8" s="10" customFormat="1" ht="15" customHeight="1">
      <c r="B894" s="45"/>
      <c r="C894" s="9"/>
      <c r="D894" s="9"/>
      <c r="E894" s="9"/>
      <c r="H894" s="9"/>
    </row>
    <row r="895" spans="2:8" s="10" customFormat="1" ht="15" customHeight="1">
      <c r="B895" s="45"/>
      <c r="C895" s="9"/>
      <c r="D895" s="9"/>
      <c r="E895" s="9"/>
      <c r="H895" s="9"/>
    </row>
    <row r="896" spans="2:8" s="10" customFormat="1" ht="15" customHeight="1">
      <c r="B896" s="45"/>
      <c r="C896" s="9"/>
      <c r="D896" s="9"/>
      <c r="E896" s="9"/>
      <c r="H896" s="9"/>
    </row>
    <row r="897" spans="2:8" s="10" customFormat="1" ht="15" customHeight="1">
      <c r="B897" s="45"/>
      <c r="C897" s="9"/>
      <c r="D897" s="9"/>
      <c r="E897" s="9"/>
      <c r="H897" s="9"/>
    </row>
    <row r="898" spans="2:8" s="10" customFormat="1" ht="15" customHeight="1">
      <c r="B898" s="45"/>
      <c r="C898" s="9"/>
      <c r="D898" s="9"/>
      <c r="E898" s="9"/>
      <c r="H898" s="9"/>
    </row>
    <row r="899" spans="2:8" s="10" customFormat="1" ht="15" customHeight="1">
      <c r="B899" s="45"/>
      <c r="C899" s="9"/>
      <c r="D899" s="9"/>
      <c r="E899" s="9"/>
      <c r="H899" s="9"/>
    </row>
    <row r="900" spans="2:8" s="10" customFormat="1" ht="15" customHeight="1">
      <c r="B900" s="45"/>
      <c r="C900" s="9"/>
      <c r="D900" s="9"/>
      <c r="E900" s="9"/>
      <c r="H900" s="9"/>
    </row>
    <row r="901" spans="2:8" s="10" customFormat="1" ht="15" customHeight="1">
      <c r="B901" s="45"/>
      <c r="C901" s="9"/>
      <c r="D901" s="9"/>
      <c r="E901" s="9"/>
      <c r="H901" s="9"/>
    </row>
    <row r="902" spans="2:8" s="10" customFormat="1" ht="15" customHeight="1">
      <c r="B902" s="45"/>
      <c r="C902" s="9"/>
      <c r="D902" s="9"/>
      <c r="E902" s="9"/>
      <c r="H902" s="9"/>
    </row>
    <row r="903" spans="2:8" s="10" customFormat="1" ht="15" customHeight="1">
      <c r="B903" s="45"/>
      <c r="C903" s="9"/>
      <c r="D903" s="9"/>
      <c r="E903" s="9"/>
      <c r="H903" s="9"/>
    </row>
    <row r="904" spans="2:8" s="10" customFormat="1" ht="15" customHeight="1">
      <c r="B904" s="45"/>
      <c r="C904" s="9"/>
      <c r="D904" s="9"/>
      <c r="E904" s="9"/>
      <c r="H904" s="9"/>
    </row>
    <row r="905" spans="2:8" s="10" customFormat="1" ht="15" customHeight="1">
      <c r="B905" s="45"/>
      <c r="C905" s="9"/>
      <c r="D905" s="9"/>
      <c r="E905" s="9"/>
      <c r="H905" s="9"/>
    </row>
    <row r="906" spans="2:8" s="10" customFormat="1" ht="15" customHeight="1">
      <c r="B906" s="45"/>
      <c r="C906" s="9"/>
      <c r="D906" s="9"/>
      <c r="E906" s="9"/>
      <c r="H906" s="9"/>
    </row>
    <row r="907" spans="2:8" s="10" customFormat="1" ht="15" customHeight="1">
      <c r="B907" s="45"/>
      <c r="C907" s="9"/>
      <c r="D907" s="9"/>
      <c r="E907" s="9"/>
      <c r="H907" s="9"/>
    </row>
    <row r="908" spans="2:8" s="10" customFormat="1" ht="15" customHeight="1">
      <c r="B908" s="45"/>
      <c r="C908" s="9"/>
      <c r="D908" s="9"/>
      <c r="E908" s="9"/>
      <c r="H908" s="9"/>
    </row>
    <row r="909" spans="2:8" s="10" customFormat="1" ht="15" customHeight="1">
      <c r="B909" s="45"/>
      <c r="C909" s="9"/>
      <c r="D909" s="9"/>
      <c r="E909" s="9"/>
      <c r="H909" s="9"/>
    </row>
    <row r="910" spans="2:8" s="10" customFormat="1" ht="15" customHeight="1">
      <c r="B910" s="45"/>
      <c r="C910" s="9"/>
      <c r="D910" s="9"/>
      <c r="E910" s="9"/>
      <c r="H910" s="9"/>
    </row>
    <row r="911" spans="2:8" s="10" customFormat="1" ht="15" customHeight="1">
      <c r="B911" s="45"/>
      <c r="C911" s="9"/>
      <c r="D911" s="9"/>
      <c r="E911" s="9"/>
      <c r="H911" s="9"/>
    </row>
    <row r="912" spans="2:8" s="10" customFormat="1" ht="15" customHeight="1">
      <c r="B912" s="45"/>
      <c r="C912" s="9"/>
      <c r="D912" s="9"/>
      <c r="E912" s="9"/>
      <c r="H912" s="9"/>
    </row>
    <row r="913" spans="2:8" s="10" customFormat="1" ht="15" customHeight="1">
      <c r="B913" s="45"/>
      <c r="C913" s="9"/>
      <c r="D913" s="9"/>
      <c r="E913" s="9"/>
      <c r="H913" s="9"/>
    </row>
    <row r="914" spans="2:8" s="10" customFormat="1" ht="15" customHeight="1">
      <c r="B914" s="45"/>
      <c r="C914" s="9"/>
      <c r="D914" s="9"/>
      <c r="E914" s="9"/>
      <c r="H914" s="9"/>
    </row>
    <row r="915" spans="2:8" s="10" customFormat="1" ht="15" customHeight="1">
      <c r="B915" s="45"/>
      <c r="C915" s="9"/>
      <c r="D915" s="9"/>
      <c r="E915" s="9"/>
      <c r="H915" s="9"/>
    </row>
    <row r="916" spans="2:8" s="10" customFormat="1" ht="15" customHeight="1">
      <c r="B916" s="45"/>
      <c r="C916" s="9"/>
      <c r="D916" s="9"/>
      <c r="E916" s="9"/>
      <c r="H916" s="9"/>
    </row>
    <row r="917" spans="2:8" s="10" customFormat="1" ht="15" customHeight="1">
      <c r="B917" s="45"/>
      <c r="C917" s="9"/>
      <c r="D917" s="9"/>
      <c r="E917" s="9"/>
      <c r="H917" s="9"/>
    </row>
    <row r="918" spans="2:8" s="10" customFormat="1" ht="15" customHeight="1">
      <c r="B918" s="45"/>
      <c r="C918" s="9"/>
      <c r="D918" s="9"/>
      <c r="E918" s="9"/>
      <c r="H918" s="9"/>
    </row>
    <row r="919" spans="2:8" s="10" customFormat="1" ht="15" customHeight="1">
      <c r="B919" s="45"/>
      <c r="C919" s="9"/>
      <c r="D919" s="9"/>
      <c r="E919" s="9"/>
      <c r="H919" s="9"/>
    </row>
    <row r="920" spans="2:8" s="10" customFormat="1" ht="15" customHeight="1">
      <c r="B920" s="45"/>
      <c r="C920" s="9"/>
      <c r="D920" s="9"/>
      <c r="E920" s="9"/>
      <c r="H920" s="9"/>
    </row>
    <row r="921" spans="2:8" s="10" customFormat="1" ht="15" customHeight="1">
      <c r="B921" s="45"/>
      <c r="C921" s="9"/>
      <c r="D921" s="9"/>
      <c r="E921" s="9"/>
      <c r="H921" s="9"/>
    </row>
    <row r="922" spans="2:8" s="10" customFormat="1" ht="15" customHeight="1">
      <c r="B922" s="45"/>
      <c r="C922" s="9"/>
      <c r="D922" s="9"/>
      <c r="E922" s="9"/>
      <c r="H922" s="9"/>
    </row>
    <row r="923" spans="2:8" s="10" customFormat="1" ht="15" customHeight="1">
      <c r="B923" s="45"/>
      <c r="C923" s="9"/>
      <c r="D923" s="9"/>
      <c r="E923" s="9"/>
      <c r="H923" s="9"/>
    </row>
    <row r="924" spans="2:8" s="10" customFormat="1" ht="15" customHeight="1">
      <c r="B924" s="45"/>
      <c r="C924" s="9"/>
      <c r="D924" s="9"/>
      <c r="E924" s="9"/>
      <c r="H924" s="9"/>
    </row>
    <row r="925" spans="2:8" s="10" customFormat="1" ht="15" customHeight="1">
      <c r="B925" s="45"/>
      <c r="C925" s="9"/>
      <c r="D925" s="9"/>
      <c r="E925" s="9"/>
      <c r="H925" s="9"/>
    </row>
    <row r="926" spans="2:8" s="10" customFormat="1" ht="15" customHeight="1">
      <c r="B926" s="45"/>
      <c r="C926" s="9"/>
      <c r="D926" s="9"/>
      <c r="E926" s="9"/>
      <c r="H926" s="9"/>
    </row>
    <row r="927" spans="2:8" s="10" customFormat="1" ht="15" customHeight="1">
      <c r="B927" s="45"/>
      <c r="C927" s="9"/>
      <c r="D927" s="9"/>
      <c r="E927" s="9"/>
      <c r="H927" s="9"/>
    </row>
    <row r="928" spans="2:8" s="10" customFormat="1" ht="15" customHeight="1">
      <c r="B928" s="45"/>
      <c r="C928" s="9"/>
      <c r="D928" s="9"/>
      <c r="E928" s="9"/>
      <c r="H928" s="9"/>
    </row>
    <row r="929" spans="2:8" s="10" customFormat="1" ht="15" customHeight="1">
      <c r="B929" s="45"/>
      <c r="C929" s="9"/>
      <c r="D929" s="9"/>
      <c r="E929" s="9"/>
      <c r="H929" s="9"/>
    </row>
    <row r="930" spans="2:8" s="10" customFormat="1" ht="15" customHeight="1">
      <c r="B930" s="45"/>
      <c r="C930" s="9"/>
      <c r="D930" s="9"/>
      <c r="E930" s="9"/>
      <c r="H930" s="9"/>
    </row>
    <row r="931" spans="2:8" s="10" customFormat="1" ht="15" customHeight="1">
      <c r="B931" s="45"/>
      <c r="C931" s="9"/>
      <c r="D931" s="9"/>
      <c r="E931" s="9"/>
      <c r="H931" s="9"/>
    </row>
    <row r="932" spans="2:8" s="10" customFormat="1" ht="15" customHeight="1">
      <c r="B932" s="45"/>
      <c r="C932" s="9"/>
      <c r="D932" s="9"/>
      <c r="E932" s="9"/>
      <c r="H932" s="9"/>
    </row>
    <row r="933" spans="2:8" s="10" customFormat="1" ht="15" customHeight="1">
      <c r="B933" s="45"/>
      <c r="C933" s="9"/>
      <c r="D933" s="9"/>
      <c r="E933" s="9"/>
      <c r="H933" s="9"/>
    </row>
    <row r="934" spans="2:8" s="10" customFormat="1" ht="15" customHeight="1">
      <c r="B934" s="45"/>
      <c r="C934" s="9"/>
      <c r="D934" s="9"/>
      <c r="E934" s="9"/>
      <c r="H934" s="9"/>
    </row>
    <row r="935" spans="2:8" s="10" customFormat="1" ht="15" customHeight="1">
      <c r="B935" s="45"/>
      <c r="C935" s="9"/>
      <c r="D935" s="9"/>
      <c r="E935" s="9"/>
      <c r="H935" s="9"/>
    </row>
    <row r="936" spans="2:8" s="10" customFormat="1" ht="15" customHeight="1">
      <c r="B936" s="45"/>
      <c r="C936" s="9"/>
      <c r="D936" s="9"/>
      <c r="E936" s="9"/>
      <c r="H936" s="9"/>
    </row>
    <row r="937" spans="2:8" s="10" customFormat="1" ht="15" customHeight="1">
      <c r="B937" s="45"/>
      <c r="C937" s="9"/>
      <c r="D937" s="9"/>
      <c r="E937" s="9"/>
      <c r="H937" s="9"/>
    </row>
    <row r="938" spans="2:8" s="10" customFormat="1" ht="15" customHeight="1">
      <c r="B938" s="45"/>
      <c r="C938" s="9"/>
      <c r="D938" s="9"/>
      <c r="E938" s="9"/>
      <c r="H938" s="9"/>
    </row>
    <row r="939" spans="2:8" s="10" customFormat="1" ht="15" customHeight="1">
      <c r="B939" s="45"/>
      <c r="C939" s="9"/>
      <c r="D939" s="9"/>
      <c r="E939" s="9"/>
      <c r="H939" s="9"/>
    </row>
    <row r="940" spans="2:8" s="10" customFormat="1" ht="15" customHeight="1">
      <c r="B940" s="45"/>
      <c r="C940" s="9"/>
      <c r="D940" s="9"/>
      <c r="E940" s="9"/>
      <c r="H940" s="9"/>
    </row>
    <row r="941" spans="2:8" s="10" customFormat="1" ht="15" customHeight="1">
      <c r="B941" s="45"/>
      <c r="C941" s="9"/>
      <c r="D941" s="9"/>
      <c r="E941" s="9"/>
      <c r="H941" s="9"/>
    </row>
    <row r="942" spans="2:8" s="10" customFormat="1" ht="15" customHeight="1">
      <c r="B942" s="45"/>
      <c r="C942" s="9"/>
      <c r="D942" s="9"/>
      <c r="E942" s="9"/>
      <c r="H942" s="9"/>
    </row>
    <row r="943" spans="2:8" s="10" customFormat="1" ht="15" customHeight="1">
      <c r="B943" s="45"/>
      <c r="C943" s="9"/>
      <c r="D943" s="9"/>
      <c r="E943" s="9"/>
      <c r="H943" s="9"/>
    </row>
    <row r="944" spans="2:8" s="10" customFormat="1" ht="15" customHeight="1">
      <c r="B944" s="45"/>
      <c r="C944" s="9"/>
      <c r="D944" s="9"/>
      <c r="E944" s="9"/>
      <c r="H944" s="9"/>
    </row>
    <row r="945" spans="2:8" s="10" customFormat="1" ht="15" customHeight="1">
      <c r="B945" s="45"/>
      <c r="C945" s="9"/>
      <c r="D945" s="9"/>
      <c r="E945" s="9"/>
      <c r="H945" s="9"/>
    </row>
    <row r="946" spans="2:8" s="10" customFormat="1" ht="15" customHeight="1">
      <c r="B946" s="45"/>
      <c r="C946" s="9"/>
      <c r="D946" s="9"/>
      <c r="E946" s="9"/>
      <c r="H946" s="9"/>
    </row>
    <row r="947" spans="2:8" s="10" customFormat="1" ht="15" customHeight="1">
      <c r="B947" s="45"/>
      <c r="C947" s="9"/>
      <c r="D947" s="9"/>
      <c r="E947" s="9"/>
      <c r="H947" s="9"/>
    </row>
    <row r="948" spans="2:8" s="10" customFormat="1" ht="15" customHeight="1">
      <c r="B948" s="45"/>
      <c r="C948" s="9"/>
      <c r="D948" s="9"/>
      <c r="E948" s="9"/>
      <c r="H948" s="9"/>
    </row>
    <row r="949" spans="2:8" s="10" customFormat="1" ht="15" customHeight="1">
      <c r="B949" s="45"/>
      <c r="C949" s="9"/>
      <c r="D949" s="9"/>
      <c r="E949" s="9"/>
      <c r="H949" s="9"/>
    </row>
    <row r="950" spans="2:8" s="10" customFormat="1" ht="15" customHeight="1">
      <c r="B950" s="45"/>
      <c r="C950" s="9"/>
      <c r="D950" s="9"/>
      <c r="E950" s="9"/>
      <c r="H950" s="9"/>
    </row>
    <row r="951" spans="2:8" s="10" customFormat="1" ht="15" customHeight="1">
      <c r="B951" s="45"/>
      <c r="C951" s="9"/>
      <c r="D951" s="9"/>
      <c r="E951" s="9"/>
      <c r="H951" s="9"/>
    </row>
    <row r="952" spans="2:8" s="10" customFormat="1" ht="15" customHeight="1">
      <c r="B952" s="45"/>
      <c r="C952" s="9"/>
      <c r="D952" s="9"/>
      <c r="E952" s="9"/>
      <c r="H952" s="9"/>
    </row>
    <row r="953" spans="2:8" s="10" customFormat="1" ht="15" customHeight="1">
      <c r="B953" s="45"/>
      <c r="C953" s="9"/>
      <c r="D953" s="9"/>
      <c r="E953" s="9"/>
      <c r="H953" s="9"/>
    </row>
    <row r="954" spans="2:8" s="10" customFormat="1" ht="15" customHeight="1">
      <c r="B954" s="45"/>
      <c r="C954" s="9"/>
      <c r="D954" s="9"/>
      <c r="E954" s="9"/>
      <c r="H954" s="9"/>
    </row>
    <row r="955" spans="2:8" s="10" customFormat="1" ht="15" customHeight="1">
      <c r="B955" s="45"/>
      <c r="C955" s="9"/>
      <c r="D955" s="9"/>
      <c r="E955" s="9"/>
      <c r="H955" s="9"/>
    </row>
    <row r="956" spans="2:8" s="10" customFormat="1" ht="15" customHeight="1">
      <c r="B956" s="45"/>
      <c r="C956" s="9"/>
      <c r="D956" s="9"/>
      <c r="E956" s="9"/>
      <c r="H956" s="9"/>
    </row>
    <row r="957" spans="2:8" s="10" customFormat="1" ht="15" customHeight="1">
      <c r="B957" s="45"/>
      <c r="C957" s="9"/>
      <c r="D957" s="9"/>
      <c r="E957" s="9"/>
      <c r="H957" s="9"/>
    </row>
    <row r="958" spans="2:8" s="10" customFormat="1" ht="15" customHeight="1">
      <c r="B958" s="45"/>
      <c r="C958" s="9"/>
      <c r="D958" s="9"/>
      <c r="E958" s="9"/>
      <c r="H958" s="9"/>
    </row>
    <row r="959" spans="2:8" s="10" customFormat="1" ht="15" customHeight="1">
      <c r="B959" s="45"/>
      <c r="C959" s="9"/>
      <c r="D959" s="9"/>
      <c r="E959" s="9"/>
      <c r="H959" s="9"/>
    </row>
    <row r="960" spans="2:8" s="10" customFormat="1" ht="15" customHeight="1">
      <c r="B960" s="45"/>
      <c r="C960" s="9"/>
      <c r="D960" s="9"/>
      <c r="E960" s="9"/>
      <c r="H960" s="9"/>
    </row>
    <row r="961" spans="2:8" s="10" customFormat="1" ht="15" customHeight="1">
      <c r="B961" s="45"/>
      <c r="C961" s="9"/>
      <c r="D961" s="9"/>
      <c r="E961" s="9"/>
      <c r="H961" s="9"/>
    </row>
    <row r="962" spans="2:8" s="10" customFormat="1" ht="15" customHeight="1">
      <c r="B962" s="45"/>
      <c r="C962" s="9"/>
      <c r="D962" s="9"/>
      <c r="E962" s="9"/>
      <c r="H962" s="9"/>
    </row>
    <row r="963" spans="2:8" s="10" customFormat="1" ht="15" customHeight="1">
      <c r="B963" s="45"/>
      <c r="C963" s="9"/>
      <c r="D963" s="9"/>
      <c r="E963" s="9"/>
      <c r="H963" s="9"/>
    </row>
    <row r="964" spans="2:8" s="10" customFormat="1" ht="15" customHeight="1">
      <c r="B964" s="45"/>
      <c r="C964" s="9"/>
      <c r="D964" s="9"/>
      <c r="E964" s="9"/>
      <c r="H964" s="9"/>
    </row>
    <row r="965" spans="2:8" s="10" customFormat="1" ht="15" customHeight="1">
      <c r="B965" s="45"/>
      <c r="C965" s="9"/>
      <c r="D965" s="9"/>
      <c r="E965" s="9"/>
      <c r="H965" s="9"/>
    </row>
    <row r="966" spans="2:8" s="10" customFormat="1" ht="15" customHeight="1">
      <c r="B966" s="45"/>
      <c r="C966" s="9"/>
      <c r="D966" s="9"/>
      <c r="E966" s="9"/>
      <c r="H966" s="9"/>
    </row>
    <row r="967" spans="2:8" s="10" customFormat="1" ht="15" customHeight="1">
      <c r="B967" s="45"/>
      <c r="C967" s="9"/>
      <c r="D967" s="9"/>
      <c r="E967" s="9"/>
      <c r="H967" s="9"/>
    </row>
    <row r="968" spans="2:8" s="10" customFormat="1" ht="15" customHeight="1">
      <c r="B968" s="45"/>
      <c r="C968" s="9"/>
      <c r="D968" s="9"/>
      <c r="E968" s="9"/>
      <c r="H968" s="9"/>
    </row>
    <row r="969" spans="2:8" s="10" customFormat="1" ht="15" customHeight="1">
      <c r="B969" s="45"/>
      <c r="C969" s="9"/>
      <c r="D969" s="9"/>
      <c r="E969" s="9"/>
      <c r="H969" s="9"/>
    </row>
    <row r="970" spans="2:8" s="10" customFormat="1" ht="15" customHeight="1">
      <c r="B970" s="45"/>
      <c r="C970" s="9"/>
      <c r="D970" s="9"/>
      <c r="E970" s="9"/>
      <c r="H970" s="9"/>
    </row>
    <row r="971" spans="2:8" s="10" customFormat="1" ht="15" customHeight="1">
      <c r="B971" s="45"/>
      <c r="C971" s="9"/>
      <c r="D971" s="9"/>
      <c r="E971" s="9"/>
      <c r="H971" s="9"/>
    </row>
    <row r="972" spans="2:8" s="10" customFormat="1" ht="15" customHeight="1">
      <c r="B972" s="45"/>
      <c r="C972" s="9"/>
      <c r="D972" s="9"/>
      <c r="E972" s="9"/>
      <c r="H972" s="9"/>
    </row>
    <row r="973" spans="2:8" s="10" customFormat="1" ht="15" customHeight="1">
      <c r="B973" s="45"/>
      <c r="C973" s="9"/>
      <c r="D973" s="9"/>
      <c r="E973" s="9"/>
      <c r="H973" s="9"/>
    </row>
    <row r="974" spans="2:8" s="10" customFormat="1" ht="15" customHeight="1">
      <c r="B974" s="45"/>
      <c r="C974" s="9"/>
      <c r="D974" s="9"/>
      <c r="E974" s="9"/>
      <c r="H974" s="9"/>
    </row>
    <row r="975" spans="2:8" s="10" customFormat="1" ht="15" customHeight="1">
      <c r="B975" s="45"/>
      <c r="C975" s="9"/>
      <c r="D975" s="9"/>
      <c r="E975" s="9"/>
      <c r="H975" s="9"/>
    </row>
    <row r="976" spans="2:8" s="10" customFormat="1" ht="15" customHeight="1">
      <c r="B976" s="45"/>
      <c r="C976" s="9"/>
      <c r="D976" s="9"/>
      <c r="E976" s="9"/>
      <c r="H976" s="9"/>
    </row>
    <row r="977" spans="2:8" s="10" customFormat="1" ht="15" customHeight="1">
      <c r="B977" s="45"/>
      <c r="C977" s="9"/>
      <c r="D977" s="9"/>
      <c r="E977" s="9"/>
      <c r="H977" s="9"/>
    </row>
    <row r="978" spans="2:8" s="10" customFormat="1" ht="15" customHeight="1">
      <c r="B978" s="45"/>
      <c r="C978" s="9"/>
      <c r="D978" s="9"/>
      <c r="E978" s="9"/>
      <c r="H978" s="9"/>
    </row>
    <row r="979" spans="2:8" s="10" customFormat="1" ht="15" customHeight="1">
      <c r="B979" s="45"/>
      <c r="C979" s="9"/>
      <c r="D979" s="9"/>
      <c r="E979" s="9"/>
      <c r="H979" s="9"/>
    </row>
    <row r="980" spans="2:8" s="10" customFormat="1" ht="15" customHeight="1">
      <c r="B980" s="45"/>
      <c r="C980" s="9"/>
      <c r="D980" s="9"/>
      <c r="E980" s="9"/>
      <c r="H980" s="9"/>
    </row>
    <row r="981" spans="2:8" s="10" customFormat="1" ht="15" customHeight="1">
      <c r="B981" s="45"/>
      <c r="C981" s="9"/>
      <c r="D981" s="9"/>
      <c r="E981" s="9"/>
      <c r="H981" s="9"/>
    </row>
    <row r="982" spans="2:8" s="10" customFormat="1" ht="15" customHeight="1">
      <c r="B982" s="45"/>
      <c r="C982" s="9"/>
      <c r="D982" s="9"/>
      <c r="E982" s="9"/>
      <c r="H982" s="9"/>
    </row>
    <row r="983" spans="2:8" s="10" customFormat="1" ht="15" customHeight="1">
      <c r="B983" s="45"/>
      <c r="C983" s="9"/>
      <c r="D983" s="9"/>
      <c r="E983" s="9"/>
      <c r="H983" s="9"/>
    </row>
    <row r="984" spans="2:8" s="10" customFormat="1" ht="15" customHeight="1">
      <c r="B984" s="45"/>
      <c r="C984" s="9"/>
      <c r="D984" s="9"/>
      <c r="E984" s="9"/>
      <c r="H984" s="9"/>
    </row>
    <row r="985" spans="2:8" s="10" customFormat="1" ht="15" customHeight="1">
      <c r="B985" s="45"/>
      <c r="C985" s="9"/>
      <c r="D985" s="9"/>
      <c r="E985" s="9"/>
      <c r="H985" s="9"/>
    </row>
    <row r="986" spans="2:8" s="10" customFormat="1" ht="15" customHeight="1">
      <c r="B986" s="45"/>
      <c r="C986" s="9"/>
      <c r="D986" s="9"/>
      <c r="E986" s="9"/>
      <c r="H986" s="9"/>
    </row>
    <row r="987" spans="2:8" s="10" customFormat="1" ht="15" customHeight="1">
      <c r="B987" s="45"/>
      <c r="C987" s="9"/>
      <c r="D987" s="9"/>
      <c r="E987" s="9"/>
      <c r="H987" s="9"/>
    </row>
    <row r="988" spans="2:8" s="10" customFormat="1" ht="15" customHeight="1">
      <c r="B988" s="45"/>
      <c r="C988" s="9"/>
      <c r="D988" s="9"/>
      <c r="E988" s="9"/>
      <c r="H988" s="9"/>
    </row>
    <row r="989" spans="2:8" s="10" customFormat="1" ht="15" customHeight="1">
      <c r="B989" s="45"/>
      <c r="C989" s="9"/>
      <c r="D989" s="9"/>
      <c r="E989" s="9"/>
      <c r="H989" s="9"/>
    </row>
    <row r="990" spans="2:8" s="10" customFormat="1" ht="15" customHeight="1">
      <c r="B990" s="45"/>
      <c r="C990" s="9"/>
      <c r="D990" s="9"/>
      <c r="E990" s="9"/>
      <c r="H990" s="9"/>
    </row>
    <row r="991" spans="2:8" s="10" customFormat="1" ht="15" customHeight="1">
      <c r="B991" s="45"/>
      <c r="C991" s="9"/>
      <c r="D991" s="9"/>
      <c r="E991" s="9"/>
      <c r="H991" s="9"/>
    </row>
    <row r="992" spans="2:8" s="10" customFormat="1" ht="15" customHeight="1">
      <c r="B992" s="45"/>
      <c r="C992" s="9"/>
      <c r="D992" s="9"/>
      <c r="E992" s="9"/>
      <c r="H992" s="9"/>
    </row>
    <row r="993" spans="2:8" s="10" customFormat="1" ht="15" customHeight="1">
      <c r="B993" s="45"/>
      <c r="C993" s="9"/>
      <c r="D993" s="9"/>
      <c r="E993" s="9"/>
      <c r="H993" s="9"/>
    </row>
    <row r="994" spans="2:8" s="10" customFormat="1" ht="15" customHeight="1">
      <c r="B994" s="45"/>
      <c r="C994" s="9"/>
      <c r="D994" s="9"/>
      <c r="E994" s="9"/>
      <c r="H994" s="9"/>
    </row>
    <row r="995" spans="2:8" s="10" customFormat="1" ht="15" customHeight="1">
      <c r="B995" s="45"/>
      <c r="C995" s="9"/>
      <c r="D995" s="9"/>
      <c r="E995" s="9"/>
      <c r="H995" s="9"/>
    </row>
    <row r="996" spans="2:8" s="10" customFormat="1" ht="15" customHeight="1">
      <c r="B996" s="45"/>
      <c r="C996" s="9"/>
      <c r="D996" s="9"/>
      <c r="E996" s="9"/>
      <c r="H996" s="9"/>
    </row>
    <row r="997" spans="2:8" s="10" customFormat="1" ht="15" customHeight="1">
      <c r="B997" s="45"/>
      <c r="C997" s="9"/>
      <c r="D997" s="9"/>
      <c r="E997" s="9"/>
      <c r="H997" s="9"/>
    </row>
    <row r="998" spans="2:8" s="10" customFormat="1" ht="15" customHeight="1">
      <c r="B998" s="45"/>
      <c r="C998" s="9"/>
      <c r="D998" s="9"/>
      <c r="E998" s="9"/>
      <c r="H998" s="9"/>
    </row>
    <row r="999" spans="2:8" s="10" customFormat="1" ht="15" customHeight="1">
      <c r="B999" s="45"/>
      <c r="C999" s="9"/>
      <c r="D999" s="9"/>
      <c r="E999" s="9"/>
      <c r="H999" s="9"/>
    </row>
    <row r="1000" spans="2:8" s="10" customFormat="1" ht="15" customHeight="1">
      <c r="B1000" s="45"/>
      <c r="C1000" s="9"/>
      <c r="D1000" s="9"/>
      <c r="E1000" s="9"/>
      <c r="H1000" s="9"/>
    </row>
    <row r="1001" spans="2:8" s="10" customFormat="1" ht="15" customHeight="1">
      <c r="B1001" s="45"/>
      <c r="C1001" s="9"/>
      <c r="D1001" s="9"/>
      <c r="E1001" s="9"/>
      <c r="H1001" s="9"/>
    </row>
    <row r="1002" spans="2:8" s="10" customFormat="1" ht="15" customHeight="1">
      <c r="B1002" s="45"/>
      <c r="C1002" s="9"/>
      <c r="D1002" s="9"/>
      <c r="E1002" s="9"/>
      <c r="H1002" s="9"/>
    </row>
    <row r="1003" spans="2:8" s="10" customFormat="1" ht="15" customHeight="1">
      <c r="B1003" s="45"/>
      <c r="C1003" s="9"/>
      <c r="D1003" s="9"/>
      <c r="E1003" s="9"/>
      <c r="H1003" s="9"/>
    </row>
    <row r="1004" spans="2:8" s="10" customFormat="1" ht="15" customHeight="1">
      <c r="B1004" s="45"/>
      <c r="C1004" s="9"/>
      <c r="D1004" s="9"/>
      <c r="E1004" s="9"/>
      <c r="H1004" s="9"/>
    </row>
    <row r="1005" spans="2:8" s="10" customFormat="1" ht="15" customHeight="1">
      <c r="B1005" s="45"/>
      <c r="C1005" s="9"/>
      <c r="D1005" s="9"/>
      <c r="E1005" s="9"/>
      <c r="H1005" s="9"/>
    </row>
    <row r="1006" spans="2:8" s="10" customFormat="1" ht="15" customHeight="1">
      <c r="B1006" s="45"/>
      <c r="C1006" s="9"/>
      <c r="D1006" s="9"/>
      <c r="E1006" s="9"/>
      <c r="H1006" s="9"/>
    </row>
    <row r="1007" spans="2:8" s="10" customFormat="1" ht="15" customHeight="1">
      <c r="B1007" s="45"/>
      <c r="C1007" s="9"/>
      <c r="D1007" s="9"/>
      <c r="E1007" s="9"/>
      <c r="H1007" s="9"/>
    </row>
    <row r="1008" spans="2:8" s="10" customFormat="1" ht="15" customHeight="1">
      <c r="B1008" s="45"/>
      <c r="C1008" s="9"/>
      <c r="D1008" s="9"/>
      <c r="E1008" s="9"/>
      <c r="H1008" s="9"/>
    </row>
    <row r="1009" spans="2:8" s="10" customFormat="1" ht="15" customHeight="1">
      <c r="B1009" s="45"/>
      <c r="C1009" s="9"/>
      <c r="D1009" s="9"/>
      <c r="E1009" s="9"/>
      <c r="H1009" s="9"/>
    </row>
  </sheetData>
  <mergeCells count="4">
    <mergeCell ref="C1:H1"/>
    <mergeCell ref="C4:D4"/>
    <mergeCell ref="E4:F4"/>
    <mergeCell ref="C2:H2"/>
  </mergeCells>
  <phoneticPr fontId="0" type="noConversion"/>
  <printOptions horizontalCentered="1" verticalCentered="1"/>
  <pageMargins left="0" right="0" top="0" bottom="0" header="0.11811023622047245" footer="0"/>
  <pageSetup paperSize="9" scale="60" orientation="portrait" r:id="rId1"/>
  <headerFooter alignWithMargins="0">
    <oddHeader xml:space="preserve">&amp;C
&amp;R&amp;"Calibri,Félkövér"&amp;12 18. melléklet  a .../2026. (........) önkormányzati rendelethez&amp;"Cambria,Félkövér"&amp;14
</oddHeader>
  </headerFooter>
  <rowBreaks count="1" manualBreakCount="1">
    <brk id="41" min="2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5844-5367-4BC7-BF22-DEE2BA52BC6A}">
  <dimension ref="B1:L108"/>
  <sheetViews>
    <sheetView zoomScale="75" zoomScaleNormal="75" zoomScaleSheetLayoutView="75" workbookViewId="0">
      <selection activeCell="B1" sqref="B1:C1"/>
    </sheetView>
  </sheetViews>
  <sheetFormatPr defaultColWidth="12" defaultRowHeight="15"/>
  <cols>
    <col min="1" max="1" width="9.1640625" style="551" customWidth="1"/>
    <col min="2" max="2" width="82.6640625" style="551" customWidth="1"/>
    <col min="3" max="4" width="24" style="551" customWidth="1"/>
    <col min="5" max="5" width="20.6640625" style="551" bestFit="1" customWidth="1"/>
    <col min="6" max="6" width="18.5" style="551" customWidth="1"/>
    <col min="7" max="7" width="24.1640625" style="551" customWidth="1"/>
    <col min="8" max="8" width="92.5" style="551" customWidth="1"/>
    <col min="9" max="9" width="27.83203125" style="551" customWidth="1"/>
    <col min="10" max="10" width="14" style="551" bestFit="1" customWidth="1"/>
    <col min="11" max="11" width="38" style="551" customWidth="1"/>
    <col min="12" max="12" width="17.33203125" style="551" customWidth="1"/>
    <col min="13" max="13" width="16.83203125" style="551" bestFit="1" customWidth="1"/>
    <col min="14" max="15" width="12" style="551"/>
    <col min="16" max="16" width="22.83203125" style="551" customWidth="1"/>
    <col min="17" max="17" width="16.1640625" style="551" customWidth="1"/>
    <col min="18" max="16384" width="12" style="551"/>
  </cols>
  <sheetData>
    <row r="1" spans="2:12" ht="40.5" customHeight="1">
      <c r="B1" s="1991" t="s">
        <v>1155</v>
      </c>
      <c r="C1" s="1991"/>
      <c r="D1" s="550"/>
    </row>
    <row r="2" spans="2:12" ht="43.5" customHeight="1" thickBot="1">
      <c r="B2" s="552"/>
      <c r="C2" s="553" t="s">
        <v>12</v>
      </c>
    </row>
    <row r="3" spans="2:12" ht="39.950000000000003" customHeight="1">
      <c r="B3" s="554" t="s">
        <v>676</v>
      </c>
      <c r="C3" s="1014">
        <v>3699714</v>
      </c>
      <c r="E3" s="555"/>
      <c r="G3" s="47"/>
      <c r="H3" s="47"/>
      <c r="I3" s="47"/>
      <c r="J3" s="47"/>
      <c r="K3" s="47"/>
      <c r="L3" s="47"/>
    </row>
    <row r="4" spans="2:12" s="559" customFormat="1" ht="39.950000000000003" customHeight="1">
      <c r="B4" s="556" t="s">
        <v>677</v>
      </c>
      <c r="C4" s="1012">
        <f>+'1 kiemelt előirányzatok telj. '!E21</f>
        <v>38973173.585000001</v>
      </c>
      <c r="D4" s="557"/>
      <c r="E4" s="558"/>
      <c r="G4" s="557"/>
      <c r="H4" s="557"/>
      <c r="I4" s="557"/>
      <c r="J4" s="557"/>
      <c r="K4" s="47"/>
      <c r="L4" s="557"/>
    </row>
    <row r="5" spans="2:12" ht="39.950000000000003" customHeight="1">
      <c r="B5" s="560" t="s">
        <v>678</v>
      </c>
      <c r="C5" s="1015">
        <f>+E25</f>
        <v>0</v>
      </c>
      <c r="D5" s="47"/>
      <c r="E5" s="561"/>
      <c r="F5" s="561"/>
      <c r="G5" s="47"/>
      <c r="H5" s="47"/>
      <c r="I5" s="47"/>
      <c r="J5" s="47"/>
      <c r="K5" s="47"/>
      <c r="L5" s="47"/>
    </row>
    <row r="6" spans="2:12" ht="39.950000000000003" customHeight="1">
      <c r="B6" s="562" t="s">
        <v>679</v>
      </c>
      <c r="C6" s="1013">
        <v>-3216378</v>
      </c>
      <c r="D6" s="47"/>
      <c r="E6" s="561"/>
      <c r="G6" s="47"/>
      <c r="H6" s="47"/>
      <c r="I6" s="47"/>
      <c r="J6" s="47"/>
      <c r="K6" s="47"/>
      <c r="L6" s="47"/>
    </row>
    <row r="7" spans="2:12" ht="57" customHeight="1">
      <c r="B7" s="563" t="s">
        <v>680</v>
      </c>
      <c r="C7" s="1013">
        <v>-2179</v>
      </c>
      <c r="E7" s="561"/>
      <c r="G7" s="47"/>
      <c r="H7" s="47"/>
      <c r="I7" s="47"/>
      <c r="J7" s="47"/>
      <c r="K7" s="47"/>
      <c r="L7" s="47"/>
    </row>
    <row r="8" spans="2:12" s="559" customFormat="1" ht="39.950000000000003" customHeight="1">
      <c r="B8" s="556" t="s">
        <v>681</v>
      </c>
      <c r="C8" s="1012">
        <f>-'1 kiemelt előirányzatok telj. '!J21</f>
        <v>-37109458.881999999</v>
      </c>
      <c r="D8" s="557"/>
      <c r="E8" s="558"/>
      <c r="F8" s="1016"/>
      <c r="G8" s="557"/>
      <c r="H8" s="557"/>
      <c r="I8" s="557"/>
      <c r="J8" s="557"/>
      <c r="K8" s="47"/>
      <c r="L8" s="557"/>
    </row>
    <row r="9" spans="2:12" ht="39.950000000000003" customHeight="1" thickBot="1">
      <c r="B9" s="564" t="s">
        <v>682</v>
      </c>
      <c r="C9" s="1226">
        <f>SUM(C3:C8)</f>
        <v>2344871.7030000016</v>
      </c>
      <c r="D9" s="47"/>
      <c r="E9" s="565"/>
      <c r="F9" s="47"/>
      <c r="G9" s="47"/>
      <c r="H9" s="47"/>
      <c r="I9" s="47"/>
      <c r="J9" s="47"/>
      <c r="K9" s="47"/>
      <c r="L9" s="47"/>
    </row>
    <row r="10" spans="2:12" ht="39.950000000000003" customHeight="1">
      <c r="B10" s="566" t="s">
        <v>683</v>
      </c>
      <c r="C10" s="567"/>
      <c r="D10" s="47"/>
      <c r="E10" s="30"/>
      <c r="G10" s="47"/>
      <c r="H10" s="47"/>
      <c r="I10" s="47"/>
      <c r="J10" s="47"/>
      <c r="K10" s="47"/>
      <c r="L10" s="47"/>
    </row>
    <row r="11" spans="2:12" ht="39.950000000000003" customHeight="1">
      <c r="B11" s="568" t="s">
        <v>684</v>
      </c>
      <c r="C11" s="1227">
        <v>654664</v>
      </c>
      <c r="E11" s="30"/>
      <c r="G11" s="47"/>
      <c r="H11" s="47"/>
      <c r="I11" s="47"/>
    </row>
    <row r="12" spans="2:12" ht="39.950000000000003" customHeight="1" thickBot="1">
      <c r="B12" s="569" t="s">
        <v>685</v>
      </c>
      <c r="C12" s="1228">
        <v>1781834</v>
      </c>
      <c r="D12" s="47"/>
      <c r="E12" s="30"/>
    </row>
    <row r="13" spans="2:12" ht="35.1" customHeight="1">
      <c r="C13" s="47"/>
      <c r="D13" s="47"/>
    </row>
    <row r="14" spans="2:12" ht="35.1" customHeight="1"/>
    <row r="15" spans="2:12" ht="35.1" customHeight="1"/>
    <row r="16" spans="2:12" ht="35.1" customHeight="1">
      <c r="E16" s="1010"/>
    </row>
    <row r="17" spans="2:6" ht="35.1" customHeight="1">
      <c r="E17" s="47"/>
      <c r="F17" s="570"/>
    </row>
    <row r="18" spans="2:6" ht="60.75" customHeight="1">
      <c r="B18" s="571"/>
      <c r="E18" s="47"/>
      <c r="F18" s="570"/>
    </row>
    <row r="19" spans="2:6" ht="35.1" customHeight="1">
      <c r="E19" s="47"/>
      <c r="F19" s="570"/>
    </row>
    <row r="20" spans="2:6" ht="35.1" customHeight="1">
      <c r="B20" s="571"/>
      <c r="E20" s="47"/>
      <c r="F20" s="570"/>
    </row>
    <row r="21" spans="2:6" ht="35.1" customHeight="1">
      <c r="E21" s="47"/>
      <c r="F21" s="570"/>
    </row>
    <row r="22" spans="2:6" ht="35.1" customHeight="1">
      <c r="B22" s="571"/>
      <c r="C22" s="572"/>
      <c r="E22" s="47"/>
      <c r="F22" s="570"/>
    </row>
    <row r="23" spans="2:6" ht="35.1" customHeight="1">
      <c r="C23" s="572"/>
      <c r="E23" s="47"/>
      <c r="F23" s="570"/>
    </row>
    <row r="24" spans="2:6" ht="35.1" customHeight="1">
      <c r="E24" s="47"/>
    </row>
    <row r="25" spans="2:6" ht="35.1" customHeight="1">
      <c r="E25" s="47"/>
    </row>
    <row r="26" spans="2:6" ht="35.1" customHeight="1">
      <c r="B26"/>
      <c r="C26" s="47"/>
      <c r="E26" s="47"/>
    </row>
    <row r="27" spans="2:6" ht="35.1" customHeight="1">
      <c r="B27"/>
      <c r="C27" s="47"/>
    </row>
    <row r="28" spans="2:6" ht="35.1" customHeight="1">
      <c r="C28" s="47"/>
    </row>
    <row r="29" spans="2:6" ht="35.1" customHeight="1">
      <c r="C29" s="47"/>
    </row>
    <row r="30" spans="2:6" ht="35.1" customHeight="1">
      <c r="C30" s="47"/>
    </row>
    <row r="31" spans="2:6" ht="35.1" customHeight="1">
      <c r="C31" s="47"/>
    </row>
    <row r="32" spans="2:6" ht="35.1" customHeight="1">
      <c r="C32" s="47"/>
    </row>
    <row r="33" spans="3:3" ht="35.1" customHeight="1">
      <c r="C33" s="47"/>
    </row>
    <row r="34" spans="3:3" ht="35.1" customHeight="1">
      <c r="C34" s="47"/>
    </row>
    <row r="35" spans="3:3" ht="35.1" customHeight="1">
      <c r="C35" s="47"/>
    </row>
    <row r="36" spans="3:3" ht="35.1" customHeight="1">
      <c r="C36" s="47"/>
    </row>
    <row r="37" spans="3:3" ht="35.1" customHeight="1">
      <c r="C37" s="47"/>
    </row>
    <row r="38" spans="3:3" ht="35.1" customHeight="1">
      <c r="C38" s="47"/>
    </row>
    <row r="39" spans="3:3" ht="35.1" customHeight="1">
      <c r="C39" s="47"/>
    </row>
    <row r="40" spans="3:3" ht="35.1" customHeight="1">
      <c r="C40" s="47"/>
    </row>
    <row r="41" spans="3:3" ht="35.1" customHeight="1">
      <c r="C41" s="47"/>
    </row>
    <row r="42" spans="3:3" ht="35.1" customHeight="1">
      <c r="C42" s="47"/>
    </row>
    <row r="43" spans="3:3" ht="35.1" customHeight="1">
      <c r="C43" s="47"/>
    </row>
    <row r="44" spans="3:3" ht="35.1" customHeight="1">
      <c r="C44" s="47"/>
    </row>
    <row r="45" spans="3:3" ht="35.1" customHeight="1">
      <c r="C45" s="47"/>
    </row>
    <row r="46" spans="3:3" ht="35.1" customHeight="1">
      <c r="C46" s="47"/>
    </row>
    <row r="47" spans="3:3" ht="35.1" customHeight="1">
      <c r="C47" s="47"/>
    </row>
    <row r="48" spans="3:3" ht="35.1" customHeight="1">
      <c r="C48" s="47"/>
    </row>
    <row r="49" spans="3:3" ht="35.1" customHeight="1">
      <c r="C49" s="47"/>
    </row>
    <row r="50" spans="3:3" ht="63" customHeight="1">
      <c r="C50" s="47"/>
    </row>
    <row r="51" spans="3:3" ht="35.1" customHeight="1">
      <c r="C51" s="47"/>
    </row>
    <row r="52" spans="3:3">
      <c r="C52" s="47"/>
    </row>
    <row r="53" spans="3:3" ht="35.1" customHeight="1">
      <c r="C53" s="47"/>
    </row>
    <row r="54" spans="3:3" ht="35.1" customHeight="1">
      <c r="C54" s="47"/>
    </row>
    <row r="55" spans="3:3" ht="35.1" customHeight="1">
      <c r="C55" s="47"/>
    </row>
    <row r="56" spans="3:3" ht="35.1" customHeight="1">
      <c r="C56" s="47"/>
    </row>
    <row r="57" spans="3:3" ht="35.1" customHeight="1">
      <c r="C57" s="47"/>
    </row>
    <row r="58" spans="3:3" ht="35.1" customHeight="1">
      <c r="C58" s="47"/>
    </row>
    <row r="59" spans="3:3" ht="35.1" customHeight="1">
      <c r="C59" s="47"/>
    </row>
    <row r="60" spans="3:3" ht="35.1" customHeight="1">
      <c r="C60" s="47"/>
    </row>
    <row r="61" spans="3:3" ht="35.1" customHeight="1">
      <c r="C61" s="47"/>
    </row>
    <row r="62" spans="3:3" ht="35.1" customHeight="1">
      <c r="C62" s="47"/>
    </row>
    <row r="63" spans="3:3" ht="35.1" customHeight="1">
      <c r="C63" s="47"/>
    </row>
    <row r="64" spans="3:3" ht="35.1" customHeight="1">
      <c r="C64" s="47"/>
    </row>
    <row r="65" spans="3:3" ht="35.1" customHeight="1">
      <c r="C65" s="47"/>
    </row>
    <row r="66" spans="3:3" ht="35.1" customHeight="1">
      <c r="C66" s="47"/>
    </row>
    <row r="67" spans="3:3" ht="35.1" customHeight="1">
      <c r="C67" s="47"/>
    </row>
    <row r="68" spans="3:3" ht="35.1" customHeight="1">
      <c r="C68" s="47"/>
    </row>
    <row r="69" spans="3:3" ht="35.1" customHeight="1">
      <c r="C69" s="47"/>
    </row>
    <row r="70" spans="3:3" ht="35.1" customHeight="1">
      <c r="C70" s="47"/>
    </row>
    <row r="71" spans="3:3" ht="35.1" customHeight="1">
      <c r="C71" s="47"/>
    </row>
    <row r="72" spans="3:3" ht="35.1" customHeight="1">
      <c r="C72" s="47"/>
    </row>
    <row r="73" spans="3:3" ht="35.1" customHeight="1">
      <c r="C73" s="47"/>
    </row>
    <row r="74" spans="3:3" ht="35.1" customHeight="1">
      <c r="C74" s="47"/>
    </row>
    <row r="75" spans="3:3" ht="35.1" customHeight="1">
      <c r="C75" s="47"/>
    </row>
    <row r="76" spans="3:3" ht="35.1" customHeight="1">
      <c r="C76" s="47"/>
    </row>
    <row r="77" spans="3:3" ht="35.1" customHeight="1">
      <c r="C77" s="47"/>
    </row>
    <row r="78" spans="3:3" ht="35.1" customHeight="1">
      <c r="C78" s="47"/>
    </row>
    <row r="79" spans="3:3" ht="35.1" customHeight="1">
      <c r="C79" s="47"/>
    </row>
    <row r="80" spans="3:3" ht="35.1" customHeight="1">
      <c r="C80" s="47"/>
    </row>
    <row r="81" spans="3:3" ht="35.1" customHeight="1">
      <c r="C81" s="47"/>
    </row>
    <row r="82" spans="3:3" ht="35.1" customHeight="1">
      <c r="C82" s="47"/>
    </row>
    <row r="83" spans="3:3" ht="35.1" customHeight="1">
      <c r="C83" s="47"/>
    </row>
    <row r="84" spans="3:3" ht="35.1" customHeight="1">
      <c r="C84" s="47"/>
    </row>
    <row r="85" spans="3:3" ht="70.5" customHeight="1">
      <c r="C85" s="47"/>
    </row>
    <row r="86" spans="3:3" ht="70.5" customHeight="1">
      <c r="C86" s="47"/>
    </row>
    <row r="87" spans="3:3" ht="35.1" customHeight="1">
      <c r="C87" s="47"/>
    </row>
    <row r="88" spans="3:3" ht="35.1" customHeight="1">
      <c r="C88" s="47"/>
    </row>
    <row r="89" spans="3:3" ht="35.1" customHeight="1">
      <c r="C89" s="47"/>
    </row>
    <row r="90" spans="3:3" ht="35.1" customHeight="1">
      <c r="C90" s="47"/>
    </row>
    <row r="91" spans="3:3" ht="35.1" customHeight="1">
      <c r="C91" s="47"/>
    </row>
    <row r="92" spans="3:3" ht="35.1" customHeight="1">
      <c r="C92" s="47"/>
    </row>
    <row r="93" spans="3:3" ht="35.1" customHeight="1">
      <c r="C93" s="47"/>
    </row>
    <row r="94" spans="3:3" ht="35.1" customHeight="1">
      <c r="C94" s="47"/>
    </row>
    <row r="95" spans="3:3" ht="35.1" customHeight="1">
      <c r="C95" s="47"/>
    </row>
    <row r="96" spans="3:3" ht="35.1" customHeight="1">
      <c r="C96" s="47"/>
    </row>
    <row r="97" ht="35.1" customHeight="1"/>
    <row r="98" ht="70.5" customHeight="1"/>
    <row r="99" ht="70.5" customHeight="1"/>
    <row r="100" ht="69" customHeight="1"/>
    <row r="101" ht="35.1" customHeight="1"/>
    <row r="102" ht="75" customHeight="1"/>
    <row r="103" ht="35.1" customHeight="1"/>
    <row r="104" ht="35.1" customHeight="1"/>
    <row r="105" ht="35.1" customHeight="1"/>
    <row r="106" ht="35.1" customHeight="1"/>
    <row r="107" ht="35.1" customHeight="1"/>
    <row r="108" ht="19.5" customHeight="1"/>
  </sheetData>
  <mergeCells count="1">
    <mergeCell ref="B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>
    <oddHeader xml:space="preserve">&amp;R&amp;"Calibri,Félkövér"&amp;12 19. melléklet a …/2026. (…….) önkormányzati rendelethez </oddHeader>
  </headerFooter>
  <rowBreaks count="1" manualBreakCount="1">
    <brk id="2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7"/>
  <sheetViews>
    <sheetView zoomScaleNormal="100" workbookViewId="0">
      <selection activeCell="A2" sqref="A2:M2"/>
    </sheetView>
  </sheetViews>
  <sheetFormatPr defaultColWidth="9.33203125" defaultRowHeight="15" customHeight="1"/>
  <cols>
    <col min="1" max="1" width="3.1640625" style="20" customWidth="1"/>
    <col min="2" max="2" width="5" style="20" customWidth="1"/>
    <col min="3" max="3" width="84.1640625" style="20" customWidth="1"/>
    <col min="4" max="4" width="26.1640625" style="20" customWidth="1"/>
    <col min="5" max="5" width="26.6640625" style="20" customWidth="1"/>
    <col min="6" max="6" width="25.83203125" style="20" customWidth="1"/>
    <col min="7" max="7" width="27.33203125" style="20" bestFit="1" customWidth="1"/>
    <col min="8" max="8" width="8.5" style="20" customWidth="1"/>
    <col min="9" max="9" width="124.33203125" style="20" customWidth="1"/>
    <col min="10" max="10" width="26.5" style="20" customWidth="1"/>
    <col min="11" max="11" width="26" style="20" customWidth="1"/>
    <col min="12" max="12" width="24.5" style="20" customWidth="1"/>
    <col min="13" max="13" width="23.83203125" style="20" customWidth="1"/>
    <col min="14" max="14" width="47.1640625" style="20" customWidth="1"/>
    <col min="15" max="15" width="17.5" style="20" customWidth="1"/>
    <col min="16" max="16" width="9.33203125" style="20"/>
    <col min="17" max="17" width="34.33203125" style="20" customWidth="1"/>
    <col min="18" max="16384" width="9.33203125" style="20"/>
  </cols>
  <sheetData>
    <row r="1" spans="1:13" ht="15" customHeight="1">
      <c r="C1" s="21"/>
      <c r="F1" s="48"/>
    </row>
    <row r="2" spans="1:13" ht="28.5" customHeight="1">
      <c r="A2" s="1886" t="s">
        <v>141</v>
      </c>
      <c r="B2" s="1886"/>
      <c r="C2" s="1886"/>
      <c r="D2" s="1886"/>
      <c r="E2" s="1886"/>
      <c r="F2" s="1886"/>
      <c r="G2" s="1886"/>
      <c r="H2" s="1886"/>
      <c r="I2" s="1886"/>
      <c r="J2" s="1886"/>
      <c r="K2" s="1886"/>
      <c r="L2" s="1886"/>
      <c r="M2" s="1886"/>
    </row>
    <row r="3" spans="1:13" ht="21" customHeight="1" thickBot="1">
      <c r="A3" s="68"/>
      <c r="B3" s="68"/>
      <c r="C3" s="68"/>
      <c r="D3" s="69"/>
      <c r="E3" s="69"/>
      <c r="F3" s="57"/>
      <c r="G3" s="57"/>
      <c r="H3" s="68"/>
      <c r="I3" s="68"/>
      <c r="J3" s="57"/>
      <c r="K3" s="57"/>
      <c r="L3" s="64"/>
      <c r="M3" s="57" t="s">
        <v>12</v>
      </c>
    </row>
    <row r="4" spans="1:13" ht="24" customHeight="1">
      <c r="A4" s="59" t="s">
        <v>157</v>
      </c>
      <c r="B4" s="111"/>
      <c r="C4" s="224"/>
      <c r="D4" s="1887" t="s">
        <v>442</v>
      </c>
      <c r="E4" s="1887"/>
      <c r="F4" s="97" t="s">
        <v>240</v>
      </c>
      <c r="G4" s="98" t="s">
        <v>77</v>
      </c>
      <c r="H4" s="228" t="s">
        <v>158</v>
      </c>
      <c r="I4" s="168"/>
      <c r="J4" s="1887" t="s">
        <v>442</v>
      </c>
      <c r="K4" s="1887"/>
      <c r="L4" s="97" t="s">
        <v>240</v>
      </c>
      <c r="M4" s="161" t="s">
        <v>77</v>
      </c>
    </row>
    <row r="5" spans="1:13" ht="24.75" customHeight="1" thickBot="1">
      <c r="A5" s="70"/>
      <c r="B5" s="225"/>
      <c r="C5" s="1230"/>
      <c r="D5" s="151" t="s">
        <v>147</v>
      </c>
      <c r="E5" s="151" t="s">
        <v>75</v>
      </c>
      <c r="F5" s="152" t="s">
        <v>76</v>
      </c>
      <c r="G5" s="226" t="s">
        <v>78</v>
      </c>
      <c r="H5" s="225"/>
      <c r="I5" s="144"/>
      <c r="J5" s="151" t="s">
        <v>147</v>
      </c>
      <c r="K5" s="151" t="s">
        <v>75</v>
      </c>
      <c r="L5" s="152" t="s">
        <v>76</v>
      </c>
      <c r="M5" s="233" t="s">
        <v>78</v>
      </c>
    </row>
    <row r="6" spans="1:13" ht="30" customHeight="1">
      <c r="A6" s="331" t="s">
        <v>115</v>
      </c>
      <c r="B6" s="332"/>
      <c r="C6" s="1231"/>
      <c r="D6" s="89">
        <f>+'3 bev.részl'!G49</f>
        <v>9551585</v>
      </c>
      <c r="E6" s="89">
        <f>+'3 bev.részl'!H49</f>
        <v>9963486</v>
      </c>
      <c r="F6" s="89">
        <f>+'3 bev.részl'!I49</f>
        <v>9963486</v>
      </c>
      <c r="G6" s="90">
        <f t="shared" ref="G6" si="0">+F6/E6*100</f>
        <v>100</v>
      </c>
      <c r="H6" s="333" t="s">
        <v>8</v>
      </c>
      <c r="I6" s="261"/>
      <c r="J6" s="120">
        <f>+'8 okt.'!D26</f>
        <v>6070061</v>
      </c>
      <c r="K6" s="120">
        <f>+'8 okt.'!E26</f>
        <v>6271990</v>
      </c>
      <c r="L6" s="120">
        <f>+'8 okt.'!F26</f>
        <v>6001882</v>
      </c>
      <c r="M6" s="121">
        <f>+L6/K6*100</f>
        <v>95.693424256097344</v>
      </c>
    </row>
    <row r="7" spans="1:13" ht="30" customHeight="1">
      <c r="A7" s="331" t="s">
        <v>71</v>
      </c>
      <c r="B7" s="332"/>
      <c r="C7" s="1231"/>
      <c r="D7" s="89">
        <f>+'3 bev.részl'!G63</f>
        <v>14308000</v>
      </c>
      <c r="E7" s="89">
        <f>+'3 bev.részl'!H63</f>
        <v>16204265</v>
      </c>
      <c r="F7" s="89">
        <f>+'3 bev.részl'!I63</f>
        <v>16204265</v>
      </c>
      <c r="G7" s="202">
        <f>+F7/E7*100</f>
        <v>100</v>
      </c>
      <c r="H7" s="331" t="s">
        <v>366</v>
      </c>
      <c r="I7" s="334"/>
      <c r="J7" s="104">
        <f>+'9 kult.'!C62</f>
        <v>3102126</v>
      </c>
      <c r="K7" s="104">
        <f>+'9 kult.'!D62</f>
        <v>4052441</v>
      </c>
      <c r="L7" s="104">
        <f>+'9 kult.'!E62</f>
        <v>3546874</v>
      </c>
      <c r="M7" s="122">
        <f>+L7/K7*100</f>
        <v>87.524383451850369</v>
      </c>
    </row>
    <row r="8" spans="1:13" ht="30" customHeight="1">
      <c r="A8" s="330" t="s">
        <v>163</v>
      </c>
      <c r="B8" s="1232"/>
      <c r="C8" s="1233"/>
      <c r="D8" s="87">
        <f>+'3 bev.részl'!G97</f>
        <v>2148686</v>
      </c>
      <c r="E8" s="87">
        <f>+'3 bev.részl'!H97</f>
        <v>3131964</v>
      </c>
      <c r="F8" s="87">
        <f>+'3 bev.részl'!I97</f>
        <v>3015061</v>
      </c>
      <c r="G8" s="90">
        <f>+F8/E8*100</f>
        <v>96.267421975476083</v>
      </c>
      <c r="H8" s="331" t="s">
        <v>62</v>
      </c>
      <c r="I8" s="335"/>
      <c r="J8" s="104">
        <f>+'10 szoc.'!C36</f>
        <v>2203054</v>
      </c>
      <c r="K8" s="104">
        <f>+'10 szoc.'!D36</f>
        <v>2611650</v>
      </c>
      <c r="L8" s="104">
        <f>+'10 szoc.'!E36</f>
        <v>2505141</v>
      </c>
      <c r="M8" s="122">
        <f t="shared" ref="M8:M20" si="1">+L8/K8*100</f>
        <v>95.921773591407728</v>
      </c>
    </row>
    <row r="9" spans="1:13" ht="30" customHeight="1">
      <c r="A9" s="331" t="s">
        <v>119</v>
      </c>
      <c r="B9" s="332"/>
      <c r="C9" s="1231"/>
      <c r="D9" s="89">
        <f>+'3 bev.részl'!G121</f>
        <v>0</v>
      </c>
      <c r="E9" s="89">
        <f>+'3 bev.részl'!H121</f>
        <v>1995855</v>
      </c>
      <c r="F9" s="89">
        <f>+'3 bev.részl'!I121</f>
        <v>38469</v>
      </c>
      <c r="G9" s="90">
        <f>+F9/E9*100</f>
        <v>1.9274446289935891</v>
      </c>
      <c r="H9" s="331" t="s">
        <v>67</v>
      </c>
      <c r="I9" s="335"/>
      <c r="J9" s="104">
        <f>+'11 eü.'!C19</f>
        <v>911877</v>
      </c>
      <c r="K9" s="104">
        <f>+'11 eü.'!D19</f>
        <v>1115470</v>
      </c>
      <c r="L9" s="104">
        <f>+'11 eü.'!E19</f>
        <v>934767</v>
      </c>
      <c r="M9" s="122">
        <f t="shared" si="1"/>
        <v>83.800281495692403</v>
      </c>
    </row>
    <row r="10" spans="1:13" ht="30" customHeight="1">
      <c r="A10" s="331" t="s">
        <v>267</v>
      </c>
      <c r="B10" s="332"/>
      <c r="C10" s="1231"/>
      <c r="D10" s="89">
        <f>+'3 bev.részl'!G134</f>
        <v>1999313</v>
      </c>
      <c r="E10" s="89">
        <f>+'3 bev.részl'!H134</f>
        <v>2674034</v>
      </c>
      <c r="F10" s="89">
        <f>+'3 bev.részl'!I134</f>
        <v>2616703</v>
      </c>
      <c r="G10" s="90">
        <f>+F10/E10*100</f>
        <v>97.856010806145321</v>
      </c>
      <c r="H10" s="331" t="s">
        <v>265</v>
      </c>
      <c r="I10" s="335"/>
      <c r="J10" s="104">
        <f>+'12 Gyerm.'!C12</f>
        <v>1990106</v>
      </c>
      <c r="K10" s="104">
        <f>+'12 Gyerm.'!D12</f>
        <v>2011664</v>
      </c>
      <c r="L10" s="104">
        <f>+'12 Gyerm.'!E12</f>
        <v>1998458</v>
      </c>
      <c r="M10" s="122">
        <f t="shared" si="1"/>
        <v>99.343528541545695</v>
      </c>
    </row>
    <row r="11" spans="1:13" ht="30" customHeight="1">
      <c r="A11" s="1234"/>
      <c r="B11" s="425"/>
      <c r="C11" s="1235"/>
      <c r="D11" s="426"/>
      <c r="E11" s="426"/>
      <c r="F11" s="426"/>
      <c r="G11" s="427"/>
      <c r="H11" s="331" t="s">
        <v>266</v>
      </c>
      <c r="I11" s="334"/>
      <c r="J11" s="104">
        <f>+'13 egyéb'!C107</f>
        <v>11678266</v>
      </c>
      <c r="K11" s="104">
        <f>+'13 egyéb'!D107</f>
        <v>16063475</v>
      </c>
      <c r="L11" s="104">
        <f>+'13 egyéb'!E107</f>
        <v>13743601</v>
      </c>
      <c r="M11" s="122">
        <f t="shared" si="1"/>
        <v>85.558081299345261</v>
      </c>
    </row>
    <row r="12" spans="1:13" ht="30" customHeight="1">
      <c r="A12" s="431"/>
      <c r="C12" s="430"/>
      <c r="D12" s="428"/>
      <c r="E12" s="428"/>
      <c r="F12" s="428"/>
      <c r="G12" s="429"/>
      <c r="H12" s="331" t="s">
        <v>146</v>
      </c>
      <c r="I12" s="247"/>
      <c r="J12" s="104">
        <f>+'14 sport'!C24</f>
        <v>936977</v>
      </c>
      <c r="K12" s="104">
        <f>+'14 sport'!D24</f>
        <v>1230515</v>
      </c>
      <c r="L12" s="104">
        <f>+'14 sport'!E24</f>
        <v>1222396</v>
      </c>
      <c r="M12" s="122">
        <f t="shared" si="1"/>
        <v>99.340194959021218</v>
      </c>
    </row>
    <row r="13" spans="1:13" ht="30" customHeight="1">
      <c r="A13" s="327"/>
      <c r="B13" s="1236"/>
      <c r="C13" s="1237"/>
      <c r="D13" s="87"/>
      <c r="E13" s="87"/>
      <c r="F13" s="87"/>
      <c r="G13" s="91"/>
      <c r="H13" s="331" t="s">
        <v>120</v>
      </c>
      <c r="I13" s="336"/>
      <c r="J13" s="104">
        <f>+'15 város.ü.,körny'!G27</f>
        <v>1485832</v>
      </c>
      <c r="K13" s="104">
        <f>+'15 város.ü.,körny'!H27</f>
        <v>1846461</v>
      </c>
      <c r="L13" s="104">
        <f>+'15 város.ü.,körny'!I27</f>
        <v>1736670</v>
      </c>
      <c r="M13" s="122">
        <f t="shared" si="1"/>
        <v>94.053976769614962</v>
      </c>
    </row>
    <row r="14" spans="1:13" ht="30" customHeight="1">
      <c r="A14" s="327"/>
      <c r="B14" s="1236"/>
      <c r="C14" s="1237"/>
      <c r="D14" s="87"/>
      <c r="E14" s="87"/>
      <c r="F14" s="87"/>
      <c r="G14" s="91"/>
      <c r="H14" s="331" t="s">
        <v>142</v>
      </c>
      <c r="I14" s="336"/>
      <c r="J14" s="104">
        <f>+'16 út-híd'!C30</f>
        <v>367300</v>
      </c>
      <c r="K14" s="104">
        <f>+'16 út-híd'!D30</f>
        <v>696203</v>
      </c>
      <c r="L14" s="104">
        <f>+'16 út-híd'!E30</f>
        <v>353805</v>
      </c>
      <c r="M14" s="122">
        <f t="shared" si="1"/>
        <v>50.819229448882005</v>
      </c>
    </row>
    <row r="15" spans="1:13" ht="30" customHeight="1">
      <c r="A15" s="327"/>
      <c r="B15" s="1236"/>
      <c r="C15" s="1237"/>
      <c r="D15" s="87"/>
      <c r="E15" s="87"/>
      <c r="F15" s="87"/>
      <c r="G15" s="91"/>
      <c r="H15" s="163" t="s">
        <v>47</v>
      </c>
      <c r="I15" s="333"/>
      <c r="J15" s="120"/>
      <c r="K15" s="120"/>
      <c r="L15" s="120"/>
      <c r="M15" s="316"/>
    </row>
    <row r="16" spans="1:13" ht="30" customHeight="1">
      <c r="A16" s="325"/>
      <c r="B16" s="1238"/>
      <c r="C16" s="1239"/>
      <c r="D16" s="87"/>
      <c r="E16" s="87"/>
      <c r="F16" s="87"/>
      <c r="G16" s="91"/>
      <c r="H16" s="333"/>
      <c r="I16" s="337" t="s">
        <v>165</v>
      </c>
      <c r="J16" s="113">
        <v>2245</v>
      </c>
      <c r="K16" s="113">
        <v>745</v>
      </c>
      <c r="L16" s="113"/>
      <c r="M16" s="137">
        <f t="shared" si="1"/>
        <v>0</v>
      </c>
    </row>
    <row r="17" spans="1:13" ht="37.5">
      <c r="A17" s="325"/>
      <c r="B17" s="1238"/>
      <c r="C17" s="1239"/>
      <c r="D17" s="87"/>
      <c r="E17" s="87"/>
      <c r="F17" s="87"/>
      <c r="G17" s="91"/>
      <c r="H17" s="333"/>
      <c r="I17" s="375" t="s">
        <v>444</v>
      </c>
      <c r="J17" s="113">
        <v>142713</v>
      </c>
      <c r="K17" s="113">
        <v>0</v>
      </c>
      <c r="L17" s="123"/>
      <c r="M17" s="122"/>
    </row>
    <row r="18" spans="1:13" ht="37.5">
      <c r="A18" s="325"/>
      <c r="B18" s="1238"/>
      <c r="C18" s="1239"/>
      <c r="D18" s="87"/>
      <c r="E18" s="87"/>
      <c r="F18" s="87"/>
      <c r="G18" s="91"/>
      <c r="H18" s="333"/>
      <c r="I18" s="376" t="s">
        <v>445</v>
      </c>
      <c r="J18" s="113">
        <v>243763</v>
      </c>
      <c r="K18" s="113">
        <v>3631</v>
      </c>
      <c r="L18" s="123"/>
      <c r="M18" s="122">
        <f t="shared" si="1"/>
        <v>0</v>
      </c>
    </row>
    <row r="19" spans="1:13" ht="18.75">
      <c r="A19" s="325"/>
      <c r="B19" s="1238"/>
      <c r="C19" s="1239"/>
      <c r="D19" s="87"/>
      <c r="E19" s="87"/>
      <c r="F19" s="87"/>
      <c r="G19" s="91"/>
      <c r="H19" s="333"/>
      <c r="I19" s="375" t="s">
        <v>568</v>
      </c>
      <c r="J19" s="113"/>
      <c r="K19" s="113">
        <v>79270</v>
      </c>
      <c r="L19" s="123"/>
      <c r="M19" s="122">
        <f t="shared" si="1"/>
        <v>0</v>
      </c>
    </row>
    <row r="20" spans="1:13" ht="18.75">
      <c r="A20" s="325"/>
      <c r="B20" s="1238"/>
      <c r="C20" s="1239"/>
      <c r="D20" s="87"/>
      <c r="E20" s="87"/>
      <c r="F20" s="87"/>
      <c r="G20" s="91"/>
      <c r="H20" s="333"/>
      <c r="I20" s="376" t="s">
        <v>569</v>
      </c>
      <c r="J20" s="113"/>
      <c r="K20" s="113">
        <v>426414</v>
      </c>
      <c r="L20" s="123"/>
      <c r="M20" s="122">
        <f t="shared" si="1"/>
        <v>0</v>
      </c>
    </row>
    <row r="21" spans="1:13" ht="30" customHeight="1" thickBot="1">
      <c r="A21" s="325"/>
      <c r="B21" s="1238"/>
      <c r="C21" s="1239"/>
      <c r="D21" s="87"/>
      <c r="E21" s="87"/>
      <c r="F21" s="87"/>
      <c r="G21" s="91"/>
      <c r="H21" s="333"/>
      <c r="I21" s="337" t="s">
        <v>443</v>
      </c>
      <c r="J21" s="113">
        <v>200000</v>
      </c>
      <c r="K21" s="238">
        <v>0</v>
      </c>
      <c r="L21" s="123"/>
      <c r="M21" s="122"/>
    </row>
    <row r="22" spans="1:13" ht="30" customHeight="1" thickBot="1">
      <c r="A22" s="328"/>
      <c r="B22" s="329"/>
      <c r="C22" s="1240"/>
      <c r="D22" s="92"/>
      <c r="E22" s="92"/>
      <c r="F22" s="92"/>
      <c r="G22" s="93"/>
      <c r="H22" s="338" t="s">
        <v>121</v>
      </c>
      <c r="I22" s="145"/>
      <c r="J22" s="108">
        <f>SUM(J16:J21)</f>
        <v>588721</v>
      </c>
      <c r="K22" s="108">
        <f>SUM(K16:K21)</f>
        <v>510060</v>
      </c>
      <c r="L22" s="108">
        <f>SUM(L16:L21)</f>
        <v>0</v>
      </c>
      <c r="M22" s="124">
        <f>+L22/K22*100</f>
        <v>0</v>
      </c>
    </row>
    <row r="23" spans="1:13" ht="30" customHeight="1" thickBot="1">
      <c r="A23" s="1888" t="s">
        <v>122</v>
      </c>
      <c r="B23" s="1889"/>
      <c r="C23" s="1890"/>
      <c r="D23" s="94">
        <f>SUM(D6:D22)</f>
        <v>28007584</v>
      </c>
      <c r="E23" s="94">
        <f>SUM(E6:E22)</f>
        <v>33969604</v>
      </c>
      <c r="F23" s="94">
        <f>SUM(F6:F22)</f>
        <v>31837984</v>
      </c>
      <c r="G23" s="95">
        <f>+F23/E23*100</f>
        <v>93.724919489788576</v>
      </c>
      <c r="H23" s="1891" t="s">
        <v>145</v>
      </c>
      <c r="I23" s="1892"/>
      <c r="J23" s="125">
        <f>+J22+J14+J13+J12+J11+J10+J9+J8+J7+J6</f>
        <v>29334320</v>
      </c>
      <c r="K23" s="125">
        <f>+K22+K14+K13+K12+K11+K10+K9+K8+K7+K6</f>
        <v>36409929</v>
      </c>
      <c r="L23" s="125">
        <f>+L22+L14+L13+L12+L11+L10+L9+L8+L7+L6</f>
        <v>32043594</v>
      </c>
      <c r="M23" s="126">
        <f>+L23/K23*100</f>
        <v>88.007845332519054</v>
      </c>
    </row>
    <row r="24" spans="1:13" ht="18.75" customHeight="1" thickBot="1">
      <c r="A24" s="71"/>
      <c r="B24" s="71"/>
      <c r="C24" s="71"/>
      <c r="D24" s="96"/>
      <c r="E24" s="96"/>
      <c r="F24" s="96"/>
      <c r="G24" s="96"/>
      <c r="H24" s="68"/>
      <c r="I24" s="68"/>
      <c r="J24" s="432"/>
      <c r="K24" s="432"/>
      <c r="L24" s="432"/>
      <c r="M24" s="127"/>
    </row>
    <row r="25" spans="1:13" ht="24.75" customHeight="1">
      <c r="A25" s="227"/>
      <c r="B25" s="228"/>
      <c r="C25" s="1241" t="s">
        <v>193</v>
      </c>
      <c r="D25" s="1887" t="s">
        <v>442</v>
      </c>
      <c r="E25" s="1887"/>
      <c r="F25" s="97" t="s">
        <v>240</v>
      </c>
      <c r="G25" s="302" t="s">
        <v>77</v>
      </c>
      <c r="H25" s="234"/>
      <c r="I25" s="228" t="s">
        <v>123</v>
      </c>
      <c r="J25" s="1887" t="s">
        <v>442</v>
      </c>
      <c r="K25" s="1887"/>
      <c r="L25" s="97" t="s">
        <v>240</v>
      </c>
      <c r="M25" s="128" t="s">
        <v>77</v>
      </c>
    </row>
    <row r="26" spans="1:13" ht="24" customHeight="1">
      <c r="A26" s="229"/>
      <c r="B26" s="230"/>
      <c r="C26" s="1242"/>
      <c r="D26" s="99" t="s">
        <v>147</v>
      </c>
      <c r="E26" s="99" t="s">
        <v>75</v>
      </c>
      <c r="F26" s="100" t="s">
        <v>76</v>
      </c>
      <c r="G26" s="318" t="s">
        <v>78</v>
      </c>
      <c r="H26" s="235"/>
      <c r="I26" s="230"/>
      <c r="J26" s="99" t="s">
        <v>147</v>
      </c>
      <c r="K26" s="99" t="s">
        <v>75</v>
      </c>
      <c r="L26" s="100" t="s">
        <v>76</v>
      </c>
      <c r="M26" s="129" t="s">
        <v>78</v>
      </c>
    </row>
    <row r="27" spans="1:13" ht="18.75" customHeight="1" thickBot="1">
      <c r="A27" s="231"/>
      <c r="B27" s="232"/>
      <c r="C27" s="1243"/>
      <c r="D27" s="101"/>
      <c r="E27" s="101"/>
      <c r="F27" s="101"/>
      <c r="G27" s="153"/>
      <c r="H27" s="236"/>
      <c r="I27" s="237"/>
      <c r="J27" s="101"/>
      <c r="K27" s="101"/>
      <c r="L27" s="101"/>
      <c r="M27" s="130"/>
    </row>
    <row r="28" spans="1:13" ht="30" customHeight="1">
      <c r="A28" s="341" t="s">
        <v>125</v>
      </c>
      <c r="B28" s="336"/>
      <c r="C28" s="1244"/>
      <c r="D28" s="89">
        <f>+'17 fbev.'!D27</f>
        <v>0</v>
      </c>
      <c r="E28" s="89">
        <f>+'17 fbev.'!E27</f>
        <v>7973363</v>
      </c>
      <c r="F28" s="89">
        <f>+'17 fbev.'!F27</f>
        <v>15364</v>
      </c>
      <c r="G28" s="169">
        <f>+F28/E28*100</f>
        <v>0.19269159073781039</v>
      </c>
      <c r="H28" s="163" t="s">
        <v>124</v>
      </c>
      <c r="I28" s="261"/>
      <c r="J28" s="105"/>
      <c r="K28" s="105"/>
      <c r="L28" s="105"/>
      <c r="M28" s="131"/>
    </row>
    <row r="29" spans="1:13" ht="30" customHeight="1">
      <c r="A29" s="339" t="s">
        <v>130</v>
      </c>
      <c r="B29" s="340"/>
      <c r="C29" s="1245"/>
      <c r="D29" s="87">
        <f>+'17 fbev.'!D34</f>
        <v>1000000</v>
      </c>
      <c r="E29" s="87">
        <f>+'17 fbev.'!E34</f>
        <v>902249</v>
      </c>
      <c r="F29" s="87">
        <f>+'17 fbev.'!F34</f>
        <v>902249</v>
      </c>
      <c r="G29" s="103">
        <f>+F29/E29*100</f>
        <v>100</v>
      </c>
      <c r="H29" s="353" t="s">
        <v>8</v>
      </c>
      <c r="I29" s="354"/>
      <c r="J29" s="275">
        <f>+'8 okt.'!D34</f>
        <v>0</v>
      </c>
      <c r="K29" s="275">
        <f>+'8 okt.'!E34</f>
        <v>111625</v>
      </c>
      <c r="L29" s="275">
        <f>+'8 okt.'!F34</f>
        <v>91293</v>
      </c>
      <c r="M29" s="137">
        <f t="shared" ref="M29:M34" si="2">+L29/K29*100</f>
        <v>81.785442329227322</v>
      </c>
    </row>
    <row r="30" spans="1:13" ht="30" customHeight="1">
      <c r="A30" s="339" t="s">
        <v>126</v>
      </c>
      <c r="B30" s="342"/>
      <c r="C30" s="1244"/>
      <c r="D30" s="89">
        <f>+'17 fbev.'!D43</f>
        <v>8000</v>
      </c>
      <c r="E30" s="89">
        <f>+'17 fbev.'!E43</f>
        <v>142467</v>
      </c>
      <c r="F30" s="89">
        <f>+'17 fbev.'!F43</f>
        <v>130957</v>
      </c>
      <c r="G30" s="103">
        <f t="shared" ref="G30" si="3">+F30/E30*100</f>
        <v>91.920936076424724</v>
      </c>
      <c r="H30" s="331" t="s">
        <v>366</v>
      </c>
      <c r="I30" s="355"/>
      <c r="J30" s="104">
        <f>+'9 kult.'!C72</f>
        <v>0</v>
      </c>
      <c r="K30" s="104">
        <f>+'9 kult.'!D72</f>
        <v>162266</v>
      </c>
      <c r="L30" s="104">
        <f>+'9 kult.'!E72</f>
        <v>108483</v>
      </c>
      <c r="M30" s="122">
        <f t="shared" si="2"/>
        <v>66.855040489073488</v>
      </c>
    </row>
    <row r="31" spans="1:13" ht="30" customHeight="1">
      <c r="A31" s="343" t="s">
        <v>268</v>
      </c>
      <c r="B31" s="344"/>
      <c r="C31" s="1246"/>
      <c r="D31" s="104">
        <f>'17 fbev.'!D57</f>
        <v>0</v>
      </c>
      <c r="E31" s="104">
        <f>'17 fbev.'!E57</f>
        <v>45996</v>
      </c>
      <c r="F31" s="104">
        <f>'17 fbev.'!F57</f>
        <v>45998</v>
      </c>
      <c r="G31" s="103">
        <f>+F31/E31*100</f>
        <v>100.00434820419166</v>
      </c>
      <c r="H31" s="331" t="s">
        <v>62</v>
      </c>
      <c r="I31" s="355"/>
      <c r="J31" s="104">
        <f>+'10 szoc.'!C41</f>
        <v>0</v>
      </c>
      <c r="K31" s="104">
        <f>+'10 szoc.'!D41</f>
        <v>78429</v>
      </c>
      <c r="L31" s="104">
        <f>+'10 szoc.'!E41</f>
        <v>27472</v>
      </c>
      <c r="M31" s="122">
        <f t="shared" si="2"/>
        <v>35.027859592752684</v>
      </c>
    </row>
    <row r="32" spans="1:13" ht="30" customHeight="1">
      <c r="A32" s="431"/>
      <c r="C32" s="430"/>
      <c r="D32" s="426"/>
      <c r="E32" s="426"/>
      <c r="F32" s="426"/>
      <c r="H32" s="331" t="s">
        <v>67</v>
      </c>
      <c r="I32" s="355"/>
      <c r="J32" s="104">
        <f>+'11 eü.'!C25</f>
        <v>0</v>
      </c>
      <c r="K32" s="104">
        <f>+'11 eü.'!D25</f>
        <v>19406</v>
      </c>
      <c r="L32" s="104">
        <f>+'11 eü.'!E25</f>
        <v>16562</v>
      </c>
      <c r="M32" s="122">
        <f t="shared" si="2"/>
        <v>85.344738740595687</v>
      </c>
    </row>
    <row r="33" spans="1:14" ht="30" customHeight="1">
      <c r="A33" s="345"/>
      <c r="B33" s="1247"/>
      <c r="C33" s="1245"/>
      <c r="D33" s="105"/>
      <c r="E33" s="105"/>
      <c r="F33" s="105"/>
      <c r="G33" s="106"/>
      <c r="H33" s="331" t="s">
        <v>269</v>
      </c>
      <c r="I33" s="355"/>
      <c r="J33" s="104">
        <f>+'12 Gyerm.'!C17</f>
        <v>700</v>
      </c>
      <c r="K33" s="104">
        <f>+'12 Gyerm.'!D17</f>
        <v>82819</v>
      </c>
      <c r="L33" s="104">
        <f>+'12 Gyerm.'!E17</f>
        <v>27208</v>
      </c>
      <c r="M33" s="122">
        <f t="shared" si="2"/>
        <v>32.852364795517936</v>
      </c>
    </row>
    <row r="34" spans="1:14" ht="30" customHeight="1" thickBot="1">
      <c r="A34" s="346"/>
      <c r="B34" s="1248"/>
      <c r="C34" s="1249"/>
      <c r="D34" s="105"/>
      <c r="E34" s="105"/>
      <c r="F34" s="105"/>
      <c r="G34" s="106"/>
      <c r="H34" s="331" t="s">
        <v>266</v>
      </c>
      <c r="I34" s="355"/>
      <c r="J34" s="104">
        <f>+'13 egyéb'!C114</f>
        <v>72163</v>
      </c>
      <c r="K34" s="104">
        <f>+'13 egyéb'!D114</f>
        <v>119769</v>
      </c>
      <c r="L34" s="104">
        <f>+'13 egyéb'!E114</f>
        <v>91573</v>
      </c>
      <c r="M34" s="122">
        <f t="shared" si="2"/>
        <v>76.458015012231883</v>
      </c>
    </row>
    <row r="35" spans="1:14" ht="30" customHeight="1" thickBot="1">
      <c r="A35" s="346"/>
      <c r="B35" s="1248"/>
      <c r="C35" s="1249"/>
      <c r="D35" s="105"/>
      <c r="E35" s="105"/>
      <c r="F35" s="105"/>
      <c r="G35" s="107"/>
      <c r="H35" s="338" t="s">
        <v>127</v>
      </c>
      <c r="I35" s="356"/>
      <c r="J35" s="132">
        <f>SUM(J28:J34)</f>
        <v>72863</v>
      </c>
      <c r="K35" s="132">
        <f>SUM(K28:K34)</f>
        <v>574314</v>
      </c>
      <c r="L35" s="132">
        <f>SUM(L28:L34)</f>
        <v>362591</v>
      </c>
      <c r="M35" s="109">
        <f>+L35/K35*100</f>
        <v>63.134626702465901</v>
      </c>
    </row>
    <row r="36" spans="1:14" ht="30" customHeight="1">
      <c r="A36" s="330"/>
      <c r="B36" s="174"/>
      <c r="C36" s="1250"/>
      <c r="D36" s="87"/>
      <c r="E36" s="87"/>
      <c r="F36" s="87"/>
      <c r="G36" s="91"/>
      <c r="H36" s="333" t="s">
        <v>69</v>
      </c>
      <c r="I36" s="340"/>
      <c r="J36" s="87">
        <f>+'18 fkia.'!E10</f>
        <v>50000</v>
      </c>
      <c r="K36" s="87">
        <f>+'18 fkia.'!F10</f>
        <v>138755</v>
      </c>
      <c r="L36" s="87">
        <f>+'18 fkia.'!G10</f>
        <v>2308</v>
      </c>
      <c r="M36" s="122">
        <f t="shared" ref="M36:M40" si="4">+L36/K36*100</f>
        <v>1.6633634823970307</v>
      </c>
    </row>
    <row r="37" spans="1:14" ht="30" customHeight="1">
      <c r="A37" s="330"/>
      <c r="B37" s="174"/>
      <c r="C37" s="1250"/>
      <c r="D37" s="87"/>
      <c r="E37" s="87"/>
      <c r="F37" s="87"/>
      <c r="G37" s="91"/>
      <c r="H37" s="331" t="s">
        <v>28</v>
      </c>
      <c r="I37" s="336"/>
      <c r="J37" s="89">
        <f>+'18 fkia.'!E15</f>
        <v>100000</v>
      </c>
      <c r="K37" s="89">
        <f>+'18 fkia.'!F15</f>
        <v>129699</v>
      </c>
      <c r="L37" s="89">
        <f>+'18 fkia.'!G15</f>
        <v>30426</v>
      </c>
      <c r="M37" s="122">
        <f t="shared" si="4"/>
        <v>23.458931834478292</v>
      </c>
    </row>
    <row r="38" spans="1:14" ht="30" customHeight="1">
      <c r="A38" s="347"/>
      <c r="B38" s="1251"/>
      <c r="C38" s="1250"/>
      <c r="D38" s="87"/>
      <c r="E38" s="87"/>
      <c r="F38" s="87"/>
      <c r="G38" s="91"/>
      <c r="H38" s="331" t="s">
        <v>137</v>
      </c>
      <c r="I38" s="247"/>
      <c r="J38" s="89">
        <f>+'18 fkia.'!E23</f>
        <v>55000</v>
      </c>
      <c r="K38" s="89">
        <f>+'18 fkia.'!F23</f>
        <v>71240</v>
      </c>
      <c r="L38" s="89">
        <f>+'18 fkia.'!G23</f>
        <v>57324</v>
      </c>
      <c r="M38" s="122">
        <f t="shared" si="4"/>
        <v>80.466030320044922</v>
      </c>
    </row>
    <row r="39" spans="1:14" ht="30" customHeight="1">
      <c r="A39" s="347"/>
      <c r="B39" s="1251"/>
      <c r="C39" s="1252"/>
      <c r="D39" s="87"/>
      <c r="E39" s="87"/>
      <c r="F39" s="87"/>
      <c r="G39" s="91"/>
      <c r="H39" s="331" t="s">
        <v>140</v>
      </c>
      <c r="I39" s="247"/>
      <c r="J39" s="89">
        <f>+'18 fkia.'!E73</f>
        <v>90542</v>
      </c>
      <c r="K39" s="89">
        <f>+'18 fkia.'!F73</f>
        <v>8523166</v>
      </c>
      <c r="L39" s="89">
        <f>+'18 fkia.'!G73</f>
        <v>222202</v>
      </c>
      <c r="M39" s="122">
        <f t="shared" si="4"/>
        <v>2.6070359300757491</v>
      </c>
    </row>
    <row r="40" spans="1:14" ht="30" customHeight="1">
      <c r="A40" s="143"/>
      <c r="B40" s="348"/>
      <c r="C40" s="1252"/>
      <c r="D40" s="87"/>
      <c r="E40" s="87"/>
      <c r="F40" s="87"/>
      <c r="G40" s="91"/>
      <c r="H40" s="333" t="s">
        <v>49</v>
      </c>
      <c r="I40" s="333"/>
      <c r="J40" s="87">
        <f>+'18 fkia.'!E74</f>
        <v>1200</v>
      </c>
      <c r="K40" s="87">
        <f>+'18 fkia.'!F74</f>
        <v>1200</v>
      </c>
      <c r="L40" s="87">
        <f>+'18 fkia.'!G74</f>
        <v>1027</v>
      </c>
      <c r="M40" s="122">
        <f t="shared" si="4"/>
        <v>85.583333333333329</v>
      </c>
    </row>
    <row r="41" spans="1:14" ht="30" customHeight="1" thickBot="1">
      <c r="A41" s="143"/>
      <c r="B41" s="348"/>
      <c r="C41" s="1252"/>
      <c r="D41" s="87"/>
      <c r="E41" s="87"/>
      <c r="F41" s="87"/>
      <c r="G41" s="91"/>
      <c r="H41" s="357" t="s">
        <v>128</v>
      </c>
      <c r="I41" s="358"/>
      <c r="J41" s="133">
        <f>SUM(J36:J40)</f>
        <v>296742</v>
      </c>
      <c r="K41" s="133">
        <f>SUM(K36:K40)</f>
        <v>8864060</v>
      </c>
      <c r="L41" s="133">
        <f>SUM(L36:L40)</f>
        <v>313287</v>
      </c>
      <c r="M41" s="134">
        <f>+L41/K41*100</f>
        <v>3.5343510761434374</v>
      </c>
    </row>
    <row r="42" spans="1:14" ht="30" customHeight="1" thickBot="1">
      <c r="A42" s="1891" t="s">
        <v>236</v>
      </c>
      <c r="B42" s="1893"/>
      <c r="C42" s="1892"/>
      <c r="D42" s="108">
        <f>SUM(D28:D41)</f>
        <v>1008000</v>
      </c>
      <c r="E42" s="108">
        <f>SUM(E28:E41)</f>
        <v>9064075</v>
      </c>
      <c r="F42" s="108">
        <f>SUM(F28:F41)</f>
        <v>1094568</v>
      </c>
      <c r="G42" s="109">
        <f>+F42/E42*100</f>
        <v>12.075893017213559</v>
      </c>
      <c r="H42" s="1891" t="s">
        <v>237</v>
      </c>
      <c r="I42" s="1892"/>
      <c r="J42" s="108">
        <f>+J41+J35</f>
        <v>369605</v>
      </c>
      <c r="K42" s="108">
        <f>+K41+K35</f>
        <v>9438374</v>
      </c>
      <c r="L42" s="108">
        <f>+L41+L35</f>
        <v>675878</v>
      </c>
      <c r="M42" s="109">
        <f>+L42/K42*100</f>
        <v>7.1609580209472519</v>
      </c>
    </row>
    <row r="43" spans="1:14" ht="18.75" customHeight="1" thickBot="1">
      <c r="A43" s="147"/>
      <c r="B43" s="147"/>
      <c r="C43" s="111"/>
      <c r="D43" s="145"/>
      <c r="E43" s="145"/>
      <c r="F43" s="145"/>
      <c r="G43" s="111"/>
      <c r="H43" s="228"/>
      <c r="I43" s="228"/>
      <c r="J43" s="145"/>
      <c r="K43" s="145"/>
      <c r="L43" s="145"/>
      <c r="M43" s="135"/>
    </row>
    <row r="44" spans="1:14" ht="30" customHeight="1">
      <c r="A44" s="349" t="s">
        <v>65</v>
      </c>
      <c r="B44" s="110"/>
      <c r="C44" s="197"/>
      <c r="D44" s="110"/>
      <c r="E44" s="110"/>
      <c r="F44" s="110"/>
      <c r="G44" s="317"/>
      <c r="H44" s="224" t="s">
        <v>65</v>
      </c>
      <c r="I44" s="359"/>
      <c r="J44" s="110"/>
      <c r="K44" s="110"/>
      <c r="L44" s="110"/>
      <c r="M44" s="136"/>
    </row>
    <row r="45" spans="1:14" ht="30" customHeight="1">
      <c r="A45" s="142"/>
      <c r="B45" s="348"/>
      <c r="C45" s="350" t="s">
        <v>27</v>
      </c>
      <c r="D45" s="112">
        <v>633414</v>
      </c>
      <c r="E45" s="112">
        <v>1069309</v>
      </c>
      <c r="F45" s="113">
        <v>1069309</v>
      </c>
      <c r="G45" s="114">
        <f t="shared" ref="G45:G49" si="5">+F45/E45*100</f>
        <v>100</v>
      </c>
      <c r="H45" s="360"/>
      <c r="I45" s="361"/>
      <c r="J45" s="113"/>
      <c r="K45" s="113"/>
      <c r="L45" s="113"/>
      <c r="M45" s="137"/>
      <c r="N45" s="46"/>
    </row>
    <row r="46" spans="1:14" ht="30" customHeight="1">
      <c r="A46" s="142"/>
      <c r="B46" s="348"/>
      <c r="C46" s="351" t="s">
        <v>226</v>
      </c>
      <c r="D46" s="112">
        <v>76672</v>
      </c>
      <c r="E46" s="112">
        <v>0</v>
      </c>
      <c r="F46" s="113"/>
      <c r="G46" s="114"/>
      <c r="H46" s="362" t="s">
        <v>287</v>
      </c>
      <c r="I46" s="363"/>
      <c r="J46" s="89">
        <v>120750</v>
      </c>
      <c r="K46" s="89">
        <v>120750</v>
      </c>
      <c r="L46" s="89">
        <v>120749</v>
      </c>
      <c r="M46" s="137">
        <f>+L46/K46*100</f>
        <v>99.9991718426501</v>
      </c>
      <c r="N46" s="20" t="s">
        <v>433</v>
      </c>
    </row>
    <row r="47" spans="1:14" ht="48.75" customHeight="1">
      <c r="A47" s="142"/>
      <c r="B47" s="348"/>
      <c r="C47" s="350" t="s">
        <v>434</v>
      </c>
      <c r="D47" s="112">
        <v>281004</v>
      </c>
      <c r="E47" s="968">
        <v>1988234</v>
      </c>
      <c r="F47" s="113">
        <f>739522+1248712</f>
        <v>1988234</v>
      </c>
      <c r="G47" s="114">
        <f t="shared" si="5"/>
        <v>100</v>
      </c>
      <c r="H47" s="1899" t="s">
        <v>435</v>
      </c>
      <c r="I47" s="1900"/>
      <c r="J47" s="89">
        <v>281004</v>
      </c>
      <c r="K47" s="138">
        <v>2269238</v>
      </c>
      <c r="L47" s="89">
        <f>1020526+1248712</f>
        <v>2269238</v>
      </c>
      <c r="M47" s="137">
        <f>+L47/K47*100</f>
        <v>100</v>
      </c>
      <c r="N47" s="424"/>
    </row>
    <row r="48" spans="1:14" ht="48.75" customHeight="1">
      <c r="A48" s="142"/>
      <c r="B48" s="348"/>
      <c r="C48" s="350" t="s">
        <v>550</v>
      </c>
      <c r="D48" s="112"/>
      <c r="E48" s="968">
        <v>336010</v>
      </c>
      <c r="F48" s="113">
        <v>336010</v>
      </c>
      <c r="G48" s="114">
        <f t="shared" si="5"/>
        <v>100</v>
      </c>
      <c r="H48" s="1903" t="s">
        <v>573</v>
      </c>
      <c r="I48" s="1900"/>
      <c r="J48" s="89"/>
      <c r="K48" s="89">
        <v>2000000</v>
      </c>
      <c r="L48" s="89">
        <v>2000000</v>
      </c>
      <c r="M48" s="137">
        <f>+L48/K48*100</f>
        <v>100</v>
      </c>
      <c r="N48" s="424"/>
    </row>
    <row r="49" spans="1:15" ht="55.5" customHeight="1">
      <c r="A49" s="142"/>
      <c r="B49" s="348"/>
      <c r="C49" s="351" t="s">
        <v>227</v>
      </c>
      <c r="D49" s="112">
        <v>33463</v>
      </c>
      <c r="E49" s="112">
        <v>1456893</v>
      </c>
      <c r="F49" s="113">
        <v>1456893</v>
      </c>
      <c r="G49" s="114">
        <f t="shared" si="5"/>
        <v>100</v>
      </c>
      <c r="H49" s="1899" t="s">
        <v>570</v>
      </c>
      <c r="I49" s="1900"/>
      <c r="J49" s="172"/>
      <c r="K49" s="172">
        <v>336010</v>
      </c>
      <c r="L49" s="172"/>
      <c r="M49" s="137">
        <f>+L49/K49*100</f>
        <v>0</v>
      </c>
      <c r="N49" s="46"/>
    </row>
    <row r="50" spans="1:15" ht="30" customHeight="1">
      <c r="A50" s="142"/>
      <c r="B50" s="348"/>
      <c r="C50" s="351" t="s">
        <v>228</v>
      </c>
      <c r="D50" s="112">
        <v>65542</v>
      </c>
      <c r="E50" s="112">
        <v>0</v>
      </c>
      <c r="F50" s="113"/>
      <c r="G50" s="114"/>
      <c r="H50" s="1901"/>
      <c r="I50" s="1902"/>
      <c r="J50" s="172"/>
      <c r="K50" s="172"/>
      <c r="L50" s="172"/>
      <c r="M50" s="316"/>
      <c r="N50" s="46"/>
    </row>
    <row r="51" spans="1:15" ht="30" customHeight="1">
      <c r="A51" s="142"/>
      <c r="B51" s="348"/>
      <c r="C51" s="351" t="s">
        <v>183</v>
      </c>
      <c r="D51" s="115"/>
      <c r="E51" s="115">
        <v>690176</v>
      </c>
      <c r="F51" s="89">
        <v>690176</v>
      </c>
      <c r="G51" s="114">
        <f>+F51/E51*100</f>
        <v>100</v>
      </c>
      <c r="H51" s="431"/>
      <c r="I51" s="430"/>
      <c r="J51" s="428"/>
      <c r="K51" s="428"/>
      <c r="L51" s="428"/>
      <c r="M51" s="429"/>
    </row>
    <row r="52" spans="1:15" ht="38.25" thickBot="1">
      <c r="A52" s="142"/>
      <c r="B52" s="348"/>
      <c r="C52" s="454" t="s">
        <v>572</v>
      </c>
      <c r="D52" s="89"/>
      <c r="E52" s="89">
        <v>2000000</v>
      </c>
      <c r="F52" s="89">
        <v>500000</v>
      </c>
      <c r="G52" s="114">
        <f>+F52/E52*100</f>
        <v>25</v>
      </c>
      <c r="H52" s="333"/>
      <c r="I52" s="230"/>
      <c r="J52" s="87"/>
      <c r="K52" s="87"/>
      <c r="L52" s="87"/>
      <c r="M52" s="139"/>
    </row>
    <row r="53" spans="1:15" ht="46.5" customHeight="1" thickBot="1">
      <c r="A53" s="1896" t="s">
        <v>574</v>
      </c>
      <c r="B53" s="1897"/>
      <c r="C53" s="1898"/>
      <c r="D53" s="108">
        <f>SUM(D44:D52)</f>
        <v>1090095</v>
      </c>
      <c r="E53" s="108">
        <f>SUM(E44:E52)</f>
        <v>7540622</v>
      </c>
      <c r="F53" s="108">
        <f>SUM(F44:F52)</f>
        <v>6040622</v>
      </c>
      <c r="G53" s="109">
        <f>+F53/E53*100</f>
        <v>80.107741775147986</v>
      </c>
      <c r="H53" s="1894" t="s">
        <v>575</v>
      </c>
      <c r="I53" s="1895"/>
      <c r="J53" s="108">
        <f>SUM(J46:J52)</f>
        <v>401754</v>
      </c>
      <c r="K53" s="108">
        <f>SUM(K44:K52)</f>
        <v>4725998</v>
      </c>
      <c r="L53" s="108">
        <f>SUM(L44:L52)</f>
        <v>4389987</v>
      </c>
      <c r="M53" s="109">
        <f>+L53/K53*100</f>
        <v>92.890157803706217</v>
      </c>
    </row>
    <row r="54" spans="1:15" ht="48" customHeight="1">
      <c r="A54" s="142"/>
      <c r="B54" s="147"/>
      <c r="C54" s="147"/>
      <c r="D54" s="116"/>
      <c r="E54" s="116"/>
      <c r="F54" s="116"/>
      <c r="G54" s="117"/>
      <c r="H54" s="364"/>
      <c r="I54" s="228"/>
      <c r="J54" s="110"/>
      <c r="K54" s="110"/>
      <c r="L54" s="110"/>
      <c r="M54" s="136"/>
    </row>
    <row r="55" spans="1:15" ht="30" customHeight="1" thickBot="1">
      <c r="A55" s="352"/>
      <c r="B55" s="144"/>
      <c r="C55" s="144"/>
      <c r="D55" s="118"/>
      <c r="E55" s="118"/>
      <c r="F55" s="118"/>
      <c r="G55" s="119"/>
      <c r="H55" s="365"/>
      <c r="I55" s="144"/>
      <c r="J55" s="118"/>
      <c r="K55" s="118"/>
      <c r="L55" s="118"/>
      <c r="M55" s="140"/>
    </row>
    <row r="56" spans="1:15" ht="30" customHeight="1" thickBot="1">
      <c r="A56" s="1896" t="s">
        <v>239</v>
      </c>
      <c r="B56" s="1897"/>
      <c r="C56" s="1898"/>
      <c r="D56" s="108">
        <f>+D53+D42+D23</f>
        <v>30105679</v>
      </c>
      <c r="E56" s="108">
        <f>+E53+E42+E23</f>
        <v>50574301</v>
      </c>
      <c r="F56" s="108">
        <f>+F53+F42+F23</f>
        <v>38973174</v>
      </c>
      <c r="G56" s="109">
        <f>+F56/E56*100</f>
        <v>77.061221271253956</v>
      </c>
      <c r="H56" s="1894" t="s">
        <v>238</v>
      </c>
      <c r="I56" s="1895"/>
      <c r="J56" s="108">
        <f>+J53+J42+J23</f>
        <v>30105679</v>
      </c>
      <c r="K56" s="108">
        <f>+K53+K42+K23</f>
        <v>50574301</v>
      </c>
      <c r="L56" s="108">
        <f>+L53+L42+L23</f>
        <v>37109459</v>
      </c>
      <c r="M56" s="109">
        <f>+L56/K56*100</f>
        <v>73.37611843612035</v>
      </c>
    </row>
    <row r="57" spans="1:15" ht="15" customHeight="1">
      <c r="J57" s="3"/>
      <c r="K57" s="3"/>
      <c r="L57" s="3"/>
      <c r="M57" s="3"/>
      <c r="N57" s="3"/>
      <c r="O57" s="3"/>
    </row>
    <row r="58" spans="1:15" ht="15" customHeight="1">
      <c r="J58" s="3"/>
      <c r="K58" s="3"/>
      <c r="L58" s="3"/>
      <c r="M58" s="8"/>
      <c r="N58" s="3"/>
    </row>
    <row r="59" spans="1:15" ht="15" customHeight="1">
      <c r="J59" s="3"/>
      <c r="K59" s="31"/>
      <c r="L59" s="3"/>
      <c r="N59" s="3"/>
    </row>
    <row r="60" spans="1:15" ht="15" customHeight="1">
      <c r="J60" s="14"/>
      <c r="N60" s="8"/>
    </row>
    <row r="61" spans="1:15" ht="15" customHeight="1">
      <c r="J61" s="14"/>
      <c r="N61" s="3"/>
    </row>
    <row r="167" spans="7:7" ht="15" customHeight="1">
      <c r="G167" s="20">
        <f>+E167-F167-H167-H168-H169-H170-H171-H172-H173</f>
        <v>0</v>
      </c>
    </row>
  </sheetData>
  <mergeCells count="17">
    <mergeCell ref="A42:C42"/>
    <mergeCell ref="H42:I42"/>
    <mergeCell ref="H53:I53"/>
    <mergeCell ref="H56:I56"/>
    <mergeCell ref="A56:C56"/>
    <mergeCell ref="A53:C53"/>
    <mergeCell ref="H47:I47"/>
    <mergeCell ref="H50:I50"/>
    <mergeCell ref="H49:I49"/>
    <mergeCell ref="H48:I48"/>
    <mergeCell ref="A2:M2"/>
    <mergeCell ref="D4:E4"/>
    <mergeCell ref="J4:K4"/>
    <mergeCell ref="D25:E25"/>
    <mergeCell ref="J25:K25"/>
    <mergeCell ref="A23:C23"/>
    <mergeCell ref="H23:I23"/>
  </mergeCells>
  <phoneticPr fontId="0" type="noConversion"/>
  <printOptions horizontalCentered="1" verticalCentered="1"/>
  <pageMargins left="0" right="0" top="0.39370078740157483" bottom="0" header="0" footer="0"/>
  <pageSetup paperSize="9" scale="45" orientation="landscape" r:id="rId1"/>
  <headerFooter alignWithMargins="0">
    <oddHeader xml:space="preserve">&amp;L
&amp;R&amp;"-,Félkövér"&amp;14  2. melléklet  a .../2026. (........) önkormányzati rendelethez </oddHeader>
  </headerFooter>
  <rowBreaks count="1" manualBreakCount="1">
    <brk id="23" max="1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BA05-05BC-4B59-B0F7-9AA0B2C8EAA1}">
  <dimension ref="A1:C23"/>
  <sheetViews>
    <sheetView zoomScaleNormal="100" zoomScaleSheetLayoutView="75" workbookViewId="0">
      <selection sqref="A1:K1"/>
    </sheetView>
  </sheetViews>
  <sheetFormatPr defaultColWidth="10.6640625" defaultRowHeight="12.75"/>
  <cols>
    <col min="1" max="1" width="11" style="573" customWidth="1"/>
    <col min="2" max="2" width="108.1640625" style="573" customWidth="1"/>
    <col min="3" max="3" width="31.83203125" style="597" customWidth="1"/>
    <col min="4" max="4" width="15.33203125" style="573" customWidth="1"/>
    <col min="5" max="16384" width="10.6640625" style="573"/>
  </cols>
  <sheetData>
    <row r="1" spans="1:3" ht="18.75">
      <c r="A1" s="1992" t="s">
        <v>686</v>
      </c>
      <c r="B1" s="1992"/>
      <c r="C1" s="1992"/>
    </row>
    <row r="2" spans="1:3" ht="18.75">
      <c r="A2" s="1992" t="s">
        <v>626</v>
      </c>
      <c r="B2" s="1992"/>
      <c r="C2" s="1992"/>
    </row>
    <row r="3" spans="1:3" ht="18.75">
      <c r="A3" s="1992" t="s">
        <v>1147</v>
      </c>
      <c r="B3" s="1992"/>
      <c r="C3" s="1992"/>
    </row>
    <row r="4" spans="1:3" ht="15.75" thickBot="1">
      <c r="A4" s="574"/>
      <c r="B4" s="574"/>
      <c r="C4" s="575" t="s">
        <v>12</v>
      </c>
    </row>
    <row r="5" spans="1:3" ht="15.75" thickBot="1">
      <c r="A5" s="576" t="s">
        <v>687</v>
      </c>
      <c r="B5" s="576" t="s">
        <v>25</v>
      </c>
      <c r="C5" s="576" t="s">
        <v>688</v>
      </c>
    </row>
    <row r="6" spans="1:3" ht="40.5" customHeight="1">
      <c r="A6" s="577" t="s">
        <v>134</v>
      </c>
      <c r="B6" s="578" t="s">
        <v>689</v>
      </c>
      <c r="C6" s="579">
        <v>60011</v>
      </c>
    </row>
    <row r="7" spans="1:3" ht="31.5" customHeight="1">
      <c r="A7" s="580" t="s">
        <v>29</v>
      </c>
      <c r="B7" s="581" t="s">
        <v>690</v>
      </c>
      <c r="C7" s="582">
        <v>0</v>
      </c>
    </row>
    <row r="8" spans="1:3" ht="33.75" customHeight="1">
      <c r="A8" s="583" t="s">
        <v>135</v>
      </c>
      <c r="B8" s="584" t="s">
        <v>691</v>
      </c>
      <c r="C8" s="585"/>
    </row>
    <row r="9" spans="1:3" ht="15.95" customHeight="1">
      <c r="A9" s="580"/>
      <c r="B9" s="574" t="s">
        <v>692</v>
      </c>
      <c r="C9" s="582">
        <v>0</v>
      </c>
    </row>
    <row r="10" spans="1:3" ht="15.95" customHeight="1">
      <c r="A10" s="580"/>
      <c r="B10" s="574" t="s">
        <v>693</v>
      </c>
      <c r="C10" s="582">
        <v>0</v>
      </c>
    </row>
    <row r="11" spans="1:3" ht="15.95" customHeight="1">
      <c r="A11" s="580"/>
      <c r="B11" s="574" t="s">
        <v>694</v>
      </c>
      <c r="C11" s="582">
        <v>0</v>
      </c>
    </row>
    <row r="12" spans="1:3" ht="15.95" customHeight="1">
      <c r="A12" s="580"/>
      <c r="B12" s="586" t="s">
        <v>695</v>
      </c>
      <c r="C12" s="582">
        <v>64277</v>
      </c>
    </row>
    <row r="13" spans="1:3" ht="15.95" customHeight="1">
      <c r="A13" s="580"/>
      <c r="B13" s="574" t="s">
        <v>696</v>
      </c>
      <c r="C13" s="582">
        <v>0</v>
      </c>
    </row>
    <row r="14" spans="1:3" ht="31.5" customHeight="1">
      <c r="A14" s="587" t="s">
        <v>136</v>
      </c>
      <c r="B14" s="588" t="s">
        <v>697</v>
      </c>
      <c r="C14" s="589">
        <v>55256</v>
      </c>
    </row>
    <row r="15" spans="1:3" ht="30.75" customHeight="1" thickBot="1">
      <c r="A15" s="587" t="s">
        <v>698</v>
      </c>
      <c r="B15" s="588" t="s">
        <v>699</v>
      </c>
      <c r="C15" s="589">
        <v>14850</v>
      </c>
    </row>
    <row r="16" spans="1:3" ht="23.25" customHeight="1" thickBot="1">
      <c r="A16" s="590"/>
      <c r="B16" s="591" t="s">
        <v>700</v>
      </c>
      <c r="C16" s="592">
        <f>SUM(C6:C15)</f>
        <v>194394</v>
      </c>
    </row>
    <row r="17" spans="1:3" ht="15">
      <c r="A17" s="574"/>
      <c r="B17" s="574"/>
      <c r="C17" s="574"/>
    </row>
    <row r="18" spans="1:3" ht="15">
      <c r="A18" s="593"/>
      <c r="B18" s="594" t="s">
        <v>701</v>
      </c>
      <c r="C18" s="574"/>
    </row>
    <row r="19" spans="1:3" ht="46.5" customHeight="1">
      <c r="A19" s="574"/>
      <c r="B19" s="595" t="s">
        <v>1148</v>
      </c>
      <c r="C19" s="596"/>
    </row>
    <row r="20" spans="1:3" ht="15">
      <c r="A20" s="574"/>
      <c r="B20" s="596" t="s">
        <v>702</v>
      </c>
      <c r="C20" s="596"/>
    </row>
    <row r="21" spans="1:3" ht="15">
      <c r="A21" s="574"/>
      <c r="B21" s="596" t="s">
        <v>703</v>
      </c>
      <c r="C21" s="596"/>
    </row>
    <row r="22" spans="1:3" ht="15">
      <c r="A22" s="574"/>
      <c r="B22" s="596" t="s">
        <v>704</v>
      </c>
      <c r="C22" s="596"/>
    </row>
    <row r="23" spans="1:3" ht="15">
      <c r="A23" s="574"/>
      <c r="B23" s="596"/>
      <c r="C23" s="596"/>
    </row>
  </sheetData>
  <mergeCells count="3">
    <mergeCell ref="A1:C1"/>
    <mergeCell ref="A2:C2"/>
    <mergeCell ref="A3:C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95" orientation="landscape" r:id="rId1"/>
  <headerFooter alignWithMargins="0">
    <oddHeader>&amp;R&amp;"Arial CE,Félkövér"&amp;10  &amp;"-,Félkövér"&amp;12 20. melléklet a …/2026. (…….)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7C11-8DB7-4D5E-9D7B-1CB44F6EA47E}">
  <dimension ref="A1:F99"/>
  <sheetViews>
    <sheetView zoomScaleNormal="100" workbookViewId="0">
      <selection activeCell="B1" sqref="B1:K1"/>
    </sheetView>
  </sheetViews>
  <sheetFormatPr defaultColWidth="10.6640625" defaultRowHeight="14.25"/>
  <cols>
    <col min="1" max="1" width="6.5" style="598" customWidth="1"/>
    <col min="2" max="2" width="141.1640625" style="598" customWidth="1"/>
    <col min="3" max="4" width="31.83203125" style="598" customWidth="1"/>
    <col min="5" max="5" width="16.83203125" style="598" customWidth="1"/>
    <col min="6" max="6" width="15.5" style="598" customWidth="1"/>
    <col min="7" max="11" width="10.6640625" style="598" customWidth="1"/>
    <col min="12" max="16384" width="10.6640625" style="598"/>
  </cols>
  <sheetData>
    <row r="1" spans="2:4" ht="21">
      <c r="B1" s="1990" t="s">
        <v>705</v>
      </c>
      <c r="C1" s="1990"/>
      <c r="D1" s="1990"/>
    </row>
    <row r="2" spans="2:4" ht="21">
      <c r="B2" s="1980" t="s">
        <v>1150</v>
      </c>
      <c r="C2" s="1980"/>
      <c r="D2" s="1980"/>
    </row>
    <row r="3" spans="2:4" ht="15">
      <c r="B3" s="1987"/>
      <c r="C3" s="1987"/>
      <c r="D3" s="1987"/>
    </row>
    <row r="4" spans="2:4" ht="15.75" thickBot="1">
      <c r="B4" s="78"/>
      <c r="C4" s="79"/>
      <c r="D4" s="575" t="s">
        <v>12</v>
      </c>
    </row>
    <row r="5" spans="2:4" s="9" customFormat="1" ht="25.5" customHeight="1">
      <c r="B5" s="1454" t="s">
        <v>627</v>
      </c>
      <c r="C5" s="959" t="s">
        <v>442</v>
      </c>
      <c r="D5" s="150" t="s">
        <v>442</v>
      </c>
    </row>
    <row r="6" spans="2:4" s="9" customFormat="1" ht="26.25" customHeight="1" thickBot="1">
      <c r="B6" s="1481"/>
      <c r="C6" s="101" t="s">
        <v>75</v>
      </c>
      <c r="D6" s="102" t="s">
        <v>76</v>
      </c>
    </row>
    <row r="7" spans="2:4" s="9" customFormat="1" ht="27" customHeight="1">
      <c r="B7" s="1482" t="s">
        <v>706</v>
      </c>
      <c r="C7" s="959"/>
      <c r="D7" s="150"/>
    </row>
    <row r="8" spans="2:4" s="9" customFormat="1" ht="27" customHeight="1">
      <c r="B8" s="1485" t="s">
        <v>360</v>
      </c>
      <c r="C8" s="973">
        <v>30917</v>
      </c>
      <c r="D8" s="974">
        <v>8732</v>
      </c>
    </row>
    <row r="9" spans="2:4" s="9" customFormat="1" ht="27" customHeight="1">
      <c r="B9" s="1486" t="s">
        <v>392</v>
      </c>
      <c r="C9" s="969">
        <v>1618</v>
      </c>
      <c r="D9" s="970">
        <v>1432</v>
      </c>
    </row>
    <row r="10" spans="2:4" s="9" customFormat="1" ht="27" customHeight="1">
      <c r="B10" s="1487" t="s">
        <v>438</v>
      </c>
      <c r="C10" s="971">
        <v>44415</v>
      </c>
      <c r="D10" s="972">
        <v>10954</v>
      </c>
    </row>
    <row r="11" spans="2:4" s="9" customFormat="1" ht="45" customHeight="1">
      <c r="B11" s="1486" t="s">
        <v>581</v>
      </c>
      <c r="C11" s="969">
        <f>35735-19144</f>
        <v>16591</v>
      </c>
      <c r="D11" s="970">
        <v>728</v>
      </c>
    </row>
    <row r="12" spans="2:4" s="9" customFormat="1" ht="27" customHeight="1">
      <c r="B12" s="1486" t="s">
        <v>428</v>
      </c>
      <c r="C12" s="969">
        <v>5370</v>
      </c>
      <c r="D12" s="970">
        <v>5288</v>
      </c>
    </row>
    <row r="13" spans="2:4" s="9" customFormat="1" ht="27" customHeight="1">
      <c r="B13" s="1486" t="s">
        <v>429</v>
      </c>
      <c r="C13" s="969">
        <v>6355</v>
      </c>
      <c r="D13" s="970">
        <v>1881</v>
      </c>
    </row>
    <row r="14" spans="2:4" s="9" customFormat="1" ht="27" customHeight="1">
      <c r="B14" s="1486" t="s">
        <v>553</v>
      </c>
      <c r="C14" s="969">
        <v>1626</v>
      </c>
      <c r="D14" s="970"/>
    </row>
    <row r="15" spans="2:4" s="9" customFormat="1" ht="27" customHeight="1">
      <c r="B15" s="1486" t="s">
        <v>554</v>
      </c>
      <c r="C15" s="969">
        <v>59209</v>
      </c>
      <c r="D15" s="970"/>
    </row>
    <row r="16" spans="2:4" s="9" customFormat="1" ht="27" customHeight="1">
      <c r="B16" s="1486" t="s">
        <v>555</v>
      </c>
      <c r="C16" s="969">
        <v>660352</v>
      </c>
      <c r="D16" s="970"/>
    </row>
    <row r="17" spans="2:4" s="9" customFormat="1" ht="45" customHeight="1">
      <c r="B17" s="1486" t="s">
        <v>556</v>
      </c>
      <c r="C17" s="969">
        <v>638723</v>
      </c>
      <c r="D17" s="970"/>
    </row>
    <row r="18" spans="2:4" s="9" customFormat="1" ht="27" customHeight="1">
      <c r="B18" s="1486" t="s">
        <v>557</v>
      </c>
      <c r="C18" s="969">
        <v>500925</v>
      </c>
      <c r="D18" s="970"/>
    </row>
    <row r="19" spans="2:4" s="9" customFormat="1" ht="27" customHeight="1">
      <c r="B19" s="1486" t="s">
        <v>483</v>
      </c>
      <c r="C19" s="969">
        <v>300</v>
      </c>
      <c r="D19" s="970"/>
    </row>
    <row r="20" spans="2:4" s="9" customFormat="1" ht="27" customHeight="1">
      <c r="B20" s="1488" t="s">
        <v>707</v>
      </c>
      <c r="C20" s="193"/>
      <c r="D20" s="975"/>
    </row>
    <row r="21" spans="2:4" s="9" customFormat="1" ht="27" customHeight="1">
      <c r="B21" s="1485" t="s">
        <v>529</v>
      </c>
      <c r="C21" s="973">
        <v>225150</v>
      </c>
      <c r="D21" s="974"/>
    </row>
    <row r="22" spans="2:4" s="9" customFormat="1" ht="27" customHeight="1">
      <c r="B22" s="1486" t="s">
        <v>522</v>
      </c>
      <c r="C22" s="969">
        <v>194800</v>
      </c>
      <c r="D22" s="970"/>
    </row>
    <row r="23" spans="2:4" s="9" customFormat="1" ht="27" customHeight="1">
      <c r="B23" s="1486" t="s">
        <v>523</v>
      </c>
      <c r="C23" s="969">
        <v>358920</v>
      </c>
      <c r="D23" s="970"/>
    </row>
    <row r="24" spans="2:4" s="9" customFormat="1" ht="27" customHeight="1">
      <c r="B24" s="1486" t="s">
        <v>524</v>
      </c>
      <c r="C24" s="969">
        <v>109473</v>
      </c>
      <c r="D24" s="970"/>
    </row>
    <row r="25" spans="2:4" s="9" customFormat="1" ht="27" customHeight="1">
      <c r="B25" s="1486" t="s">
        <v>519</v>
      </c>
      <c r="C25" s="969">
        <v>647071</v>
      </c>
      <c r="D25" s="970"/>
    </row>
    <row r="26" spans="2:4" s="9" customFormat="1" ht="27" customHeight="1">
      <c r="B26" s="1486" t="s">
        <v>521</v>
      </c>
      <c r="C26" s="969">
        <v>544045</v>
      </c>
      <c r="D26" s="970"/>
    </row>
    <row r="27" spans="2:4" s="9" customFormat="1" ht="27" customHeight="1">
      <c r="B27" s="1486" t="s">
        <v>520</v>
      </c>
      <c r="C27" s="969">
        <v>194065</v>
      </c>
      <c r="D27" s="970"/>
    </row>
    <row r="28" spans="2:4" s="9" customFormat="1" ht="45" customHeight="1">
      <c r="B28" s="1486" t="s">
        <v>530</v>
      </c>
      <c r="C28" s="969">
        <v>393968</v>
      </c>
      <c r="D28" s="970"/>
    </row>
    <row r="29" spans="2:4" s="9" customFormat="1" ht="27" customHeight="1">
      <c r="B29" s="1486" t="s">
        <v>558</v>
      </c>
      <c r="C29" s="969">
        <v>44024</v>
      </c>
      <c r="D29" s="970"/>
    </row>
    <row r="30" spans="2:4" s="9" customFormat="1" ht="27" customHeight="1">
      <c r="B30" s="1486" t="s">
        <v>528</v>
      </c>
      <c r="C30" s="969">
        <v>423301</v>
      </c>
      <c r="D30" s="970"/>
    </row>
    <row r="31" spans="2:4" s="9" customFormat="1" ht="27" customHeight="1">
      <c r="B31" s="1486" t="s">
        <v>546</v>
      </c>
      <c r="C31" s="969">
        <v>4515</v>
      </c>
      <c r="D31" s="970">
        <v>4515</v>
      </c>
    </row>
    <row r="32" spans="2:4" s="9" customFormat="1" ht="27" customHeight="1">
      <c r="B32" s="1486" t="s">
        <v>532</v>
      </c>
      <c r="C32" s="969">
        <v>589110</v>
      </c>
      <c r="D32" s="970"/>
    </row>
    <row r="33" spans="2:6" s="9" customFormat="1" ht="27" customHeight="1">
      <c r="B33" s="1486" t="s">
        <v>527</v>
      </c>
      <c r="C33" s="969">
        <v>449186</v>
      </c>
      <c r="D33" s="970"/>
    </row>
    <row r="34" spans="2:6" s="9" customFormat="1" ht="27" customHeight="1">
      <c r="B34" s="1486" t="s">
        <v>525</v>
      </c>
      <c r="C34" s="969">
        <v>460184</v>
      </c>
      <c r="D34" s="970"/>
    </row>
    <row r="35" spans="2:6" s="9" customFormat="1" ht="27" customHeight="1">
      <c r="B35" s="1486" t="s">
        <v>547</v>
      </c>
      <c r="C35" s="969">
        <v>4198</v>
      </c>
      <c r="D35" s="970">
        <v>4198</v>
      </c>
    </row>
    <row r="36" spans="2:6" s="9" customFormat="1" ht="27" customHeight="1">
      <c r="B36" s="1486" t="s">
        <v>548</v>
      </c>
      <c r="C36" s="969">
        <v>8509</v>
      </c>
      <c r="D36" s="970">
        <v>3429</v>
      </c>
    </row>
    <row r="37" spans="2:6" s="9" customFormat="1" ht="27" customHeight="1">
      <c r="B37" s="1486" t="s">
        <v>549</v>
      </c>
      <c r="C37" s="969">
        <v>4873</v>
      </c>
      <c r="D37" s="970">
        <v>3222</v>
      </c>
    </row>
    <row r="38" spans="2:6" s="9" customFormat="1" ht="27" customHeight="1">
      <c r="B38" s="1486" t="s">
        <v>526</v>
      </c>
      <c r="C38" s="969">
        <v>474062</v>
      </c>
      <c r="D38" s="970"/>
    </row>
    <row r="39" spans="2:6" s="9" customFormat="1" ht="27" customHeight="1">
      <c r="B39" s="1486" t="s">
        <v>533</v>
      </c>
      <c r="C39" s="969">
        <v>662601</v>
      </c>
      <c r="D39" s="970"/>
    </row>
    <row r="40" spans="2:6" s="9" customFormat="1" ht="27" customHeight="1">
      <c r="B40" s="1486" t="s">
        <v>559</v>
      </c>
      <c r="C40" s="969">
        <v>1666437</v>
      </c>
      <c r="D40" s="970"/>
    </row>
    <row r="41" spans="2:6" s="9" customFormat="1" ht="27" customHeight="1">
      <c r="B41" s="1486" t="s">
        <v>531</v>
      </c>
      <c r="C41" s="969">
        <v>514871</v>
      </c>
      <c r="D41" s="970"/>
    </row>
    <row r="42" spans="2:6" s="9" customFormat="1" ht="27" customHeight="1">
      <c r="B42" s="1483" t="s">
        <v>314</v>
      </c>
      <c r="C42" s="969">
        <v>92239</v>
      </c>
      <c r="D42" s="970">
        <v>80108</v>
      </c>
    </row>
    <row r="43" spans="2:6" s="9" customFormat="1" ht="27" customHeight="1" thickBot="1">
      <c r="B43" s="1484" t="s">
        <v>708</v>
      </c>
      <c r="C43" s="599">
        <f>SUM(C8:C42)</f>
        <v>10032003</v>
      </c>
      <c r="D43" s="600">
        <f>SUM(D8:D42)</f>
        <v>124487</v>
      </c>
      <c r="E43" s="10"/>
      <c r="F43" s="10"/>
    </row>
    <row r="44" spans="2:6" s="9" customFormat="1" ht="16.5" thickBot="1">
      <c r="B44" s="73"/>
      <c r="C44" s="73"/>
      <c r="D44" s="66"/>
      <c r="E44" s="10"/>
      <c r="F44" s="10"/>
    </row>
    <row r="45" spans="2:6" s="9" customFormat="1" ht="26.25" customHeight="1">
      <c r="B45" s="1454" t="s">
        <v>631</v>
      </c>
      <c r="C45" s="959" t="s">
        <v>442</v>
      </c>
      <c r="D45" s="150" t="s">
        <v>442</v>
      </c>
    </row>
    <row r="46" spans="2:6" s="9" customFormat="1" ht="25.5" customHeight="1" thickBot="1">
      <c r="B46" s="1489"/>
      <c r="C46" s="101" t="s">
        <v>75</v>
      </c>
      <c r="D46" s="102" t="s">
        <v>76</v>
      </c>
    </row>
    <row r="47" spans="2:6" s="9" customFormat="1" ht="27" customHeight="1">
      <c r="B47" s="1482" t="s">
        <v>706</v>
      </c>
      <c r="C47" s="1490"/>
      <c r="D47" s="173"/>
    </row>
    <row r="48" spans="2:6" s="9" customFormat="1" ht="27" customHeight="1">
      <c r="B48" s="1317" t="s">
        <v>709</v>
      </c>
      <c r="C48" s="1491"/>
      <c r="D48" s="1492"/>
    </row>
    <row r="49" spans="2:6" s="9" customFormat="1" ht="27" customHeight="1">
      <c r="B49" s="1493" t="s">
        <v>483</v>
      </c>
      <c r="C49" s="113">
        <v>347</v>
      </c>
      <c r="D49" s="976">
        <v>347</v>
      </c>
    </row>
    <row r="50" spans="2:6" s="9" customFormat="1" ht="27" customHeight="1">
      <c r="B50" s="1494" t="s">
        <v>414</v>
      </c>
      <c r="C50" s="172">
        <v>21701</v>
      </c>
      <c r="D50" s="601">
        <v>13613</v>
      </c>
    </row>
    <row r="51" spans="2:6" s="9" customFormat="1" ht="27" customHeight="1">
      <c r="B51" s="1494" t="s">
        <v>440</v>
      </c>
      <c r="C51" s="172">
        <v>15217</v>
      </c>
      <c r="D51" s="601">
        <v>1687</v>
      </c>
    </row>
    <row r="52" spans="2:6" s="9" customFormat="1" ht="27" customHeight="1">
      <c r="B52" s="1494" t="s">
        <v>359</v>
      </c>
      <c r="C52" s="172">
        <v>20828</v>
      </c>
      <c r="D52" s="601">
        <v>13856</v>
      </c>
    </row>
    <row r="53" spans="2:6" s="9" customFormat="1" ht="27" customHeight="1">
      <c r="B53" s="1494" t="s">
        <v>401</v>
      </c>
      <c r="C53" s="172">
        <v>9278</v>
      </c>
      <c r="D53" s="601">
        <v>9278</v>
      </c>
    </row>
    <row r="54" spans="2:6" s="9" customFormat="1" ht="27" customHeight="1">
      <c r="B54" s="1495" t="s">
        <v>428</v>
      </c>
      <c r="C54" s="172">
        <v>2249</v>
      </c>
      <c r="D54" s="601">
        <v>2144</v>
      </c>
    </row>
    <row r="55" spans="2:6" s="9" customFormat="1" ht="27" customHeight="1">
      <c r="B55" s="1493" t="s">
        <v>429</v>
      </c>
      <c r="C55" s="172">
        <v>5002</v>
      </c>
      <c r="D55" s="601">
        <v>562</v>
      </c>
    </row>
    <row r="56" spans="2:6" s="9" customFormat="1" ht="27" customHeight="1">
      <c r="B56" s="1494" t="s">
        <v>553</v>
      </c>
      <c r="C56" s="172">
        <v>1626</v>
      </c>
      <c r="D56" s="601">
        <v>605</v>
      </c>
    </row>
    <row r="57" spans="2:6" s="9" customFormat="1" ht="27" customHeight="1">
      <c r="B57" s="1494" t="s">
        <v>561</v>
      </c>
      <c r="C57" s="172">
        <v>59209</v>
      </c>
      <c r="D57" s="601"/>
    </row>
    <row r="58" spans="2:6" s="9" customFormat="1" ht="27" customHeight="1">
      <c r="B58" s="1494" t="s">
        <v>555</v>
      </c>
      <c r="C58" s="172">
        <v>660352</v>
      </c>
      <c r="D58" s="601"/>
    </row>
    <row r="59" spans="2:6" s="9" customFormat="1" ht="45" customHeight="1">
      <c r="B59" s="1494" t="s">
        <v>556</v>
      </c>
      <c r="C59" s="172">
        <v>638723</v>
      </c>
      <c r="D59" s="601"/>
    </row>
    <row r="60" spans="2:6" s="9" customFormat="1" ht="27" customHeight="1">
      <c r="B60" s="1494" t="s">
        <v>557</v>
      </c>
      <c r="C60" s="172">
        <v>500925</v>
      </c>
      <c r="D60" s="601"/>
    </row>
    <row r="61" spans="2:6" s="9" customFormat="1" ht="43.5" customHeight="1">
      <c r="B61" s="1496" t="s">
        <v>604</v>
      </c>
      <c r="C61" s="89">
        <v>37585</v>
      </c>
      <c r="D61" s="178"/>
    </row>
    <row r="62" spans="2:6" s="9" customFormat="1" ht="23.25" customHeight="1">
      <c r="B62" s="1497" t="s">
        <v>707</v>
      </c>
      <c r="C62" s="120"/>
      <c r="D62" s="1498"/>
      <c r="E62" s="10"/>
      <c r="F62" s="10"/>
    </row>
    <row r="63" spans="2:6" s="9" customFormat="1" ht="26.25" customHeight="1">
      <c r="B63" s="1499" t="s">
        <v>30</v>
      </c>
      <c r="C63" s="1500"/>
      <c r="D63" s="1475"/>
      <c r="E63" s="10"/>
    </row>
    <row r="64" spans="2:6" s="9" customFormat="1" ht="45" customHeight="1">
      <c r="B64" s="1501" t="s">
        <v>339</v>
      </c>
      <c r="C64" s="211">
        <v>82</v>
      </c>
      <c r="D64" s="602"/>
      <c r="E64" s="10"/>
    </row>
    <row r="65" spans="2:5" s="9" customFormat="1" ht="27" customHeight="1">
      <c r="B65" s="1502" t="s">
        <v>492</v>
      </c>
      <c r="C65" s="211">
        <v>393968</v>
      </c>
      <c r="D65" s="602">
        <v>3175</v>
      </c>
      <c r="E65" s="10"/>
    </row>
    <row r="66" spans="2:5" s="9" customFormat="1" ht="27" customHeight="1">
      <c r="B66" s="1503" t="s">
        <v>495</v>
      </c>
      <c r="C66" s="208">
        <v>44024</v>
      </c>
      <c r="D66" s="602">
        <v>3175</v>
      </c>
      <c r="E66" s="10"/>
    </row>
    <row r="67" spans="2:5" s="9" customFormat="1" ht="27" customHeight="1">
      <c r="B67" s="1503" t="s">
        <v>496</v>
      </c>
      <c r="C67" s="208">
        <v>423301</v>
      </c>
      <c r="D67" s="603">
        <v>3302</v>
      </c>
      <c r="E67" s="10"/>
    </row>
    <row r="68" spans="2:5" s="9" customFormat="1" ht="27" customHeight="1">
      <c r="B68" s="1501" t="s">
        <v>497</v>
      </c>
      <c r="C68" s="246">
        <v>4515</v>
      </c>
      <c r="D68" s="603">
        <v>3493</v>
      </c>
      <c r="E68" s="10"/>
    </row>
    <row r="69" spans="2:5" s="9" customFormat="1" ht="27" customHeight="1">
      <c r="B69" s="1501" t="s">
        <v>498</v>
      </c>
      <c r="C69" s="246">
        <v>589110</v>
      </c>
      <c r="D69" s="603">
        <v>3175</v>
      </c>
      <c r="E69" s="10"/>
    </row>
    <row r="70" spans="2:5" s="9" customFormat="1" ht="27" customHeight="1">
      <c r="B70" s="1501" t="s">
        <v>499</v>
      </c>
      <c r="C70" s="211">
        <v>449186</v>
      </c>
      <c r="D70" s="602">
        <v>3175</v>
      </c>
      <c r="E70" s="10"/>
    </row>
    <row r="71" spans="2:5" s="9" customFormat="1" ht="27" customHeight="1">
      <c r="B71" s="1502" t="s">
        <v>500</v>
      </c>
      <c r="C71" s="211">
        <v>460184</v>
      </c>
      <c r="D71" s="602">
        <v>3175</v>
      </c>
      <c r="E71" s="10"/>
    </row>
    <row r="72" spans="2:5" s="9" customFormat="1" ht="27" customHeight="1">
      <c r="B72" s="1503" t="s">
        <v>501</v>
      </c>
      <c r="C72" s="208">
        <v>4198</v>
      </c>
      <c r="D72" s="602">
        <v>3175</v>
      </c>
      <c r="E72" s="10"/>
    </row>
    <row r="73" spans="2:5" s="9" customFormat="1" ht="27" customHeight="1">
      <c r="B73" s="1503" t="s">
        <v>502</v>
      </c>
      <c r="C73" s="208">
        <v>8509</v>
      </c>
      <c r="D73" s="603">
        <v>3175</v>
      </c>
      <c r="E73" s="10"/>
    </row>
    <row r="74" spans="2:5" s="9" customFormat="1" ht="27" customHeight="1">
      <c r="B74" s="1501" t="s">
        <v>567</v>
      </c>
      <c r="C74" s="246">
        <v>4873</v>
      </c>
      <c r="D74" s="603"/>
      <c r="E74" s="10"/>
    </row>
    <row r="75" spans="2:5" s="9" customFormat="1" ht="27" customHeight="1">
      <c r="B75" s="1501" t="s">
        <v>511</v>
      </c>
      <c r="C75" s="246">
        <v>474062</v>
      </c>
      <c r="D75" s="603"/>
      <c r="E75" s="10"/>
    </row>
    <row r="76" spans="2:5" s="9" customFormat="1" ht="27" customHeight="1">
      <c r="B76" s="1501" t="s">
        <v>543</v>
      </c>
      <c r="C76" s="211">
        <v>662601</v>
      </c>
      <c r="D76" s="602"/>
      <c r="E76" s="10"/>
    </row>
    <row r="77" spans="2:5" s="9" customFormat="1" ht="27" customHeight="1">
      <c r="B77" s="1502" t="s">
        <v>510</v>
      </c>
      <c r="C77" s="211">
        <v>1666437</v>
      </c>
      <c r="D77" s="602">
        <v>952</v>
      </c>
      <c r="E77" s="10"/>
    </row>
    <row r="78" spans="2:5" s="9" customFormat="1" ht="27" customHeight="1">
      <c r="B78" s="1503" t="s">
        <v>538</v>
      </c>
      <c r="C78" s="208">
        <v>514871</v>
      </c>
      <c r="D78" s="602"/>
      <c r="E78" s="10"/>
    </row>
    <row r="79" spans="2:5" s="9" customFormat="1" ht="27" customHeight="1">
      <c r="B79" s="1503" t="s">
        <v>503</v>
      </c>
      <c r="C79" s="208">
        <v>225150</v>
      </c>
      <c r="D79" s="603">
        <v>450</v>
      </c>
      <c r="E79" s="10"/>
    </row>
    <row r="80" spans="2:5" s="9" customFormat="1" ht="27" customHeight="1">
      <c r="B80" s="1501" t="s">
        <v>504</v>
      </c>
      <c r="C80" s="246">
        <v>194800</v>
      </c>
      <c r="D80" s="603"/>
      <c r="E80" s="10"/>
    </row>
    <row r="81" spans="1:6" s="9" customFormat="1" ht="27" customHeight="1">
      <c r="B81" s="1501" t="s">
        <v>505</v>
      </c>
      <c r="C81" s="246">
        <v>358920</v>
      </c>
      <c r="D81" s="603"/>
      <c r="E81" s="10"/>
    </row>
    <row r="82" spans="1:6" s="9" customFormat="1" ht="27" customHeight="1">
      <c r="B82" s="1501" t="s">
        <v>506</v>
      </c>
      <c r="C82" s="211">
        <v>109473</v>
      </c>
      <c r="D82" s="602">
        <v>3810</v>
      </c>
      <c r="E82" s="10"/>
    </row>
    <row r="83" spans="1:6" s="9" customFormat="1" ht="27" customHeight="1">
      <c r="B83" s="1502" t="s">
        <v>507</v>
      </c>
      <c r="C83" s="211">
        <v>647071</v>
      </c>
      <c r="D83" s="602">
        <v>51</v>
      </c>
      <c r="E83" s="10"/>
    </row>
    <row r="84" spans="1:6" s="9" customFormat="1" ht="27" customHeight="1">
      <c r="B84" s="1503" t="s">
        <v>508</v>
      </c>
      <c r="C84" s="208">
        <v>544045</v>
      </c>
      <c r="D84" s="602"/>
      <c r="E84" s="10"/>
    </row>
    <row r="85" spans="1:6" s="9" customFormat="1" ht="27" customHeight="1">
      <c r="B85" s="1503" t="s">
        <v>509</v>
      </c>
      <c r="C85" s="208">
        <v>194065</v>
      </c>
      <c r="D85" s="603">
        <v>6350</v>
      </c>
      <c r="E85" s="10"/>
    </row>
    <row r="86" spans="1:6" s="9" customFormat="1" ht="27" customHeight="1">
      <c r="B86" s="1501" t="s">
        <v>314</v>
      </c>
      <c r="C86" s="246">
        <v>30610</v>
      </c>
      <c r="D86" s="603">
        <v>5903</v>
      </c>
      <c r="E86" s="10"/>
    </row>
    <row r="87" spans="1:6" s="9" customFormat="1" ht="27" customHeight="1" thickBot="1">
      <c r="B87" s="1501" t="s">
        <v>363</v>
      </c>
      <c r="C87" s="246">
        <v>78</v>
      </c>
      <c r="D87" s="603"/>
      <c r="E87" s="10"/>
    </row>
    <row r="88" spans="1:6" ht="27" customHeight="1" thickBot="1">
      <c r="B88" s="1504" t="s">
        <v>710</v>
      </c>
      <c r="C88" s="222">
        <f>SUM(C49:C87)</f>
        <v>9977175</v>
      </c>
      <c r="D88" s="977">
        <f>SUM(D49:D87)</f>
        <v>88628</v>
      </c>
      <c r="E88" s="17"/>
      <c r="F88" s="51"/>
    </row>
    <row r="90" spans="1:6" s="1" customFormat="1" ht="33.75" customHeight="1">
      <c r="A90" s="11"/>
    </row>
    <row r="92" spans="1:6" s="1" customFormat="1" ht="36" customHeight="1">
      <c r="A92" s="11"/>
    </row>
    <row r="93" spans="1:6" s="1" customFormat="1" ht="21.75" customHeight="1">
      <c r="A93" s="11"/>
    </row>
    <row r="94" spans="1:6" s="1" customFormat="1" ht="36" customHeight="1">
      <c r="A94" s="11"/>
    </row>
    <row r="95" spans="1:6" s="1" customFormat="1" ht="39" customHeight="1">
      <c r="A95" s="11"/>
    </row>
    <row r="96" spans="1:6" s="1" customFormat="1" ht="39" customHeight="1">
      <c r="A96" s="11"/>
    </row>
    <row r="97" spans="1:4" s="1" customFormat="1" ht="36" customHeight="1">
      <c r="A97" s="11"/>
    </row>
    <row r="99" spans="1:4">
      <c r="C99" s="604"/>
      <c r="D99" s="604"/>
    </row>
  </sheetData>
  <mergeCells count="3">
    <mergeCell ref="B1:D1"/>
    <mergeCell ref="B2:D2"/>
    <mergeCell ref="B3:D3"/>
  </mergeCells>
  <printOptions horizontalCentered="1" verticalCentered="1"/>
  <pageMargins left="0.35433070866141736" right="0.19685039370078741" top="0.98425196850393704" bottom="0.98425196850393704" header="0.51181102362204722" footer="0.51181102362204722"/>
  <pageSetup paperSize="9" scale="57" pageOrder="overThenDown" orientation="portrait" r:id="rId1"/>
  <headerFooter alignWithMargins="0">
    <oddHeader>&amp;R&amp;"Arial,Félkövér"&amp;11 &amp;"Calibri,Félkövér"&amp;12 21. melléklet a …../2026. (…….) önkormányzati rendelethez</oddHeader>
  </headerFooter>
  <rowBreaks count="1" manualBreakCount="1">
    <brk id="44" min="1" max="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2877D-FFF6-4682-BF57-A4A98BBD5ABF}">
  <dimension ref="B1:H18"/>
  <sheetViews>
    <sheetView zoomScale="75" zoomScaleNormal="75" workbookViewId="0">
      <selection activeCell="B1" sqref="B1:K1"/>
    </sheetView>
  </sheetViews>
  <sheetFormatPr defaultColWidth="10.6640625" defaultRowHeight="15" customHeight="1"/>
  <cols>
    <col min="1" max="1" width="9.33203125" style="9" customWidth="1"/>
    <col min="2" max="2" width="7.6640625" style="9" customWidth="1"/>
    <col min="3" max="3" width="118.33203125" style="9" customWidth="1"/>
    <col min="4" max="5" width="19.1640625" style="9" customWidth="1"/>
    <col min="6" max="6" width="17.6640625" style="9" customWidth="1"/>
    <col min="7" max="8" width="15.6640625" style="9" bestFit="1" customWidth="1"/>
    <col min="9" max="16384" width="10.6640625" style="9"/>
  </cols>
  <sheetData>
    <row r="1" spans="2:8" s="605" customFormat="1" ht="27" customHeight="1">
      <c r="B1" s="1993" t="s">
        <v>686</v>
      </c>
      <c r="C1" s="1993"/>
      <c r="D1" s="1993"/>
      <c r="E1" s="1993"/>
      <c r="F1" s="1993"/>
      <c r="G1" s="1993"/>
      <c r="H1" s="1993"/>
    </row>
    <row r="2" spans="2:8" s="605" customFormat="1" ht="27" customHeight="1">
      <c r="B2" s="1993" t="s">
        <v>1232</v>
      </c>
      <c r="C2" s="1993"/>
      <c r="D2" s="1993"/>
      <c r="E2" s="1993"/>
      <c r="F2" s="1993"/>
      <c r="G2" s="1993"/>
      <c r="H2" s="1993"/>
    </row>
    <row r="3" spans="2:8" s="605" customFormat="1" ht="27" customHeight="1">
      <c r="B3" s="1993" t="s">
        <v>1237</v>
      </c>
      <c r="C3" s="1993"/>
      <c r="D3" s="1993"/>
      <c r="E3" s="1993"/>
      <c r="F3" s="1993"/>
      <c r="G3" s="1993"/>
      <c r="H3" s="1993"/>
    </row>
    <row r="4" spans="2:8" s="608" customFormat="1" ht="18.95" customHeight="1" thickBot="1">
      <c r="B4" s="606"/>
      <c r="C4" s="606"/>
      <c r="D4" s="606"/>
      <c r="E4" s="606"/>
      <c r="F4" s="606"/>
      <c r="G4" s="606"/>
      <c r="H4" s="607" t="s">
        <v>12</v>
      </c>
    </row>
    <row r="5" spans="2:8" s="1251" customFormat="1" ht="18.95" customHeight="1">
      <c r="B5" s="1988" t="s">
        <v>25</v>
      </c>
      <c r="C5" s="1989"/>
      <c r="D5" s="1374" t="s">
        <v>712</v>
      </c>
      <c r="E5" s="959" t="s">
        <v>712</v>
      </c>
      <c r="F5" s="1444" t="s">
        <v>713</v>
      </c>
      <c r="G5" s="959" t="s">
        <v>714</v>
      </c>
      <c r="H5" s="1463" t="s">
        <v>1233</v>
      </c>
    </row>
    <row r="6" spans="2:8" s="1251" customFormat="1" ht="18.95" customHeight="1" thickBot="1">
      <c r="B6" s="1464"/>
      <c r="C6" s="1465"/>
      <c r="D6" s="1375" t="s">
        <v>75</v>
      </c>
      <c r="E6" s="101" t="s">
        <v>76</v>
      </c>
      <c r="F6" s="1445" t="s">
        <v>147</v>
      </c>
      <c r="G6" s="101" t="s">
        <v>147</v>
      </c>
      <c r="H6" s="102" t="s">
        <v>147</v>
      </c>
    </row>
    <row r="7" spans="2:8" s="1251" customFormat="1" ht="24.75" customHeight="1">
      <c r="B7" s="1466"/>
      <c r="C7" s="1467" t="s">
        <v>137</v>
      </c>
      <c r="D7" s="1468"/>
      <c r="E7" s="1469"/>
      <c r="F7" s="310"/>
      <c r="G7" s="1470"/>
      <c r="H7" s="1471"/>
    </row>
    <row r="8" spans="2:8" s="1251" customFormat="1" ht="24.75" customHeight="1">
      <c r="B8" s="1319"/>
      <c r="C8" s="1472" t="s">
        <v>357</v>
      </c>
      <c r="D8" s="1473">
        <v>4191</v>
      </c>
      <c r="E8" s="1474">
        <v>4191</v>
      </c>
      <c r="F8" s="209">
        <v>0</v>
      </c>
      <c r="G8" s="1474">
        <v>197000</v>
      </c>
      <c r="H8" s="1475">
        <v>0</v>
      </c>
    </row>
    <row r="9" spans="2:8" s="1251" customFormat="1" ht="24.75" customHeight="1" thickBot="1">
      <c r="B9" s="1476"/>
      <c r="C9" s="1333" t="s">
        <v>630</v>
      </c>
      <c r="D9" s="1477">
        <f>SUM(D8)</f>
        <v>4191</v>
      </c>
      <c r="E9" s="1478">
        <f>SUM(E8)</f>
        <v>4191</v>
      </c>
      <c r="F9" s="1479">
        <f>SUM(F8)</f>
        <v>0</v>
      </c>
      <c r="G9" s="1478">
        <f>SUM(G8)</f>
        <v>197000</v>
      </c>
      <c r="H9" s="1480">
        <f>SUM(H8)</f>
        <v>0</v>
      </c>
    </row>
    <row r="10" spans="2:8" s="1457" customFormat="1" ht="24.75" customHeight="1">
      <c r="B10" s="1458"/>
      <c r="C10" s="444"/>
      <c r="D10" s="1459"/>
      <c r="E10" s="1459"/>
      <c r="F10" s="1459"/>
      <c r="G10" s="1459"/>
      <c r="H10" s="1459"/>
    </row>
    <row r="11" spans="2:8" s="1457" customFormat="1" ht="21.75" customHeight="1">
      <c r="C11" s="1460" t="s">
        <v>715</v>
      </c>
    </row>
    <row r="12" spans="2:8" s="1457" customFormat="1" ht="18.95" customHeight="1">
      <c r="C12" s="1461" t="s">
        <v>716</v>
      </c>
    </row>
    <row r="13" spans="2:8" s="1457" customFormat="1" ht="18.95" customHeight="1">
      <c r="C13" s="1462" t="s">
        <v>1234</v>
      </c>
    </row>
    <row r="14" spans="2:8" s="1457" customFormat="1" ht="18.95" customHeight="1">
      <c r="C14" s="1457" t="s">
        <v>717</v>
      </c>
    </row>
    <row r="15" spans="2:8" ht="18.95" customHeight="1"/>
    <row r="16" spans="2:8" ht="18.95" customHeight="1">
      <c r="C16" s="1008"/>
    </row>
    <row r="17" ht="18.95" customHeight="1"/>
    <row r="18" ht="18.95" customHeight="1"/>
  </sheetData>
  <mergeCells count="4">
    <mergeCell ref="B1:H1"/>
    <mergeCell ref="B2:H2"/>
    <mergeCell ref="B3:H3"/>
    <mergeCell ref="B5:C5"/>
  </mergeCells>
  <printOptions horizontalCentered="1" verticalCentered="1"/>
  <pageMargins left="0.19685039370078741" right="0.19685039370078741" top="0.19685039370078741" bottom="0.19685039370078741" header="0.51181102362204722" footer="0.39370078740157483"/>
  <pageSetup paperSize="9" scale="60" orientation="portrait" r:id="rId1"/>
  <headerFooter alignWithMargins="0">
    <oddHeader xml:space="preserve">&amp;C
&amp;R&amp;"Arial CE,Normál"&amp;18 &amp;"-,Félkövér"&amp;11 22. melléklet a …../2026. (…….) önkormányzati rendelethez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CB59-48AB-4EF8-BF6E-8E8C602C2CB3}">
  <dimension ref="B2:I139"/>
  <sheetViews>
    <sheetView zoomScaleNormal="100" zoomScaleSheetLayoutView="80" workbookViewId="0">
      <selection activeCell="B4" sqref="B4:G4"/>
    </sheetView>
  </sheetViews>
  <sheetFormatPr defaultColWidth="10.6640625" defaultRowHeight="12.75"/>
  <cols>
    <col min="1" max="1" width="4.6640625" style="610" customWidth="1"/>
    <col min="2" max="2" width="9.33203125" style="609" customWidth="1"/>
    <col min="3" max="3" width="10.6640625" style="610" customWidth="1"/>
    <col min="4" max="4" width="57.33203125" style="610" customWidth="1"/>
    <col min="5" max="5" width="27.33203125" style="610" customWidth="1"/>
    <col min="6" max="7" width="30.6640625" style="610" customWidth="1"/>
    <col min="8" max="8" width="17.5" style="610" bestFit="1" customWidth="1"/>
    <col min="9" max="9" width="12.33203125" style="610" bestFit="1" customWidth="1"/>
    <col min="10" max="16384" width="10.6640625" style="610"/>
  </cols>
  <sheetData>
    <row r="2" spans="2:9" ht="20.25">
      <c r="E2" s="1009"/>
      <c r="G2" s="611"/>
    </row>
    <row r="4" spans="2:9" ht="17.25" customHeight="1">
      <c r="B4" s="1996" t="s">
        <v>1154</v>
      </c>
      <c r="C4" s="1996"/>
      <c r="D4" s="1996"/>
      <c r="E4" s="1996"/>
      <c r="F4" s="1996"/>
      <c r="G4" s="1996"/>
    </row>
    <row r="5" spans="2:9" s="612" customFormat="1" ht="18.75">
      <c r="B5" s="1997" t="s">
        <v>718</v>
      </c>
      <c r="C5" s="1997"/>
      <c r="D5" s="1997"/>
      <c r="E5" s="1997"/>
      <c r="F5" s="1998"/>
      <c r="G5" s="1998"/>
      <c r="I5" s="613"/>
    </row>
    <row r="6" spans="2:9" s="612" customFormat="1" ht="16.5" thickBot="1">
      <c r="B6" s="614"/>
      <c r="C6" s="614"/>
      <c r="D6" s="614"/>
      <c r="E6" s="614"/>
      <c r="F6" s="607"/>
      <c r="G6" s="607" t="s">
        <v>12</v>
      </c>
    </row>
    <row r="7" spans="2:9" s="612" customFormat="1" ht="20.25" customHeight="1">
      <c r="B7" s="615"/>
      <c r="C7" s="1999" t="s">
        <v>25</v>
      </c>
      <c r="D7" s="2000"/>
      <c r="E7" s="616"/>
      <c r="F7" s="617" t="s">
        <v>719</v>
      </c>
      <c r="G7" s="617" t="s">
        <v>1152</v>
      </c>
    </row>
    <row r="8" spans="2:9" s="612" customFormat="1" ht="16.5" customHeight="1">
      <c r="B8" s="618"/>
      <c r="C8" s="618"/>
      <c r="D8" s="619"/>
      <c r="E8" s="620"/>
      <c r="F8" s="621" t="s">
        <v>720</v>
      </c>
      <c r="G8" s="621" t="s">
        <v>720</v>
      </c>
    </row>
    <row r="9" spans="2:9" s="612" customFormat="1" ht="16.5" customHeight="1" thickBot="1">
      <c r="B9" s="622"/>
      <c r="C9" s="622"/>
      <c r="D9" s="623"/>
      <c r="E9" s="624"/>
      <c r="F9" s="625" t="s">
        <v>721</v>
      </c>
      <c r="G9" s="625" t="s">
        <v>1153</v>
      </c>
    </row>
    <row r="10" spans="2:9" s="612" customFormat="1" ht="16.5" customHeight="1">
      <c r="B10" s="618"/>
      <c r="C10" s="618"/>
      <c r="D10" s="619"/>
      <c r="E10" s="620"/>
      <c r="F10" s="626"/>
      <c r="G10" s="626"/>
    </row>
    <row r="11" spans="2:9" s="612" customFormat="1" ht="14.25" customHeight="1">
      <c r="B11" s="627"/>
      <c r="C11" s="628" t="s">
        <v>722</v>
      </c>
      <c r="D11" s="629"/>
      <c r="E11" s="630" t="s">
        <v>723</v>
      </c>
      <c r="F11" s="631">
        <v>25907</v>
      </c>
      <c r="G11" s="631">
        <v>18627</v>
      </c>
    </row>
    <row r="12" spans="2:9" s="612" customFormat="1" ht="15.75">
      <c r="B12" s="627"/>
      <c r="C12" s="628"/>
      <c r="D12" s="629"/>
      <c r="E12" s="630" t="s">
        <v>724</v>
      </c>
      <c r="F12" s="631">
        <v>24258</v>
      </c>
      <c r="G12" s="631">
        <v>19292</v>
      </c>
      <c r="H12" s="632"/>
    </row>
    <row r="13" spans="2:9" s="612" customFormat="1" ht="16.5" customHeight="1">
      <c r="B13" s="633" t="s">
        <v>725</v>
      </c>
      <c r="C13" s="634" t="s">
        <v>722</v>
      </c>
      <c r="D13" s="635"/>
      <c r="E13" s="636" t="s">
        <v>726</v>
      </c>
      <c r="F13" s="637">
        <f>SUM(F11:F12)</f>
        <v>50165</v>
      </c>
      <c r="G13" s="637">
        <f>SUM(G11:G12)</f>
        <v>37919</v>
      </c>
    </row>
    <row r="14" spans="2:9" s="612" customFormat="1" ht="15.6" customHeight="1">
      <c r="B14" s="638"/>
      <c r="C14" s="639"/>
      <c r="D14" s="640"/>
      <c r="E14" s="620"/>
      <c r="F14" s="641"/>
      <c r="G14" s="641"/>
    </row>
    <row r="15" spans="2:9" s="612" customFormat="1" ht="15" customHeight="1">
      <c r="B15" s="627"/>
      <c r="C15" s="628" t="s">
        <v>727</v>
      </c>
      <c r="D15" s="629"/>
      <c r="E15" s="630" t="s">
        <v>723</v>
      </c>
      <c r="F15" s="631">
        <v>2865</v>
      </c>
      <c r="G15" s="631">
        <v>209</v>
      </c>
    </row>
    <row r="16" spans="2:9" s="612" customFormat="1" ht="15.75">
      <c r="B16" s="627"/>
      <c r="C16" s="628"/>
      <c r="D16" s="629"/>
      <c r="E16" s="630" t="s">
        <v>724</v>
      </c>
      <c r="F16" s="631">
        <v>7367</v>
      </c>
      <c r="G16" s="631">
        <v>14626</v>
      </c>
    </row>
    <row r="17" spans="2:7" s="612" customFormat="1" ht="16.5" customHeight="1">
      <c r="B17" s="633" t="s">
        <v>728</v>
      </c>
      <c r="C17" s="634" t="s">
        <v>727</v>
      </c>
      <c r="D17" s="635"/>
      <c r="E17" s="636" t="s">
        <v>726</v>
      </c>
      <c r="F17" s="637">
        <f>SUM(F15:F16)</f>
        <v>10232</v>
      </c>
      <c r="G17" s="637">
        <f>SUM(G15:G16)</f>
        <v>14835</v>
      </c>
    </row>
    <row r="18" spans="2:7" s="612" customFormat="1" ht="15.6" customHeight="1">
      <c r="B18" s="638"/>
      <c r="C18" s="639"/>
      <c r="D18" s="640"/>
      <c r="E18" s="620"/>
      <c r="F18" s="641"/>
      <c r="G18" s="641"/>
    </row>
    <row r="19" spans="2:7" s="612" customFormat="1" ht="15.75">
      <c r="B19" s="627"/>
      <c r="C19" s="628" t="s">
        <v>729</v>
      </c>
      <c r="D19" s="629"/>
      <c r="E19" s="630" t="s">
        <v>723</v>
      </c>
      <c r="F19" s="631">
        <f>+F11+F15</f>
        <v>28772</v>
      </c>
      <c r="G19" s="631">
        <f>+G11+G15</f>
        <v>18836</v>
      </c>
    </row>
    <row r="20" spans="2:7" s="612" customFormat="1" ht="15.75">
      <c r="B20" s="627"/>
      <c r="C20" s="628"/>
      <c r="D20" s="629"/>
      <c r="E20" s="630" t="s">
        <v>724</v>
      </c>
      <c r="F20" s="631">
        <f>+F12+F16</f>
        <v>31625</v>
      </c>
      <c r="G20" s="631">
        <f>+G12+G16</f>
        <v>33918</v>
      </c>
    </row>
    <row r="21" spans="2:7" s="612" customFormat="1" ht="16.5" customHeight="1" thickBot="1">
      <c r="B21" s="642" t="s">
        <v>730</v>
      </c>
      <c r="C21" s="643" t="s">
        <v>731</v>
      </c>
      <c r="D21" s="644"/>
      <c r="E21" s="645" t="s">
        <v>726</v>
      </c>
      <c r="F21" s="646">
        <f>SUM(F19:F20)</f>
        <v>60397</v>
      </c>
      <c r="G21" s="646">
        <f>SUM(G19:G20)</f>
        <v>52754</v>
      </c>
    </row>
    <row r="22" spans="2:7" s="612" customFormat="1" ht="15.6" customHeight="1">
      <c r="B22" s="638"/>
      <c r="C22" s="639"/>
      <c r="D22" s="640"/>
      <c r="E22" s="639"/>
      <c r="F22" s="647"/>
      <c r="G22" s="647"/>
    </row>
    <row r="23" spans="2:7" s="612" customFormat="1" ht="14.25" customHeight="1">
      <c r="B23" s="627"/>
      <c r="C23" s="628" t="s">
        <v>732</v>
      </c>
      <c r="D23" s="629"/>
      <c r="E23" s="628" t="s">
        <v>723</v>
      </c>
      <c r="F23" s="648">
        <v>11650491</v>
      </c>
      <c r="G23" s="648">
        <v>11513860</v>
      </c>
    </row>
    <row r="24" spans="2:7" s="612" customFormat="1" ht="15.75">
      <c r="B24" s="627"/>
      <c r="C24" s="628"/>
      <c r="D24" s="629"/>
      <c r="E24" s="628" t="s">
        <v>724</v>
      </c>
      <c r="F24" s="648">
        <v>77170977</v>
      </c>
      <c r="G24" s="648">
        <v>75679539</v>
      </c>
    </row>
    <row r="25" spans="2:7" s="612" customFormat="1" ht="16.5" customHeight="1">
      <c r="B25" s="633" t="s">
        <v>733</v>
      </c>
      <c r="C25" s="634" t="s">
        <v>734</v>
      </c>
      <c r="D25" s="635"/>
      <c r="E25" s="634" t="s">
        <v>726</v>
      </c>
      <c r="F25" s="649">
        <f>SUM(F23:F24)</f>
        <v>88821468</v>
      </c>
      <c r="G25" s="649">
        <f>SUM(G23:G24)</f>
        <v>87193399</v>
      </c>
    </row>
    <row r="26" spans="2:7" s="612" customFormat="1" ht="15.6" customHeight="1">
      <c r="B26" s="638"/>
      <c r="C26" s="639"/>
      <c r="D26" s="640"/>
      <c r="E26" s="639"/>
      <c r="F26" s="650"/>
      <c r="G26" s="650"/>
    </row>
    <row r="27" spans="2:7" s="612" customFormat="1" ht="15" customHeight="1">
      <c r="B27" s="627"/>
      <c r="C27" s="628" t="s">
        <v>735</v>
      </c>
      <c r="D27" s="629"/>
      <c r="E27" s="628" t="s">
        <v>723</v>
      </c>
      <c r="F27" s="648">
        <v>476305</v>
      </c>
      <c r="G27" s="648">
        <v>506933</v>
      </c>
    </row>
    <row r="28" spans="2:7" s="612" customFormat="1" ht="15.75">
      <c r="B28" s="627"/>
      <c r="C28" s="628"/>
      <c r="D28" s="629"/>
      <c r="E28" s="628" t="s">
        <v>724</v>
      </c>
      <c r="F28" s="648">
        <v>2854567</v>
      </c>
      <c r="G28" s="648">
        <v>2702975</v>
      </c>
    </row>
    <row r="29" spans="2:7" s="612" customFormat="1" ht="17.25" customHeight="1">
      <c r="B29" s="633" t="s">
        <v>736</v>
      </c>
      <c r="C29" s="634" t="s">
        <v>735</v>
      </c>
      <c r="D29" s="635"/>
      <c r="E29" s="634" t="s">
        <v>726</v>
      </c>
      <c r="F29" s="649">
        <f>SUM(F27:F28)</f>
        <v>3330872</v>
      </c>
      <c r="G29" s="649">
        <f>SUM(G27:G28)</f>
        <v>3209908</v>
      </c>
    </row>
    <row r="30" spans="2:7" s="612" customFormat="1" ht="15.6" customHeight="1">
      <c r="B30" s="638"/>
      <c r="C30" s="639"/>
      <c r="D30" s="640"/>
      <c r="E30" s="639"/>
      <c r="F30" s="650"/>
      <c r="G30" s="650"/>
    </row>
    <row r="31" spans="2:7" s="612" customFormat="1" ht="15.75">
      <c r="B31" s="627"/>
      <c r="C31" s="628" t="s">
        <v>737</v>
      </c>
      <c r="D31" s="629"/>
      <c r="E31" s="628" t="s">
        <v>723</v>
      </c>
      <c r="F31" s="648">
        <v>0</v>
      </c>
      <c r="G31" s="648">
        <v>0</v>
      </c>
    </row>
    <row r="32" spans="2:7" s="612" customFormat="1" ht="15.75">
      <c r="B32" s="627"/>
      <c r="C32" s="628"/>
      <c r="D32" s="629"/>
      <c r="E32" s="628" t="s">
        <v>724</v>
      </c>
      <c r="F32" s="648">
        <v>0</v>
      </c>
      <c r="G32" s="648">
        <v>0</v>
      </c>
    </row>
    <row r="33" spans="2:8" s="612" customFormat="1" ht="16.5" customHeight="1">
      <c r="B33" s="633" t="s">
        <v>738</v>
      </c>
      <c r="C33" s="634" t="s">
        <v>737</v>
      </c>
      <c r="D33" s="635"/>
      <c r="E33" s="634" t="s">
        <v>726</v>
      </c>
      <c r="F33" s="649">
        <f>SUM(F31:F32)</f>
        <v>0</v>
      </c>
      <c r="G33" s="649">
        <f>SUM(G31:G32)</f>
        <v>0</v>
      </c>
    </row>
    <row r="34" spans="2:8" s="612" customFormat="1" ht="15.6" customHeight="1">
      <c r="B34" s="638"/>
      <c r="C34" s="639"/>
      <c r="D34" s="640"/>
      <c r="E34" s="639"/>
      <c r="F34" s="650"/>
      <c r="G34" s="650"/>
    </row>
    <row r="35" spans="2:8" s="612" customFormat="1" ht="15.75">
      <c r="B35" s="627"/>
      <c r="C35" s="628" t="s">
        <v>739</v>
      </c>
      <c r="D35" s="629"/>
      <c r="E35" s="628" t="s">
        <v>723</v>
      </c>
      <c r="F35" s="648">
        <v>2268</v>
      </c>
      <c r="G35" s="648">
        <v>654</v>
      </c>
    </row>
    <row r="36" spans="2:8" s="612" customFormat="1" ht="15.75">
      <c r="B36" s="627"/>
      <c r="C36" s="628"/>
      <c r="D36" s="629"/>
      <c r="E36" s="628" t="s">
        <v>724</v>
      </c>
      <c r="F36" s="648">
        <v>455907</v>
      </c>
      <c r="G36" s="648">
        <v>361161</v>
      </c>
    </row>
    <row r="37" spans="2:8" s="612" customFormat="1" ht="16.5" customHeight="1">
      <c r="B37" s="633" t="s">
        <v>740</v>
      </c>
      <c r="C37" s="634" t="s">
        <v>140</v>
      </c>
      <c r="D37" s="635"/>
      <c r="E37" s="634" t="s">
        <v>726</v>
      </c>
      <c r="F37" s="649">
        <f>SUM(F35:F36)</f>
        <v>458175</v>
      </c>
      <c r="G37" s="649">
        <f>SUM(G35:G36)</f>
        <v>361815</v>
      </c>
    </row>
    <row r="38" spans="2:8" s="612" customFormat="1" ht="15.6" customHeight="1">
      <c r="B38" s="638"/>
      <c r="C38" s="639"/>
      <c r="D38" s="640"/>
      <c r="E38" s="639"/>
      <c r="F38" s="650"/>
      <c r="G38" s="650"/>
    </row>
    <row r="39" spans="2:8" s="612" customFormat="1" ht="15" customHeight="1">
      <c r="B39" s="627"/>
      <c r="C39" s="628" t="s">
        <v>741</v>
      </c>
      <c r="D39" s="629"/>
      <c r="E39" s="628" t="s">
        <v>723</v>
      </c>
      <c r="F39" s="648">
        <f>+F23+F27+F31+F35</f>
        <v>12129064</v>
      </c>
      <c r="G39" s="648">
        <f>+G23+G27+G31+G35</f>
        <v>12021447</v>
      </c>
      <c r="H39" s="651"/>
    </row>
    <row r="40" spans="2:8" s="612" customFormat="1" ht="15.75">
      <c r="B40" s="627"/>
      <c r="C40" s="628"/>
      <c r="D40" s="629"/>
      <c r="E40" s="628" t="s">
        <v>724</v>
      </c>
      <c r="F40" s="648">
        <f>+F24+F28+F32+F36</f>
        <v>80481451</v>
      </c>
      <c r="G40" s="648">
        <f>+G24+G28+G32+G36</f>
        <v>78743675</v>
      </c>
      <c r="H40" s="651"/>
    </row>
    <row r="41" spans="2:8" s="612" customFormat="1" ht="16.5" customHeight="1" thickBot="1">
      <c r="B41" s="642" t="s">
        <v>742</v>
      </c>
      <c r="C41" s="643" t="s">
        <v>741</v>
      </c>
      <c r="D41" s="644"/>
      <c r="E41" s="643" t="s">
        <v>726</v>
      </c>
      <c r="F41" s="652">
        <f>SUM(F39:F40)</f>
        <v>92610515</v>
      </c>
      <c r="G41" s="652">
        <f>SUM(G39:G40)</f>
        <v>90765122</v>
      </c>
      <c r="H41" s="651"/>
    </row>
    <row r="42" spans="2:8" s="612" customFormat="1" ht="15.6" customHeight="1">
      <c r="B42" s="638"/>
      <c r="C42" s="639"/>
      <c r="D42" s="640"/>
      <c r="E42" s="620"/>
      <c r="F42" s="653"/>
      <c r="G42" s="653"/>
    </row>
    <row r="43" spans="2:8" s="612" customFormat="1" ht="15" customHeight="1">
      <c r="B43" s="627"/>
      <c r="C43" s="628" t="s">
        <v>743</v>
      </c>
      <c r="D43" s="629"/>
      <c r="E43" s="630" t="s">
        <v>723</v>
      </c>
      <c r="F43" s="631">
        <v>0</v>
      </c>
      <c r="G43" s="631">
        <v>0</v>
      </c>
    </row>
    <row r="44" spans="2:8" s="612" customFormat="1" ht="15.75">
      <c r="B44" s="627"/>
      <c r="C44" s="628"/>
      <c r="D44" s="629"/>
      <c r="E44" s="630" t="s">
        <v>724</v>
      </c>
      <c r="F44" s="631">
        <v>6457767</v>
      </c>
      <c r="G44" s="631">
        <v>6456777</v>
      </c>
    </row>
    <row r="45" spans="2:8" s="612" customFormat="1" ht="16.5" customHeight="1">
      <c r="B45" s="633" t="s">
        <v>744</v>
      </c>
      <c r="C45" s="634" t="s">
        <v>745</v>
      </c>
      <c r="D45" s="635"/>
      <c r="E45" s="636" t="s">
        <v>726</v>
      </c>
      <c r="F45" s="637">
        <f>SUM(F43:F44)</f>
        <v>6457767</v>
      </c>
      <c r="G45" s="637">
        <f>SUM(G43:G44)</f>
        <v>6456777</v>
      </c>
    </row>
    <row r="46" spans="2:8" s="612" customFormat="1" ht="15.6" customHeight="1">
      <c r="B46" s="638"/>
      <c r="C46" s="639"/>
      <c r="D46" s="640"/>
      <c r="E46" s="620"/>
      <c r="F46" s="641"/>
      <c r="G46" s="641"/>
    </row>
    <row r="47" spans="2:8" s="612" customFormat="1" ht="15.75" customHeight="1">
      <c r="B47" s="627"/>
      <c r="C47" s="628" t="s">
        <v>746</v>
      </c>
      <c r="D47" s="629"/>
      <c r="E47" s="630" t="s">
        <v>723</v>
      </c>
      <c r="F47" s="631">
        <v>0</v>
      </c>
      <c r="G47" s="631">
        <v>0</v>
      </c>
    </row>
    <row r="48" spans="2:8" s="612" customFormat="1" ht="15.75">
      <c r="B48" s="627"/>
      <c r="C48" s="628"/>
      <c r="D48" s="629"/>
      <c r="E48" s="630" t="s">
        <v>724</v>
      </c>
      <c r="F48" s="631">
        <v>0</v>
      </c>
      <c r="G48" s="631">
        <v>1500000</v>
      </c>
    </row>
    <row r="49" spans="2:7" s="612" customFormat="1" ht="16.5" customHeight="1">
      <c r="B49" s="633" t="s">
        <v>747</v>
      </c>
      <c r="C49" s="634" t="s">
        <v>746</v>
      </c>
      <c r="D49" s="635"/>
      <c r="E49" s="636" t="s">
        <v>726</v>
      </c>
      <c r="F49" s="649">
        <f>SUM(F48:F48)</f>
        <v>0</v>
      </c>
      <c r="G49" s="649">
        <f>SUM(G48:G48)</f>
        <v>1500000</v>
      </c>
    </row>
    <row r="50" spans="2:7" s="612" customFormat="1" ht="15.6" customHeight="1">
      <c r="B50" s="638"/>
      <c r="C50" s="639"/>
      <c r="D50" s="640"/>
      <c r="E50" s="620"/>
      <c r="F50" s="650"/>
      <c r="G50" s="650"/>
    </row>
    <row r="51" spans="2:7" s="612" customFormat="1" ht="15.75" customHeight="1">
      <c r="B51" s="627"/>
      <c r="C51" s="628" t="s">
        <v>748</v>
      </c>
      <c r="D51" s="629"/>
      <c r="E51" s="630" t="s">
        <v>723</v>
      </c>
      <c r="F51" s="648">
        <f>F43+F47</f>
        <v>0</v>
      </c>
      <c r="G51" s="648">
        <f>G43+G47</f>
        <v>0</v>
      </c>
    </row>
    <row r="52" spans="2:7" s="612" customFormat="1" ht="15.75">
      <c r="B52" s="627"/>
      <c r="C52" s="639"/>
      <c r="D52" s="629"/>
      <c r="E52" s="630" t="s">
        <v>724</v>
      </c>
      <c r="F52" s="648">
        <f>F44+F48</f>
        <v>6457767</v>
      </c>
      <c r="G52" s="648">
        <f>G44+G48</f>
        <v>7956777</v>
      </c>
    </row>
    <row r="53" spans="2:7" s="612" customFormat="1" ht="16.5" customHeight="1" thickBot="1">
      <c r="B53" s="642" t="s">
        <v>749</v>
      </c>
      <c r="C53" s="643" t="s">
        <v>748</v>
      </c>
      <c r="D53" s="644"/>
      <c r="E53" s="645" t="s">
        <v>726</v>
      </c>
      <c r="F53" s="652">
        <f>SUM(F51:F52)</f>
        <v>6457767</v>
      </c>
      <c r="G53" s="652">
        <f>SUM(G51:G52)</f>
        <v>7956777</v>
      </c>
    </row>
    <row r="54" spans="2:7" s="612" customFormat="1" ht="15.6" customHeight="1">
      <c r="B54" s="638"/>
      <c r="C54" s="639"/>
      <c r="D54" s="640"/>
      <c r="E54" s="620"/>
      <c r="F54" s="641"/>
      <c r="G54" s="641"/>
    </row>
    <row r="55" spans="2:7" s="612" customFormat="1" ht="16.5" customHeight="1">
      <c r="B55" s="627"/>
      <c r="C55" s="628" t="s">
        <v>750</v>
      </c>
      <c r="D55" s="629"/>
      <c r="E55" s="630" t="s">
        <v>723</v>
      </c>
      <c r="F55" s="631">
        <v>0</v>
      </c>
      <c r="G55" s="631">
        <v>0</v>
      </c>
    </row>
    <row r="56" spans="2:7" s="612" customFormat="1" ht="15.75">
      <c r="B56" s="627"/>
      <c r="C56" s="628"/>
      <c r="D56" s="629"/>
      <c r="E56" s="630" t="s">
        <v>724</v>
      </c>
      <c r="F56" s="631">
        <v>57022</v>
      </c>
      <c r="G56" s="631">
        <v>57022</v>
      </c>
    </row>
    <row r="57" spans="2:7" s="612" customFormat="1" ht="38.25" customHeight="1" thickBot="1">
      <c r="B57" s="654" t="s">
        <v>751</v>
      </c>
      <c r="C57" s="2001" t="s">
        <v>752</v>
      </c>
      <c r="D57" s="2002"/>
      <c r="E57" s="655" t="s">
        <v>726</v>
      </c>
      <c r="F57" s="656">
        <f>SUM(F55:F56)</f>
        <v>57022</v>
      </c>
      <c r="G57" s="656">
        <f>SUM(G55:G56)</f>
        <v>57022</v>
      </c>
    </row>
    <row r="58" spans="2:7" s="612" customFormat="1" ht="15.6" customHeight="1">
      <c r="B58" s="657"/>
      <c r="C58" s="658"/>
      <c r="D58" s="659"/>
      <c r="E58" s="616"/>
      <c r="F58" s="647"/>
      <c r="G58" s="647"/>
    </row>
    <row r="59" spans="2:7" s="612" customFormat="1" ht="15" customHeight="1">
      <c r="B59" s="627"/>
      <c r="C59" s="2003" t="s">
        <v>753</v>
      </c>
      <c r="D59" s="2004"/>
      <c r="E59" s="630" t="s">
        <v>723</v>
      </c>
      <c r="F59" s="648">
        <f>+F19+F39+F51+F55</f>
        <v>12157836</v>
      </c>
      <c r="G59" s="648">
        <f>+G19+G39+G51+G55</f>
        <v>12040283</v>
      </c>
    </row>
    <row r="60" spans="2:7" s="612" customFormat="1" ht="16.5" thickBot="1">
      <c r="B60" s="661"/>
      <c r="C60" s="662"/>
      <c r="D60" s="663"/>
      <c r="E60" s="664" t="s">
        <v>724</v>
      </c>
      <c r="F60" s="665">
        <f>+F20+F40+F52+F56</f>
        <v>87027865</v>
      </c>
      <c r="G60" s="665">
        <f>+G20+G40+G52+G56</f>
        <v>86791392</v>
      </c>
    </row>
    <row r="61" spans="2:7" s="612" customFormat="1" ht="39.75" customHeight="1" thickBot="1">
      <c r="B61" s="666" t="s">
        <v>754</v>
      </c>
      <c r="C61" s="2005" t="s">
        <v>753</v>
      </c>
      <c r="D61" s="2004"/>
      <c r="E61" s="668" t="s">
        <v>726</v>
      </c>
      <c r="F61" s="669">
        <f>SUM(F59:F60)</f>
        <v>99185701</v>
      </c>
      <c r="G61" s="669">
        <f>SUM(G59:G60)</f>
        <v>98831675</v>
      </c>
    </row>
    <row r="62" spans="2:7" s="612" customFormat="1" ht="16.5" customHeight="1">
      <c r="B62" s="615"/>
      <c r="C62" s="615"/>
      <c r="D62" s="670"/>
      <c r="E62" s="616"/>
      <c r="F62" s="617"/>
      <c r="G62" s="617"/>
    </row>
    <row r="63" spans="2:7" s="612" customFormat="1" ht="15" customHeight="1">
      <c r="B63" s="627"/>
      <c r="C63" s="628" t="s">
        <v>755</v>
      </c>
      <c r="D63" s="629"/>
      <c r="E63" s="630" t="s">
        <v>723</v>
      </c>
      <c r="F63" s="648">
        <v>29732</v>
      </c>
      <c r="G63" s="648">
        <v>22203</v>
      </c>
    </row>
    <row r="64" spans="2:7" s="612" customFormat="1" ht="15.75">
      <c r="B64" s="671"/>
      <c r="C64" s="628"/>
      <c r="D64" s="629"/>
      <c r="E64" s="630" t="s">
        <v>724</v>
      </c>
      <c r="F64" s="648">
        <v>0</v>
      </c>
      <c r="G64" s="648">
        <v>0</v>
      </c>
    </row>
    <row r="65" spans="2:7" s="612" customFormat="1" ht="16.5" customHeight="1" thickBot="1">
      <c r="B65" s="672" t="s">
        <v>756</v>
      </c>
      <c r="C65" s="643" t="s">
        <v>755</v>
      </c>
      <c r="D65" s="644"/>
      <c r="E65" s="645" t="s">
        <v>726</v>
      </c>
      <c r="F65" s="652">
        <f>SUM(F63:F64)</f>
        <v>29732</v>
      </c>
      <c r="G65" s="652">
        <f>SUM(G63:G64)</f>
        <v>22203</v>
      </c>
    </row>
    <row r="66" spans="2:7" s="612" customFormat="1" ht="11.1" customHeight="1">
      <c r="B66" s="627"/>
      <c r="C66" s="628"/>
      <c r="D66" s="629"/>
      <c r="E66" s="630"/>
      <c r="F66" s="631"/>
      <c r="G66" s="631"/>
    </row>
    <row r="67" spans="2:7" s="612" customFormat="1" ht="15.75">
      <c r="B67" s="627"/>
      <c r="C67" s="628" t="s">
        <v>757</v>
      </c>
      <c r="D67" s="629"/>
      <c r="E67" s="630" t="s">
        <v>723</v>
      </c>
      <c r="F67" s="631">
        <v>0</v>
      </c>
      <c r="G67" s="631">
        <v>0</v>
      </c>
    </row>
    <row r="68" spans="2:7" s="612" customFormat="1" ht="15.75">
      <c r="B68" s="627"/>
      <c r="C68" s="628"/>
      <c r="D68" s="629"/>
      <c r="E68" s="630" t="s">
        <v>724</v>
      </c>
      <c r="F68" s="631">
        <v>0</v>
      </c>
      <c r="G68" s="631">
        <v>0</v>
      </c>
    </row>
    <row r="69" spans="2:7" s="612" customFormat="1" ht="16.5" customHeight="1" thickBot="1">
      <c r="B69" s="642" t="s">
        <v>758</v>
      </c>
      <c r="C69" s="643" t="s">
        <v>759</v>
      </c>
      <c r="D69" s="644"/>
      <c r="E69" s="645" t="s">
        <v>726</v>
      </c>
      <c r="F69" s="646">
        <f>SUM(F67:F68)</f>
        <v>0</v>
      </c>
      <c r="G69" s="646">
        <f>SUM(G67:G68)</f>
        <v>0</v>
      </c>
    </row>
    <row r="70" spans="2:7" s="612" customFormat="1" ht="15.6" customHeight="1">
      <c r="B70" s="638"/>
      <c r="C70" s="639"/>
      <c r="D70" s="640"/>
      <c r="E70" s="620"/>
      <c r="F70" s="641"/>
      <c r="G70" s="641"/>
    </row>
    <row r="71" spans="2:7" s="612" customFormat="1" ht="15.75">
      <c r="B71" s="627"/>
      <c r="C71" s="628" t="s">
        <v>760</v>
      </c>
      <c r="D71" s="629"/>
      <c r="E71" s="630" t="s">
        <v>723</v>
      </c>
      <c r="F71" s="631">
        <f>+F63+F67</f>
        <v>29732</v>
      </c>
      <c r="G71" s="631">
        <f>+G63+G67</f>
        <v>22203</v>
      </c>
    </row>
    <row r="72" spans="2:7" s="612" customFormat="1" ht="16.5" thickBot="1">
      <c r="B72" s="627"/>
      <c r="C72" s="628" t="s">
        <v>68</v>
      </c>
      <c r="D72" s="629"/>
      <c r="E72" s="630" t="s">
        <v>724</v>
      </c>
      <c r="F72" s="631">
        <f>+F64+F68</f>
        <v>0</v>
      </c>
      <c r="G72" s="631">
        <f>+G64+G68</f>
        <v>0</v>
      </c>
    </row>
    <row r="73" spans="2:7" s="612" customFormat="1" ht="36.75" customHeight="1" thickBot="1">
      <c r="B73" s="673" t="s">
        <v>761</v>
      </c>
      <c r="C73" s="1994" t="s">
        <v>762</v>
      </c>
      <c r="D73" s="1995"/>
      <c r="E73" s="674" t="s">
        <v>726</v>
      </c>
      <c r="F73" s="675">
        <f>SUM(F71:F72)</f>
        <v>29732</v>
      </c>
      <c r="G73" s="675">
        <f>SUM(G71:G72)</f>
        <v>22203</v>
      </c>
    </row>
    <row r="74" spans="2:7" s="612" customFormat="1" ht="30" customHeight="1">
      <c r="B74" s="676"/>
      <c r="C74" s="677"/>
      <c r="D74" s="678"/>
      <c r="E74" s="679"/>
      <c r="F74" s="680"/>
      <c r="G74" s="680"/>
    </row>
    <row r="75" spans="2:7" s="612" customFormat="1" ht="30" customHeight="1" thickBot="1">
      <c r="B75" s="676"/>
      <c r="C75" s="677"/>
      <c r="D75" s="678"/>
      <c r="E75" s="679"/>
      <c r="F75" s="680"/>
      <c r="G75" s="680"/>
    </row>
    <row r="76" spans="2:7" s="612" customFormat="1" ht="20.25" customHeight="1">
      <c r="B76" s="615"/>
      <c r="C76" s="1999" t="s">
        <v>25</v>
      </c>
      <c r="D76" s="2000"/>
      <c r="E76" s="681"/>
      <c r="F76" s="617" t="s">
        <v>719</v>
      </c>
      <c r="G76" s="617" t="s">
        <v>1152</v>
      </c>
    </row>
    <row r="77" spans="2:7" s="612" customFormat="1" ht="16.5" customHeight="1">
      <c r="B77" s="618"/>
      <c r="C77" s="618"/>
      <c r="D77" s="619"/>
      <c r="E77" s="682"/>
      <c r="F77" s="621" t="s">
        <v>720</v>
      </c>
      <c r="G77" s="621" t="s">
        <v>720</v>
      </c>
    </row>
    <row r="78" spans="2:7" s="612" customFormat="1" ht="16.5" customHeight="1" thickBot="1">
      <c r="B78" s="622"/>
      <c r="C78" s="622"/>
      <c r="D78" s="623"/>
      <c r="E78" s="683"/>
      <c r="F78" s="625" t="s">
        <v>721</v>
      </c>
      <c r="G78" s="625" t="s">
        <v>1153</v>
      </c>
    </row>
    <row r="79" spans="2:7" s="612" customFormat="1" ht="15.6" customHeight="1">
      <c r="B79" s="638"/>
      <c r="C79" s="639"/>
      <c r="D79" s="640"/>
      <c r="E79" s="682"/>
      <c r="F79" s="641"/>
      <c r="G79" s="641"/>
    </row>
    <row r="80" spans="2:7" s="612" customFormat="1" ht="15.75">
      <c r="B80" s="627"/>
      <c r="C80" s="628" t="s">
        <v>763</v>
      </c>
      <c r="D80" s="629"/>
      <c r="E80" s="684" t="s">
        <v>723</v>
      </c>
      <c r="F80" s="631">
        <v>0</v>
      </c>
      <c r="G80" s="631">
        <v>0</v>
      </c>
    </row>
    <row r="81" spans="2:7" s="612" customFormat="1" ht="15.75">
      <c r="B81" s="627"/>
      <c r="C81" s="628"/>
      <c r="D81" s="629"/>
      <c r="E81" s="684" t="s">
        <v>724</v>
      </c>
      <c r="F81" s="631">
        <v>0</v>
      </c>
      <c r="G81" s="631">
        <v>0</v>
      </c>
    </row>
    <row r="82" spans="2:7" s="612" customFormat="1" ht="15.6" customHeight="1">
      <c r="B82" s="633" t="s">
        <v>764</v>
      </c>
      <c r="C82" s="634" t="s">
        <v>763</v>
      </c>
      <c r="D82" s="635"/>
      <c r="E82" s="685" t="s">
        <v>726</v>
      </c>
      <c r="F82" s="637">
        <f>SUM(F80:F81)</f>
        <v>0</v>
      </c>
      <c r="G82" s="637">
        <f>SUM(G80:G81)</f>
        <v>0</v>
      </c>
    </row>
    <row r="83" spans="2:7" s="612" customFormat="1" ht="11.1" customHeight="1">
      <c r="B83" s="627"/>
      <c r="C83" s="628"/>
      <c r="D83" s="629"/>
      <c r="E83" s="684"/>
      <c r="F83" s="631"/>
      <c r="G83" s="631"/>
    </row>
    <row r="84" spans="2:7" s="612" customFormat="1" ht="15.75">
      <c r="B84" s="627"/>
      <c r="C84" s="628" t="s">
        <v>765</v>
      </c>
      <c r="D84" s="629"/>
      <c r="E84" s="684" t="s">
        <v>723</v>
      </c>
      <c r="F84" s="631">
        <v>2082</v>
      </c>
      <c r="G84" s="631">
        <f>929-1</f>
        <v>928</v>
      </c>
    </row>
    <row r="85" spans="2:7" s="612" customFormat="1" ht="15.75">
      <c r="B85" s="627"/>
      <c r="C85" s="686"/>
      <c r="D85" s="629"/>
      <c r="E85" s="684" t="s">
        <v>724</v>
      </c>
      <c r="F85" s="631">
        <v>1</v>
      </c>
      <c r="G85" s="631">
        <f>81-1</f>
        <v>80</v>
      </c>
    </row>
    <row r="86" spans="2:7" s="612" customFormat="1" ht="15.6" customHeight="1">
      <c r="B86" s="633" t="s">
        <v>766</v>
      </c>
      <c r="C86" s="634" t="s">
        <v>765</v>
      </c>
      <c r="D86" s="635"/>
      <c r="E86" s="685" t="s">
        <v>726</v>
      </c>
      <c r="F86" s="637">
        <f>SUM(F84:F85)</f>
        <v>2083</v>
      </c>
      <c r="G86" s="637">
        <f>SUM(G84:G85)</f>
        <v>1008</v>
      </c>
    </row>
    <row r="87" spans="2:7" s="612" customFormat="1" ht="11.1" customHeight="1">
      <c r="B87" s="627"/>
      <c r="C87" s="628"/>
      <c r="D87" s="629"/>
      <c r="E87" s="684"/>
      <c r="F87" s="631"/>
      <c r="G87" s="631"/>
    </row>
    <row r="88" spans="2:7" s="612" customFormat="1" ht="15.75">
      <c r="B88" s="627"/>
      <c r="C88" s="628" t="s">
        <v>767</v>
      </c>
      <c r="D88" s="629"/>
      <c r="E88" s="684" t="s">
        <v>723</v>
      </c>
      <c r="F88" s="631">
        <v>653585</v>
      </c>
      <c r="G88" s="631">
        <v>653736</v>
      </c>
    </row>
    <row r="89" spans="2:7" s="612" customFormat="1" ht="15.75">
      <c r="B89" s="627"/>
      <c r="C89" s="628"/>
      <c r="D89" s="629"/>
      <c r="E89" s="684" t="s">
        <v>724</v>
      </c>
      <c r="F89" s="631">
        <v>2993500</v>
      </c>
      <c r="G89" s="631">
        <v>1759876</v>
      </c>
    </row>
    <row r="90" spans="2:7" s="612" customFormat="1" ht="15.6" customHeight="1">
      <c r="B90" s="633" t="s">
        <v>768</v>
      </c>
      <c r="C90" s="634" t="s">
        <v>767</v>
      </c>
      <c r="D90" s="635"/>
      <c r="E90" s="685" t="s">
        <v>726</v>
      </c>
      <c r="F90" s="637">
        <f>SUM(F88:F89)</f>
        <v>3647085</v>
      </c>
      <c r="G90" s="637">
        <f>SUM(G88:G89)</f>
        <v>2413612</v>
      </c>
    </row>
    <row r="91" spans="2:7" s="612" customFormat="1" ht="11.1" customHeight="1">
      <c r="B91" s="627"/>
      <c r="C91" s="628"/>
      <c r="D91" s="629"/>
      <c r="E91" s="684"/>
      <c r="F91" s="631"/>
      <c r="G91" s="631"/>
    </row>
    <row r="92" spans="2:7" s="612" customFormat="1" ht="15.75">
      <c r="B92" s="627"/>
      <c r="C92" s="628" t="s">
        <v>769</v>
      </c>
      <c r="D92" s="629"/>
      <c r="E92" s="684" t="s">
        <v>723</v>
      </c>
      <c r="F92" s="631"/>
      <c r="G92" s="631">
        <v>0</v>
      </c>
    </row>
    <row r="93" spans="2:7" s="612" customFormat="1" ht="15.75">
      <c r="B93" s="627"/>
      <c r="C93" s="628"/>
      <c r="D93" s="629"/>
      <c r="E93" s="684" t="s">
        <v>724</v>
      </c>
      <c r="F93" s="631">
        <v>50546</v>
      </c>
      <c r="G93" s="631">
        <v>21878</v>
      </c>
    </row>
    <row r="94" spans="2:7" s="612" customFormat="1" ht="15.6" customHeight="1">
      <c r="B94" s="633" t="s">
        <v>770</v>
      </c>
      <c r="C94" s="634" t="s">
        <v>769</v>
      </c>
      <c r="D94" s="635"/>
      <c r="E94" s="685" t="s">
        <v>726</v>
      </c>
      <c r="F94" s="637">
        <f>SUM(F92:F93)</f>
        <v>50546</v>
      </c>
      <c r="G94" s="637">
        <f>SUM(G92:G93)</f>
        <v>21878</v>
      </c>
    </row>
    <row r="95" spans="2:7" s="612" customFormat="1" ht="11.1" customHeight="1">
      <c r="B95" s="627"/>
      <c r="C95" s="628"/>
      <c r="D95" s="629"/>
      <c r="E95" s="684"/>
      <c r="F95" s="631"/>
      <c r="G95" s="631"/>
    </row>
    <row r="96" spans="2:7" s="612" customFormat="1" ht="11.1" customHeight="1">
      <c r="B96" s="627"/>
      <c r="C96" s="628"/>
      <c r="D96" s="629"/>
      <c r="E96" s="684"/>
      <c r="F96" s="631"/>
      <c r="G96" s="631"/>
    </row>
    <row r="97" spans="2:8" s="612" customFormat="1" ht="15.75">
      <c r="B97" s="627"/>
      <c r="C97" s="628" t="s">
        <v>771</v>
      </c>
      <c r="D97" s="629"/>
      <c r="E97" s="684" t="s">
        <v>723</v>
      </c>
      <c r="F97" s="631">
        <f>+F80+F84+F88+F92</f>
        <v>655667</v>
      </c>
      <c r="G97" s="631">
        <f>+G80+G84+G88+G92</f>
        <v>654664</v>
      </c>
    </row>
    <row r="98" spans="2:8" s="612" customFormat="1" ht="16.5" thickBot="1">
      <c r="B98" s="627"/>
      <c r="C98" s="628"/>
      <c r="D98" s="629"/>
      <c r="E98" s="684" t="s">
        <v>724</v>
      </c>
      <c r="F98" s="631">
        <f>F81+F85+F89+F93</f>
        <v>3044047</v>
      </c>
      <c r="G98" s="631">
        <f>G81+G85+G89+G93</f>
        <v>1781834</v>
      </c>
    </row>
    <row r="99" spans="2:8" s="612" customFormat="1" ht="30" customHeight="1" thickBot="1">
      <c r="B99" s="673" t="s">
        <v>772</v>
      </c>
      <c r="C99" s="1994" t="s">
        <v>771</v>
      </c>
      <c r="D99" s="1995"/>
      <c r="E99" s="687" t="s">
        <v>726</v>
      </c>
      <c r="F99" s="675">
        <f>SUM(F97:F98)</f>
        <v>3699714</v>
      </c>
      <c r="G99" s="675">
        <f>SUM(G97:G98)</f>
        <v>2436498</v>
      </c>
      <c r="H99" s="1018"/>
    </row>
    <row r="100" spans="2:8" s="612" customFormat="1" ht="15.6" customHeight="1">
      <c r="B100" s="638"/>
      <c r="C100" s="639"/>
      <c r="D100" s="640"/>
      <c r="E100" s="682"/>
      <c r="F100" s="641"/>
      <c r="G100" s="641"/>
    </row>
    <row r="101" spans="2:8" s="612" customFormat="1" ht="15.75">
      <c r="B101" s="627"/>
      <c r="C101" s="628" t="s">
        <v>773</v>
      </c>
      <c r="D101" s="629"/>
      <c r="E101" s="684" t="s">
        <v>723</v>
      </c>
      <c r="F101" s="631">
        <v>45101</v>
      </c>
      <c r="G101" s="631">
        <v>37209</v>
      </c>
    </row>
    <row r="102" spans="2:8" s="612" customFormat="1" ht="15.75">
      <c r="B102" s="627"/>
      <c r="C102" s="628"/>
      <c r="D102" s="629"/>
      <c r="E102" s="684" t="s">
        <v>724</v>
      </c>
      <c r="F102" s="631">
        <v>1390003</v>
      </c>
      <c r="G102" s="631">
        <v>1998048</v>
      </c>
    </row>
    <row r="103" spans="2:8" s="612" customFormat="1" ht="15.6" customHeight="1">
      <c r="B103" s="633" t="s">
        <v>774</v>
      </c>
      <c r="C103" s="634" t="s">
        <v>773</v>
      </c>
      <c r="D103" s="635"/>
      <c r="E103" s="685" t="s">
        <v>726</v>
      </c>
      <c r="F103" s="637">
        <f>SUM(F101:F102)</f>
        <v>1435104</v>
      </c>
      <c r="G103" s="637">
        <f>SUM(G101:G102)</f>
        <v>2035257</v>
      </c>
    </row>
    <row r="104" spans="2:8" s="612" customFormat="1" ht="12" customHeight="1">
      <c r="B104" s="627"/>
      <c r="C104" s="628"/>
      <c r="D104" s="629"/>
      <c r="E104" s="684"/>
      <c r="F104" s="631"/>
      <c r="G104" s="631"/>
    </row>
    <row r="105" spans="2:8" s="612" customFormat="1" ht="15.75">
      <c r="B105" s="627"/>
      <c r="C105" s="628" t="s">
        <v>775</v>
      </c>
      <c r="D105" s="629"/>
      <c r="E105" s="684" t="s">
        <v>723</v>
      </c>
      <c r="F105" s="631">
        <v>4031</v>
      </c>
      <c r="G105" s="631">
        <v>1728</v>
      </c>
    </row>
    <row r="106" spans="2:8" s="612" customFormat="1" ht="15.75">
      <c r="B106" s="627"/>
      <c r="C106" s="686"/>
      <c r="D106" s="629"/>
      <c r="E106" s="684" t="s">
        <v>724</v>
      </c>
      <c r="F106" s="631">
        <v>5368528</v>
      </c>
      <c r="G106" s="631">
        <v>6018892</v>
      </c>
    </row>
    <row r="107" spans="2:8" s="612" customFormat="1" ht="36.75" customHeight="1">
      <c r="B107" s="633" t="s">
        <v>776</v>
      </c>
      <c r="C107" s="2006" t="s">
        <v>775</v>
      </c>
      <c r="D107" s="2007"/>
      <c r="E107" s="685" t="s">
        <v>726</v>
      </c>
      <c r="F107" s="637">
        <f>SUM(F105:F106)</f>
        <v>5372559</v>
      </c>
      <c r="G107" s="637">
        <f>SUM(G105:G106)</f>
        <v>6020620</v>
      </c>
    </row>
    <row r="108" spans="2:8" s="612" customFormat="1" ht="12" customHeight="1">
      <c r="B108" s="627"/>
      <c r="C108" s="628"/>
      <c r="D108" s="629"/>
      <c r="E108" s="684"/>
      <c r="F108" s="631"/>
      <c r="G108" s="631"/>
    </row>
    <row r="109" spans="2:8" s="612" customFormat="1" ht="15.75">
      <c r="B109" s="627"/>
      <c r="C109" s="628" t="s">
        <v>777</v>
      </c>
      <c r="D109" s="629"/>
      <c r="E109" s="684" t="s">
        <v>723</v>
      </c>
      <c r="F109" s="631">
        <v>53800</v>
      </c>
      <c r="G109" s="631">
        <v>53293</v>
      </c>
    </row>
    <row r="110" spans="2:8" s="612" customFormat="1" ht="15.75">
      <c r="B110" s="627"/>
      <c r="C110" s="628"/>
      <c r="D110" s="629"/>
      <c r="E110" s="684" t="s">
        <v>724</v>
      </c>
      <c r="F110" s="631">
        <v>200491</v>
      </c>
      <c r="G110" s="631">
        <v>197507</v>
      </c>
    </row>
    <row r="111" spans="2:8" s="612" customFormat="1" ht="15.6" customHeight="1">
      <c r="B111" s="633" t="s">
        <v>778</v>
      </c>
      <c r="C111" s="634" t="s">
        <v>777</v>
      </c>
      <c r="D111" s="635"/>
      <c r="E111" s="685" t="s">
        <v>726</v>
      </c>
      <c r="F111" s="637">
        <f>SUM(F109:F110)</f>
        <v>254291</v>
      </c>
      <c r="G111" s="637">
        <f>SUM(G109:G110)</f>
        <v>250800</v>
      </c>
    </row>
    <row r="112" spans="2:8" s="612" customFormat="1" ht="12" customHeight="1">
      <c r="B112" s="638"/>
      <c r="C112" s="639"/>
      <c r="D112" s="640"/>
      <c r="E112" s="682"/>
      <c r="F112" s="641"/>
      <c r="G112" s="641"/>
    </row>
    <row r="113" spans="2:7" s="612" customFormat="1" ht="15.75">
      <c r="B113" s="627"/>
      <c r="C113" s="628" t="s">
        <v>779</v>
      </c>
      <c r="D113" s="629"/>
      <c r="E113" s="684" t="s">
        <v>723</v>
      </c>
      <c r="F113" s="631">
        <f>+F101+F105+F109</f>
        <v>102932</v>
      </c>
      <c r="G113" s="631">
        <f>+G101+G105+G109</f>
        <v>92230</v>
      </c>
    </row>
    <row r="114" spans="2:7" s="612" customFormat="1" ht="16.5" thickBot="1">
      <c r="B114" s="627"/>
      <c r="C114" s="628"/>
      <c r="D114" s="629"/>
      <c r="E114" s="684" t="s">
        <v>724</v>
      </c>
      <c r="F114" s="631">
        <f>+F102+F106+F110</f>
        <v>6959022</v>
      </c>
      <c r="G114" s="631">
        <f>+G102+G106+G110</f>
        <v>8214447</v>
      </c>
    </row>
    <row r="115" spans="2:7" s="612" customFormat="1" ht="30" customHeight="1" thickBot="1">
      <c r="B115" s="673" t="s">
        <v>780</v>
      </c>
      <c r="C115" s="1994" t="s">
        <v>779</v>
      </c>
      <c r="D115" s="1995"/>
      <c r="E115" s="687" t="s">
        <v>726</v>
      </c>
      <c r="F115" s="675">
        <f>SUM(F113:F114)</f>
        <v>7061954</v>
      </c>
      <c r="G115" s="675">
        <f>SUM(G113:G114)</f>
        <v>8306677</v>
      </c>
    </row>
    <row r="116" spans="2:7" s="612" customFormat="1" ht="12" customHeight="1">
      <c r="B116" s="666"/>
      <c r="C116" s="667"/>
      <c r="D116" s="660"/>
      <c r="E116" s="679"/>
      <c r="F116" s="669"/>
      <c r="G116" s="669"/>
    </row>
    <row r="117" spans="2:7" s="612" customFormat="1" ht="15.75">
      <c r="B117" s="627"/>
      <c r="C117" s="628" t="s">
        <v>781</v>
      </c>
      <c r="D117" s="629"/>
      <c r="E117" s="684" t="s">
        <v>723</v>
      </c>
      <c r="F117" s="631">
        <v>54436</v>
      </c>
      <c r="G117" s="631">
        <v>62254</v>
      </c>
    </row>
    <row r="118" spans="2:7" s="612" customFormat="1" ht="16.5" thickBot="1">
      <c r="B118" s="627"/>
      <c r="C118" s="628"/>
      <c r="D118" s="629"/>
      <c r="E118" s="684" t="s">
        <v>724</v>
      </c>
      <c r="F118" s="631">
        <v>29603</v>
      </c>
      <c r="G118" s="631">
        <v>-138999</v>
      </c>
    </row>
    <row r="119" spans="2:7" s="612" customFormat="1" ht="30" customHeight="1" thickBot="1">
      <c r="B119" s="673" t="s">
        <v>782</v>
      </c>
      <c r="C119" s="1994" t="s">
        <v>781</v>
      </c>
      <c r="D119" s="1995"/>
      <c r="E119" s="687" t="s">
        <v>726</v>
      </c>
      <c r="F119" s="675">
        <f>SUM(F117:F118)</f>
        <v>84039</v>
      </c>
      <c r="G119" s="675">
        <f>SUM(G117:G118)</f>
        <v>-76745</v>
      </c>
    </row>
    <row r="120" spans="2:7" s="612" customFormat="1" ht="15.6" customHeight="1">
      <c r="B120" s="638"/>
      <c r="C120" s="639"/>
      <c r="D120" s="640"/>
      <c r="E120" s="682"/>
      <c r="F120" s="641"/>
      <c r="G120" s="641"/>
    </row>
    <row r="121" spans="2:7" s="612" customFormat="1" ht="19.5" customHeight="1">
      <c r="B121" s="627"/>
      <c r="C121" s="2003" t="s">
        <v>783</v>
      </c>
      <c r="D121" s="2004"/>
      <c r="E121" s="684" t="s">
        <v>723</v>
      </c>
      <c r="F121" s="631">
        <v>19785</v>
      </c>
      <c r="G121" s="631">
        <v>29863</v>
      </c>
    </row>
    <row r="122" spans="2:7" s="612" customFormat="1" ht="15.75">
      <c r="B122" s="627"/>
      <c r="C122" s="628" t="s">
        <v>784</v>
      </c>
      <c r="D122" s="629"/>
      <c r="E122" s="684" t="s">
        <v>724</v>
      </c>
      <c r="F122" s="631">
        <v>458632</v>
      </c>
      <c r="G122" s="631">
        <v>509308</v>
      </c>
    </row>
    <row r="123" spans="2:7" s="612" customFormat="1" ht="31.5" customHeight="1">
      <c r="B123" s="633" t="s">
        <v>785</v>
      </c>
      <c r="C123" s="2006" t="s">
        <v>786</v>
      </c>
      <c r="D123" s="2007"/>
      <c r="E123" s="685" t="s">
        <v>726</v>
      </c>
      <c r="F123" s="637">
        <f>SUM(F121:F122)</f>
        <v>478417</v>
      </c>
      <c r="G123" s="637">
        <f>SUM(G121:G122)</f>
        <v>539171</v>
      </c>
    </row>
    <row r="124" spans="2:7" s="612" customFormat="1" ht="11.1" customHeight="1">
      <c r="B124" s="627"/>
      <c r="C124" s="628"/>
      <c r="D124" s="629"/>
      <c r="E124" s="684"/>
      <c r="F124" s="631"/>
      <c r="G124" s="631"/>
    </row>
    <row r="125" spans="2:7" s="612" customFormat="1" ht="15.75">
      <c r="B125" s="627"/>
      <c r="C125" s="628" t="s">
        <v>787</v>
      </c>
      <c r="D125" s="629"/>
      <c r="E125" s="684" t="s">
        <v>723</v>
      </c>
      <c r="F125" s="631">
        <v>8142</v>
      </c>
      <c r="G125" s="631">
        <v>3774</v>
      </c>
    </row>
    <row r="126" spans="2:7" s="612" customFormat="1" ht="15.75">
      <c r="B126" s="627"/>
      <c r="C126" s="686"/>
      <c r="D126" s="629"/>
      <c r="E126" s="684" t="s">
        <v>724</v>
      </c>
      <c r="F126" s="631">
        <v>9061</v>
      </c>
      <c r="G126" s="631">
        <v>11949</v>
      </c>
    </row>
    <row r="127" spans="2:7" s="612" customFormat="1" ht="34.5" customHeight="1">
      <c r="B127" s="633" t="s">
        <v>788</v>
      </c>
      <c r="C127" s="2006" t="s">
        <v>787</v>
      </c>
      <c r="D127" s="2008"/>
      <c r="E127" s="685" t="s">
        <v>726</v>
      </c>
      <c r="F127" s="637">
        <f>SUM(F125:F126)</f>
        <v>17203</v>
      </c>
      <c r="G127" s="637">
        <f>SUM(G125:G126)</f>
        <v>15723</v>
      </c>
    </row>
    <row r="128" spans="2:7" s="612" customFormat="1" ht="11.1" customHeight="1">
      <c r="B128" s="627"/>
      <c r="C128" s="628"/>
      <c r="D128" s="629"/>
      <c r="E128" s="684"/>
      <c r="F128" s="631"/>
      <c r="G128" s="631"/>
    </row>
    <row r="129" spans="2:8" s="612" customFormat="1" ht="15.75">
      <c r="B129" s="627"/>
      <c r="C129" s="628" t="s">
        <v>789</v>
      </c>
      <c r="D129" s="629"/>
      <c r="E129" s="684" t="s">
        <v>723</v>
      </c>
      <c r="F129" s="631"/>
      <c r="G129" s="631"/>
    </row>
    <row r="130" spans="2:8" s="612" customFormat="1" ht="15.75">
      <c r="B130" s="627"/>
      <c r="C130" s="628"/>
      <c r="D130" s="629"/>
      <c r="E130" s="684" t="s">
        <v>724</v>
      </c>
      <c r="F130" s="631"/>
      <c r="G130" s="631"/>
    </row>
    <row r="131" spans="2:8" s="612" customFormat="1" ht="15.6" customHeight="1">
      <c r="B131" s="633" t="s">
        <v>790</v>
      </c>
      <c r="C131" s="634" t="s">
        <v>789</v>
      </c>
      <c r="D131" s="635"/>
      <c r="E131" s="685" t="s">
        <v>726</v>
      </c>
      <c r="F131" s="637">
        <f>SUM(F129:F130)</f>
        <v>0</v>
      </c>
      <c r="G131" s="637">
        <f>SUM(G129:G130)</f>
        <v>0</v>
      </c>
    </row>
    <row r="132" spans="2:8" s="612" customFormat="1" ht="15.75">
      <c r="B132" s="627"/>
      <c r="C132" s="628"/>
      <c r="D132" s="629"/>
      <c r="E132" s="684"/>
      <c r="F132" s="631"/>
      <c r="G132" s="631"/>
    </row>
    <row r="133" spans="2:8" s="612" customFormat="1" ht="15.75">
      <c r="B133" s="627"/>
      <c r="C133" s="628" t="s">
        <v>791</v>
      </c>
      <c r="D133" s="629"/>
      <c r="E133" s="684" t="s">
        <v>723</v>
      </c>
      <c r="F133" s="631">
        <f>+F121+F125+F129</f>
        <v>27927</v>
      </c>
      <c r="G133" s="631">
        <f>+G121+G125+G129</f>
        <v>33637</v>
      </c>
    </row>
    <row r="134" spans="2:8" s="612" customFormat="1" ht="16.5" thickBot="1">
      <c r="B134" s="627"/>
      <c r="C134" s="628"/>
      <c r="D134" s="629"/>
      <c r="E134" s="684" t="s">
        <v>724</v>
      </c>
      <c r="F134" s="631">
        <f>+F122+F126+F130</f>
        <v>467693</v>
      </c>
      <c r="G134" s="631">
        <f>+G122+G126+G130</f>
        <v>521257</v>
      </c>
    </row>
    <row r="135" spans="2:8" s="612" customFormat="1" ht="30" customHeight="1" thickBot="1">
      <c r="B135" s="673" t="s">
        <v>792</v>
      </c>
      <c r="C135" s="1994" t="s">
        <v>791</v>
      </c>
      <c r="D135" s="1995"/>
      <c r="E135" s="687" t="s">
        <v>726</v>
      </c>
      <c r="F135" s="675">
        <f>SUM(F133:F134)</f>
        <v>495620</v>
      </c>
      <c r="G135" s="675">
        <f>SUM(G133:G134)</f>
        <v>554894</v>
      </c>
    </row>
    <row r="136" spans="2:8" s="612" customFormat="1" ht="15.75">
      <c r="B136" s="627"/>
      <c r="C136" s="628"/>
      <c r="D136" s="629"/>
      <c r="E136" s="684"/>
      <c r="F136" s="631"/>
      <c r="G136" s="631"/>
    </row>
    <row r="137" spans="2:8" s="612" customFormat="1" ht="15.75">
      <c r="B137" s="627"/>
      <c r="C137" s="639" t="s">
        <v>718</v>
      </c>
      <c r="D137" s="629"/>
      <c r="E137" s="684" t="s">
        <v>723</v>
      </c>
      <c r="F137" s="631">
        <f>+F59+F71+F97+F113+F117+F133</f>
        <v>13028530</v>
      </c>
      <c r="G137" s="631">
        <f>+G59+G71+G97+G113+G117+G133</f>
        <v>12905271</v>
      </c>
      <c r="H137" s="651"/>
    </row>
    <row r="138" spans="2:8" s="612" customFormat="1" ht="16.5" thickBot="1">
      <c r="B138" s="627"/>
      <c r="C138" s="628"/>
      <c r="D138" s="629"/>
      <c r="E138" s="684" t="s">
        <v>724</v>
      </c>
      <c r="F138" s="631">
        <f>+F60+F72+F98+F114+F118+F134</f>
        <v>97528230</v>
      </c>
      <c r="G138" s="631">
        <f>+G60+G72+G98+G114+G118+G134</f>
        <v>97169931</v>
      </c>
      <c r="H138" s="651"/>
    </row>
    <row r="139" spans="2:8" s="612" customFormat="1" ht="30" customHeight="1" thickBot="1">
      <c r="B139" s="673"/>
      <c r="C139" s="1994" t="s">
        <v>793</v>
      </c>
      <c r="D139" s="1995"/>
      <c r="E139" s="687" t="s">
        <v>726</v>
      </c>
      <c r="F139" s="675">
        <f>SUM(F137:F138)</f>
        <v>110556760</v>
      </c>
      <c r="G139" s="675">
        <f>SUM(G137:G138)</f>
        <v>110075202</v>
      </c>
      <c r="H139" s="651"/>
    </row>
  </sheetData>
  <mergeCells count="17">
    <mergeCell ref="C121:D121"/>
    <mergeCell ref="C123:D123"/>
    <mergeCell ref="C127:D127"/>
    <mergeCell ref="C135:D135"/>
    <mergeCell ref="C139:D139"/>
    <mergeCell ref="C119:D119"/>
    <mergeCell ref="B4:G4"/>
    <mergeCell ref="B5:G5"/>
    <mergeCell ref="C7:D7"/>
    <mergeCell ref="C57:D57"/>
    <mergeCell ref="C59:D59"/>
    <mergeCell ref="C61:D61"/>
    <mergeCell ref="C73:D73"/>
    <mergeCell ref="C76:D76"/>
    <mergeCell ref="C99:D99"/>
    <mergeCell ref="C107:D107"/>
    <mergeCell ref="C115:D115"/>
  </mergeCells>
  <printOptions horizontalCentered="1" verticalCentered="1"/>
  <pageMargins left="0.19685039370078741" right="0.19685039370078741" top="0.27559055118110237" bottom="0.23622047244094491" header="0.27559055118110237" footer="0.23622047244094491"/>
  <pageSetup paperSize="9" scale="65" orientation="portrait" r:id="rId1"/>
  <headerFooter alignWithMargins="0">
    <oddHeader xml:space="preserve">&amp;R&amp;"-,Félkövér"&amp;12  23. melléklet a .../2026. (…….) önkormányzati rendelethez </oddHeader>
  </headerFooter>
  <rowBreaks count="1" manualBreakCount="1">
    <brk id="74" min="1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783C-2D25-43B8-8EFD-EA99FB835F19}">
  <dimension ref="B1:I88"/>
  <sheetViews>
    <sheetView topLeftCell="A52" zoomScaleNormal="100" zoomScaleSheetLayoutView="75" workbookViewId="0">
      <selection activeCell="F78" sqref="F78:G79"/>
    </sheetView>
  </sheetViews>
  <sheetFormatPr defaultColWidth="10.6640625" defaultRowHeight="14.25"/>
  <cols>
    <col min="1" max="1" width="10.6640625" style="689"/>
    <col min="2" max="2" width="7.6640625" style="688" customWidth="1"/>
    <col min="3" max="3" width="10.6640625" style="689" customWidth="1"/>
    <col min="4" max="4" width="69.83203125" style="689" customWidth="1"/>
    <col min="5" max="5" width="30.33203125" style="689" customWidth="1"/>
    <col min="6" max="7" width="21.5" style="689" customWidth="1"/>
    <col min="8" max="8" width="14.6640625" style="689" bestFit="1" customWidth="1"/>
    <col min="9" max="16384" width="10.6640625" style="689"/>
  </cols>
  <sheetData>
    <row r="1" spans="2:9" ht="20.25">
      <c r="E1" s="1009"/>
      <c r="F1" s="690"/>
      <c r="G1" s="611"/>
      <c r="H1" s="690"/>
    </row>
    <row r="2" spans="2:9" ht="17.25" customHeight="1">
      <c r="B2" s="1996" t="s">
        <v>1154</v>
      </c>
      <c r="C2" s="1996"/>
      <c r="D2" s="1996"/>
      <c r="E2" s="1996"/>
      <c r="F2" s="1996"/>
      <c r="G2" s="1996"/>
    </row>
    <row r="3" spans="2:9" ht="20.25" customHeight="1">
      <c r="B3" s="1997" t="s">
        <v>794</v>
      </c>
      <c r="C3" s="1997"/>
      <c r="D3" s="1997"/>
      <c r="E3" s="1997"/>
      <c r="F3" s="1997"/>
      <c r="G3" s="1997"/>
    </row>
    <row r="4" spans="2:9" ht="15.75" thickBot="1">
      <c r="B4" s="691"/>
      <c r="C4" s="691"/>
      <c r="D4" s="691"/>
      <c r="E4" s="691"/>
      <c r="F4" s="607"/>
      <c r="G4" s="607" t="s">
        <v>12</v>
      </c>
    </row>
    <row r="5" spans="2:9" ht="20.25" customHeight="1">
      <c r="B5" s="615"/>
      <c r="C5" s="1999" t="s">
        <v>25</v>
      </c>
      <c r="D5" s="2000"/>
      <c r="E5" s="681"/>
      <c r="F5" s="617" t="s">
        <v>719</v>
      </c>
      <c r="G5" s="617" t="s">
        <v>1152</v>
      </c>
    </row>
    <row r="6" spans="2:9" ht="19.5" customHeight="1">
      <c r="B6" s="618"/>
      <c r="C6" s="618"/>
      <c r="D6" s="619"/>
      <c r="E6" s="682"/>
      <c r="F6" s="621" t="s">
        <v>720</v>
      </c>
      <c r="G6" s="621" t="s">
        <v>720</v>
      </c>
      <c r="I6" s="613"/>
    </row>
    <row r="7" spans="2:9" ht="16.5" customHeight="1" thickBot="1">
      <c r="B7" s="622"/>
      <c r="C7" s="622"/>
      <c r="D7" s="623"/>
      <c r="E7" s="683"/>
      <c r="F7" s="625" t="s">
        <v>721</v>
      </c>
      <c r="G7" s="625" t="s">
        <v>1153</v>
      </c>
    </row>
    <row r="8" spans="2:9" ht="20.25" customHeight="1">
      <c r="B8" s="638"/>
      <c r="C8" s="639"/>
      <c r="D8" s="640"/>
      <c r="E8" s="682"/>
      <c r="F8" s="641"/>
      <c r="G8" s="641"/>
    </row>
    <row r="9" spans="2:9" ht="15">
      <c r="B9" s="627"/>
      <c r="C9" s="628" t="s">
        <v>795</v>
      </c>
      <c r="D9" s="629"/>
      <c r="E9" s="684" t="s">
        <v>723</v>
      </c>
      <c r="F9" s="631">
        <v>10957110</v>
      </c>
      <c r="G9" s="631">
        <v>10957110</v>
      </c>
    </row>
    <row r="10" spans="2:9" ht="15">
      <c r="B10" s="627"/>
      <c r="C10" s="628"/>
      <c r="D10" s="629"/>
      <c r="E10" s="684" t="s">
        <v>724</v>
      </c>
      <c r="F10" s="631">
        <v>87533141</v>
      </c>
      <c r="G10" s="631">
        <v>87533141</v>
      </c>
    </row>
    <row r="11" spans="2:9" ht="19.5" customHeight="1">
      <c r="B11" s="633" t="s">
        <v>796</v>
      </c>
      <c r="C11" s="634" t="s">
        <v>795</v>
      </c>
      <c r="D11" s="635"/>
      <c r="E11" s="685" t="s">
        <v>726</v>
      </c>
      <c r="F11" s="637">
        <f>SUM(F9:F10)</f>
        <v>98490251</v>
      </c>
      <c r="G11" s="637">
        <f>SUM(G9:G10)</f>
        <v>98490251</v>
      </c>
    </row>
    <row r="12" spans="2:9" ht="15.75" customHeight="1">
      <c r="B12" s="627"/>
      <c r="C12" s="628"/>
      <c r="D12" s="629"/>
      <c r="E12" s="684"/>
      <c r="F12" s="631"/>
      <c r="G12" s="631"/>
    </row>
    <row r="13" spans="2:9" ht="15">
      <c r="B13" s="627"/>
      <c r="C13" s="628" t="s">
        <v>797</v>
      </c>
      <c r="D13" s="629"/>
      <c r="E13" s="684" t="s">
        <v>723</v>
      </c>
      <c r="F13" s="631">
        <v>4030473</v>
      </c>
      <c r="G13" s="631">
        <f>4028422-1</f>
        <v>4028421</v>
      </c>
    </row>
    <row r="14" spans="2:9" ht="15">
      <c r="B14" s="627"/>
      <c r="C14" s="686"/>
      <c r="D14" s="629"/>
      <c r="E14" s="684" t="s">
        <v>724</v>
      </c>
      <c r="F14" s="631">
        <v>1473314</v>
      </c>
      <c r="G14" s="631">
        <f>1774487-1</f>
        <v>1774486</v>
      </c>
    </row>
    <row r="15" spans="2:9" ht="20.25" customHeight="1">
      <c r="B15" s="633" t="s">
        <v>798</v>
      </c>
      <c r="C15" s="634" t="s">
        <v>797</v>
      </c>
      <c r="D15" s="635"/>
      <c r="E15" s="685" t="s">
        <v>726</v>
      </c>
      <c r="F15" s="637">
        <f>SUM(F13:F14)</f>
        <v>5503787</v>
      </c>
      <c r="G15" s="637">
        <f>SUM(G13:G14)</f>
        <v>5802907</v>
      </c>
      <c r="H15" s="692"/>
    </row>
    <row r="16" spans="2:9" ht="15">
      <c r="B16" s="627"/>
      <c r="C16" s="628"/>
      <c r="D16" s="629"/>
      <c r="E16" s="684"/>
      <c r="F16" s="631"/>
      <c r="G16" s="631"/>
    </row>
    <row r="17" spans="2:7" ht="15" customHeight="1">
      <c r="B17" s="627"/>
      <c r="C17" s="628" t="s">
        <v>799</v>
      </c>
      <c r="D17" s="629"/>
      <c r="E17" s="684" t="s">
        <v>723</v>
      </c>
      <c r="F17" s="631">
        <v>132915</v>
      </c>
      <c r="G17" s="631">
        <v>132915</v>
      </c>
    </row>
    <row r="18" spans="2:7" ht="15.75" customHeight="1">
      <c r="B18" s="627"/>
      <c r="C18" s="628"/>
      <c r="D18" s="629"/>
      <c r="E18" s="684" t="s">
        <v>724</v>
      </c>
      <c r="F18" s="631">
        <v>788227</v>
      </c>
      <c r="G18" s="631">
        <v>788227</v>
      </c>
    </row>
    <row r="19" spans="2:7" ht="18.75" customHeight="1">
      <c r="B19" s="633" t="s">
        <v>800</v>
      </c>
      <c r="C19" s="634" t="s">
        <v>799</v>
      </c>
      <c r="D19" s="635"/>
      <c r="E19" s="685" t="s">
        <v>726</v>
      </c>
      <c r="F19" s="637">
        <f>SUM(F17:F18)</f>
        <v>921142</v>
      </c>
      <c r="G19" s="637">
        <f>SUM(G17:G18)</f>
        <v>921142</v>
      </c>
    </row>
    <row r="20" spans="2:7" ht="15">
      <c r="B20" s="627"/>
      <c r="C20" s="628"/>
      <c r="D20" s="629"/>
      <c r="E20" s="684"/>
      <c r="F20" s="631"/>
      <c r="G20" s="631"/>
    </row>
    <row r="21" spans="2:7" ht="15">
      <c r="B21" s="627"/>
      <c r="C21" s="628" t="s">
        <v>801</v>
      </c>
      <c r="D21" s="629"/>
      <c r="E21" s="684" t="s">
        <v>723</v>
      </c>
      <c r="F21" s="631">
        <v>-3413179</v>
      </c>
      <c r="G21" s="631">
        <v>-3403129</v>
      </c>
    </row>
    <row r="22" spans="2:7" ht="15">
      <c r="B22" s="627"/>
      <c r="C22" s="628"/>
      <c r="D22" s="629"/>
      <c r="E22" s="684" t="s">
        <v>724</v>
      </c>
      <c r="F22" s="631">
        <v>-12888391</v>
      </c>
      <c r="G22" s="631">
        <v>-13301924</v>
      </c>
    </row>
    <row r="23" spans="2:7" ht="18.75" customHeight="1">
      <c r="B23" s="633" t="s">
        <v>802</v>
      </c>
      <c r="C23" s="634" t="s">
        <v>801</v>
      </c>
      <c r="D23" s="635"/>
      <c r="E23" s="685" t="s">
        <v>726</v>
      </c>
      <c r="F23" s="637">
        <f>SUM(F21:F22)</f>
        <v>-16301570</v>
      </c>
      <c r="G23" s="637">
        <f>SUM(G21:G22)</f>
        <v>-16705053</v>
      </c>
    </row>
    <row r="24" spans="2:7" ht="15">
      <c r="B24" s="627"/>
      <c r="C24" s="628"/>
      <c r="D24" s="629"/>
      <c r="E24" s="684"/>
      <c r="F24" s="631"/>
      <c r="G24" s="631"/>
    </row>
    <row r="25" spans="2:7" ht="15" customHeight="1">
      <c r="B25" s="627"/>
      <c r="C25" s="628" t="s">
        <v>803</v>
      </c>
      <c r="D25" s="629"/>
      <c r="E25" s="684" t="s">
        <v>723</v>
      </c>
      <c r="F25" s="631">
        <v>0</v>
      </c>
      <c r="G25" s="631">
        <v>0</v>
      </c>
    </row>
    <row r="26" spans="2:7" ht="15">
      <c r="B26" s="627"/>
      <c r="C26" s="628"/>
      <c r="D26" s="629"/>
      <c r="E26" s="684" t="s">
        <v>724</v>
      </c>
      <c r="F26" s="631">
        <v>0</v>
      </c>
      <c r="G26" s="631">
        <v>0</v>
      </c>
    </row>
    <row r="27" spans="2:7" ht="19.5" customHeight="1">
      <c r="B27" s="633" t="s">
        <v>804</v>
      </c>
      <c r="C27" s="634" t="s">
        <v>803</v>
      </c>
      <c r="D27" s="635"/>
      <c r="E27" s="685" t="s">
        <v>726</v>
      </c>
      <c r="F27" s="637">
        <f>SUM(F25:F26)</f>
        <v>0</v>
      </c>
      <c r="G27" s="637">
        <f>SUM(G25:G26)</f>
        <v>0</v>
      </c>
    </row>
    <row r="28" spans="2:7" ht="15">
      <c r="B28" s="627"/>
      <c r="C28" s="628"/>
      <c r="D28" s="629"/>
      <c r="E28" s="684"/>
      <c r="F28" s="631"/>
      <c r="G28" s="631"/>
    </row>
    <row r="29" spans="2:7" ht="15">
      <c r="B29" s="627"/>
      <c r="C29" s="628" t="s">
        <v>805</v>
      </c>
      <c r="D29" s="629"/>
      <c r="E29" s="684" t="s">
        <v>723</v>
      </c>
      <c r="F29" s="631">
        <v>10050</v>
      </c>
      <c r="G29" s="631">
        <v>-231354</v>
      </c>
    </row>
    <row r="30" spans="2:7" ht="15">
      <c r="B30" s="627"/>
      <c r="C30" s="628"/>
      <c r="D30" s="629"/>
      <c r="E30" s="684" t="s">
        <v>724</v>
      </c>
      <c r="F30" s="631">
        <v>-413532</v>
      </c>
      <c r="G30" s="631">
        <v>-1287417</v>
      </c>
    </row>
    <row r="31" spans="2:7" ht="20.25" customHeight="1">
      <c r="B31" s="633" t="s">
        <v>806</v>
      </c>
      <c r="C31" s="634" t="s">
        <v>805</v>
      </c>
      <c r="D31" s="635"/>
      <c r="E31" s="685" t="s">
        <v>726</v>
      </c>
      <c r="F31" s="637">
        <f>SUM(F29:F30)</f>
        <v>-403482</v>
      </c>
      <c r="G31" s="637">
        <f>SUM(G29:G30)</f>
        <v>-1518771</v>
      </c>
    </row>
    <row r="32" spans="2:7" ht="15" customHeight="1">
      <c r="B32" s="638"/>
      <c r="C32" s="639"/>
      <c r="D32" s="640"/>
      <c r="E32" s="682"/>
      <c r="F32" s="641"/>
      <c r="G32" s="641"/>
    </row>
    <row r="33" spans="2:7" ht="15">
      <c r="B33" s="627"/>
      <c r="C33" s="628" t="s">
        <v>807</v>
      </c>
      <c r="D33" s="629"/>
      <c r="E33" s="684" t="s">
        <v>723</v>
      </c>
      <c r="F33" s="631">
        <f>+F9+F13+F17+F21+F25+F29</f>
        <v>11717369</v>
      </c>
      <c r="G33" s="631">
        <f>+G9+G13+G17+G21+G25+G29</f>
        <v>11483963</v>
      </c>
    </row>
    <row r="34" spans="2:7" ht="15.75" thickBot="1">
      <c r="B34" s="627"/>
      <c r="C34" s="628"/>
      <c r="D34" s="629"/>
      <c r="E34" s="684" t="s">
        <v>724</v>
      </c>
      <c r="F34" s="631">
        <f>+F10+F14+F18+F22+F26+F30</f>
        <v>76492759</v>
      </c>
      <c r="G34" s="631">
        <f>+G10+G14+G18+G22+G26+G30</f>
        <v>75506513</v>
      </c>
    </row>
    <row r="35" spans="2:7" ht="24" customHeight="1" thickBot="1">
      <c r="B35" s="673" t="s">
        <v>808</v>
      </c>
      <c r="C35" s="1994" t="s">
        <v>809</v>
      </c>
      <c r="D35" s="1995"/>
      <c r="E35" s="687" t="s">
        <v>726</v>
      </c>
      <c r="F35" s="675">
        <f>SUM(F33:F34)</f>
        <v>88210128</v>
      </c>
      <c r="G35" s="675">
        <f>SUM(G33:G34)</f>
        <v>86990476</v>
      </c>
    </row>
    <row r="36" spans="2:7" ht="15">
      <c r="B36" s="638"/>
      <c r="C36" s="639"/>
      <c r="D36" s="640"/>
      <c r="E36" s="682"/>
      <c r="F36" s="641"/>
      <c r="G36" s="641"/>
    </row>
    <row r="37" spans="2:7" ht="12" customHeight="1">
      <c r="B37" s="627"/>
      <c r="C37" s="628" t="s">
        <v>810</v>
      </c>
      <c r="D37" s="629"/>
      <c r="E37" s="684" t="s">
        <v>723</v>
      </c>
      <c r="F37" s="631">
        <v>25723</v>
      </c>
      <c r="G37" s="631">
        <v>28727</v>
      </c>
    </row>
    <row r="38" spans="2:7" ht="12" customHeight="1">
      <c r="B38" s="627"/>
      <c r="C38" s="628"/>
      <c r="D38" s="629"/>
      <c r="E38" s="684" t="s">
        <v>724</v>
      </c>
      <c r="F38" s="631">
        <v>261323</v>
      </c>
      <c r="G38" s="631">
        <v>208673</v>
      </c>
    </row>
    <row r="39" spans="2:7" ht="21" customHeight="1">
      <c r="B39" s="633" t="s">
        <v>811</v>
      </c>
      <c r="C39" s="634" t="s">
        <v>810</v>
      </c>
      <c r="D39" s="635"/>
      <c r="E39" s="685" t="s">
        <v>726</v>
      </c>
      <c r="F39" s="637">
        <f>SUM(F37:F38)</f>
        <v>287046</v>
      </c>
      <c r="G39" s="637">
        <f>SUM(G37:G38)</f>
        <v>237400</v>
      </c>
    </row>
    <row r="40" spans="2:7" ht="12.75" customHeight="1">
      <c r="B40" s="627"/>
      <c r="C40" s="628"/>
      <c r="D40" s="629"/>
      <c r="E40" s="684"/>
      <c r="F40" s="631"/>
      <c r="G40" s="631"/>
    </row>
    <row r="41" spans="2:7" ht="15">
      <c r="B41" s="627"/>
      <c r="C41" s="628" t="s">
        <v>812</v>
      </c>
      <c r="D41" s="629"/>
      <c r="E41" s="684" t="s">
        <v>723</v>
      </c>
      <c r="F41" s="631">
        <v>24642</v>
      </c>
      <c r="G41" s="631">
        <v>17448</v>
      </c>
    </row>
    <row r="42" spans="2:7" ht="15">
      <c r="B42" s="627"/>
      <c r="C42" s="686"/>
      <c r="D42" s="629"/>
      <c r="E42" s="684" t="s">
        <v>724</v>
      </c>
      <c r="F42" s="631">
        <v>1116507</v>
      </c>
      <c r="G42" s="631">
        <v>1032591</v>
      </c>
    </row>
    <row r="43" spans="2:7" ht="16.5" customHeight="1">
      <c r="B43" s="633" t="s">
        <v>813</v>
      </c>
      <c r="C43" s="634" t="s">
        <v>812</v>
      </c>
      <c r="D43" s="635"/>
      <c r="E43" s="685" t="s">
        <v>726</v>
      </c>
      <c r="F43" s="637">
        <f>SUM(F41:F42)</f>
        <v>1141149</v>
      </c>
      <c r="G43" s="637">
        <f>SUM(G41:G42)</f>
        <v>1050039</v>
      </c>
    </row>
    <row r="44" spans="2:7" ht="15">
      <c r="B44" s="627"/>
      <c r="C44" s="628"/>
      <c r="D44" s="629"/>
      <c r="E44" s="684"/>
      <c r="F44" s="631"/>
      <c r="G44" s="631"/>
    </row>
    <row r="45" spans="2:7" ht="15" customHeight="1">
      <c r="B45" s="627"/>
      <c r="C45" s="628" t="s">
        <v>814</v>
      </c>
      <c r="D45" s="629"/>
      <c r="E45" s="684" t="s">
        <v>723</v>
      </c>
      <c r="F45" s="631">
        <v>20791</v>
      </c>
      <c r="G45" s="631">
        <v>27509</v>
      </c>
    </row>
    <row r="46" spans="2:7" ht="12.75" customHeight="1">
      <c r="B46" s="627"/>
      <c r="C46" s="628"/>
      <c r="D46" s="629"/>
      <c r="E46" s="684" t="s">
        <v>724</v>
      </c>
      <c r="F46" s="631">
        <v>721490</v>
      </c>
      <c r="G46" s="631">
        <v>803205</v>
      </c>
    </row>
    <row r="47" spans="2:7" ht="17.25" customHeight="1">
      <c r="B47" s="633" t="s">
        <v>815</v>
      </c>
      <c r="C47" s="634" t="s">
        <v>814</v>
      </c>
      <c r="D47" s="635"/>
      <c r="E47" s="685" t="s">
        <v>726</v>
      </c>
      <c r="F47" s="637">
        <f>SUM(F45:F46)</f>
        <v>742281</v>
      </c>
      <c r="G47" s="637">
        <f>SUM(G45:G46)</f>
        <v>830714</v>
      </c>
    </row>
    <row r="48" spans="2:7" ht="15">
      <c r="B48" s="638"/>
      <c r="C48" s="639"/>
      <c r="D48" s="640"/>
      <c r="E48" s="682"/>
      <c r="F48" s="641"/>
      <c r="G48" s="641"/>
    </row>
    <row r="49" spans="2:7" ht="15">
      <c r="B49" s="627"/>
      <c r="C49" s="628" t="s">
        <v>816</v>
      </c>
      <c r="D49" s="629"/>
      <c r="E49" s="684" t="s">
        <v>723</v>
      </c>
      <c r="F49" s="631">
        <f>+F37+F41+F45</f>
        <v>71156</v>
      </c>
      <c r="G49" s="631">
        <f>+G37+G41+G45</f>
        <v>73684</v>
      </c>
    </row>
    <row r="50" spans="2:7" ht="15.75" thickBot="1">
      <c r="B50" s="627"/>
      <c r="C50" s="628"/>
      <c r="D50" s="629"/>
      <c r="E50" s="684" t="s">
        <v>724</v>
      </c>
      <c r="F50" s="631">
        <f>+F38+F42+F46</f>
        <v>2099320</v>
      </c>
      <c r="G50" s="631">
        <f>+G38+G42+G46</f>
        <v>2044469</v>
      </c>
    </row>
    <row r="51" spans="2:7" ht="21.75" customHeight="1" thickBot="1">
      <c r="B51" s="673" t="s">
        <v>817</v>
      </c>
      <c r="C51" s="1994" t="s">
        <v>816</v>
      </c>
      <c r="D51" s="1995"/>
      <c r="E51" s="687" t="s">
        <v>726</v>
      </c>
      <c r="F51" s="675">
        <f>SUM(F49:F50)</f>
        <v>2170476</v>
      </c>
      <c r="G51" s="675">
        <f>SUM(G49:G50)</f>
        <v>2118153</v>
      </c>
    </row>
    <row r="52" spans="2:7" ht="12.75" customHeight="1">
      <c r="B52" s="666"/>
      <c r="C52" s="667"/>
      <c r="D52" s="660"/>
      <c r="E52" s="679"/>
      <c r="F52" s="669"/>
      <c r="G52" s="669"/>
    </row>
    <row r="53" spans="2:7" ht="12.75" customHeight="1">
      <c r="B53" s="666"/>
      <c r="C53" s="667"/>
      <c r="D53" s="660"/>
      <c r="E53" s="679"/>
      <c r="F53" s="669"/>
      <c r="G53" s="669"/>
    </row>
    <row r="54" spans="2:7" ht="12" customHeight="1">
      <c r="B54" s="627"/>
      <c r="C54" s="628" t="s">
        <v>818</v>
      </c>
      <c r="D54" s="629"/>
      <c r="E54" s="684" t="s">
        <v>723</v>
      </c>
      <c r="F54" s="631">
        <v>0</v>
      </c>
      <c r="G54" s="631">
        <v>0</v>
      </c>
    </row>
    <row r="55" spans="2:7" ht="12" customHeight="1" thickBot="1">
      <c r="B55" s="627"/>
      <c r="C55" s="628"/>
      <c r="D55" s="629"/>
      <c r="E55" s="684" t="s">
        <v>724</v>
      </c>
      <c r="F55" s="631">
        <v>0</v>
      </c>
      <c r="G55" s="631">
        <v>0</v>
      </c>
    </row>
    <row r="56" spans="2:7" ht="35.25" customHeight="1" thickBot="1">
      <c r="B56" s="673" t="s">
        <v>819</v>
      </c>
      <c r="C56" s="1994" t="s">
        <v>818</v>
      </c>
      <c r="D56" s="1995"/>
      <c r="E56" s="687" t="s">
        <v>726</v>
      </c>
      <c r="F56" s="675">
        <f>SUM(F54:F55)</f>
        <v>0</v>
      </c>
      <c r="G56" s="675">
        <f>SUM(G54:G55)</f>
        <v>0</v>
      </c>
    </row>
    <row r="57" spans="2:7" ht="12" customHeight="1">
      <c r="B57" s="638"/>
      <c r="C57" s="639"/>
      <c r="D57" s="640"/>
      <c r="E57" s="682"/>
      <c r="F57" s="641"/>
      <c r="G57" s="641"/>
    </row>
    <row r="58" spans="2:7" ht="15" customHeight="1">
      <c r="B58" s="627"/>
      <c r="C58" s="628" t="s">
        <v>820</v>
      </c>
      <c r="D58" s="629"/>
      <c r="E58" s="684" t="s">
        <v>723</v>
      </c>
      <c r="F58" s="631">
        <v>36955</v>
      </c>
      <c r="G58" s="631">
        <v>53342</v>
      </c>
    </row>
    <row r="59" spans="2:7" ht="12.75" customHeight="1">
      <c r="B59" s="627"/>
      <c r="C59" s="628"/>
      <c r="D59" s="629"/>
      <c r="E59" s="684" t="s">
        <v>724</v>
      </c>
      <c r="F59" s="631">
        <v>5500485</v>
      </c>
      <c r="G59" s="631">
        <v>6078628</v>
      </c>
    </row>
    <row r="60" spans="2:7" ht="30.75" customHeight="1">
      <c r="B60" s="633" t="s">
        <v>821</v>
      </c>
      <c r="C60" s="2006" t="s">
        <v>822</v>
      </c>
      <c r="D60" s="2007"/>
      <c r="E60" s="685" t="s">
        <v>726</v>
      </c>
      <c r="F60" s="637">
        <f>SUM(F58:F59)</f>
        <v>5537440</v>
      </c>
      <c r="G60" s="637">
        <f>SUM(G58:G59)</f>
        <v>6131970</v>
      </c>
    </row>
    <row r="61" spans="2:7" ht="15">
      <c r="B61" s="627"/>
      <c r="C61" s="628"/>
      <c r="D61" s="629"/>
      <c r="E61" s="684"/>
      <c r="F61" s="631"/>
      <c r="G61" s="631"/>
    </row>
    <row r="62" spans="2:7" ht="15">
      <c r="B62" s="627"/>
      <c r="C62" s="628" t="s">
        <v>823</v>
      </c>
      <c r="D62" s="629"/>
      <c r="E62" s="684" t="s">
        <v>723</v>
      </c>
      <c r="F62" s="631">
        <v>1199584</v>
      </c>
      <c r="G62" s="631">
        <v>1290893</v>
      </c>
    </row>
    <row r="63" spans="2:7" ht="15">
      <c r="B63" s="627"/>
      <c r="C63" s="686"/>
      <c r="D63" s="629"/>
      <c r="E63" s="684" t="s">
        <v>724</v>
      </c>
      <c r="F63" s="631">
        <v>309193</v>
      </c>
      <c r="G63" s="631">
        <v>275648</v>
      </c>
    </row>
    <row r="64" spans="2:7" ht="19.5" customHeight="1">
      <c r="B64" s="633" t="s">
        <v>824</v>
      </c>
      <c r="C64" s="634" t="s">
        <v>823</v>
      </c>
      <c r="D64" s="635"/>
      <c r="E64" s="685" t="s">
        <v>726</v>
      </c>
      <c r="F64" s="637">
        <f>SUM(F62:F63)</f>
        <v>1508777</v>
      </c>
      <c r="G64" s="637">
        <f>SUM(G62:G63)</f>
        <v>1566541</v>
      </c>
    </row>
    <row r="65" spans="2:7" ht="12.75" customHeight="1">
      <c r="B65" s="627"/>
      <c r="C65" s="628"/>
      <c r="D65" s="629"/>
      <c r="E65" s="684"/>
      <c r="F65" s="631"/>
      <c r="G65" s="631"/>
    </row>
    <row r="66" spans="2:7" ht="15">
      <c r="B66" s="627"/>
      <c r="C66" s="628" t="s">
        <v>825</v>
      </c>
      <c r="D66" s="629"/>
      <c r="E66" s="684" t="s">
        <v>723</v>
      </c>
      <c r="F66" s="631">
        <v>3466</v>
      </c>
      <c r="G66" s="631">
        <v>3389</v>
      </c>
    </row>
    <row r="67" spans="2:7" ht="15">
      <c r="B67" s="627"/>
      <c r="C67" s="628"/>
      <c r="D67" s="629"/>
      <c r="E67" s="684" t="s">
        <v>724</v>
      </c>
      <c r="F67" s="631">
        <v>13126473</v>
      </c>
      <c r="G67" s="631">
        <f>13264672+1</f>
        <v>13264673</v>
      </c>
    </row>
    <row r="68" spans="2:7" ht="16.5" customHeight="1">
      <c r="B68" s="633" t="s">
        <v>826</v>
      </c>
      <c r="C68" s="634" t="s">
        <v>825</v>
      </c>
      <c r="D68" s="635"/>
      <c r="E68" s="685" t="s">
        <v>726</v>
      </c>
      <c r="F68" s="637">
        <f>SUM(F66:F67)</f>
        <v>13129939</v>
      </c>
      <c r="G68" s="637">
        <f>SUM(G66:G67)</f>
        <v>13268062</v>
      </c>
    </row>
    <row r="69" spans="2:7" ht="15">
      <c r="B69" s="627"/>
      <c r="C69" s="628"/>
      <c r="D69" s="629"/>
      <c r="E69" s="684"/>
      <c r="F69" s="631"/>
      <c r="G69" s="631"/>
    </row>
    <row r="70" spans="2:7" ht="15" customHeight="1">
      <c r="B70" s="627"/>
      <c r="C70" s="628" t="s">
        <v>827</v>
      </c>
      <c r="D70" s="629"/>
      <c r="E70" s="684" t="s">
        <v>723</v>
      </c>
      <c r="F70" s="631">
        <f>+F58+F62+F66</f>
        <v>1240005</v>
      </c>
      <c r="G70" s="631">
        <f>+G58+G62+G66</f>
        <v>1347624</v>
      </c>
    </row>
    <row r="71" spans="2:7" ht="15.75" thickBot="1">
      <c r="B71" s="627"/>
      <c r="C71" s="628"/>
      <c r="D71" s="629"/>
      <c r="E71" s="684" t="s">
        <v>724</v>
      </c>
      <c r="F71" s="631">
        <f>+F59+F63+F67</f>
        <v>18936151</v>
      </c>
      <c r="G71" s="631">
        <f>+G59+G63+G67</f>
        <v>19618949</v>
      </c>
    </row>
    <row r="72" spans="2:7" ht="24.75" customHeight="1" thickBot="1">
      <c r="B72" s="673" t="s">
        <v>828</v>
      </c>
      <c r="C72" s="1994" t="s">
        <v>827</v>
      </c>
      <c r="D72" s="1995"/>
      <c r="E72" s="687" t="s">
        <v>726</v>
      </c>
      <c r="F72" s="675">
        <f>SUM(F70:F71)</f>
        <v>20176156</v>
      </c>
      <c r="G72" s="675">
        <f>SUM(G70:G71)</f>
        <v>20966573</v>
      </c>
    </row>
    <row r="73" spans="2:7" ht="15">
      <c r="B73" s="627"/>
      <c r="C73" s="628"/>
      <c r="D73" s="629"/>
      <c r="E73" s="684"/>
      <c r="F73" s="631"/>
      <c r="G73" s="631"/>
    </row>
    <row r="74" spans="2:7" ht="15">
      <c r="B74" s="627"/>
      <c r="C74" s="639" t="s">
        <v>794</v>
      </c>
      <c r="D74" s="629"/>
      <c r="E74" s="684" t="s">
        <v>723</v>
      </c>
      <c r="F74" s="631">
        <f>+F33+F49+F54+F70</f>
        <v>13028530</v>
      </c>
      <c r="G74" s="631">
        <f>+G33+G49+G54+G70</f>
        <v>12905271</v>
      </c>
    </row>
    <row r="75" spans="2:7" ht="15.75" thickBot="1">
      <c r="B75" s="627"/>
      <c r="C75" s="628"/>
      <c r="D75" s="629"/>
      <c r="E75" s="684" t="s">
        <v>724</v>
      </c>
      <c r="F75" s="631">
        <f>+F34+F50+F55+F71</f>
        <v>97528230</v>
      </c>
      <c r="G75" s="631">
        <f>+G34+G50+G55+G71</f>
        <v>97169931</v>
      </c>
    </row>
    <row r="76" spans="2:7" ht="24.75" customHeight="1" thickBot="1">
      <c r="B76" s="673"/>
      <c r="C76" s="1994" t="s">
        <v>829</v>
      </c>
      <c r="D76" s="1995"/>
      <c r="E76" s="687" t="s">
        <v>726</v>
      </c>
      <c r="F76" s="675">
        <f>SUM(F74:F75)</f>
        <v>110556760</v>
      </c>
      <c r="G76" s="675">
        <f>SUM(G74:G75)</f>
        <v>110075202</v>
      </c>
    </row>
    <row r="77" spans="2:7" ht="12.75" customHeight="1"/>
    <row r="78" spans="2:7">
      <c r="F78" s="692"/>
      <c r="G78" s="692"/>
    </row>
    <row r="79" spans="2:7">
      <c r="F79" s="692"/>
      <c r="G79" s="692"/>
    </row>
    <row r="82" spans="8:8" ht="15" customHeight="1"/>
    <row r="83" spans="8:8" ht="12" customHeight="1"/>
    <row r="84" spans="8:8">
      <c r="H84" s="692"/>
    </row>
    <row r="85" spans="8:8">
      <c r="H85" s="692"/>
    </row>
    <row r="86" spans="8:8">
      <c r="H86" s="692"/>
    </row>
    <row r="88" spans="8:8" ht="21" customHeight="1"/>
  </sheetData>
  <mergeCells count="9">
    <mergeCell ref="C60:D60"/>
    <mergeCell ref="C72:D72"/>
    <mergeCell ref="C76:D76"/>
    <mergeCell ref="B2:G2"/>
    <mergeCell ref="B3:G3"/>
    <mergeCell ref="C5:D5"/>
    <mergeCell ref="C35:D35"/>
    <mergeCell ref="C51:D51"/>
    <mergeCell ref="C56:D56"/>
  </mergeCells>
  <printOptions horizontalCentered="1" verticalCentered="1"/>
  <pageMargins left="0.19685039370078741" right="0.19685039370078741" top="0.39370078740157483" bottom="0.35433070866141736" header="0.15748031496062992" footer="0.31496062992125984"/>
  <pageSetup paperSize="9" scale="65" orientation="portrait" r:id="rId1"/>
  <headerFooter alignWithMargins="0">
    <oddHeader>&amp;R&amp;"-,Félkövér"&amp;12  24. melléklet a …/2026. (…….)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FC7F-2929-4D90-B229-365303C309C8}">
  <dimension ref="B3:I358"/>
  <sheetViews>
    <sheetView zoomScale="75" zoomScaleNormal="75" workbookViewId="0">
      <selection activeCell="B1" sqref="B1:K1"/>
    </sheetView>
  </sheetViews>
  <sheetFormatPr defaultColWidth="12" defaultRowHeight="15"/>
  <cols>
    <col min="1" max="1" width="5.33203125" style="693" customWidth="1"/>
    <col min="2" max="2" width="44" style="693" customWidth="1"/>
    <col min="3" max="3" width="13.1640625" style="718" customWidth="1"/>
    <col min="4" max="4" width="75.83203125" style="693" customWidth="1"/>
    <col min="5" max="5" width="27" style="718" customWidth="1"/>
    <col min="6" max="6" width="27" style="693" customWidth="1"/>
    <col min="7" max="8" width="12" style="693"/>
    <col min="9" max="9" width="12" style="693" customWidth="1"/>
    <col min="10" max="16384" width="12" style="693"/>
  </cols>
  <sheetData>
    <row r="3" spans="2:6" ht="18.75" customHeight="1">
      <c r="B3" s="2010" t="s">
        <v>686</v>
      </c>
      <c r="C3" s="2010"/>
      <c r="D3" s="2010"/>
      <c r="E3" s="2010"/>
      <c r="F3" s="2010"/>
    </row>
    <row r="4" spans="2:6" ht="24" customHeight="1">
      <c r="B4" s="2011" t="s">
        <v>1231</v>
      </c>
      <c r="C4" s="2011"/>
      <c r="D4" s="2011"/>
      <c r="E4" s="2011"/>
      <c r="F4" s="2011"/>
    </row>
    <row r="5" spans="2:6" s="694" customFormat="1" ht="24" customHeight="1">
      <c r="B5" s="2012" t="s">
        <v>830</v>
      </c>
      <c r="C5" s="2012"/>
      <c r="D5" s="2012"/>
      <c r="E5" s="2012"/>
      <c r="F5" s="2012"/>
    </row>
    <row r="6" spans="2:6" ht="18.75">
      <c r="B6" s="2012" t="s">
        <v>831</v>
      </c>
      <c r="C6" s="2012"/>
      <c r="D6" s="2012"/>
      <c r="E6" s="2012"/>
      <c r="F6" s="2012"/>
    </row>
    <row r="7" spans="2:6" ht="18.75">
      <c r="B7" s="2012" t="s">
        <v>832</v>
      </c>
      <c r="C7" s="2012"/>
      <c r="D7" s="2012"/>
      <c r="E7" s="2012"/>
      <c r="F7" s="2012"/>
    </row>
    <row r="8" spans="2:6" ht="19.5" thickBot="1">
      <c r="B8" s="2009" t="s">
        <v>833</v>
      </c>
      <c r="C8" s="2009"/>
      <c r="D8" s="2009"/>
      <c r="E8" s="2009"/>
      <c r="F8" s="2009"/>
    </row>
    <row r="9" spans="2:6" ht="42" customHeight="1" thickBot="1">
      <c r="B9" s="695" t="s">
        <v>834</v>
      </c>
      <c r="C9" s="696" t="s">
        <v>835</v>
      </c>
      <c r="D9" s="697" t="s">
        <v>836</v>
      </c>
      <c r="E9" s="698" t="s">
        <v>837</v>
      </c>
      <c r="F9" s="699" t="s">
        <v>838</v>
      </c>
    </row>
    <row r="10" spans="2:6" ht="24.75" customHeight="1">
      <c r="B10" s="700" t="s">
        <v>839</v>
      </c>
      <c r="C10" s="701"/>
      <c r="D10" s="702"/>
      <c r="E10" s="703"/>
      <c r="F10" s="704"/>
    </row>
    <row r="11" spans="2:6" ht="17.25">
      <c r="B11" s="705" t="s">
        <v>840</v>
      </c>
      <c r="C11" s="706">
        <v>50846</v>
      </c>
      <c r="D11" s="707" t="s">
        <v>841</v>
      </c>
      <c r="E11" s="708">
        <v>28873</v>
      </c>
      <c r="F11" s="704"/>
    </row>
    <row r="12" spans="2:6" ht="17.25">
      <c r="B12" s="705"/>
      <c r="C12" s="706"/>
      <c r="D12" s="707" t="s">
        <v>842</v>
      </c>
      <c r="E12" s="708">
        <v>14078</v>
      </c>
      <c r="F12" s="704"/>
    </row>
    <row r="13" spans="2:6" ht="17.25">
      <c r="B13" s="705"/>
      <c r="C13" s="706"/>
      <c r="D13" s="707" t="s">
        <v>843</v>
      </c>
      <c r="E13" s="708">
        <v>4524</v>
      </c>
      <c r="F13" s="704"/>
    </row>
    <row r="14" spans="2:6" ht="17.25">
      <c r="B14" s="705"/>
      <c r="C14" s="709"/>
      <c r="D14" s="707" t="s">
        <v>844</v>
      </c>
      <c r="E14" s="708">
        <v>1135</v>
      </c>
      <c r="F14" s="704"/>
    </row>
    <row r="15" spans="2:6" ht="17.25">
      <c r="B15" s="705"/>
      <c r="C15" s="709"/>
      <c r="D15" s="707" t="s">
        <v>845</v>
      </c>
      <c r="E15" s="708">
        <v>1500</v>
      </c>
      <c r="F15" s="704"/>
    </row>
    <row r="16" spans="2:6" ht="17.25">
      <c r="B16" s="705"/>
      <c r="C16" s="706"/>
      <c r="D16" s="707" t="s">
        <v>846</v>
      </c>
      <c r="E16" s="708">
        <v>736</v>
      </c>
      <c r="F16" s="704"/>
    </row>
    <row r="17" spans="2:9" s="694" customFormat="1" ht="23.25" customHeight="1" thickBot="1">
      <c r="B17" s="710"/>
      <c r="C17" s="711">
        <f>SUM(C11:C16)</f>
        <v>50846</v>
      </c>
      <c r="D17" s="712"/>
      <c r="E17" s="713">
        <f>SUM(E11:E16)</f>
        <v>50846</v>
      </c>
      <c r="F17" s="714">
        <f>C17-E17</f>
        <v>0</v>
      </c>
    </row>
    <row r="18" spans="2:9" s="694" customFormat="1" ht="19.5" customHeight="1">
      <c r="B18" s="700" t="s">
        <v>847</v>
      </c>
      <c r="C18" s="709"/>
      <c r="D18" s="702"/>
      <c r="E18" s="703"/>
      <c r="F18" s="715"/>
      <c r="I18" s="693"/>
    </row>
    <row r="19" spans="2:9" ht="17.25">
      <c r="B19" s="705" t="s">
        <v>848</v>
      </c>
      <c r="C19" s="706">
        <v>488825</v>
      </c>
      <c r="D19" s="707" t="s">
        <v>849</v>
      </c>
      <c r="E19" s="708">
        <v>32035</v>
      </c>
      <c r="F19" s="704"/>
    </row>
    <row r="20" spans="2:9" ht="17.25">
      <c r="B20" s="705" t="s">
        <v>48</v>
      </c>
      <c r="C20" s="709"/>
      <c r="D20" s="707" t="s">
        <v>850</v>
      </c>
      <c r="E20" s="708">
        <v>4070</v>
      </c>
      <c r="F20" s="704"/>
      <c r="I20" s="693" t="s">
        <v>48</v>
      </c>
    </row>
    <row r="21" spans="2:9" ht="17.25">
      <c r="B21" s="705" t="s">
        <v>48</v>
      </c>
      <c r="C21" s="709" t="s">
        <v>48</v>
      </c>
      <c r="D21" s="707" t="s">
        <v>851</v>
      </c>
      <c r="E21" s="708">
        <v>47933</v>
      </c>
      <c r="F21" s="704"/>
    </row>
    <row r="22" spans="2:9" ht="17.25">
      <c r="B22" s="705"/>
      <c r="C22" s="706"/>
      <c r="D22" s="707" t="s">
        <v>852</v>
      </c>
      <c r="E22" s="708">
        <v>1982</v>
      </c>
      <c r="F22" s="704"/>
    </row>
    <row r="23" spans="2:9" ht="17.25">
      <c r="B23" s="705"/>
      <c r="C23" s="706"/>
      <c r="D23" s="707" t="s">
        <v>853</v>
      </c>
      <c r="E23" s="708">
        <v>6481</v>
      </c>
      <c r="F23" s="704"/>
    </row>
    <row r="24" spans="2:9" ht="17.25">
      <c r="B24" s="705"/>
      <c r="C24" s="709"/>
      <c r="D24" s="707" t="s">
        <v>854</v>
      </c>
      <c r="E24" s="708">
        <v>6222</v>
      </c>
      <c r="F24" s="704"/>
    </row>
    <row r="25" spans="2:9" ht="17.25">
      <c r="B25" s="705"/>
      <c r="C25" s="706"/>
      <c r="D25" s="707" t="s">
        <v>855</v>
      </c>
      <c r="E25" s="708">
        <v>9089</v>
      </c>
      <c r="F25" s="704"/>
    </row>
    <row r="26" spans="2:9" ht="17.25">
      <c r="B26" s="705"/>
      <c r="C26" s="709"/>
      <c r="D26" s="707" t="s">
        <v>856</v>
      </c>
      <c r="E26" s="708">
        <v>538</v>
      </c>
      <c r="F26" s="704"/>
    </row>
    <row r="27" spans="2:9" ht="17.25">
      <c r="B27" s="705"/>
      <c r="C27" s="709"/>
      <c r="D27" s="707" t="s">
        <v>857</v>
      </c>
      <c r="E27" s="708">
        <v>729</v>
      </c>
      <c r="F27" s="704"/>
    </row>
    <row r="28" spans="2:9" ht="17.25">
      <c r="B28" s="705"/>
      <c r="C28" s="709"/>
      <c r="D28" s="707" t="s">
        <v>858</v>
      </c>
      <c r="E28" s="708">
        <f>450+21863</f>
        <v>22313</v>
      </c>
      <c r="F28" s="704"/>
    </row>
    <row r="29" spans="2:9" ht="17.25">
      <c r="B29" s="705"/>
      <c r="C29" s="709"/>
      <c r="D29" s="707" t="s">
        <v>859</v>
      </c>
      <c r="E29" s="708">
        <v>22728</v>
      </c>
      <c r="F29" s="704"/>
    </row>
    <row r="30" spans="2:9" ht="17.25">
      <c r="B30" s="705"/>
      <c r="C30" s="709"/>
      <c r="D30" s="707" t="s">
        <v>860</v>
      </c>
      <c r="E30" s="708">
        <v>17603</v>
      </c>
      <c r="F30" s="704"/>
    </row>
    <row r="31" spans="2:9" ht="17.25">
      <c r="B31" s="705"/>
      <c r="C31" s="706"/>
      <c r="D31" s="707" t="s">
        <v>861</v>
      </c>
      <c r="E31" s="708">
        <v>1126</v>
      </c>
      <c r="F31" s="704"/>
    </row>
    <row r="32" spans="2:9" ht="17.25">
      <c r="B32" s="705"/>
      <c r="C32" s="706"/>
      <c r="D32" s="707" t="s">
        <v>862</v>
      </c>
      <c r="E32" s="708">
        <v>10907</v>
      </c>
      <c r="F32" s="704"/>
    </row>
    <row r="33" spans="2:7" ht="17.25">
      <c r="B33" s="705"/>
      <c r="C33" s="709"/>
      <c r="D33" s="707" t="s">
        <v>863</v>
      </c>
      <c r="E33" s="708">
        <v>30809</v>
      </c>
      <c r="F33" s="704"/>
    </row>
    <row r="34" spans="2:7" s="694" customFormat="1" ht="24.75" customHeight="1" thickBot="1">
      <c r="B34" s="710"/>
      <c r="C34" s="711">
        <f>SUM(C19:C31)</f>
        <v>488825</v>
      </c>
      <c r="D34" s="712"/>
      <c r="E34" s="713">
        <f>SUM(E19:E33)</f>
        <v>214565</v>
      </c>
      <c r="F34" s="714">
        <f>C34-E34</f>
        <v>274260</v>
      </c>
      <c r="G34" s="694" t="s">
        <v>48</v>
      </c>
    </row>
    <row r="35" spans="2:7" ht="18.75" customHeight="1">
      <c r="B35" s="700" t="s">
        <v>864</v>
      </c>
      <c r="C35" s="716"/>
      <c r="D35" s="707"/>
      <c r="E35" s="708"/>
      <c r="F35" s="717"/>
    </row>
    <row r="36" spans="2:7" ht="17.25">
      <c r="B36" s="705" t="s">
        <v>865</v>
      </c>
      <c r="C36" s="706">
        <v>493187</v>
      </c>
      <c r="D36" s="707" t="s">
        <v>866</v>
      </c>
      <c r="E36" s="708">
        <v>9851</v>
      </c>
      <c r="F36" s="704"/>
      <c r="G36" s="693" t="s">
        <v>48</v>
      </c>
    </row>
    <row r="37" spans="2:7" ht="17.25">
      <c r="B37" s="705" t="s">
        <v>867</v>
      </c>
      <c r="C37" s="706">
        <v>-28127</v>
      </c>
      <c r="D37" s="707" t="s">
        <v>868</v>
      </c>
      <c r="E37" s="708">
        <v>19307</v>
      </c>
      <c r="F37" s="704"/>
    </row>
    <row r="38" spans="2:7" ht="17.25">
      <c r="B38" s="705" t="s">
        <v>48</v>
      </c>
      <c r="C38" s="709" t="s">
        <v>48</v>
      </c>
      <c r="D38" s="707" t="s">
        <v>869</v>
      </c>
      <c r="E38" s="708">
        <v>15266</v>
      </c>
      <c r="F38" s="704"/>
      <c r="G38" s="693" t="s">
        <v>48</v>
      </c>
    </row>
    <row r="39" spans="2:7" ht="17.25">
      <c r="B39" s="705"/>
      <c r="C39" s="709"/>
      <c r="D39" s="707" t="s">
        <v>870</v>
      </c>
      <c r="E39" s="708">
        <v>30965</v>
      </c>
      <c r="F39" s="704"/>
      <c r="G39" s="718" t="s">
        <v>48</v>
      </c>
    </row>
    <row r="40" spans="2:7" ht="17.25">
      <c r="B40" s="705"/>
      <c r="C40" s="709"/>
      <c r="D40" s="707" t="s">
        <v>854</v>
      </c>
      <c r="E40" s="708">
        <v>113</v>
      </c>
      <c r="F40" s="704"/>
    </row>
    <row r="41" spans="2:7" ht="17.25">
      <c r="B41" s="705"/>
      <c r="C41" s="709"/>
      <c r="D41" s="707" t="s">
        <v>871</v>
      </c>
      <c r="E41" s="708">
        <f>18500+69022</f>
        <v>87522</v>
      </c>
      <c r="F41" s="704"/>
    </row>
    <row r="42" spans="2:7" ht="17.25">
      <c r="B42" s="705"/>
      <c r="C42" s="709"/>
      <c r="D42" s="707" t="s">
        <v>872</v>
      </c>
      <c r="E42" s="708">
        <f>26681+18717</f>
        <v>45398</v>
      </c>
      <c r="F42" s="704"/>
    </row>
    <row r="43" spans="2:7" ht="17.25">
      <c r="B43" s="705"/>
      <c r="C43" s="709"/>
      <c r="D43" s="707" t="s">
        <v>858</v>
      </c>
      <c r="E43" s="708">
        <f>200+41364+3500</f>
        <v>45064</v>
      </c>
      <c r="F43" s="704"/>
    </row>
    <row r="44" spans="2:7" ht="17.25">
      <c r="B44" s="705"/>
      <c r="C44" s="709"/>
      <c r="D44" s="707" t="s">
        <v>859</v>
      </c>
      <c r="E44" s="708">
        <v>44264</v>
      </c>
      <c r="F44" s="704"/>
    </row>
    <row r="45" spans="2:7" ht="17.25">
      <c r="B45" s="705"/>
      <c r="C45" s="709"/>
      <c r="D45" s="707" t="s">
        <v>873</v>
      </c>
      <c r="E45" s="708">
        <f>24875+383+1163</f>
        <v>26421</v>
      </c>
      <c r="F45" s="704"/>
    </row>
    <row r="46" spans="2:7" ht="17.25">
      <c r="B46" s="705"/>
      <c r="C46" s="709"/>
      <c r="D46" s="707" t="s">
        <v>874</v>
      </c>
      <c r="E46" s="708">
        <v>960</v>
      </c>
      <c r="F46" s="704"/>
    </row>
    <row r="47" spans="2:7" ht="17.25">
      <c r="B47" s="705"/>
      <c r="C47" s="709"/>
      <c r="D47" s="707" t="s">
        <v>875</v>
      </c>
      <c r="E47" s="708">
        <v>4527</v>
      </c>
      <c r="F47" s="704"/>
    </row>
    <row r="48" spans="2:7" s="694" customFormat="1" ht="21.75" customHeight="1" thickBot="1">
      <c r="B48" s="710"/>
      <c r="C48" s="711">
        <f>SUM(C36:C47)</f>
        <v>465060</v>
      </c>
      <c r="D48" s="712"/>
      <c r="E48" s="713">
        <f>SUM(E36:E47)</f>
        <v>329658</v>
      </c>
      <c r="F48" s="714">
        <f>F34+C48-E48</f>
        <v>409662</v>
      </c>
      <c r="G48" s="719" t="s">
        <v>48</v>
      </c>
    </row>
    <row r="49" spans="2:7" ht="20.25" customHeight="1">
      <c r="B49" s="700" t="s">
        <v>876</v>
      </c>
      <c r="C49" s="708"/>
      <c r="D49" s="720" t="s">
        <v>877</v>
      </c>
      <c r="E49" s="708">
        <v>133269</v>
      </c>
      <c r="F49" s="704"/>
      <c r="G49" s="693" t="s">
        <v>48</v>
      </c>
    </row>
    <row r="50" spans="2:7" ht="15.95" customHeight="1">
      <c r="B50" s="705" t="s">
        <v>865</v>
      </c>
      <c r="C50" s="706">
        <v>193170</v>
      </c>
      <c r="D50" s="707" t="s">
        <v>878</v>
      </c>
      <c r="E50" s="708">
        <v>525</v>
      </c>
      <c r="F50" s="704"/>
      <c r="G50" s="718" t="s">
        <v>48</v>
      </c>
    </row>
    <row r="51" spans="2:7" ht="15.95" customHeight="1">
      <c r="B51" s="705" t="s">
        <v>867</v>
      </c>
      <c r="C51" s="706">
        <v>-4770</v>
      </c>
      <c r="D51" s="707" t="s">
        <v>879</v>
      </c>
      <c r="E51" s="708">
        <v>140734</v>
      </c>
      <c r="F51" s="704"/>
    </row>
    <row r="52" spans="2:7" ht="15.95" customHeight="1">
      <c r="B52" s="705"/>
      <c r="C52" s="709"/>
      <c r="D52" s="707" t="s">
        <v>880</v>
      </c>
      <c r="E52" s="708">
        <v>406</v>
      </c>
      <c r="F52" s="704"/>
    </row>
    <row r="53" spans="2:7" ht="15.95" customHeight="1">
      <c r="B53" s="705" t="s">
        <v>881</v>
      </c>
      <c r="C53" s="706">
        <v>5312</v>
      </c>
      <c r="D53" s="707" t="s">
        <v>882</v>
      </c>
      <c r="E53" s="708">
        <v>375</v>
      </c>
      <c r="F53" s="704"/>
    </row>
    <row r="54" spans="2:7" ht="15.95" customHeight="1">
      <c r="B54" s="705"/>
      <c r="C54" s="709"/>
      <c r="D54" s="707" t="s">
        <v>883</v>
      </c>
      <c r="E54" s="708">
        <f>10759+332</f>
        <v>11091</v>
      </c>
      <c r="F54" s="704"/>
    </row>
    <row r="55" spans="2:7" ht="15.95" customHeight="1">
      <c r="B55" s="705"/>
      <c r="C55" s="709"/>
      <c r="D55" s="707" t="s">
        <v>884</v>
      </c>
      <c r="E55" s="708">
        <v>4187</v>
      </c>
      <c r="F55" s="704"/>
    </row>
    <row r="56" spans="2:7" ht="15.95" customHeight="1">
      <c r="B56" s="705"/>
      <c r="C56" s="709"/>
      <c r="D56" s="707" t="s">
        <v>885</v>
      </c>
      <c r="E56" s="708">
        <v>128635</v>
      </c>
      <c r="F56" s="704"/>
    </row>
    <row r="57" spans="2:7" ht="20.100000000000001" customHeight="1" thickBot="1">
      <c r="B57" s="710"/>
      <c r="C57" s="711">
        <f>SUM(C50:C56)</f>
        <v>193712</v>
      </c>
      <c r="D57" s="712"/>
      <c r="E57" s="713">
        <f>SUM(E49:E56)</f>
        <v>419222</v>
      </c>
      <c r="F57" s="714">
        <f>F48+C57-E57</f>
        <v>184152</v>
      </c>
    </row>
    <row r="58" spans="2:7" ht="15.95" customHeight="1">
      <c r="B58" s="700" t="s">
        <v>886</v>
      </c>
      <c r="C58" s="708"/>
      <c r="D58" s="720" t="s">
        <v>887</v>
      </c>
      <c r="E58" s="708">
        <v>4152</v>
      </c>
      <c r="F58" s="717" t="s">
        <v>48</v>
      </c>
    </row>
    <row r="59" spans="2:7" ht="15.95" customHeight="1">
      <c r="B59" s="705" t="s">
        <v>865</v>
      </c>
      <c r="C59" s="721">
        <v>200124</v>
      </c>
      <c r="D59" s="707" t="s">
        <v>888</v>
      </c>
      <c r="E59" s="708">
        <v>1408</v>
      </c>
      <c r="F59" s="704"/>
    </row>
    <row r="60" spans="2:7" ht="15.95" customHeight="1">
      <c r="B60" s="705" t="s">
        <v>867</v>
      </c>
      <c r="C60" s="721">
        <v>-345</v>
      </c>
      <c r="D60" s="707" t="s">
        <v>879</v>
      </c>
      <c r="E60" s="708">
        <v>65692</v>
      </c>
      <c r="F60" s="704"/>
    </row>
    <row r="61" spans="2:7" ht="15.95" customHeight="1">
      <c r="B61" s="705" t="s">
        <v>48</v>
      </c>
      <c r="C61" s="721"/>
      <c r="D61" s="707" t="s">
        <v>889</v>
      </c>
      <c r="E61" s="708">
        <v>14958</v>
      </c>
      <c r="F61" s="704"/>
    </row>
    <row r="62" spans="2:7" ht="15.95" customHeight="1">
      <c r="B62" s="722" t="s">
        <v>881</v>
      </c>
      <c r="C62" s="721">
        <v>5731</v>
      </c>
      <c r="D62" s="707" t="s">
        <v>890</v>
      </c>
      <c r="E62" s="708">
        <v>12874</v>
      </c>
      <c r="F62" s="704"/>
    </row>
    <row r="63" spans="2:7" ht="15.95" customHeight="1">
      <c r="B63" s="705" t="s">
        <v>48</v>
      </c>
      <c r="C63" s="721"/>
      <c r="D63" s="707" t="s">
        <v>891</v>
      </c>
      <c r="E63" s="708">
        <v>20264</v>
      </c>
      <c r="F63" s="704"/>
    </row>
    <row r="64" spans="2:7" ht="15.95" customHeight="1">
      <c r="B64" s="705"/>
      <c r="C64" s="721"/>
      <c r="D64" s="707" t="s">
        <v>892</v>
      </c>
      <c r="E64" s="708">
        <v>66482</v>
      </c>
      <c r="F64" s="704"/>
    </row>
    <row r="65" spans="2:7" ht="20.100000000000001" customHeight="1" thickBot="1">
      <c r="B65" s="710"/>
      <c r="C65" s="723">
        <f>SUM(C58:C64)</f>
        <v>205510</v>
      </c>
      <c r="D65" s="712"/>
      <c r="E65" s="713">
        <f>SUM(E58:E64)</f>
        <v>185830</v>
      </c>
      <c r="F65" s="714">
        <f>F57+C65-E65</f>
        <v>203832</v>
      </c>
    </row>
    <row r="66" spans="2:7" ht="15.95" customHeight="1">
      <c r="B66" s="700" t="s">
        <v>893</v>
      </c>
      <c r="C66" s="724"/>
      <c r="D66" s="720" t="s">
        <v>892</v>
      </c>
      <c r="E66" s="708">
        <f>44950+117070</f>
        <v>162020</v>
      </c>
      <c r="F66" s="704"/>
    </row>
    <row r="67" spans="2:7" ht="15.95" customHeight="1">
      <c r="B67" s="705" t="s">
        <v>894</v>
      </c>
      <c r="C67" s="721">
        <v>141152</v>
      </c>
      <c r="D67" s="707" t="s">
        <v>879</v>
      </c>
      <c r="E67" s="708">
        <v>66926</v>
      </c>
      <c r="F67" s="704"/>
    </row>
    <row r="68" spans="2:7" ht="15.95" customHeight="1">
      <c r="B68" s="705" t="s">
        <v>895</v>
      </c>
      <c r="C68" s="721">
        <v>93279</v>
      </c>
      <c r="D68" s="707" t="s">
        <v>896</v>
      </c>
      <c r="E68" s="708">
        <v>17229</v>
      </c>
      <c r="F68" s="704"/>
    </row>
    <row r="69" spans="2:7" ht="15.95" customHeight="1">
      <c r="B69" s="705"/>
      <c r="C69" s="721"/>
      <c r="D69" s="707" t="s">
        <v>897</v>
      </c>
      <c r="E69" s="708">
        <f>4000+842+8600+169+10926</f>
        <v>24537</v>
      </c>
      <c r="F69" s="704"/>
    </row>
    <row r="70" spans="2:7" ht="20.100000000000001" customHeight="1" thickBot="1">
      <c r="B70" s="710"/>
      <c r="C70" s="723">
        <f>SUM(C67:C69)</f>
        <v>234431</v>
      </c>
      <c r="D70" s="712"/>
      <c r="E70" s="713">
        <f>SUM(E66:E69)</f>
        <v>270712</v>
      </c>
      <c r="F70" s="714">
        <f>F65+C70-E70</f>
        <v>167551</v>
      </c>
    </row>
    <row r="71" spans="2:7" s="694" customFormat="1" ht="37.5" customHeight="1" thickBot="1">
      <c r="B71" s="695" t="s">
        <v>834</v>
      </c>
      <c r="C71" s="696" t="s">
        <v>835</v>
      </c>
      <c r="D71" s="697" t="s">
        <v>836</v>
      </c>
      <c r="E71" s="698" t="s">
        <v>837</v>
      </c>
      <c r="F71" s="699" t="s">
        <v>838</v>
      </c>
      <c r="G71" s="719"/>
    </row>
    <row r="72" spans="2:7" ht="15.95" customHeight="1">
      <c r="B72" s="725" t="s">
        <v>898</v>
      </c>
      <c r="C72" s="726"/>
      <c r="D72" s="727" t="s">
        <v>892</v>
      </c>
      <c r="E72" s="728">
        <v>139680</v>
      </c>
      <c r="F72" s="729"/>
    </row>
    <row r="73" spans="2:7" ht="15.95" customHeight="1">
      <c r="B73" s="705" t="s">
        <v>894</v>
      </c>
      <c r="C73" s="721">
        <v>133061</v>
      </c>
      <c r="D73" s="707" t="s">
        <v>899</v>
      </c>
      <c r="E73" s="708">
        <v>1612</v>
      </c>
      <c r="F73" s="704"/>
    </row>
    <row r="74" spans="2:7" ht="15.95" customHeight="1">
      <c r="B74" s="705"/>
      <c r="C74" s="721"/>
      <c r="D74" s="707" t="s">
        <v>879</v>
      </c>
      <c r="E74" s="708">
        <f>14300+69001</f>
        <v>83301</v>
      </c>
      <c r="F74" s="704"/>
    </row>
    <row r="75" spans="2:7" ht="15.95" customHeight="1">
      <c r="B75" s="705" t="s">
        <v>895</v>
      </c>
      <c r="C75" s="721">
        <v>116625</v>
      </c>
      <c r="D75" s="707" t="s">
        <v>896</v>
      </c>
      <c r="E75" s="708">
        <v>14221</v>
      </c>
      <c r="F75" s="704"/>
    </row>
    <row r="76" spans="2:7" ht="17.25">
      <c r="B76" s="705"/>
      <c r="C76" s="721"/>
      <c r="D76" s="707" t="s">
        <v>897</v>
      </c>
      <c r="E76" s="708">
        <v>9144</v>
      </c>
      <c r="F76" s="704"/>
    </row>
    <row r="77" spans="2:7" ht="20.100000000000001" customHeight="1" thickBot="1">
      <c r="B77" s="710"/>
      <c r="C77" s="723">
        <f>SUM(C73:C76)</f>
        <v>249686</v>
      </c>
      <c r="D77" s="712"/>
      <c r="E77" s="713">
        <f>SUM(E72:E76)</f>
        <v>247958</v>
      </c>
      <c r="F77" s="714">
        <f>F70+C77-E77</f>
        <v>169279</v>
      </c>
    </row>
    <row r="78" spans="2:7" ht="15.95" customHeight="1">
      <c r="B78" s="725" t="s">
        <v>900</v>
      </c>
      <c r="C78" s="726"/>
      <c r="D78" s="727" t="s">
        <v>892</v>
      </c>
      <c r="E78" s="728">
        <v>96430</v>
      </c>
      <c r="F78" s="729"/>
    </row>
    <row r="79" spans="2:7" ht="15.95" customHeight="1">
      <c r="B79" s="705" t="s">
        <v>894</v>
      </c>
      <c r="C79" s="721">
        <v>83899</v>
      </c>
      <c r="D79" s="707" t="s">
        <v>899</v>
      </c>
      <c r="E79" s="708">
        <v>1263</v>
      </c>
      <c r="F79" s="704"/>
    </row>
    <row r="80" spans="2:7" ht="15.95" customHeight="1">
      <c r="B80" s="705"/>
      <c r="C80" s="721"/>
      <c r="D80" s="707" t="s">
        <v>901</v>
      </c>
      <c r="E80" s="708">
        <v>53368</v>
      </c>
      <c r="F80" s="704"/>
    </row>
    <row r="81" spans="2:6" ht="15.95" customHeight="1">
      <c r="B81" s="705" t="s">
        <v>895</v>
      </c>
      <c r="C81" s="721">
        <v>117221</v>
      </c>
      <c r="D81" s="707" t="s">
        <v>902</v>
      </c>
      <c r="E81" s="708">
        <v>81240</v>
      </c>
      <c r="F81" s="704"/>
    </row>
    <row r="82" spans="2:6" ht="15.95" customHeight="1">
      <c r="B82" s="730"/>
      <c r="C82" s="721"/>
      <c r="D82" s="707" t="s">
        <v>896</v>
      </c>
      <c r="E82" s="708">
        <v>15709</v>
      </c>
      <c r="F82" s="704"/>
    </row>
    <row r="83" spans="2:6" ht="15.95" customHeight="1">
      <c r="B83" s="705"/>
      <c r="C83" s="721"/>
      <c r="D83" s="707" t="s">
        <v>903</v>
      </c>
      <c r="E83" s="708">
        <v>5701</v>
      </c>
      <c r="F83" s="704"/>
    </row>
    <row r="84" spans="2:6" ht="20.100000000000001" customHeight="1" thickBot="1">
      <c r="B84" s="710"/>
      <c r="C84" s="723">
        <f>SUM(C79:C83)</f>
        <v>201120</v>
      </c>
      <c r="D84" s="712"/>
      <c r="E84" s="713">
        <f>SUM(E78:E83)</f>
        <v>253711</v>
      </c>
      <c r="F84" s="714">
        <f>F77+C84-E84</f>
        <v>116688</v>
      </c>
    </row>
    <row r="85" spans="2:6" ht="15.95" customHeight="1">
      <c r="B85" s="725" t="s">
        <v>904</v>
      </c>
      <c r="C85" s="726"/>
      <c r="D85" s="727" t="s">
        <v>892</v>
      </c>
      <c r="E85" s="728">
        <v>107592</v>
      </c>
      <c r="F85" s="729"/>
    </row>
    <row r="86" spans="2:6" ht="15.95" customHeight="1">
      <c r="B86" s="705" t="s">
        <v>894</v>
      </c>
      <c r="C86" s="721">
        <f>47847+375359</f>
        <v>423206</v>
      </c>
      <c r="D86" s="707" t="s">
        <v>899</v>
      </c>
      <c r="E86" s="708">
        <v>1085</v>
      </c>
      <c r="F86" s="704"/>
    </row>
    <row r="87" spans="2:6" ht="15.95" customHeight="1">
      <c r="B87" s="705"/>
      <c r="C87" s="721"/>
      <c r="D87" s="707" t="s">
        <v>901</v>
      </c>
      <c r="E87" s="708">
        <v>55184</v>
      </c>
      <c r="F87" s="704"/>
    </row>
    <row r="88" spans="2:6" ht="15.95" customHeight="1">
      <c r="B88" s="705" t="s">
        <v>895</v>
      </c>
      <c r="C88" s="721">
        <v>156276</v>
      </c>
      <c r="D88" s="707" t="s">
        <v>905</v>
      </c>
      <c r="E88" s="708">
        <f>385641+36610-220707</f>
        <v>201544</v>
      </c>
      <c r="F88" s="704"/>
    </row>
    <row r="89" spans="2:6" ht="15.95" customHeight="1">
      <c r="B89" s="705"/>
      <c r="C89" s="724"/>
      <c r="D89" s="731" t="s">
        <v>896</v>
      </c>
      <c r="E89" s="708">
        <v>10566</v>
      </c>
      <c r="F89" s="704"/>
    </row>
    <row r="90" spans="2:6" ht="15.95" customHeight="1">
      <c r="B90" s="705"/>
      <c r="C90" s="721"/>
      <c r="D90" s="707" t="s">
        <v>903</v>
      </c>
      <c r="E90" s="708">
        <v>5926</v>
      </c>
      <c r="F90" s="704"/>
    </row>
    <row r="91" spans="2:6" ht="20.100000000000001" customHeight="1" thickBot="1">
      <c r="B91" s="710"/>
      <c r="C91" s="723">
        <f>SUM(C86:C90)</f>
        <v>579482</v>
      </c>
      <c r="D91" s="712"/>
      <c r="E91" s="713">
        <f>SUM(E85:E90)</f>
        <v>381897</v>
      </c>
      <c r="F91" s="714">
        <f>F84+C91-E91</f>
        <v>314273</v>
      </c>
    </row>
    <row r="92" spans="2:6" ht="15.95" customHeight="1">
      <c r="B92" s="700" t="s">
        <v>906</v>
      </c>
      <c r="C92" s="721"/>
      <c r="D92" s="707" t="s">
        <v>892</v>
      </c>
      <c r="E92" s="708">
        <v>90541</v>
      </c>
      <c r="F92" s="704"/>
    </row>
    <row r="93" spans="2:6" ht="15.95" customHeight="1">
      <c r="B93" s="705" t="s">
        <v>894</v>
      </c>
      <c r="C93" s="721"/>
      <c r="D93" s="707" t="s">
        <v>899</v>
      </c>
      <c r="E93" s="708">
        <v>1085</v>
      </c>
      <c r="F93" s="704"/>
    </row>
    <row r="94" spans="2:6" ht="15.95" customHeight="1">
      <c r="B94" s="705"/>
      <c r="C94" s="721"/>
      <c r="D94" s="707" t="s">
        <v>901</v>
      </c>
      <c r="E94" s="708">
        <v>31851</v>
      </c>
      <c r="F94" s="704"/>
    </row>
    <row r="95" spans="2:6" ht="15.95" customHeight="1">
      <c r="B95" s="705" t="s">
        <v>895</v>
      </c>
      <c r="C95" s="721">
        <v>144167</v>
      </c>
      <c r="D95" s="707" t="s">
        <v>905</v>
      </c>
      <c r="E95" s="708">
        <v>53846</v>
      </c>
      <c r="F95" s="704"/>
    </row>
    <row r="96" spans="2:6" ht="15.95" customHeight="1">
      <c r="B96" s="730"/>
      <c r="C96" s="721"/>
      <c r="D96" s="707" t="s">
        <v>896</v>
      </c>
      <c r="E96" s="708">
        <v>635</v>
      </c>
      <c r="F96" s="704"/>
    </row>
    <row r="97" spans="2:6" ht="15.95" customHeight="1">
      <c r="B97" s="705"/>
      <c r="C97" s="721"/>
      <c r="D97" s="707" t="s">
        <v>903</v>
      </c>
      <c r="E97" s="708"/>
      <c r="F97" s="704"/>
    </row>
    <row r="98" spans="2:6" ht="20.100000000000001" customHeight="1" thickBot="1">
      <c r="B98" s="710"/>
      <c r="C98" s="723">
        <f>SUM(C93:C97)</f>
        <v>144167</v>
      </c>
      <c r="D98" s="712"/>
      <c r="E98" s="713">
        <f>SUM(E92:E97)</f>
        <v>177958</v>
      </c>
      <c r="F98" s="714">
        <f>F91+C98-E98</f>
        <v>280482</v>
      </c>
    </row>
    <row r="99" spans="2:6" ht="15.95" customHeight="1">
      <c r="B99" s="700" t="s">
        <v>907</v>
      </c>
      <c r="C99" s="721"/>
      <c r="D99" s="707" t="s">
        <v>892</v>
      </c>
      <c r="E99" s="708">
        <v>65050</v>
      </c>
      <c r="F99" s="704"/>
    </row>
    <row r="100" spans="2:6" ht="15.95" customHeight="1">
      <c r="B100" s="705" t="s">
        <v>894</v>
      </c>
      <c r="C100" s="721"/>
      <c r="D100" s="707" t="s">
        <v>899</v>
      </c>
      <c r="E100" s="708">
        <v>1085</v>
      </c>
      <c r="F100" s="704"/>
    </row>
    <row r="101" spans="2:6" ht="15.95" customHeight="1">
      <c r="B101" s="705"/>
      <c r="C101" s="721"/>
      <c r="D101" s="707" t="s">
        <v>901</v>
      </c>
      <c r="E101" s="708">
        <v>65231</v>
      </c>
      <c r="F101" s="704"/>
    </row>
    <row r="102" spans="2:6" ht="15.95" customHeight="1">
      <c r="B102" s="705" t="s">
        <v>895</v>
      </c>
      <c r="C102" s="721">
        <v>117418</v>
      </c>
      <c r="D102" s="707" t="s">
        <v>908</v>
      </c>
      <c r="E102" s="708">
        <v>87849</v>
      </c>
      <c r="F102" s="704"/>
    </row>
    <row r="103" spans="2:6" ht="15.95" customHeight="1">
      <c r="B103" s="730"/>
      <c r="C103" s="721"/>
      <c r="D103" s="707" t="s">
        <v>909</v>
      </c>
      <c r="E103" s="707">
        <v>4500</v>
      </c>
      <c r="F103" s="704"/>
    </row>
    <row r="104" spans="2:6" ht="15.95" customHeight="1">
      <c r="B104" s="705"/>
      <c r="C104" s="721"/>
      <c r="D104" s="731" t="s">
        <v>896</v>
      </c>
      <c r="E104" s="708">
        <v>638</v>
      </c>
      <c r="F104" s="704"/>
    </row>
    <row r="105" spans="2:6" ht="15.95" customHeight="1">
      <c r="B105" s="705"/>
      <c r="C105" s="721"/>
      <c r="D105" s="732" t="s">
        <v>910</v>
      </c>
      <c r="E105" s="703">
        <v>9971</v>
      </c>
      <c r="F105" s="704"/>
    </row>
    <row r="106" spans="2:6" ht="20.100000000000001" customHeight="1" thickBot="1">
      <c r="B106" s="710"/>
      <c r="C106" s="723">
        <f>SUM(C100:C105)</f>
        <v>117418</v>
      </c>
      <c r="D106" s="712"/>
      <c r="E106" s="713">
        <f>SUM(E99:E105)</f>
        <v>234324</v>
      </c>
      <c r="F106" s="714">
        <f>F98+C106-E106</f>
        <v>163576</v>
      </c>
    </row>
    <row r="107" spans="2:6" ht="15.95" customHeight="1">
      <c r="B107" s="700" t="s">
        <v>911</v>
      </c>
      <c r="C107" s="721"/>
      <c r="D107" s="707" t="s">
        <v>892</v>
      </c>
      <c r="E107" s="708">
        <v>85080</v>
      </c>
      <c r="F107" s="704"/>
    </row>
    <row r="108" spans="2:6" ht="15.95" customHeight="1">
      <c r="B108" s="705" t="s">
        <v>894</v>
      </c>
      <c r="C108" s="721">
        <v>22826</v>
      </c>
      <c r="D108" s="707" t="s">
        <v>899</v>
      </c>
      <c r="E108" s="708">
        <v>1085</v>
      </c>
      <c r="F108" s="704"/>
    </row>
    <row r="109" spans="2:6" ht="15.95" customHeight="1">
      <c r="B109" s="705"/>
      <c r="C109" s="721"/>
      <c r="D109" s="707" t="s">
        <v>901</v>
      </c>
      <c r="E109" s="708">
        <v>53128</v>
      </c>
      <c r="F109" s="704"/>
    </row>
    <row r="110" spans="2:6" ht="15.95" customHeight="1">
      <c r="B110" s="705" t="s">
        <v>895</v>
      </c>
      <c r="C110" s="721">
        <v>114943</v>
      </c>
      <c r="D110" s="707" t="s">
        <v>912</v>
      </c>
      <c r="E110" s="708">
        <v>4849</v>
      </c>
      <c r="F110" s="704"/>
    </row>
    <row r="111" spans="2:6" ht="15.95" customHeight="1">
      <c r="B111" s="730"/>
      <c r="C111" s="721"/>
      <c r="D111" s="707" t="s">
        <v>909</v>
      </c>
      <c r="E111" s="708">
        <f>26500+42546</f>
        <v>69046</v>
      </c>
      <c r="F111" s="704"/>
    </row>
    <row r="112" spans="2:6" ht="15.95" customHeight="1">
      <c r="B112" s="705"/>
      <c r="C112" s="721"/>
      <c r="D112" s="707" t="s">
        <v>913</v>
      </c>
      <c r="E112" s="708">
        <v>792</v>
      </c>
      <c r="F112" s="704"/>
    </row>
    <row r="113" spans="2:7" ht="15.95" customHeight="1">
      <c r="B113" s="705"/>
      <c r="C113" s="721"/>
      <c r="D113" s="732" t="s">
        <v>910</v>
      </c>
      <c r="E113" s="703">
        <f>113+4233</f>
        <v>4346</v>
      </c>
      <c r="F113" s="704"/>
    </row>
    <row r="114" spans="2:7" ht="20.100000000000001" customHeight="1" thickBot="1">
      <c r="B114" s="710"/>
      <c r="C114" s="723">
        <f>SUM(C108:C113)</f>
        <v>137769</v>
      </c>
      <c r="D114" s="712"/>
      <c r="E114" s="713">
        <f>SUM(E107:E113)</f>
        <v>218326</v>
      </c>
      <c r="F114" s="714">
        <f>F106+C114-E114</f>
        <v>83019</v>
      </c>
    </row>
    <row r="115" spans="2:7" ht="17.25">
      <c r="B115" s="700" t="s">
        <v>914</v>
      </c>
      <c r="C115" s="721"/>
      <c r="D115" s="707" t="s">
        <v>892</v>
      </c>
      <c r="E115" s="708">
        <v>68260</v>
      </c>
      <c r="F115" s="704"/>
    </row>
    <row r="116" spans="2:7" ht="17.25">
      <c r="B116" s="705" t="s">
        <v>894</v>
      </c>
      <c r="C116" s="721"/>
      <c r="D116" s="707" t="s">
        <v>899</v>
      </c>
      <c r="E116" s="708">
        <v>1085</v>
      </c>
      <c r="F116" s="704"/>
    </row>
    <row r="117" spans="2:7" ht="17.25">
      <c r="B117" s="705"/>
      <c r="C117" s="721"/>
      <c r="D117" s="707" t="s">
        <v>901</v>
      </c>
      <c r="E117" s="708">
        <v>34439</v>
      </c>
      <c r="F117" s="704"/>
    </row>
    <row r="118" spans="2:7" ht="17.25">
      <c r="B118" s="705" t="s">
        <v>895</v>
      </c>
      <c r="C118" s="721">
        <v>109083</v>
      </c>
      <c r="D118" s="707" t="s">
        <v>909</v>
      </c>
      <c r="E118" s="708">
        <f>18655+679</f>
        <v>19334</v>
      </c>
      <c r="F118" s="704"/>
    </row>
    <row r="119" spans="2:7" ht="17.25">
      <c r="B119" s="730"/>
      <c r="C119" s="721"/>
      <c r="D119" s="707" t="s">
        <v>913</v>
      </c>
      <c r="E119" s="708">
        <v>526</v>
      </c>
      <c r="F119" s="704"/>
    </row>
    <row r="120" spans="2:7" ht="17.25">
      <c r="B120" s="705"/>
      <c r="C120" s="721"/>
      <c r="D120" s="732" t="s">
        <v>910</v>
      </c>
      <c r="E120" s="703">
        <v>81239</v>
      </c>
      <c r="F120" s="704"/>
    </row>
    <row r="121" spans="2:7" ht="18" thickBot="1">
      <c r="B121" s="710"/>
      <c r="C121" s="723">
        <f>SUM(C116:C120)</f>
        <v>109083</v>
      </c>
      <c r="D121" s="712"/>
      <c r="E121" s="713">
        <f>SUM(E115:E120)</f>
        <v>204883</v>
      </c>
      <c r="F121" s="714">
        <f>F114+C121-E121</f>
        <v>-12781</v>
      </c>
    </row>
    <row r="122" spans="2:7" ht="17.25">
      <c r="B122" s="700" t="s">
        <v>915</v>
      </c>
      <c r="C122" s="721"/>
      <c r="D122" s="707" t="s">
        <v>892</v>
      </c>
      <c r="E122" s="708">
        <v>13900</v>
      </c>
      <c r="F122" s="704"/>
    </row>
    <row r="123" spans="2:7" ht="17.25">
      <c r="B123" s="705" t="s">
        <v>894</v>
      </c>
      <c r="C123" s="721"/>
      <c r="D123" s="707" t="s">
        <v>899</v>
      </c>
      <c r="E123" s="708">
        <v>1085</v>
      </c>
      <c r="F123" s="704"/>
    </row>
    <row r="124" spans="2:7" ht="17.25">
      <c r="B124" s="705"/>
      <c r="C124" s="721"/>
      <c r="D124" s="707" t="s">
        <v>901</v>
      </c>
      <c r="E124" s="708">
        <v>18194</v>
      </c>
      <c r="F124" s="704"/>
    </row>
    <row r="125" spans="2:7" ht="17.25">
      <c r="B125" s="705" t="s">
        <v>895</v>
      </c>
      <c r="C125" s="721">
        <v>97239</v>
      </c>
      <c r="D125" s="707" t="s">
        <v>909</v>
      </c>
      <c r="E125" s="708">
        <v>14103</v>
      </c>
      <c r="F125" s="704"/>
    </row>
    <row r="126" spans="2:7" ht="17.25">
      <c r="B126" s="730"/>
      <c r="C126" s="721"/>
      <c r="D126" s="707" t="s">
        <v>913</v>
      </c>
      <c r="E126" s="708">
        <v>206</v>
      </c>
      <c r="F126" s="704"/>
      <c r="G126" s="733"/>
    </row>
    <row r="127" spans="2:7" ht="17.25">
      <c r="B127" s="705"/>
      <c r="C127" s="721"/>
      <c r="D127" s="732" t="s">
        <v>910</v>
      </c>
      <c r="E127" s="703">
        <f>205083+3377</f>
        <v>208460</v>
      </c>
      <c r="F127" s="704"/>
    </row>
    <row r="128" spans="2:7" ht="18" thickBot="1">
      <c r="B128" s="710"/>
      <c r="C128" s="723">
        <f>SUM(C123:C127)</f>
        <v>97239</v>
      </c>
      <c r="D128" s="712"/>
      <c r="E128" s="713">
        <f>SUM(E122:E127)</f>
        <v>255948</v>
      </c>
      <c r="F128" s="714">
        <f>F121+C128-E128</f>
        <v>-171490</v>
      </c>
    </row>
    <row r="129" spans="2:7" ht="17.25">
      <c r="B129" s="700" t="s">
        <v>916</v>
      </c>
      <c r="C129" s="721"/>
      <c r="D129" s="707" t="s">
        <v>892</v>
      </c>
      <c r="E129" s="708">
        <v>1100</v>
      </c>
      <c r="F129" s="704"/>
    </row>
    <row r="130" spans="2:7" ht="17.25">
      <c r="B130" s="705" t="s">
        <v>894</v>
      </c>
      <c r="C130" s="721"/>
      <c r="D130" s="707" t="s">
        <v>917</v>
      </c>
      <c r="E130" s="708">
        <v>17241</v>
      </c>
      <c r="F130" s="704"/>
    </row>
    <row r="131" spans="2:7" ht="34.5">
      <c r="B131" s="705"/>
      <c r="C131" s="721"/>
      <c r="D131" s="734" t="s">
        <v>918</v>
      </c>
      <c r="E131" s="708">
        <v>52</v>
      </c>
      <c r="F131" s="704"/>
    </row>
    <row r="132" spans="2:7" ht="17.25">
      <c r="B132" s="705" t="s">
        <v>895</v>
      </c>
      <c r="C132" s="735">
        <v>82793</v>
      </c>
      <c r="D132" s="707" t="s">
        <v>913</v>
      </c>
      <c r="E132" s="708">
        <v>658</v>
      </c>
      <c r="F132" s="704"/>
    </row>
    <row r="133" spans="2:7" ht="17.25">
      <c r="B133" s="730"/>
      <c r="C133" s="721"/>
      <c r="D133" s="732" t="s">
        <v>910</v>
      </c>
      <c r="E133" s="703">
        <f>1029+305355</f>
        <v>306384</v>
      </c>
      <c r="F133" s="704"/>
    </row>
    <row r="134" spans="2:7" ht="18" thickBot="1">
      <c r="B134" s="710"/>
      <c r="C134" s="723">
        <f>SUM(C130:C133)</f>
        <v>82793</v>
      </c>
      <c r="D134" s="712"/>
      <c r="E134" s="713">
        <f>SUM(E129:E133)</f>
        <v>325435</v>
      </c>
      <c r="F134" s="714">
        <f>F128+C134-E134</f>
        <v>-414132</v>
      </c>
    </row>
    <row r="135" spans="2:7" s="694" customFormat="1" ht="37.5" customHeight="1" thickBot="1">
      <c r="B135" s="695" t="s">
        <v>834</v>
      </c>
      <c r="C135" s="696" t="s">
        <v>835</v>
      </c>
      <c r="D135" s="697" t="s">
        <v>836</v>
      </c>
      <c r="E135" s="698" t="s">
        <v>837</v>
      </c>
      <c r="F135" s="699" t="s">
        <v>838</v>
      </c>
      <c r="G135" s="719"/>
    </row>
    <row r="136" spans="2:7" ht="17.25">
      <c r="B136" s="700" t="s">
        <v>919</v>
      </c>
      <c r="C136" s="721"/>
      <c r="D136" s="707" t="s">
        <v>892</v>
      </c>
      <c r="E136" s="708"/>
      <c r="F136" s="704"/>
    </row>
    <row r="137" spans="2:7" ht="17.25">
      <c r="B137" s="705" t="s">
        <v>894</v>
      </c>
      <c r="C137" s="721"/>
      <c r="D137" s="707" t="s">
        <v>917</v>
      </c>
      <c r="E137" s="708">
        <v>15156</v>
      </c>
      <c r="F137" s="704"/>
    </row>
    <row r="138" spans="2:7" ht="34.5">
      <c r="B138" s="705"/>
      <c r="C138" s="721"/>
      <c r="D138" s="734" t="s">
        <v>918</v>
      </c>
      <c r="E138" s="708">
        <v>2076</v>
      </c>
      <c r="F138" s="704"/>
    </row>
    <row r="139" spans="2:7" ht="17.25">
      <c r="B139" s="705" t="s">
        <v>895</v>
      </c>
      <c r="C139" s="735">
        <v>70598</v>
      </c>
      <c r="D139" s="707" t="s">
        <v>913</v>
      </c>
      <c r="E139" s="708">
        <v>39</v>
      </c>
      <c r="F139" s="704"/>
    </row>
    <row r="140" spans="2:7" ht="17.25">
      <c r="B140" s="730"/>
      <c r="C140" s="721"/>
      <c r="D140" s="732" t="s">
        <v>910</v>
      </c>
      <c r="E140" s="703">
        <f>861+4013+59376+1135</f>
        <v>65385</v>
      </c>
      <c r="F140" s="704"/>
    </row>
    <row r="141" spans="2:7" ht="18" thickBot="1">
      <c r="B141" s="710"/>
      <c r="C141" s="723">
        <f>SUM(C137:C139)</f>
        <v>70598</v>
      </c>
      <c r="D141" s="712"/>
      <c r="E141" s="713">
        <f>SUM(E136:E140)</f>
        <v>82656</v>
      </c>
      <c r="F141" s="714">
        <f>F134+C141-E141</f>
        <v>-426190</v>
      </c>
    </row>
    <row r="142" spans="2:7" ht="17.25">
      <c r="B142" s="700" t="s">
        <v>920</v>
      </c>
      <c r="C142" s="721"/>
      <c r="D142" s="707" t="s">
        <v>892</v>
      </c>
      <c r="E142" s="708"/>
      <c r="F142" s="704"/>
    </row>
    <row r="143" spans="2:7" ht="17.25">
      <c r="B143" s="705" t="s">
        <v>894</v>
      </c>
      <c r="C143" s="721"/>
      <c r="D143" s="707" t="s">
        <v>917</v>
      </c>
      <c r="E143" s="708"/>
      <c r="F143" s="704"/>
    </row>
    <row r="144" spans="2:7" ht="34.5">
      <c r="B144" s="705"/>
      <c r="C144" s="721"/>
      <c r="D144" s="734" t="s">
        <v>918</v>
      </c>
      <c r="E144" s="708">
        <v>1845</v>
      </c>
      <c r="F144" s="704"/>
      <c r="G144" s="733"/>
    </row>
    <row r="145" spans="2:9" ht="17.25">
      <c r="B145" s="705" t="s">
        <v>895</v>
      </c>
      <c r="C145" s="735">
        <v>58874</v>
      </c>
      <c r="D145" s="707" t="s">
        <v>913</v>
      </c>
      <c r="E145" s="708">
        <v>73</v>
      </c>
      <c r="F145" s="704"/>
    </row>
    <row r="146" spans="2:9" ht="17.25">
      <c r="B146" s="730"/>
      <c r="C146" s="721"/>
      <c r="D146" s="732" t="s">
        <v>910</v>
      </c>
      <c r="E146" s="703">
        <v>0</v>
      </c>
      <c r="F146" s="704"/>
    </row>
    <row r="147" spans="2:9" ht="18" thickBot="1">
      <c r="B147" s="710"/>
      <c r="C147" s="723">
        <f>SUM(C143:C145)</f>
        <v>58874</v>
      </c>
      <c r="D147" s="712"/>
      <c r="E147" s="713">
        <f>SUM(E142:E146)</f>
        <v>1918</v>
      </c>
      <c r="F147" s="714">
        <f>F141+C147-E147</f>
        <v>-369234</v>
      </c>
      <c r="G147"/>
      <c r="H147"/>
      <c r="I147"/>
    </row>
    <row r="148" spans="2:9" ht="17.25">
      <c r="B148" s="700" t="s">
        <v>921</v>
      </c>
      <c r="C148" s="721"/>
      <c r="D148" s="707"/>
      <c r="E148" s="708"/>
      <c r="F148" s="704"/>
      <c r="G148"/>
      <c r="H148"/>
      <c r="I148"/>
    </row>
    <row r="149" spans="2:9" ht="17.25">
      <c r="B149" s="705" t="s">
        <v>894</v>
      </c>
      <c r="C149" s="721"/>
      <c r="D149" s="707" t="s">
        <v>922</v>
      </c>
      <c r="E149" s="708">
        <v>49982</v>
      </c>
      <c r="F149" s="704"/>
      <c r="G149" s="736"/>
      <c r="H149"/>
      <c r="I149"/>
    </row>
    <row r="150" spans="2:9" ht="17.25">
      <c r="B150" s="705"/>
      <c r="C150" s="721"/>
      <c r="D150" s="734" t="s">
        <v>923</v>
      </c>
      <c r="E150" s="708">
        <v>19718</v>
      </c>
      <c r="F150" s="704"/>
      <c r="G150"/>
      <c r="H150"/>
      <c r="I150"/>
    </row>
    <row r="151" spans="2:9" ht="17.25">
      <c r="B151" s="705" t="s">
        <v>895</v>
      </c>
      <c r="C151" s="735">
        <v>62648</v>
      </c>
      <c r="D151" s="707" t="s">
        <v>913</v>
      </c>
      <c r="E151" s="708"/>
      <c r="F151" s="704"/>
      <c r="G151" s="736"/>
      <c r="H151"/>
      <c r="I151"/>
    </row>
    <row r="152" spans="2:9" ht="17.25">
      <c r="B152" s="730"/>
      <c r="C152" s="721"/>
      <c r="D152" s="732" t="s">
        <v>910</v>
      </c>
      <c r="E152" s="703">
        <v>0</v>
      </c>
      <c r="F152" s="704"/>
      <c r="G152"/>
      <c r="H152"/>
      <c r="I152"/>
    </row>
    <row r="153" spans="2:9" ht="18" thickBot="1">
      <c r="B153" s="710"/>
      <c r="C153" s="723">
        <f>SUM(C149:C151)</f>
        <v>62648</v>
      </c>
      <c r="D153" s="712"/>
      <c r="E153" s="713">
        <f>SUM(E148:E152)</f>
        <v>69700</v>
      </c>
      <c r="F153" s="714">
        <f>F147+C153-E153</f>
        <v>-376286</v>
      </c>
      <c r="G153"/>
      <c r="H153"/>
      <c r="I153"/>
    </row>
    <row r="154" spans="2:9" ht="17.25">
      <c r="B154" s="725" t="s">
        <v>924</v>
      </c>
      <c r="C154" s="726"/>
      <c r="D154" s="727"/>
      <c r="E154" s="728"/>
      <c r="F154" s="729"/>
      <c r="G154"/>
      <c r="H154"/>
      <c r="I154"/>
    </row>
    <row r="155" spans="2:9" ht="17.25">
      <c r="B155" s="705" t="s">
        <v>894</v>
      </c>
      <c r="C155" s="721">
        <v>26046</v>
      </c>
      <c r="D155" s="734" t="s">
        <v>923</v>
      </c>
      <c r="E155" s="708">
        <v>19764</v>
      </c>
      <c r="F155" s="704"/>
      <c r="G155"/>
      <c r="H155"/>
      <c r="I155"/>
    </row>
    <row r="156" spans="2:9" ht="17.25">
      <c r="B156" s="705"/>
      <c r="C156" s="721"/>
      <c r="D156" s="737" t="s">
        <v>910</v>
      </c>
      <c r="E156" s="708">
        <v>4</v>
      </c>
      <c r="F156" s="704"/>
      <c r="G156"/>
      <c r="H156"/>
      <c r="I156"/>
    </row>
    <row r="157" spans="2:9" ht="17.25">
      <c r="B157" s="705" t="s">
        <v>895</v>
      </c>
      <c r="C157" s="735">
        <v>50065</v>
      </c>
      <c r="D157" s="707" t="s">
        <v>925</v>
      </c>
      <c r="E157" s="708">
        <v>2366</v>
      </c>
      <c r="F157" s="704"/>
      <c r="G157"/>
      <c r="H157"/>
      <c r="I157"/>
    </row>
    <row r="158" spans="2:9" ht="17.25">
      <c r="B158" s="730"/>
      <c r="C158" s="721"/>
      <c r="D158" s="732"/>
      <c r="E158" s="703"/>
      <c r="F158" s="704"/>
      <c r="G158"/>
      <c r="H158"/>
      <c r="I158"/>
    </row>
    <row r="159" spans="2:9" ht="18" thickBot="1">
      <c r="B159" s="710"/>
      <c r="C159" s="723">
        <f>SUM(C155:C158)</f>
        <v>76111</v>
      </c>
      <c r="D159" s="712"/>
      <c r="E159" s="713">
        <f>SUM(E155:E158)</f>
        <v>22134</v>
      </c>
      <c r="F159" s="714">
        <f>+F153+C159-E159</f>
        <v>-322309</v>
      </c>
      <c r="G159"/>
      <c r="H159"/>
      <c r="I159"/>
    </row>
    <row r="160" spans="2:9" ht="17.25">
      <c r="B160" s="725" t="s">
        <v>926</v>
      </c>
      <c r="C160" s="726"/>
      <c r="D160" s="727"/>
      <c r="E160" s="728"/>
      <c r="F160" s="738"/>
      <c r="G160"/>
      <c r="H160"/>
      <c r="I160"/>
    </row>
    <row r="161" spans="2:9" ht="17.25">
      <c r="B161" s="705" t="s">
        <v>894</v>
      </c>
      <c r="C161" s="721">
        <v>74316</v>
      </c>
      <c r="D161" s="734" t="s">
        <v>923</v>
      </c>
      <c r="E161" s="708">
        <v>23662</v>
      </c>
      <c r="F161" s="739"/>
      <c r="G161"/>
      <c r="H161"/>
      <c r="I161"/>
    </row>
    <row r="162" spans="2:9" ht="17.25">
      <c r="B162" s="705"/>
      <c r="C162" s="721"/>
      <c r="D162" s="737" t="s">
        <v>910</v>
      </c>
      <c r="E162" s="708">
        <v>1948</v>
      </c>
      <c r="F162" s="739"/>
      <c r="G162"/>
      <c r="H162"/>
      <c r="I162"/>
    </row>
    <row r="163" spans="2:9" ht="17.25">
      <c r="B163" s="705" t="s">
        <v>895</v>
      </c>
      <c r="C163" s="735">
        <v>40185</v>
      </c>
      <c r="D163" s="707" t="s">
        <v>925</v>
      </c>
      <c r="E163" s="708">
        <v>1953</v>
      </c>
      <c r="F163" s="739"/>
      <c r="G163"/>
      <c r="H163"/>
      <c r="I163"/>
    </row>
    <row r="164" spans="2:9" ht="17.25">
      <c r="B164" s="740"/>
      <c r="C164" s="741"/>
      <c r="D164" s="742"/>
      <c r="E164" s="743"/>
      <c r="F164" s="744"/>
      <c r="G164"/>
      <c r="H164"/>
      <c r="I164"/>
    </row>
    <row r="165" spans="2:9" ht="18" thickBot="1">
      <c r="B165" s="745"/>
      <c r="C165" s="746">
        <f>SUM(C161:C164)</f>
        <v>114501</v>
      </c>
      <c r="D165" s="747"/>
      <c r="E165" s="748">
        <f>SUM(E161:E164)</f>
        <v>27563</v>
      </c>
      <c r="F165" s="749">
        <f>+F159+C165-E165</f>
        <v>-235371</v>
      </c>
      <c r="G165"/>
      <c r="H165"/>
      <c r="I165"/>
    </row>
    <row r="166" spans="2:9" ht="17.25">
      <c r="B166" s="725" t="s">
        <v>927</v>
      </c>
      <c r="C166" s="726"/>
      <c r="D166" s="727"/>
      <c r="E166" s="728"/>
      <c r="F166" s="738"/>
      <c r="G166"/>
      <c r="H166"/>
      <c r="I166"/>
    </row>
    <row r="167" spans="2:9" ht="17.25">
      <c r="B167" s="705" t="s">
        <v>894</v>
      </c>
      <c r="C167" s="721">
        <v>78723</v>
      </c>
      <c r="D167" s="734" t="s">
        <v>923</v>
      </c>
      <c r="E167" s="708">
        <v>29980</v>
      </c>
      <c r="F167" s="739"/>
      <c r="G167"/>
      <c r="H167"/>
      <c r="I167"/>
    </row>
    <row r="168" spans="2:9" ht="17.25">
      <c r="B168" s="705"/>
      <c r="C168" s="721"/>
      <c r="D168" s="737" t="s">
        <v>910</v>
      </c>
      <c r="E168" s="708">
        <v>3028</v>
      </c>
      <c r="F168" s="739"/>
      <c r="G168"/>
      <c r="H168"/>
      <c r="I168"/>
    </row>
    <row r="169" spans="2:9" ht="17.25">
      <c r="B169" s="705" t="s">
        <v>895</v>
      </c>
      <c r="C169" s="735">
        <v>31847</v>
      </c>
      <c r="D169" s="707" t="s">
        <v>925</v>
      </c>
      <c r="E169" s="708">
        <v>1895</v>
      </c>
      <c r="F169" s="739"/>
      <c r="G169"/>
      <c r="H169"/>
      <c r="I169"/>
    </row>
    <row r="170" spans="2:9" ht="17.25">
      <c r="B170" s="705"/>
      <c r="C170" s="735"/>
      <c r="D170" s="707" t="s">
        <v>928</v>
      </c>
      <c r="E170" s="708">
        <v>25575</v>
      </c>
      <c r="F170" s="739"/>
      <c r="G170"/>
      <c r="H170"/>
      <c r="I170"/>
    </row>
    <row r="171" spans="2:9" ht="17.25">
      <c r="B171" s="705"/>
      <c r="C171" s="735"/>
      <c r="D171" s="707" t="s">
        <v>929</v>
      </c>
      <c r="E171" s="708">
        <v>16000</v>
      </c>
      <c r="F171" s="739"/>
      <c r="G171"/>
      <c r="H171"/>
      <c r="I171"/>
    </row>
    <row r="172" spans="2:9" ht="17.25">
      <c r="B172" s="740"/>
      <c r="C172" s="741"/>
      <c r="D172" s="742"/>
      <c r="E172" s="743"/>
      <c r="F172" s="744"/>
      <c r="G172"/>
      <c r="H172"/>
      <c r="I172"/>
    </row>
    <row r="173" spans="2:9" ht="18" thickBot="1">
      <c r="B173" s="745"/>
      <c r="C173" s="746">
        <f>SUM(C167:C172)</f>
        <v>110570</v>
      </c>
      <c r="D173" s="747"/>
      <c r="E173" s="748">
        <f>SUM(E167:E172)</f>
        <v>76478</v>
      </c>
      <c r="F173" s="749">
        <f>+F165+C173-E173</f>
        <v>-201279</v>
      </c>
      <c r="G173"/>
      <c r="H173"/>
      <c r="I173"/>
    </row>
    <row r="174" spans="2:9" ht="17.25">
      <c r="B174" s="725" t="s">
        <v>930</v>
      </c>
      <c r="C174" s="726"/>
      <c r="D174" s="727"/>
      <c r="E174" s="728"/>
      <c r="F174" s="738"/>
      <c r="G174"/>
      <c r="H174"/>
      <c r="I174"/>
    </row>
    <row r="175" spans="2:9" ht="17.25">
      <c r="B175" s="705" t="s">
        <v>894</v>
      </c>
      <c r="C175" s="721">
        <v>55643</v>
      </c>
      <c r="D175" s="734" t="s">
        <v>923</v>
      </c>
      <c r="E175" s="708">
        <v>29995</v>
      </c>
      <c r="F175" s="739"/>
      <c r="G175"/>
      <c r="H175"/>
      <c r="I175"/>
    </row>
    <row r="176" spans="2:9" ht="17.25">
      <c r="B176" s="705"/>
      <c r="C176" s="721"/>
      <c r="D176" s="737" t="s">
        <v>910</v>
      </c>
      <c r="E176" s="708">
        <v>128</v>
      </c>
      <c r="F176" s="739"/>
      <c r="G176"/>
      <c r="H176"/>
      <c r="I176"/>
    </row>
    <row r="177" spans="2:9" ht="17.25">
      <c r="B177" s="705" t="s">
        <v>895</v>
      </c>
      <c r="C177" s="735">
        <v>27450</v>
      </c>
      <c r="D177" s="707" t="s">
        <v>925</v>
      </c>
      <c r="E177" s="708">
        <v>1837</v>
      </c>
      <c r="F177" s="739"/>
      <c r="G177"/>
      <c r="H177"/>
      <c r="I177"/>
    </row>
    <row r="178" spans="2:9" ht="17.25">
      <c r="B178" s="705"/>
      <c r="C178" s="735"/>
      <c r="D178" s="707" t="s">
        <v>928</v>
      </c>
      <c r="E178" s="708">
        <v>111151</v>
      </c>
      <c r="F178" s="739"/>
      <c r="G178"/>
      <c r="H178"/>
      <c r="I178"/>
    </row>
    <row r="179" spans="2:9" ht="17.25">
      <c r="B179" s="705"/>
      <c r="C179" s="735"/>
      <c r="D179" s="707"/>
      <c r="E179" s="708"/>
      <c r="F179" s="739"/>
      <c r="G179"/>
      <c r="H179"/>
      <c r="I179"/>
    </row>
    <row r="180" spans="2:9" ht="17.25">
      <c r="B180" s="740"/>
      <c r="C180" s="741"/>
      <c r="D180" s="742"/>
      <c r="E180" s="743"/>
      <c r="F180" s="744"/>
      <c r="G180"/>
      <c r="H180"/>
      <c r="I180"/>
    </row>
    <row r="181" spans="2:9" ht="18" thickBot="1">
      <c r="B181" s="745"/>
      <c r="C181" s="746">
        <f>SUM(C175:C180)</f>
        <v>83093</v>
      </c>
      <c r="D181" s="747"/>
      <c r="E181" s="748">
        <f>SUM(E175:E180)</f>
        <v>143111</v>
      </c>
      <c r="F181" s="749">
        <f>+F173+C181-E181</f>
        <v>-261297</v>
      </c>
      <c r="G181"/>
      <c r="H181"/>
      <c r="I181"/>
    </row>
    <row r="182" spans="2:9" ht="17.25">
      <c r="B182" s="725" t="s">
        <v>931</v>
      </c>
      <c r="C182" s="726"/>
      <c r="D182" s="727"/>
      <c r="E182" s="728"/>
      <c r="F182" s="738"/>
      <c r="G182"/>
      <c r="H182"/>
      <c r="I182"/>
    </row>
    <row r="183" spans="2:9" ht="17.25">
      <c r="B183" s="705" t="s">
        <v>894</v>
      </c>
      <c r="C183" s="721">
        <v>83142</v>
      </c>
      <c r="D183" s="734" t="s">
        <v>923</v>
      </c>
      <c r="E183" s="708">
        <v>33745</v>
      </c>
      <c r="F183" s="739"/>
      <c r="G183"/>
      <c r="H183"/>
      <c r="I183"/>
    </row>
    <row r="184" spans="2:9" ht="17.25">
      <c r="B184" s="705" t="s">
        <v>895</v>
      </c>
      <c r="C184" s="735">
        <v>23910</v>
      </c>
      <c r="D184" s="707" t="s">
        <v>925</v>
      </c>
      <c r="E184" s="708">
        <v>1779</v>
      </c>
      <c r="F184" s="739"/>
      <c r="G184"/>
      <c r="H184"/>
      <c r="I184"/>
    </row>
    <row r="185" spans="2:9" ht="17.25">
      <c r="B185" s="705"/>
      <c r="C185" s="735"/>
      <c r="D185" s="707" t="s">
        <v>928</v>
      </c>
      <c r="E185" s="708">
        <v>24603</v>
      </c>
      <c r="F185" s="739"/>
      <c r="G185"/>
      <c r="H185"/>
      <c r="I185"/>
    </row>
    <row r="186" spans="2:9" ht="17.25">
      <c r="B186" s="705"/>
      <c r="C186" s="735"/>
      <c r="D186" s="707"/>
      <c r="E186" s="708"/>
      <c r="F186" s="739"/>
      <c r="G186"/>
      <c r="H186"/>
      <c r="I186"/>
    </row>
    <row r="187" spans="2:9" ht="17.25">
      <c r="B187" s="740"/>
      <c r="C187" s="741"/>
      <c r="D187" s="742"/>
      <c r="E187" s="743"/>
      <c r="F187" s="744"/>
      <c r="G187"/>
      <c r="H187"/>
      <c r="I187"/>
    </row>
    <row r="188" spans="2:9" ht="18" thickBot="1">
      <c r="B188" s="745"/>
      <c r="C188" s="746">
        <f>SUM(C183:C187)</f>
        <v>107052</v>
      </c>
      <c r="D188" s="747"/>
      <c r="E188" s="748">
        <f>SUM(E183:E187)</f>
        <v>60127</v>
      </c>
      <c r="F188" s="749">
        <f>+F181+C188-E188</f>
        <v>-214372</v>
      </c>
      <c r="G188"/>
      <c r="H188"/>
      <c r="I188"/>
    </row>
    <row r="189" spans="2:9" s="694" customFormat="1" ht="37.5" customHeight="1" thickBot="1">
      <c r="B189" s="695" t="s">
        <v>834</v>
      </c>
      <c r="C189" s="696" t="s">
        <v>835</v>
      </c>
      <c r="D189" s="697" t="s">
        <v>836</v>
      </c>
      <c r="E189" s="698" t="s">
        <v>837</v>
      </c>
      <c r="F189" s="699" t="s">
        <v>838</v>
      </c>
      <c r="G189" s="719"/>
    </row>
    <row r="190" spans="2:9" ht="17.25">
      <c r="B190" s="725" t="s">
        <v>932</v>
      </c>
      <c r="C190" s="726"/>
      <c r="D190" s="727"/>
      <c r="E190" s="728"/>
      <c r="F190" s="738"/>
      <c r="G190"/>
      <c r="H190"/>
      <c r="I190"/>
    </row>
    <row r="191" spans="2:9" ht="17.25">
      <c r="B191" s="705" t="s">
        <v>894</v>
      </c>
      <c r="C191" s="721">
        <v>95353</v>
      </c>
      <c r="D191" s="734" t="s">
        <v>923</v>
      </c>
      <c r="E191" s="708">
        <v>31639</v>
      </c>
      <c r="F191" s="739"/>
      <c r="G191"/>
      <c r="H191"/>
      <c r="I191"/>
    </row>
    <row r="192" spans="2:9" ht="17.25">
      <c r="B192" s="705" t="s">
        <v>895</v>
      </c>
      <c r="C192" s="735">
        <v>16052</v>
      </c>
      <c r="D192" s="707" t="s">
        <v>925</v>
      </c>
      <c r="E192" s="708">
        <v>383</v>
      </c>
      <c r="F192" s="739"/>
      <c r="G192"/>
      <c r="H192"/>
      <c r="I192"/>
    </row>
    <row r="193" spans="2:9" ht="17.25">
      <c r="B193" s="705"/>
      <c r="C193" s="735"/>
      <c r="D193" s="707" t="s">
        <v>928</v>
      </c>
      <c r="E193" s="708">
        <v>56335</v>
      </c>
      <c r="F193" s="739"/>
      <c r="G193"/>
      <c r="H193"/>
      <c r="I193"/>
    </row>
    <row r="194" spans="2:9" ht="17.25">
      <c r="B194" s="705"/>
      <c r="C194" s="735"/>
      <c r="D194" s="707"/>
      <c r="E194" s="708"/>
      <c r="F194" s="739"/>
      <c r="G194"/>
      <c r="H194"/>
      <c r="I194"/>
    </row>
    <row r="195" spans="2:9" ht="17.25">
      <c r="B195" s="740"/>
      <c r="C195" s="741"/>
      <c r="D195" s="742"/>
      <c r="E195" s="743"/>
      <c r="F195" s="744"/>
      <c r="G195"/>
      <c r="H195"/>
      <c r="I195"/>
    </row>
    <row r="196" spans="2:9" ht="18" thickBot="1">
      <c r="B196" s="745"/>
      <c r="C196" s="746">
        <f>SUM(C191:C195)</f>
        <v>111405</v>
      </c>
      <c r="D196" s="747"/>
      <c r="E196" s="748">
        <f>SUM(E191:E195)</f>
        <v>88357</v>
      </c>
      <c r="F196" s="749">
        <f>+F188+C196-E196</f>
        <v>-191324</v>
      </c>
      <c r="G196"/>
      <c r="H196"/>
      <c r="I196"/>
    </row>
    <row r="197" spans="2:9" ht="17.25">
      <c r="B197" s="725" t="s">
        <v>933</v>
      </c>
      <c r="C197" s="726"/>
      <c r="D197" s="727"/>
      <c r="E197" s="728"/>
      <c r="F197" s="738"/>
      <c r="G197"/>
      <c r="H197"/>
      <c r="I197"/>
    </row>
    <row r="198" spans="2:9" ht="17.25">
      <c r="B198" s="705" t="s">
        <v>894</v>
      </c>
      <c r="C198" s="721">
        <v>44466</v>
      </c>
      <c r="D198" s="734" t="s">
        <v>923</v>
      </c>
      <c r="E198" s="708">
        <v>29314</v>
      </c>
      <c r="F198" s="739"/>
      <c r="G198"/>
      <c r="H198"/>
      <c r="I198"/>
    </row>
    <row r="199" spans="2:9" ht="17.25">
      <c r="B199" s="705" t="s">
        <v>895</v>
      </c>
      <c r="C199" s="735">
        <v>10823</v>
      </c>
      <c r="D199" s="707" t="s">
        <v>928</v>
      </c>
      <c r="E199" s="708">
        <v>36529</v>
      </c>
      <c r="F199" s="739"/>
      <c r="G199"/>
      <c r="H199"/>
      <c r="I199"/>
    </row>
    <row r="200" spans="2:9" ht="17.25">
      <c r="B200" s="705"/>
      <c r="C200" s="735"/>
      <c r="D200" s="707"/>
      <c r="E200" s="708"/>
      <c r="F200" s="739"/>
      <c r="G200"/>
      <c r="H200"/>
      <c r="I200"/>
    </row>
    <row r="201" spans="2:9" ht="17.25">
      <c r="B201" s="740"/>
      <c r="C201" s="741"/>
      <c r="D201" s="742"/>
      <c r="E201" s="743"/>
      <c r="F201" s="744"/>
      <c r="G201"/>
      <c r="H201"/>
      <c r="I201"/>
    </row>
    <row r="202" spans="2:9" ht="18" thickBot="1">
      <c r="B202" s="745"/>
      <c r="C202" s="746">
        <f>SUM(C198:C201)</f>
        <v>55289</v>
      </c>
      <c r="D202" s="747"/>
      <c r="E202" s="748">
        <f>SUM(E198:E201)</f>
        <v>65843</v>
      </c>
      <c r="F202" s="749">
        <f>+F196+C202-E202</f>
        <v>-201878</v>
      </c>
      <c r="G202"/>
      <c r="H202"/>
      <c r="I202"/>
    </row>
    <row r="203" spans="2:9" ht="17.25">
      <c r="B203" s="725" t="s">
        <v>934</v>
      </c>
      <c r="C203" s="726"/>
      <c r="D203" s="727"/>
      <c r="E203" s="728"/>
      <c r="F203" s="738"/>
      <c r="G203"/>
      <c r="H203"/>
      <c r="I203"/>
    </row>
    <row r="204" spans="2:9" ht="17.25">
      <c r="B204" s="705" t="s">
        <v>894</v>
      </c>
      <c r="C204" s="721">
        <v>82343</v>
      </c>
      <c r="D204" s="734" t="s">
        <v>923</v>
      </c>
      <c r="E204" s="708">
        <v>29269</v>
      </c>
      <c r="F204" s="739"/>
      <c r="G204"/>
      <c r="H204"/>
      <c r="I204"/>
    </row>
    <row r="205" spans="2:9" ht="17.25">
      <c r="B205" s="705" t="s">
        <v>895</v>
      </c>
      <c r="C205" s="735">
        <v>9185</v>
      </c>
      <c r="D205" s="707" t="s">
        <v>928</v>
      </c>
      <c r="E205" s="708">
        <v>58546</v>
      </c>
      <c r="F205" s="739"/>
      <c r="G205"/>
      <c r="H205"/>
      <c r="I205"/>
    </row>
    <row r="206" spans="2:9" ht="17.25">
      <c r="B206" s="705"/>
      <c r="C206" s="735"/>
      <c r="D206" s="707"/>
      <c r="E206" s="708"/>
      <c r="F206" s="739"/>
      <c r="G206"/>
      <c r="H206"/>
      <c r="I206"/>
    </row>
    <row r="207" spans="2:9" ht="17.25">
      <c r="B207" s="740"/>
      <c r="C207" s="741"/>
      <c r="D207" s="742"/>
      <c r="E207" s="743"/>
      <c r="F207" s="744"/>
      <c r="G207"/>
      <c r="H207"/>
      <c r="I207"/>
    </row>
    <row r="208" spans="2:9" ht="18" thickBot="1">
      <c r="B208" s="745"/>
      <c r="C208" s="746">
        <f>SUM(C204:C207)</f>
        <v>91528</v>
      </c>
      <c r="D208" s="747"/>
      <c r="E208" s="748">
        <f>SUM(E204:E207)</f>
        <v>87815</v>
      </c>
      <c r="F208" s="749">
        <f>+F202+C208-E208</f>
        <v>-198165</v>
      </c>
      <c r="G208"/>
      <c r="H208"/>
      <c r="I208"/>
    </row>
    <row r="209" spans="2:9" ht="17.25">
      <c r="B209" s="725" t="s">
        <v>935</v>
      </c>
      <c r="C209" s="726"/>
      <c r="D209" s="727"/>
      <c r="E209" s="728"/>
      <c r="F209" s="738"/>
      <c r="G209"/>
      <c r="H209"/>
      <c r="I209"/>
    </row>
    <row r="210" spans="2:9" ht="17.25">
      <c r="B210" s="705" t="s">
        <v>894</v>
      </c>
      <c r="C210" s="721">
        <v>21600</v>
      </c>
      <c r="D210" s="734" t="s">
        <v>923</v>
      </c>
      <c r="E210" s="708">
        <v>55783</v>
      </c>
      <c r="F210" s="739"/>
      <c r="G210"/>
      <c r="H210"/>
      <c r="I210"/>
    </row>
    <row r="211" spans="2:9" ht="17.25">
      <c r="B211" s="705" t="s">
        <v>895</v>
      </c>
      <c r="C211" s="735">
        <v>6186</v>
      </c>
      <c r="D211" s="707" t="s">
        <v>928</v>
      </c>
      <c r="E211" s="708">
        <v>11534</v>
      </c>
      <c r="F211" s="739"/>
      <c r="G211"/>
      <c r="H211"/>
      <c r="I211"/>
    </row>
    <row r="212" spans="2:9" ht="17.25">
      <c r="B212" s="705"/>
      <c r="C212" s="735"/>
      <c r="D212" s="707"/>
      <c r="E212" s="708"/>
      <c r="F212" s="739"/>
      <c r="G212"/>
      <c r="H212"/>
      <c r="I212"/>
    </row>
    <row r="213" spans="2:9" ht="17.25">
      <c r="B213" s="740"/>
      <c r="C213" s="741"/>
      <c r="D213" s="742"/>
      <c r="E213" s="743"/>
      <c r="F213" s="744"/>
      <c r="G213"/>
      <c r="H213"/>
      <c r="I213"/>
    </row>
    <row r="214" spans="2:9" ht="18" thickBot="1">
      <c r="B214" s="745"/>
      <c r="C214" s="746">
        <f>SUM(C210:C213)</f>
        <v>27786</v>
      </c>
      <c r="D214" s="747"/>
      <c r="E214" s="748">
        <f>SUM(E210:E213)</f>
        <v>67317</v>
      </c>
      <c r="F214" s="749">
        <f>+F208+C214-E214</f>
        <v>-237696</v>
      </c>
      <c r="G214"/>
      <c r="H214"/>
      <c r="I214"/>
    </row>
    <row r="215" spans="2:9" ht="17.25">
      <c r="B215" s="725" t="s">
        <v>936</v>
      </c>
      <c r="C215" s="726"/>
      <c r="D215" s="727"/>
      <c r="E215" s="728"/>
      <c r="F215" s="738"/>
    </row>
    <row r="216" spans="2:9" ht="17.25">
      <c r="B216" s="705" t="s">
        <v>894</v>
      </c>
      <c r="C216" s="721">
        <v>93960</v>
      </c>
      <c r="D216" s="734" t="s">
        <v>923</v>
      </c>
      <c r="E216" s="750">
        <v>52136</v>
      </c>
      <c r="F216" s="739"/>
    </row>
    <row r="217" spans="2:9" ht="17.25">
      <c r="B217" s="705" t="s">
        <v>895</v>
      </c>
      <c r="C217" s="735">
        <v>3887</v>
      </c>
      <c r="D217" s="707" t="s">
        <v>928</v>
      </c>
      <c r="E217" s="708">
        <v>18742</v>
      </c>
      <c r="F217" s="739"/>
    </row>
    <row r="218" spans="2:9" ht="17.25">
      <c r="B218" s="705"/>
      <c r="C218" s="735"/>
      <c r="D218" s="707"/>
      <c r="E218" s="708"/>
      <c r="F218" s="739"/>
    </row>
    <row r="219" spans="2:9" ht="17.25">
      <c r="B219" s="740"/>
      <c r="C219" s="741"/>
      <c r="D219" s="742"/>
      <c r="E219" s="743"/>
      <c r="F219" s="744"/>
    </row>
    <row r="220" spans="2:9" ht="18" thickBot="1">
      <c r="B220" s="745"/>
      <c r="C220" s="746">
        <f>SUM(C216:C219)</f>
        <v>97847</v>
      </c>
      <c r="D220" s="747"/>
      <c r="E220" s="748">
        <f>SUM(E216:E219)</f>
        <v>70878</v>
      </c>
      <c r="F220" s="749">
        <f>+F214+C220-E220</f>
        <v>-210727</v>
      </c>
    </row>
    <row r="221" spans="2:9" ht="17.25">
      <c r="B221" s="725" t="s">
        <v>937</v>
      </c>
      <c r="C221" s="726"/>
      <c r="D221" s="727"/>
      <c r="E221" s="728"/>
      <c r="F221" s="738"/>
    </row>
    <row r="222" spans="2:9" ht="17.25">
      <c r="B222" s="705" t="s">
        <v>894</v>
      </c>
      <c r="C222" s="721">
        <v>17500</v>
      </c>
      <c r="D222" s="734" t="s">
        <v>923</v>
      </c>
      <c r="E222" s="750">
        <v>41976</v>
      </c>
      <c r="F222" s="739"/>
    </row>
    <row r="223" spans="2:9" ht="17.25">
      <c r="B223" s="705" t="s">
        <v>895</v>
      </c>
      <c r="C223" s="735">
        <v>2005</v>
      </c>
      <c r="D223" s="707" t="s">
        <v>928</v>
      </c>
      <c r="E223" s="708">
        <v>0</v>
      </c>
      <c r="F223" s="739"/>
    </row>
    <row r="224" spans="2:9" ht="17.25">
      <c r="B224" s="705"/>
      <c r="C224" s="735"/>
      <c r="D224" s="707"/>
      <c r="E224" s="708"/>
      <c r="F224" s="739"/>
    </row>
    <row r="225" spans="2:7" ht="17.25">
      <c r="B225" s="740"/>
      <c r="C225" s="741"/>
      <c r="D225" s="742"/>
      <c r="E225" s="743"/>
      <c r="F225" s="744"/>
    </row>
    <row r="226" spans="2:7" ht="18" thickBot="1">
      <c r="B226" s="745"/>
      <c r="C226" s="746">
        <f>SUM(C222:C225)</f>
        <v>19505</v>
      </c>
      <c r="D226" s="747"/>
      <c r="E226" s="748">
        <f>SUM(E222:E225)</f>
        <v>41976</v>
      </c>
      <c r="F226" s="749">
        <f>+F220+C226-E226</f>
        <v>-233198</v>
      </c>
    </row>
    <row r="227" spans="2:7" ht="17.25">
      <c r="B227" s="725" t="s">
        <v>938</v>
      </c>
      <c r="C227" s="726"/>
      <c r="D227" s="727"/>
      <c r="E227" s="728"/>
      <c r="F227" s="738"/>
    </row>
    <row r="228" spans="2:7" ht="17.25">
      <c r="B228" s="705" t="s">
        <v>894</v>
      </c>
      <c r="C228" s="751">
        <v>106236</v>
      </c>
      <c r="D228" s="734" t="s">
        <v>923</v>
      </c>
      <c r="E228" s="750">
        <v>34167</v>
      </c>
      <c r="F228" s="739"/>
    </row>
    <row r="229" spans="2:7" ht="17.25">
      <c r="B229" s="705" t="s">
        <v>895</v>
      </c>
      <c r="C229" s="735">
        <v>984</v>
      </c>
      <c r="D229" s="707" t="s">
        <v>939</v>
      </c>
      <c r="E229" s="708">
        <v>5000</v>
      </c>
      <c r="F229" s="739"/>
      <c r="G229" s="752"/>
    </row>
    <row r="230" spans="2:7" ht="17.25">
      <c r="B230" s="705"/>
      <c r="C230" s="735"/>
      <c r="D230" s="707"/>
      <c r="E230" s="708"/>
      <c r="F230" s="739"/>
    </row>
    <row r="231" spans="2:7" ht="17.25">
      <c r="B231" s="740"/>
      <c r="C231" s="741"/>
      <c r="D231" s="742"/>
      <c r="E231" s="743"/>
      <c r="F231" s="744"/>
    </row>
    <row r="232" spans="2:7" ht="18" thickBot="1">
      <c r="B232" s="745"/>
      <c r="C232" s="746">
        <f>SUM(C228:C231)</f>
        <v>107220</v>
      </c>
      <c r="D232" s="747"/>
      <c r="E232" s="748">
        <f>SUM(E228:E231)</f>
        <v>39167</v>
      </c>
      <c r="F232" s="749">
        <f>+F226+C232-E232</f>
        <v>-165145</v>
      </c>
    </row>
    <row r="233" spans="2:7" ht="17.25">
      <c r="B233" s="725" t="s">
        <v>711</v>
      </c>
      <c r="C233" s="726"/>
      <c r="D233" s="727"/>
      <c r="E233" s="728"/>
      <c r="F233" s="738"/>
    </row>
    <row r="234" spans="2:7" ht="17.25">
      <c r="B234" s="705" t="s">
        <v>894</v>
      </c>
      <c r="C234" s="751">
        <v>48700</v>
      </c>
      <c r="D234" s="734" t="s">
        <v>923</v>
      </c>
      <c r="E234" s="750">
        <v>50379</v>
      </c>
      <c r="F234" s="739"/>
    </row>
    <row r="235" spans="2:7" ht="17.25">
      <c r="B235" s="705" t="s">
        <v>895</v>
      </c>
      <c r="C235" s="735">
        <v>2037</v>
      </c>
      <c r="D235" s="707" t="s">
        <v>939</v>
      </c>
      <c r="E235" s="708">
        <v>0</v>
      </c>
      <c r="F235" s="739"/>
    </row>
    <row r="236" spans="2:7" ht="17.25">
      <c r="B236" s="705"/>
      <c r="C236" s="735"/>
      <c r="D236" s="707"/>
      <c r="E236" s="708"/>
      <c r="F236" s="739"/>
    </row>
    <row r="237" spans="2:7" ht="17.25">
      <c r="B237" s="740"/>
      <c r="C237" s="741"/>
      <c r="D237" s="742"/>
      <c r="E237" s="743"/>
      <c r="F237" s="744"/>
    </row>
    <row r="238" spans="2:7" ht="18" thickBot="1">
      <c r="B238" s="745"/>
      <c r="C238" s="746">
        <f>SUM(C234:C237)</f>
        <v>50737</v>
      </c>
      <c r="D238" s="747"/>
      <c r="E238" s="748">
        <f>SUM(E234:E237)</f>
        <v>50379</v>
      </c>
      <c r="F238" s="749">
        <f>+F232+C238-E238</f>
        <v>-164787</v>
      </c>
    </row>
    <row r="239" spans="2:7" ht="17.25">
      <c r="B239" s="725" t="s">
        <v>712</v>
      </c>
      <c r="C239" s="726"/>
      <c r="D239" s="727"/>
      <c r="E239" s="728"/>
      <c r="F239" s="738"/>
    </row>
    <row r="240" spans="2:7" ht="17.25">
      <c r="B240" s="705" t="s">
        <v>894</v>
      </c>
      <c r="C240" s="751">
        <v>75502</v>
      </c>
      <c r="D240" s="734" t="s">
        <v>923</v>
      </c>
      <c r="E240" s="750">
        <v>76343</v>
      </c>
      <c r="F240" s="739"/>
    </row>
    <row r="241" spans="2:6" ht="17.25">
      <c r="B241" s="705" t="s">
        <v>895</v>
      </c>
      <c r="C241" s="735">
        <f>2951-16</f>
        <v>2935</v>
      </c>
      <c r="D241" s="707" t="s">
        <v>939</v>
      </c>
      <c r="E241" s="708">
        <v>0</v>
      </c>
      <c r="F241" s="739"/>
    </row>
    <row r="242" spans="2:6" ht="17.25">
      <c r="B242" s="705"/>
      <c r="C242" s="735"/>
      <c r="D242" s="707"/>
      <c r="E242" s="708"/>
      <c r="F242" s="739"/>
    </row>
    <row r="243" spans="2:6" ht="17.25">
      <c r="B243" s="740"/>
      <c r="C243" s="741"/>
      <c r="D243" s="742"/>
      <c r="E243" s="743"/>
      <c r="F243" s="744"/>
    </row>
    <row r="244" spans="2:6" ht="18" thickBot="1">
      <c r="B244" s="745"/>
      <c r="C244" s="746">
        <f>SUM(C240:C243)</f>
        <v>78437</v>
      </c>
      <c r="D244" s="747"/>
      <c r="E244" s="748">
        <f>SUM(E240:E243)</f>
        <v>76343</v>
      </c>
      <c r="F244" s="749">
        <f>+F238+C244-E244</f>
        <v>-162693</v>
      </c>
    </row>
    <row r="245" spans="2:6" ht="16.5">
      <c r="B245" s="753"/>
      <c r="C245" s="754"/>
      <c r="D245" s="753"/>
      <c r="E245" s="754"/>
      <c r="F245" s="753"/>
    </row>
    <row r="246" spans="2:6" ht="16.5">
      <c r="B246" s="753"/>
      <c r="C246" s="754"/>
      <c r="D246" s="753"/>
      <c r="E246" s="754"/>
      <c r="F246" s="753"/>
    </row>
    <row r="247" spans="2:6" ht="16.5">
      <c r="B247" s="753"/>
      <c r="C247" s="754"/>
      <c r="D247" s="753"/>
      <c r="E247" s="754"/>
      <c r="F247" s="753"/>
    </row>
    <row r="248" spans="2:6" ht="16.5">
      <c r="B248" s="753"/>
      <c r="C248" s="754"/>
      <c r="D248" s="753"/>
      <c r="E248" s="754"/>
      <c r="F248" s="753"/>
    </row>
    <row r="249" spans="2:6" ht="16.5">
      <c r="B249" s="753"/>
      <c r="C249" s="754"/>
      <c r="D249" s="753"/>
      <c r="E249" s="754"/>
      <c r="F249" s="753"/>
    </row>
    <row r="250" spans="2:6" ht="16.5">
      <c r="B250" s="753"/>
      <c r="C250" s="754"/>
      <c r="D250" s="753"/>
      <c r="E250" s="754"/>
      <c r="F250" s="753"/>
    </row>
    <row r="251" spans="2:6" ht="16.5">
      <c r="B251" s="753"/>
      <c r="C251" s="754"/>
      <c r="D251" s="753"/>
      <c r="E251" s="754"/>
      <c r="F251" s="753"/>
    </row>
    <row r="252" spans="2:6" ht="16.5">
      <c r="B252" s="753"/>
      <c r="C252" s="754"/>
      <c r="D252" s="753"/>
      <c r="E252" s="754"/>
      <c r="F252" s="753"/>
    </row>
    <row r="253" spans="2:6" ht="16.5">
      <c r="B253" s="753"/>
      <c r="C253" s="754"/>
      <c r="D253" s="753"/>
      <c r="E253" s="754"/>
      <c r="F253" s="753"/>
    </row>
    <row r="254" spans="2:6" ht="16.5">
      <c r="B254" s="753"/>
      <c r="C254" s="754"/>
      <c r="D254" s="753"/>
      <c r="E254" s="754"/>
      <c r="F254" s="753"/>
    </row>
    <row r="255" spans="2:6" ht="16.5">
      <c r="B255" s="753"/>
      <c r="C255" s="754"/>
      <c r="D255" s="753"/>
      <c r="E255" s="754"/>
      <c r="F255" s="753"/>
    </row>
    <row r="256" spans="2:6" ht="16.5">
      <c r="B256" s="753"/>
      <c r="C256" s="754"/>
      <c r="D256" s="753"/>
      <c r="E256" s="754"/>
      <c r="F256" s="753"/>
    </row>
    <row r="257" spans="2:6" ht="16.5">
      <c r="B257" s="753"/>
      <c r="C257" s="754"/>
      <c r="D257" s="753"/>
      <c r="E257" s="754"/>
      <c r="F257" s="753"/>
    </row>
    <row r="258" spans="2:6" ht="16.5">
      <c r="B258" s="753"/>
      <c r="C258" s="754"/>
      <c r="D258" s="753"/>
      <c r="E258" s="754"/>
      <c r="F258" s="753"/>
    </row>
    <row r="259" spans="2:6" ht="16.5">
      <c r="B259" s="753"/>
      <c r="C259" s="754"/>
      <c r="D259" s="753"/>
      <c r="E259" s="754"/>
      <c r="F259" s="753"/>
    </row>
    <row r="260" spans="2:6" ht="16.5">
      <c r="B260" s="753"/>
      <c r="C260" s="754"/>
      <c r="D260" s="753"/>
      <c r="E260" s="754"/>
      <c r="F260" s="753"/>
    </row>
    <row r="261" spans="2:6" ht="16.5">
      <c r="B261" s="753"/>
      <c r="C261" s="754"/>
      <c r="D261" s="753"/>
      <c r="E261" s="754"/>
      <c r="F261" s="753"/>
    </row>
    <row r="262" spans="2:6" ht="16.5">
      <c r="B262" s="753"/>
      <c r="C262" s="754"/>
      <c r="D262" s="753"/>
      <c r="E262" s="754"/>
      <c r="F262" s="753"/>
    </row>
    <row r="263" spans="2:6" ht="16.5">
      <c r="B263" s="753"/>
      <c r="C263" s="754"/>
      <c r="D263" s="753"/>
      <c r="E263" s="754"/>
      <c r="F263" s="753"/>
    </row>
    <row r="264" spans="2:6" ht="16.5">
      <c r="B264" s="753"/>
      <c r="C264" s="754"/>
      <c r="D264" s="753"/>
      <c r="E264" s="754"/>
      <c r="F264" s="753"/>
    </row>
    <row r="265" spans="2:6" ht="16.5">
      <c r="B265" s="753"/>
      <c r="C265" s="754"/>
      <c r="D265" s="753"/>
      <c r="E265" s="754"/>
      <c r="F265" s="753"/>
    </row>
    <row r="266" spans="2:6" ht="16.5">
      <c r="B266" s="753"/>
      <c r="C266" s="754"/>
      <c r="D266" s="753"/>
      <c r="E266" s="754"/>
      <c r="F266" s="753"/>
    </row>
    <row r="267" spans="2:6" ht="16.5">
      <c r="B267" s="753"/>
      <c r="C267" s="754"/>
      <c r="D267" s="753"/>
      <c r="E267" s="754"/>
      <c r="F267" s="753"/>
    </row>
    <row r="268" spans="2:6" ht="16.5">
      <c r="B268" s="753"/>
      <c r="C268" s="754"/>
      <c r="D268" s="753"/>
      <c r="E268" s="754"/>
      <c r="F268" s="753"/>
    </row>
    <row r="269" spans="2:6" ht="16.5">
      <c r="B269" s="753"/>
      <c r="C269" s="754"/>
      <c r="D269" s="753"/>
      <c r="E269" s="754"/>
      <c r="F269" s="753"/>
    </row>
    <row r="270" spans="2:6" ht="16.5">
      <c r="B270" s="753"/>
      <c r="C270" s="754"/>
      <c r="D270" s="753"/>
      <c r="E270" s="754"/>
      <c r="F270" s="753"/>
    </row>
    <row r="271" spans="2:6" ht="16.5">
      <c r="B271" s="753"/>
      <c r="C271" s="754"/>
      <c r="D271" s="753"/>
      <c r="E271" s="754"/>
      <c r="F271" s="753"/>
    </row>
    <row r="272" spans="2:6" ht="16.5">
      <c r="B272" s="753"/>
      <c r="C272" s="754"/>
      <c r="D272" s="753"/>
      <c r="E272" s="754"/>
      <c r="F272" s="753"/>
    </row>
    <row r="273" spans="2:6" ht="16.5">
      <c r="B273" s="753"/>
      <c r="C273" s="754"/>
      <c r="D273" s="753"/>
      <c r="E273" s="754"/>
      <c r="F273" s="753"/>
    </row>
    <row r="274" spans="2:6" ht="16.5">
      <c r="B274" s="753"/>
      <c r="C274" s="754"/>
      <c r="D274" s="753"/>
      <c r="E274" s="754"/>
      <c r="F274" s="753"/>
    </row>
    <row r="275" spans="2:6" ht="16.5">
      <c r="B275" s="753"/>
      <c r="C275" s="754"/>
      <c r="D275" s="753"/>
      <c r="E275" s="754"/>
      <c r="F275" s="753"/>
    </row>
    <row r="276" spans="2:6" ht="16.5">
      <c r="B276" s="753"/>
      <c r="C276" s="754"/>
      <c r="D276" s="753"/>
      <c r="E276" s="754"/>
      <c r="F276" s="753"/>
    </row>
    <row r="277" spans="2:6" ht="16.5">
      <c r="B277" s="753"/>
      <c r="C277" s="754"/>
      <c r="D277" s="753"/>
      <c r="E277" s="754"/>
      <c r="F277" s="753"/>
    </row>
    <row r="278" spans="2:6" ht="16.5">
      <c r="B278" s="753"/>
      <c r="C278" s="754"/>
      <c r="D278" s="753"/>
      <c r="E278" s="754"/>
      <c r="F278" s="753"/>
    </row>
    <row r="279" spans="2:6" ht="16.5">
      <c r="B279" s="753"/>
      <c r="C279" s="754"/>
      <c r="D279" s="753"/>
      <c r="E279" s="754"/>
      <c r="F279" s="753"/>
    </row>
    <row r="280" spans="2:6" ht="16.5">
      <c r="B280" s="753"/>
      <c r="C280" s="754"/>
      <c r="D280" s="753"/>
      <c r="E280" s="754"/>
      <c r="F280" s="753"/>
    </row>
    <row r="281" spans="2:6" ht="16.5">
      <c r="B281" s="753"/>
      <c r="C281" s="754"/>
      <c r="D281" s="753"/>
      <c r="E281" s="754"/>
      <c r="F281" s="753"/>
    </row>
    <row r="282" spans="2:6" ht="16.5">
      <c r="B282" s="753"/>
      <c r="C282" s="754"/>
      <c r="D282" s="753"/>
      <c r="E282" s="754"/>
      <c r="F282" s="753"/>
    </row>
    <row r="283" spans="2:6" ht="16.5">
      <c r="B283" s="753"/>
      <c r="C283" s="754"/>
      <c r="D283" s="753"/>
      <c r="E283" s="754"/>
      <c r="F283" s="753"/>
    </row>
    <row r="284" spans="2:6" ht="16.5">
      <c r="B284" s="753"/>
      <c r="C284" s="754"/>
      <c r="D284" s="753"/>
      <c r="E284" s="754"/>
      <c r="F284" s="753"/>
    </row>
    <row r="285" spans="2:6" ht="16.5">
      <c r="B285" s="753"/>
      <c r="C285" s="754"/>
      <c r="D285" s="753"/>
      <c r="E285" s="754"/>
      <c r="F285" s="753"/>
    </row>
    <row r="286" spans="2:6" ht="16.5">
      <c r="B286" s="753"/>
      <c r="C286" s="754"/>
      <c r="D286" s="753"/>
      <c r="E286" s="754"/>
      <c r="F286" s="753"/>
    </row>
    <row r="287" spans="2:6" ht="16.5">
      <c r="B287" s="753"/>
      <c r="C287" s="754"/>
      <c r="D287" s="753"/>
      <c r="E287" s="754"/>
      <c r="F287" s="753"/>
    </row>
    <row r="288" spans="2:6" ht="16.5">
      <c r="B288" s="753"/>
      <c r="C288" s="754"/>
      <c r="D288" s="753"/>
      <c r="E288" s="754"/>
      <c r="F288" s="753"/>
    </row>
    <row r="289" spans="2:6" ht="16.5">
      <c r="B289" s="753"/>
      <c r="C289" s="754"/>
      <c r="D289" s="753"/>
      <c r="E289" s="754"/>
      <c r="F289" s="753"/>
    </row>
    <row r="290" spans="2:6" ht="16.5">
      <c r="B290" s="753"/>
      <c r="C290" s="754"/>
      <c r="D290" s="753"/>
      <c r="E290" s="754"/>
      <c r="F290" s="753"/>
    </row>
    <row r="291" spans="2:6" ht="16.5">
      <c r="B291" s="753"/>
      <c r="C291" s="754"/>
      <c r="D291" s="753"/>
      <c r="E291" s="754"/>
      <c r="F291" s="753"/>
    </row>
    <row r="292" spans="2:6" ht="16.5">
      <c r="B292" s="753"/>
      <c r="C292" s="754"/>
      <c r="D292" s="753"/>
      <c r="E292" s="754"/>
      <c r="F292" s="753"/>
    </row>
    <row r="293" spans="2:6" ht="16.5">
      <c r="B293" s="753"/>
      <c r="C293" s="754"/>
      <c r="D293" s="753"/>
      <c r="E293" s="754"/>
      <c r="F293" s="753"/>
    </row>
    <row r="294" spans="2:6" ht="16.5">
      <c r="B294" s="753"/>
      <c r="C294" s="754"/>
      <c r="D294" s="753"/>
      <c r="E294" s="754"/>
      <c r="F294" s="753"/>
    </row>
    <row r="295" spans="2:6" ht="16.5">
      <c r="B295" s="753"/>
      <c r="C295" s="754"/>
      <c r="D295" s="753"/>
      <c r="E295" s="754"/>
      <c r="F295" s="753"/>
    </row>
    <row r="296" spans="2:6" ht="16.5">
      <c r="B296" s="753"/>
      <c r="C296" s="754"/>
      <c r="D296" s="753"/>
      <c r="E296" s="754"/>
      <c r="F296" s="753"/>
    </row>
    <row r="297" spans="2:6" ht="16.5">
      <c r="B297" s="753"/>
      <c r="C297" s="754"/>
      <c r="D297" s="753"/>
      <c r="E297" s="754"/>
      <c r="F297" s="753"/>
    </row>
    <row r="298" spans="2:6" ht="16.5">
      <c r="B298" s="753"/>
      <c r="C298" s="754"/>
      <c r="D298" s="753"/>
      <c r="E298" s="754"/>
      <c r="F298" s="753"/>
    </row>
    <row r="299" spans="2:6" ht="16.5">
      <c r="B299" s="753"/>
      <c r="C299" s="754"/>
      <c r="D299" s="753"/>
      <c r="E299" s="754"/>
      <c r="F299" s="753"/>
    </row>
    <row r="300" spans="2:6" ht="16.5">
      <c r="B300" s="753"/>
      <c r="C300" s="754"/>
      <c r="D300" s="753"/>
      <c r="E300" s="754"/>
      <c r="F300" s="753"/>
    </row>
    <row r="301" spans="2:6" ht="16.5">
      <c r="B301" s="753"/>
      <c r="C301" s="754"/>
      <c r="D301" s="753"/>
      <c r="E301" s="754"/>
      <c r="F301" s="753"/>
    </row>
    <row r="302" spans="2:6" ht="16.5">
      <c r="B302" s="753"/>
      <c r="C302" s="754"/>
      <c r="D302" s="753"/>
      <c r="E302" s="754"/>
      <c r="F302" s="753"/>
    </row>
    <row r="303" spans="2:6" ht="16.5">
      <c r="B303" s="753"/>
      <c r="C303" s="754"/>
      <c r="D303" s="753"/>
      <c r="E303" s="754"/>
      <c r="F303" s="753"/>
    </row>
    <row r="304" spans="2:6" ht="16.5">
      <c r="B304" s="753"/>
      <c r="C304" s="754"/>
      <c r="D304" s="753"/>
      <c r="E304" s="754"/>
      <c r="F304" s="753"/>
    </row>
    <row r="305" spans="2:6" ht="16.5">
      <c r="B305" s="753"/>
      <c r="C305" s="754"/>
      <c r="D305" s="753"/>
      <c r="E305" s="754"/>
      <c r="F305" s="753"/>
    </row>
    <row r="306" spans="2:6" ht="16.5">
      <c r="B306" s="753"/>
      <c r="C306" s="754"/>
      <c r="D306" s="753"/>
      <c r="E306" s="754"/>
      <c r="F306" s="753"/>
    </row>
    <row r="307" spans="2:6" ht="16.5">
      <c r="B307" s="753"/>
      <c r="C307" s="754"/>
      <c r="D307" s="753"/>
      <c r="E307" s="754"/>
      <c r="F307" s="753"/>
    </row>
    <row r="308" spans="2:6" ht="16.5">
      <c r="B308" s="753"/>
      <c r="C308" s="754"/>
      <c r="D308" s="753"/>
      <c r="E308" s="754"/>
      <c r="F308" s="753"/>
    </row>
    <row r="309" spans="2:6" ht="16.5">
      <c r="B309" s="753"/>
      <c r="C309" s="754"/>
      <c r="D309" s="753"/>
      <c r="E309" s="754"/>
      <c r="F309" s="753"/>
    </row>
    <row r="310" spans="2:6" ht="16.5">
      <c r="B310" s="753"/>
      <c r="C310" s="754"/>
      <c r="D310" s="753"/>
      <c r="E310" s="754"/>
      <c r="F310" s="753"/>
    </row>
    <row r="311" spans="2:6" ht="16.5">
      <c r="B311" s="753"/>
      <c r="C311" s="754"/>
      <c r="D311" s="753"/>
      <c r="E311" s="754"/>
      <c r="F311" s="753"/>
    </row>
    <row r="312" spans="2:6" ht="16.5">
      <c r="B312" s="753"/>
      <c r="C312" s="754"/>
      <c r="D312" s="753"/>
      <c r="E312" s="754"/>
      <c r="F312" s="753"/>
    </row>
    <row r="313" spans="2:6" ht="16.5">
      <c r="B313" s="753"/>
      <c r="C313" s="754"/>
      <c r="D313" s="753"/>
      <c r="E313" s="754"/>
      <c r="F313" s="753"/>
    </row>
    <row r="314" spans="2:6" ht="16.5">
      <c r="B314" s="753"/>
      <c r="C314" s="754"/>
      <c r="D314" s="753"/>
      <c r="E314" s="754"/>
      <c r="F314" s="753"/>
    </row>
    <row r="315" spans="2:6" ht="16.5">
      <c r="B315" s="753"/>
      <c r="C315" s="754"/>
      <c r="D315" s="753"/>
      <c r="E315" s="754"/>
      <c r="F315" s="753"/>
    </row>
    <row r="316" spans="2:6" ht="16.5">
      <c r="B316" s="753"/>
      <c r="C316" s="754"/>
      <c r="D316" s="753"/>
      <c r="E316" s="754"/>
      <c r="F316" s="753"/>
    </row>
    <row r="317" spans="2:6" ht="16.5">
      <c r="B317" s="753"/>
      <c r="C317" s="754"/>
      <c r="D317" s="753"/>
      <c r="E317" s="754"/>
      <c r="F317" s="753"/>
    </row>
    <row r="318" spans="2:6" ht="16.5">
      <c r="B318" s="753"/>
      <c r="C318" s="754"/>
      <c r="D318" s="753"/>
      <c r="E318" s="754"/>
      <c r="F318" s="753"/>
    </row>
    <row r="319" spans="2:6" ht="16.5">
      <c r="B319" s="753"/>
      <c r="C319" s="754"/>
      <c r="D319" s="753"/>
      <c r="E319" s="754"/>
      <c r="F319" s="753"/>
    </row>
    <row r="320" spans="2:6" ht="16.5">
      <c r="B320" s="753"/>
      <c r="C320" s="754"/>
      <c r="D320" s="753"/>
      <c r="E320" s="754"/>
      <c r="F320" s="753"/>
    </row>
    <row r="321" spans="2:6" ht="16.5">
      <c r="B321" s="753"/>
      <c r="C321" s="754"/>
      <c r="D321" s="753"/>
      <c r="E321" s="754"/>
      <c r="F321" s="753"/>
    </row>
    <row r="322" spans="2:6" ht="16.5">
      <c r="B322" s="753"/>
      <c r="C322" s="754"/>
      <c r="D322" s="753"/>
      <c r="E322" s="754"/>
      <c r="F322" s="753"/>
    </row>
    <row r="323" spans="2:6" ht="16.5">
      <c r="B323" s="753"/>
      <c r="C323" s="754"/>
      <c r="D323" s="753"/>
      <c r="E323" s="754"/>
      <c r="F323" s="753"/>
    </row>
    <row r="324" spans="2:6" ht="16.5">
      <c r="B324" s="753"/>
      <c r="C324" s="754"/>
      <c r="D324" s="753"/>
      <c r="E324" s="754"/>
      <c r="F324" s="753"/>
    </row>
    <row r="325" spans="2:6" ht="16.5">
      <c r="B325" s="753"/>
      <c r="C325" s="754"/>
      <c r="D325" s="753"/>
      <c r="E325" s="754"/>
      <c r="F325" s="753"/>
    </row>
    <row r="326" spans="2:6" ht="16.5">
      <c r="B326" s="753"/>
      <c r="C326" s="754"/>
      <c r="D326" s="753"/>
      <c r="E326" s="754"/>
      <c r="F326" s="753"/>
    </row>
    <row r="327" spans="2:6" ht="16.5">
      <c r="B327" s="753"/>
      <c r="C327" s="754"/>
      <c r="D327" s="753"/>
      <c r="E327" s="754"/>
      <c r="F327" s="753"/>
    </row>
    <row r="328" spans="2:6" ht="16.5">
      <c r="B328" s="753"/>
      <c r="C328" s="754"/>
      <c r="D328" s="753"/>
      <c r="E328" s="754"/>
      <c r="F328" s="753"/>
    </row>
    <row r="329" spans="2:6" ht="16.5">
      <c r="B329" s="753"/>
      <c r="C329" s="754"/>
      <c r="D329" s="753"/>
      <c r="E329" s="754"/>
      <c r="F329" s="753"/>
    </row>
    <row r="330" spans="2:6" ht="16.5">
      <c r="B330" s="753"/>
      <c r="C330" s="754"/>
      <c r="D330" s="753"/>
      <c r="E330" s="754"/>
      <c r="F330" s="753"/>
    </row>
    <row r="331" spans="2:6" ht="16.5">
      <c r="B331" s="753"/>
      <c r="C331" s="754"/>
      <c r="D331" s="753"/>
      <c r="E331" s="754"/>
      <c r="F331" s="753"/>
    </row>
    <row r="332" spans="2:6" ht="16.5">
      <c r="B332" s="753"/>
      <c r="C332" s="754"/>
      <c r="D332" s="753"/>
      <c r="E332" s="754"/>
      <c r="F332" s="753"/>
    </row>
    <row r="333" spans="2:6" ht="16.5">
      <c r="B333" s="753"/>
      <c r="C333" s="754"/>
      <c r="D333" s="753"/>
      <c r="E333" s="754"/>
      <c r="F333" s="753"/>
    </row>
    <row r="334" spans="2:6" ht="16.5">
      <c r="B334" s="753"/>
      <c r="C334" s="754"/>
      <c r="D334" s="753"/>
      <c r="E334" s="754"/>
      <c r="F334" s="753"/>
    </row>
    <row r="335" spans="2:6" ht="16.5">
      <c r="B335" s="753"/>
      <c r="C335" s="754"/>
      <c r="D335" s="753"/>
      <c r="E335" s="754"/>
      <c r="F335" s="753"/>
    </row>
    <row r="336" spans="2:6" ht="16.5">
      <c r="B336" s="753"/>
      <c r="C336" s="754"/>
      <c r="D336" s="753"/>
      <c r="E336" s="754"/>
      <c r="F336" s="753"/>
    </row>
    <row r="337" spans="2:6" ht="16.5">
      <c r="B337" s="753"/>
      <c r="C337" s="754"/>
      <c r="D337" s="753"/>
      <c r="E337" s="754"/>
      <c r="F337" s="753"/>
    </row>
    <row r="338" spans="2:6" ht="16.5">
      <c r="B338" s="753"/>
      <c r="C338" s="754"/>
      <c r="D338" s="753"/>
      <c r="E338" s="754"/>
      <c r="F338" s="753"/>
    </row>
    <row r="339" spans="2:6" ht="16.5">
      <c r="B339" s="753"/>
      <c r="C339" s="754"/>
      <c r="D339" s="753"/>
      <c r="E339" s="754"/>
      <c r="F339" s="753"/>
    </row>
    <row r="340" spans="2:6" ht="16.5">
      <c r="B340" s="753"/>
      <c r="C340" s="754"/>
      <c r="D340" s="753"/>
      <c r="E340" s="754"/>
      <c r="F340" s="753"/>
    </row>
    <row r="341" spans="2:6" ht="16.5">
      <c r="B341" s="753"/>
      <c r="C341" s="754"/>
      <c r="D341" s="753"/>
      <c r="E341" s="754"/>
      <c r="F341" s="753"/>
    </row>
    <row r="342" spans="2:6" ht="16.5">
      <c r="B342" s="753"/>
      <c r="C342" s="754"/>
      <c r="D342" s="753"/>
      <c r="E342" s="754"/>
      <c r="F342" s="753"/>
    </row>
    <row r="343" spans="2:6" ht="16.5">
      <c r="B343" s="753"/>
      <c r="C343" s="754"/>
      <c r="D343" s="753"/>
      <c r="E343" s="754"/>
      <c r="F343" s="753"/>
    </row>
    <row r="344" spans="2:6" ht="16.5">
      <c r="B344" s="753"/>
      <c r="C344" s="754"/>
      <c r="D344" s="753"/>
      <c r="E344" s="754"/>
      <c r="F344" s="753"/>
    </row>
    <row r="345" spans="2:6" ht="16.5">
      <c r="B345" s="753"/>
      <c r="C345" s="754"/>
      <c r="D345" s="753"/>
      <c r="E345" s="754"/>
      <c r="F345" s="753"/>
    </row>
    <row r="346" spans="2:6" ht="16.5">
      <c r="B346" s="753"/>
      <c r="C346" s="754"/>
      <c r="D346" s="753"/>
      <c r="E346" s="754"/>
      <c r="F346" s="753"/>
    </row>
    <row r="347" spans="2:6" ht="16.5">
      <c r="B347" s="753"/>
      <c r="C347" s="754"/>
      <c r="D347" s="753"/>
      <c r="E347" s="754"/>
      <c r="F347" s="753"/>
    </row>
    <row r="348" spans="2:6" ht="16.5">
      <c r="B348" s="753"/>
      <c r="C348" s="754"/>
      <c r="D348" s="753"/>
      <c r="E348" s="754"/>
      <c r="F348" s="753"/>
    </row>
    <row r="349" spans="2:6" ht="16.5">
      <c r="B349" s="753"/>
      <c r="C349" s="754"/>
      <c r="D349" s="753"/>
      <c r="E349" s="754"/>
      <c r="F349" s="753"/>
    </row>
    <row r="350" spans="2:6" ht="16.5">
      <c r="B350" s="753"/>
      <c r="C350" s="754"/>
      <c r="D350" s="753"/>
      <c r="E350" s="754"/>
      <c r="F350" s="753"/>
    </row>
    <row r="351" spans="2:6" ht="16.5">
      <c r="B351" s="753"/>
      <c r="C351" s="754"/>
      <c r="D351" s="753"/>
      <c r="E351" s="754"/>
      <c r="F351" s="753"/>
    </row>
    <row r="352" spans="2:6" ht="16.5">
      <c r="B352" s="753"/>
      <c r="C352" s="754"/>
      <c r="D352" s="753"/>
      <c r="E352" s="754"/>
      <c r="F352" s="753"/>
    </row>
    <row r="353" spans="2:6" ht="16.5">
      <c r="B353" s="753"/>
      <c r="C353" s="754"/>
      <c r="D353" s="753"/>
      <c r="E353" s="754"/>
      <c r="F353" s="753"/>
    </row>
    <row r="354" spans="2:6" ht="16.5">
      <c r="B354" s="753"/>
      <c r="C354" s="754"/>
      <c r="D354" s="753"/>
      <c r="E354" s="754"/>
      <c r="F354" s="753"/>
    </row>
    <row r="355" spans="2:6" ht="16.5">
      <c r="B355" s="753"/>
      <c r="C355" s="754"/>
      <c r="D355" s="753"/>
      <c r="E355" s="754"/>
      <c r="F355" s="753"/>
    </row>
    <row r="356" spans="2:6" ht="16.5">
      <c r="B356" s="753"/>
      <c r="C356" s="754"/>
      <c r="D356" s="753"/>
      <c r="E356" s="754"/>
      <c r="F356" s="753"/>
    </row>
    <row r="357" spans="2:6" ht="16.5">
      <c r="B357" s="753"/>
      <c r="C357" s="754"/>
      <c r="D357" s="753"/>
      <c r="E357" s="754"/>
      <c r="F357" s="753"/>
    </row>
    <row r="358" spans="2:6" ht="16.5">
      <c r="B358" s="753"/>
      <c r="C358" s="754"/>
      <c r="D358" s="753"/>
      <c r="E358" s="754"/>
      <c r="F358" s="753"/>
    </row>
  </sheetData>
  <mergeCells count="6">
    <mergeCell ref="B8:F8"/>
    <mergeCell ref="B3:F3"/>
    <mergeCell ref="B4:F4"/>
    <mergeCell ref="B5:F5"/>
    <mergeCell ref="B6:F6"/>
    <mergeCell ref="B7:F7"/>
  </mergeCells>
  <printOptions horizontalCentered="1" verticalCentered="1"/>
  <pageMargins left="0.19685039370078741" right="0.19685039370078741" top="0.19685039370078741" bottom="0.19685039370078741" header="0" footer="0.31496062992125984"/>
  <pageSetup paperSize="9" scale="62" orientation="portrait" r:id="rId1"/>
  <headerFooter alignWithMargins="0">
    <oddHeader>&amp;C &amp;R&amp;"-,Félkövér"&amp;11 25. melléklet a …/2026. (…….) önkormányzati rendelethez</oddHeader>
    <oddFooter xml:space="preserve">&amp;C </oddFooter>
  </headerFooter>
  <rowBreaks count="3" manualBreakCount="3">
    <brk id="70" min="1" max="5" man="1"/>
    <brk id="134" min="1" max="5" man="1"/>
    <brk id="188" min="1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E0A57-EBAD-466D-9284-1A75A0D7B9DA}">
  <dimension ref="B2:U47"/>
  <sheetViews>
    <sheetView zoomScale="75" zoomScaleNormal="75" workbookViewId="0">
      <selection activeCell="B3" sqref="B3:G3"/>
    </sheetView>
  </sheetViews>
  <sheetFormatPr defaultColWidth="12" defaultRowHeight="15"/>
  <cols>
    <col min="1" max="1" width="3.6640625" style="755" customWidth="1"/>
    <col min="2" max="2" width="6.6640625" style="755" customWidth="1"/>
    <col min="3" max="4" width="12" style="755" customWidth="1"/>
    <col min="5" max="5" width="111.33203125" style="755" customWidth="1"/>
    <col min="6" max="6" width="21.33203125" style="756" customWidth="1"/>
    <col min="7" max="7" width="21.33203125" style="755" customWidth="1"/>
    <col min="8" max="8" width="17.5" style="755" customWidth="1"/>
    <col min="9" max="9" width="25" style="755" customWidth="1"/>
    <col min="10" max="10" width="18.1640625" style="755" customWidth="1"/>
    <col min="11" max="11" width="12" style="755" customWidth="1"/>
    <col min="12" max="12" width="14.5" style="755" customWidth="1"/>
    <col min="13" max="16384" width="12" style="755"/>
  </cols>
  <sheetData>
    <row r="2" spans="2:21" ht="18">
      <c r="G2" s="757"/>
    </row>
    <row r="3" spans="2:21" ht="24" customHeight="1">
      <c r="B3" s="2016" t="s">
        <v>940</v>
      </c>
      <c r="C3" s="2016"/>
      <c r="D3" s="2016"/>
      <c r="E3" s="2016"/>
      <c r="F3" s="2016"/>
      <c r="G3" s="2016"/>
      <c r="H3" s="758"/>
    </row>
    <row r="4" spans="2:21" ht="24.75" customHeight="1">
      <c r="B4" s="2016" t="s">
        <v>1151</v>
      </c>
      <c r="C4" s="2016"/>
      <c r="D4" s="2016"/>
      <c r="E4" s="2016"/>
      <c r="F4" s="2016"/>
      <c r="G4" s="2016"/>
      <c r="H4" s="759"/>
    </row>
    <row r="5" spans="2:21" ht="15.75">
      <c r="B5" s="760"/>
      <c r="C5" s="760"/>
      <c r="D5" s="761"/>
      <c r="E5" s="761"/>
      <c r="F5" s="762"/>
      <c r="G5" s="760"/>
    </row>
    <row r="6" spans="2:21" ht="16.5" thickBot="1">
      <c r="B6" s="760"/>
      <c r="C6" s="760" t="s">
        <v>48</v>
      </c>
      <c r="D6" s="760"/>
      <c r="E6" s="760"/>
      <c r="F6" s="763" t="s">
        <v>48</v>
      </c>
      <c r="G6" s="764" t="s">
        <v>12</v>
      </c>
      <c r="H6" s="765"/>
    </row>
    <row r="7" spans="2:21" s="771" customFormat="1" ht="18.75">
      <c r="B7" s="766"/>
      <c r="C7" s="767" t="s">
        <v>48</v>
      </c>
      <c r="D7" s="767" t="s">
        <v>48</v>
      </c>
      <c r="E7" s="767"/>
      <c r="F7" s="768" t="s">
        <v>48</v>
      </c>
      <c r="G7" s="769"/>
      <c r="H7" s="770"/>
    </row>
    <row r="8" spans="2:21" s="771" customFormat="1" ht="18" customHeight="1">
      <c r="B8" s="2017" t="s">
        <v>25</v>
      </c>
      <c r="C8" s="2018"/>
      <c r="D8" s="2018"/>
      <c r="E8" s="2018"/>
      <c r="F8" s="2019" t="s">
        <v>941</v>
      </c>
      <c r="G8" s="2020"/>
      <c r="H8" s="770"/>
    </row>
    <row r="9" spans="2:21" s="771" customFormat="1" ht="38.25" customHeight="1" thickBot="1">
      <c r="B9" s="772"/>
      <c r="C9" s="773"/>
      <c r="D9" s="773"/>
      <c r="E9" s="773"/>
      <c r="F9" s="774" t="s">
        <v>835</v>
      </c>
      <c r="G9" s="775" t="s">
        <v>942</v>
      </c>
      <c r="H9" s="776"/>
      <c r="I9" s="777"/>
      <c r="M9" s="1"/>
      <c r="N9" s="778"/>
      <c r="O9" s="3"/>
      <c r="P9" s="3"/>
      <c r="Q9" s="3"/>
    </row>
    <row r="10" spans="2:21" s="771" customFormat="1" ht="23.1" customHeight="1">
      <c r="B10" s="779" t="s">
        <v>134</v>
      </c>
      <c r="C10" s="780" t="s">
        <v>943</v>
      </c>
      <c r="D10" s="781"/>
      <c r="E10" s="781"/>
      <c r="F10" s="782">
        <v>0</v>
      </c>
      <c r="G10" s="783">
        <f t="shared" ref="G10:G18" si="0">F10/F$18*100</f>
        <v>0</v>
      </c>
      <c r="H10" s="784"/>
      <c r="I10" s="785"/>
      <c r="M10" s="1"/>
      <c r="N10" s="778"/>
      <c r="O10" s="3"/>
      <c r="P10" s="3"/>
      <c r="Q10" s="3"/>
    </row>
    <row r="11" spans="2:21" s="771" customFormat="1" ht="31.5" customHeight="1" thickBot="1">
      <c r="B11" s="786" t="s">
        <v>29</v>
      </c>
      <c r="C11" s="787" t="s">
        <v>944</v>
      </c>
      <c r="D11" s="787"/>
      <c r="E11" s="787"/>
      <c r="F11" s="788">
        <f>SUM(F10:F10)</f>
        <v>0</v>
      </c>
      <c r="G11" s="789">
        <f t="shared" si="0"/>
        <v>0</v>
      </c>
      <c r="I11" s="785"/>
      <c r="M11" s="1"/>
      <c r="N11" s="778"/>
      <c r="O11" s="3"/>
      <c r="P11" s="3"/>
      <c r="Q11" s="3"/>
    </row>
    <row r="12" spans="2:21" s="791" customFormat="1" ht="22.5" customHeight="1">
      <c r="B12" s="779" t="s">
        <v>135</v>
      </c>
      <c r="C12" s="781" t="s">
        <v>945</v>
      </c>
      <c r="D12" s="781"/>
      <c r="E12" s="781"/>
      <c r="F12" s="782">
        <v>0</v>
      </c>
      <c r="G12" s="783">
        <f t="shared" si="0"/>
        <v>0</v>
      </c>
      <c r="H12" s="790"/>
      <c r="I12" s="790"/>
      <c r="J12" s="790"/>
      <c r="K12" s="790"/>
      <c r="L12" s="790"/>
      <c r="M12" s="790"/>
      <c r="N12" s="790"/>
      <c r="O12" s="790"/>
      <c r="P12" s="790"/>
      <c r="Q12" s="790"/>
      <c r="R12" s="790"/>
      <c r="S12" s="790"/>
      <c r="T12" s="790"/>
      <c r="U12" s="790"/>
    </row>
    <row r="13" spans="2:21" s="771" customFormat="1" ht="32.25" customHeight="1" thickBot="1">
      <c r="B13" s="786" t="s">
        <v>136</v>
      </c>
      <c r="C13" s="792" t="s">
        <v>946</v>
      </c>
      <c r="D13" s="792"/>
      <c r="E13" s="792"/>
      <c r="F13" s="793">
        <f>SUM(F12:F12)</f>
        <v>0</v>
      </c>
      <c r="G13" s="789">
        <f t="shared" si="0"/>
        <v>0</v>
      </c>
      <c r="H13" s="784"/>
      <c r="I13" s="785"/>
    </row>
    <row r="14" spans="2:21" s="791" customFormat="1" ht="23.1" customHeight="1">
      <c r="B14" s="794" t="s">
        <v>698</v>
      </c>
      <c r="C14" s="781" t="s">
        <v>947</v>
      </c>
      <c r="D14" s="781"/>
      <c r="E14" s="781"/>
      <c r="F14" s="795">
        <v>31639</v>
      </c>
      <c r="G14" s="796">
        <f t="shared" si="0"/>
        <v>16.455847627765699</v>
      </c>
      <c r="H14" s="790"/>
      <c r="I14" s="790"/>
      <c r="J14" s="790"/>
      <c r="K14" s="790"/>
      <c r="L14" s="790"/>
      <c r="M14" s="790"/>
      <c r="N14" s="790"/>
      <c r="O14" s="790"/>
      <c r="P14" s="790"/>
      <c r="Q14" s="790"/>
      <c r="R14" s="790"/>
      <c r="S14" s="790"/>
      <c r="T14" s="790"/>
      <c r="U14" s="790"/>
    </row>
    <row r="15" spans="2:21" s="771" customFormat="1" ht="39" customHeight="1">
      <c r="B15" s="779" t="s">
        <v>625</v>
      </c>
      <c r="C15" s="2013" t="s">
        <v>948</v>
      </c>
      <c r="D15" s="2014"/>
      <c r="E15" s="2015"/>
      <c r="F15" s="795">
        <v>160627</v>
      </c>
      <c r="G15" s="783">
        <f t="shared" si="0"/>
        <v>83.544152372234308</v>
      </c>
      <c r="H15" s="797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</row>
    <row r="16" spans="2:21" s="771" customFormat="1" ht="39" customHeight="1">
      <c r="B16" s="779" t="s">
        <v>949</v>
      </c>
      <c r="C16" s="2013" t="s">
        <v>950</v>
      </c>
      <c r="D16" s="2014"/>
      <c r="E16" s="2015"/>
      <c r="F16" s="782">
        <v>0</v>
      </c>
      <c r="G16" s="783">
        <f t="shared" si="0"/>
        <v>0</v>
      </c>
      <c r="H16" s="797"/>
      <c r="I16" s="790"/>
      <c r="J16" s="790"/>
      <c r="K16" s="790"/>
      <c r="L16" s="790"/>
      <c r="M16" s="790"/>
      <c r="N16" s="790"/>
      <c r="O16" s="790"/>
      <c r="P16" s="790"/>
      <c r="Q16" s="790"/>
      <c r="R16" s="790"/>
      <c r="S16" s="790"/>
      <c r="T16" s="790"/>
      <c r="U16" s="790"/>
    </row>
    <row r="17" spans="2:13" s="771" customFormat="1" ht="32.25" customHeight="1" thickBot="1">
      <c r="B17" s="786" t="s">
        <v>951</v>
      </c>
      <c r="C17" s="792" t="s">
        <v>952</v>
      </c>
      <c r="D17" s="792"/>
      <c r="E17" s="792"/>
      <c r="F17" s="793">
        <f>SUM(F14:F16)</f>
        <v>192266</v>
      </c>
      <c r="G17" s="789">
        <f t="shared" si="0"/>
        <v>100</v>
      </c>
      <c r="H17" s="798"/>
      <c r="I17" s="785"/>
    </row>
    <row r="18" spans="2:13" s="800" customFormat="1" ht="20.100000000000001" customHeight="1" thickBot="1">
      <c r="B18" s="786" t="s">
        <v>953</v>
      </c>
      <c r="C18" s="787" t="s">
        <v>954</v>
      </c>
      <c r="D18" s="787"/>
      <c r="E18" s="787"/>
      <c r="F18" s="788">
        <f>+F11+F13+F17</f>
        <v>192266</v>
      </c>
      <c r="G18" s="789">
        <f t="shared" si="0"/>
        <v>100</v>
      </c>
      <c r="H18" s="799"/>
      <c r="I18" s="785"/>
      <c r="J18" s="771"/>
      <c r="K18" s="771"/>
      <c r="L18" s="791"/>
    </row>
    <row r="19" spans="2:13" s="771" customFormat="1" ht="23.1" customHeight="1">
      <c r="F19" s="785"/>
      <c r="G19" s="784"/>
      <c r="H19" s="785"/>
      <c r="I19" s="785"/>
    </row>
    <row r="20" spans="2:13" s="771" customFormat="1" ht="23.1" customHeight="1">
      <c r="B20" s="755"/>
      <c r="C20" s="755"/>
      <c r="D20" s="755"/>
      <c r="E20" s="755"/>
      <c r="F20" s="756"/>
      <c r="G20" s="756"/>
      <c r="H20" s="785"/>
      <c r="I20" s="785"/>
    </row>
    <row r="21" spans="2:13" s="771" customFormat="1" ht="23.1" customHeight="1">
      <c r="B21" s="755"/>
      <c r="C21" s="755"/>
      <c r="D21" s="755"/>
      <c r="E21" s="755"/>
      <c r="F21" s="756"/>
      <c r="G21" s="756"/>
      <c r="H21" s="784"/>
    </row>
    <row r="22" spans="2:13" s="771" customFormat="1" ht="23.1" customHeight="1">
      <c r="B22" s="755"/>
      <c r="C22" s="755"/>
      <c r="D22" s="755"/>
      <c r="E22" s="755"/>
      <c r="F22" s="756"/>
      <c r="G22" s="756"/>
      <c r="H22" s="784"/>
      <c r="K22" s="785"/>
    </row>
    <row r="23" spans="2:13" s="771" customFormat="1" ht="29.25" customHeight="1">
      <c r="B23" s="755"/>
      <c r="C23" s="755"/>
      <c r="D23" s="755"/>
      <c r="E23" s="755"/>
      <c r="F23" s="756"/>
      <c r="G23" s="756"/>
      <c r="H23" s="784"/>
    </row>
    <row r="24" spans="2:13" ht="20.100000000000001" customHeight="1">
      <c r="G24" s="756"/>
      <c r="H24" s="1872"/>
      <c r="J24" s="756"/>
    </row>
    <row r="25" spans="2:13" ht="20.100000000000001" customHeight="1">
      <c r="G25" s="756"/>
      <c r="H25" s="1872"/>
      <c r="J25" s="756"/>
    </row>
    <row r="26" spans="2:13" ht="20.100000000000001" customHeight="1">
      <c r="G26" s="756"/>
      <c r="H26" s="1873"/>
      <c r="J26" s="756"/>
    </row>
    <row r="27" spans="2:13" ht="30.75" customHeight="1">
      <c r="G27" s="756"/>
      <c r="H27" s="1874"/>
      <c r="J27" s="756"/>
    </row>
    <row r="28" spans="2:13" ht="20.100000000000001" customHeight="1">
      <c r="G28" s="756"/>
      <c r="H28" s="1872"/>
      <c r="M28" s="756"/>
    </row>
    <row r="29" spans="2:13" ht="14.25" customHeight="1">
      <c r="G29" s="756"/>
      <c r="H29" s="1875"/>
      <c r="M29" s="756"/>
    </row>
    <row r="30" spans="2:13">
      <c r="G30" s="756"/>
      <c r="J30" s="756"/>
      <c r="M30" s="756"/>
    </row>
    <row r="31" spans="2:13">
      <c r="G31" s="756"/>
      <c r="H31" s="756"/>
      <c r="J31" s="756"/>
    </row>
    <row r="32" spans="2:13">
      <c r="G32" s="756"/>
      <c r="H32" s="756"/>
      <c r="I32" s="756"/>
      <c r="J32" s="756"/>
    </row>
    <row r="33" spans="8:16">
      <c r="H33" s="756"/>
      <c r="J33" s="756"/>
    </row>
    <row r="34" spans="8:16">
      <c r="H34" s="756"/>
      <c r="L34" s="756"/>
    </row>
    <row r="35" spans="8:16">
      <c r="H35" s="756"/>
      <c r="I35" s="756"/>
      <c r="L35" s="756"/>
    </row>
    <row r="36" spans="8:16">
      <c r="H36" s="756"/>
      <c r="I36" s="756"/>
      <c r="P36" s="756"/>
    </row>
    <row r="37" spans="8:16">
      <c r="H37" s="756"/>
      <c r="I37" s="756"/>
    </row>
    <row r="38" spans="8:16">
      <c r="H38" s="756"/>
      <c r="I38" s="756"/>
    </row>
    <row r="39" spans="8:16">
      <c r="H39" s="756"/>
      <c r="I39" s="756"/>
    </row>
    <row r="40" spans="8:16">
      <c r="H40" s="756"/>
      <c r="I40" s="756"/>
      <c r="L40" s="756"/>
    </row>
    <row r="41" spans="8:16">
      <c r="H41" s="756"/>
    </row>
    <row r="42" spans="8:16">
      <c r="H42" s="756"/>
    </row>
    <row r="43" spans="8:16">
      <c r="H43" s="756"/>
    </row>
    <row r="44" spans="8:16">
      <c r="H44" s="756"/>
    </row>
    <row r="45" spans="8:16">
      <c r="P45" s="756"/>
    </row>
    <row r="46" spans="8:16">
      <c r="P46" s="756"/>
    </row>
    <row r="47" spans="8:16">
      <c r="P47" s="756"/>
    </row>
  </sheetData>
  <mergeCells count="6">
    <mergeCell ref="C16:E16"/>
    <mergeCell ref="B3:G3"/>
    <mergeCell ref="B4:G4"/>
    <mergeCell ref="B8:E8"/>
    <mergeCell ref="F8:G8"/>
    <mergeCell ref="C15:E15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5" orientation="portrait" r:id="rId1"/>
  <headerFooter alignWithMargins="0">
    <oddHeader xml:space="preserve">&amp;R&amp;"Arial,Félkövér"&amp;11  &amp;"Calibri,Félkövér" &amp;12 26. melléklet a …../2026. (…….) önkormányzati rendelethez&amp;"Arial,Félkövér"&amp;11
 </oddHeader>
    <oddFooter xml:space="preserve">&amp;C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CF55-549D-4E58-9B8D-E1BAA2CD1167}">
  <dimension ref="A2:O41"/>
  <sheetViews>
    <sheetView zoomScaleNormal="100" workbookViewId="0">
      <selection activeCell="A2" sqref="A2:K2"/>
    </sheetView>
  </sheetViews>
  <sheetFormatPr defaultColWidth="10.6640625" defaultRowHeight="12.75"/>
  <cols>
    <col min="1" max="1" width="4.33203125" style="802" customWidth="1"/>
    <col min="2" max="2" width="5.5" style="802" customWidth="1"/>
    <col min="3" max="3" width="10.6640625" style="802" customWidth="1"/>
    <col min="4" max="4" width="52.6640625" style="802" customWidth="1"/>
    <col min="5" max="5" width="16.83203125" style="802" customWidth="1"/>
    <col min="6" max="7" width="12.5" style="802" customWidth="1"/>
    <col min="8" max="8" width="13.6640625" style="802" customWidth="1"/>
    <col min="9" max="9" width="16.33203125" style="802" customWidth="1"/>
    <col min="10" max="10" width="13.6640625" style="802" customWidth="1"/>
    <col min="11" max="11" width="15.5" style="802" customWidth="1"/>
    <col min="12" max="12" width="10.6640625" style="802"/>
    <col min="13" max="13" width="11.83203125" style="802" bestFit="1" customWidth="1"/>
    <col min="14" max="14" width="10.6640625" style="802"/>
    <col min="15" max="15" width="13" style="802" customWidth="1"/>
    <col min="16" max="16384" width="10.6640625" style="802"/>
  </cols>
  <sheetData>
    <row r="2" spans="1:12" ht="21" customHeight="1">
      <c r="A2" s="2021" t="s">
        <v>1228</v>
      </c>
      <c r="B2" s="2021"/>
      <c r="C2" s="2021"/>
      <c r="D2" s="2021"/>
      <c r="E2" s="2021"/>
      <c r="F2" s="2021"/>
      <c r="G2" s="2021"/>
      <c r="H2" s="2021"/>
      <c r="I2" s="2021"/>
      <c r="J2" s="2021"/>
      <c r="K2" s="2021"/>
      <c r="L2" s="801"/>
    </row>
    <row r="3" spans="1:12">
      <c r="A3" s="803"/>
      <c r="B3" s="803"/>
      <c r="C3" s="803"/>
      <c r="D3" s="803"/>
      <c r="E3" s="803"/>
      <c r="F3" s="803"/>
      <c r="G3" s="803"/>
      <c r="H3" s="803"/>
      <c r="I3" s="803"/>
      <c r="J3" s="803"/>
      <c r="K3" s="803"/>
    </row>
    <row r="4" spans="1:12" ht="13.5" thickBot="1">
      <c r="A4" s="2022"/>
      <c r="B4" s="2022"/>
      <c r="C4" s="2022"/>
      <c r="D4" s="2022"/>
      <c r="E4" s="2022"/>
      <c r="F4" s="2022"/>
      <c r="G4" s="2022"/>
      <c r="H4" s="2022"/>
      <c r="I4" s="2022"/>
      <c r="J4" s="2022"/>
      <c r="K4" s="804"/>
    </row>
    <row r="5" spans="1:12" ht="15">
      <c r="A5" s="2023" t="s">
        <v>687</v>
      </c>
      <c r="B5" s="2024"/>
      <c r="C5" s="2029" t="s">
        <v>25</v>
      </c>
      <c r="D5" s="2024"/>
      <c r="E5" s="2032" t="s">
        <v>955</v>
      </c>
      <c r="F5" s="2033"/>
      <c r="G5" s="2033"/>
      <c r="H5" s="2033"/>
      <c r="I5" s="2033"/>
      <c r="J5" s="2033"/>
      <c r="K5" s="2034"/>
    </row>
    <row r="6" spans="1:12" ht="15">
      <c r="A6" s="2025"/>
      <c r="B6" s="2026"/>
      <c r="C6" s="2030"/>
      <c r="D6" s="2026"/>
      <c r="E6" s="2035" t="s">
        <v>956</v>
      </c>
      <c r="F6" s="2036"/>
      <c r="G6" s="2037"/>
      <c r="H6" s="2035" t="s">
        <v>957</v>
      </c>
      <c r="I6" s="2036"/>
      <c r="J6" s="2036"/>
      <c r="K6" s="2038"/>
    </row>
    <row r="7" spans="1:12" ht="15">
      <c r="A7" s="2025"/>
      <c r="B7" s="2026"/>
      <c r="C7" s="2030"/>
      <c r="D7" s="2026"/>
      <c r="E7" s="2039" t="s">
        <v>958</v>
      </c>
      <c r="F7" s="2041" t="s">
        <v>959</v>
      </c>
      <c r="G7" s="2042"/>
      <c r="H7" s="2045" t="s">
        <v>960</v>
      </c>
      <c r="I7" s="2046"/>
      <c r="J7" s="2041" t="s">
        <v>961</v>
      </c>
      <c r="K7" s="2047"/>
    </row>
    <row r="8" spans="1:12" ht="15">
      <c r="A8" s="2025"/>
      <c r="B8" s="2026"/>
      <c r="C8" s="2030"/>
      <c r="D8" s="2026"/>
      <c r="E8" s="2040"/>
      <c r="F8" s="2043"/>
      <c r="G8" s="2044"/>
      <c r="H8" s="2049" t="s">
        <v>962</v>
      </c>
      <c r="I8" s="2050"/>
      <c r="J8" s="2043"/>
      <c r="K8" s="2048"/>
    </row>
    <row r="9" spans="1:12" ht="15">
      <c r="A9" s="2025"/>
      <c r="B9" s="2026"/>
      <c r="C9" s="2030"/>
      <c r="D9" s="2026"/>
      <c r="E9" s="805" t="s">
        <v>963</v>
      </c>
      <c r="F9" s="805" t="s">
        <v>964</v>
      </c>
      <c r="G9" s="805" t="s">
        <v>965</v>
      </c>
      <c r="H9" s="805" t="s">
        <v>966</v>
      </c>
      <c r="I9" s="805" t="s">
        <v>967</v>
      </c>
      <c r="J9" s="805" t="s">
        <v>966</v>
      </c>
      <c r="K9" s="806" t="s">
        <v>967</v>
      </c>
    </row>
    <row r="10" spans="1:12" ht="15.75" thickBot="1">
      <c r="A10" s="2027"/>
      <c r="B10" s="2028"/>
      <c r="C10" s="2031"/>
      <c r="D10" s="2028"/>
      <c r="E10" s="807" t="s">
        <v>968</v>
      </c>
      <c r="F10" s="807" t="s">
        <v>969</v>
      </c>
      <c r="G10" s="807" t="s">
        <v>970</v>
      </c>
      <c r="H10" s="807" t="s">
        <v>971</v>
      </c>
      <c r="I10" s="807" t="s">
        <v>972</v>
      </c>
      <c r="J10" s="807" t="s">
        <v>973</v>
      </c>
      <c r="K10" s="808" t="s">
        <v>974</v>
      </c>
    </row>
    <row r="11" spans="1:12" ht="15" customHeight="1">
      <c r="A11" s="2051" t="s">
        <v>975</v>
      </c>
      <c r="B11" s="2052"/>
      <c r="C11" s="2053" t="s">
        <v>976</v>
      </c>
      <c r="D11" s="2054"/>
      <c r="E11" s="809">
        <v>3860</v>
      </c>
      <c r="F11" s="810">
        <v>1557</v>
      </c>
      <c r="G11" s="809">
        <v>8726</v>
      </c>
      <c r="H11" s="810">
        <v>3858</v>
      </c>
      <c r="I11" s="809">
        <v>124749665</v>
      </c>
      <c r="J11" s="810">
        <v>3725</v>
      </c>
      <c r="K11" s="811">
        <v>103261932</v>
      </c>
    </row>
    <row r="12" spans="1:12" ht="15" customHeight="1">
      <c r="A12" s="2055" t="s">
        <v>977</v>
      </c>
      <c r="B12" s="2056"/>
      <c r="C12" s="2057" t="s">
        <v>978</v>
      </c>
      <c r="D12" s="2058"/>
      <c r="E12" s="812">
        <v>0</v>
      </c>
      <c r="F12" s="813">
        <v>0</v>
      </c>
      <c r="G12" s="812">
        <v>0</v>
      </c>
      <c r="H12" s="813">
        <v>0</v>
      </c>
      <c r="I12" s="812">
        <v>0</v>
      </c>
      <c r="J12" s="813">
        <v>0</v>
      </c>
      <c r="K12" s="814">
        <v>0</v>
      </c>
    </row>
    <row r="13" spans="1:12" ht="15" customHeight="1">
      <c r="A13" s="2055" t="s">
        <v>979</v>
      </c>
      <c r="B13" s="2056"/>
      <c r="C13" s="2057" t="s">
        <v>980</v>
      </c>
      <c r="D13" s="2058"/>
      <c r="E13" s="812">
        <v>0</v>
      </c>
      <c r="F13" s="813">
        <v>0</v>
      </c>
      <c r="G13" s="812">
        <v>0</v>
      </c>
      <c r="H13" s="813">
        <v>0</v>
      </c>
      <c r="I13" s="812">
        <v>0</v>
      </c>
      <c r="J13" s="813">
        <v>0</v>
      </c>
      <c r="K13" s="814">
        <v>0</v>
      </c>
    </row>
    <row r="14" spans="1:12" ht="15" customHeight="1">
      <c r="A14" s="2055" t="s">
        <v>981</v>
      </c>
      <c r="B14" s="2056"/>
      <c r="C14" s="2057" t="s">
        <v>982</v>
      </c>
      <c r="D14" s="2058"/>
      <c r="E14" s="812">
        <v>0</v>
      </c>
      <c r="F14" s="813"/>
      <c r="G14" s="812"/>
      <c r="H14" s="813">
        <v>0</v>
      </c>
      <c r="I14" s="812">
        <v>0</v>
      </c>
      <c r="J14" s="813">
        <v>0</v>
      </c>
      <c r="K14" s="814">
        <v>0</v>
      </c>
    </row>
    <row r="15" spans="1:12" ht="15" customHeight="1" thickBot="1">
      <c r="A15" s="2059" t="s">
        <v>983</v>
      </c>
      <c r="B15" s="2060"/>
      <c r="C15" s="2061" t="s">
        <v>984</v>
      </c>
      <c r="D15" s="2062"/>
      <c r="E15" s="815">
        <v>3860</v>
      </c>
      <c r="F15" s="815">
        <v>1557</v>
      </c>
      <c r="G15" s="815">
        <v>8726</v>
      </c>
      <c r="H15" s="815">
        <v>3858</v>
      </c>
      <c r="I15" s="815">
        <v>124749665</v>
      </c>
      <c r="J15" s="815">
        <v>3725</v>
      </c>
      <c r="K15" s="816">
        <v>103261932</v>
      </c>
    </row>
    <row r="16" spans="1:12" ht="15" customHeight="1">
      <c r="A16" s="2063" t="s">
        <v>985</v>
      </c>
      <c r="B16" s="2064"/>
      <c r="C16" s="817" t="s">
        <v>1229</v>
      </c>
      <c r="D16" s="818"/>
      <c r="E16" s="819">
        <v>169</v>
      </c>
      <c r="F16" s="820">
        <v>567</v>
      </c>
      <c r="G16" s="819">
        <v>7529</v>
      </c>
      <c r="H16" s="820">
        <v>169</v>
      </c>
      <c r="I16" s="819">
        <v>6580364</v>
      </c>
      <c r="J16" s="820">
        <v>169</v>
      </c>
      <c r="K16" s="821">
        <v>6015333</v>
      </c>
    </row>
    <row r="17" spans="1:15" ht="15" customHeight="1">
      <c r="A17" s="2051" t="s">
        <v>986</v>
      </c>
      <c r="B17" s="2052"/>
      <c r="C17" s="2053" t="s">
        <v>987</v>
      </c>
      <c r="D17" s="2054"/>
      <c r="E17" s="809">
        <v>0</v>
      </c>
      <c r="F17" s="810">
        <v>0</v>
      </c>
      <c r="G17" s="809">
        <v>0</v>
      </c>
      <c r="H17" s="810">
        <v>0</v>
      </c>
      <c r="I17" s="809">
        <v>0</v>
      </c>
      <c r="J17" s="810">
        <v>0</v>
      </c>
      <c r="K17" s="811">
        <v>0</v>
      </c>
    </row>
    <row r="18" spans="1:15" ht="15" customHeight="1">
      <c r="A18" s="2055" t="s">
        <v>988</v>
      </c>
      <c r="B18" s="2056"/>
      <c r="C18" s="822" t="s">
        <v>989</v>
      </c>
      <c r="D18" s="823" t="s">
        <v>990</v>
      </c>
      <c r="E18" s="812">
        <v>3406</v>
      </c>
      <c r="F18" s="813">
        <v>858</v>
      </c>
      <c r="G18" s="812">
        <v>8935</v>
      </c>
      <c r="H18" s="813">
        <v>3405</v>
      </c>
      <c r="I18" s="812">
        <v>119277845</v>
      </c>
      <c r="J18" s="813">
        <v>3292</v>
      </c>
      <c r="K18" s="814">
        <v>98272785</v>
      </c>
    </row>
    <row r="19" spans="1:15" ht="15" customHeight="1">
      <c r="A19" s="2051" t="s">
        <v>991</v>
      </c>
      <c r="B19" s="2052"/>
      <c r="C19" s="824" t="s">
        <v>992</v>
      </c>
      <c r="D19" s="823" t="s">
        <v>993</v>
      </c>
      <c r="E19" s="812">
        <v>454</v>
      </c>
      <c r="F19" s="813">
        <v>698</v>
      </c>
      <c r="G19" s="812">
        <v>9791</v>
      </c>
      <c r="H19" s="813">
        <v>453</v>
      </c>
      <c r="I19" s="812">
        <v>5471820</v>
      </c>
      <c r="J19" s="813">
        <v>433</v>
      </c>
      <c r="K19" s="814">
        <v>4989147</v>
      </c>
      <c r="L19" s="825"/>
      <c r="M19" s="825"/>
      <c r="N19" s="825"/>
      <c r="O19" s="825"/>
    </row>
    <row r="20" spans="1:15" ht="15" customHeight="1">
      <c r="A20" s="2065" t="s">
        <v>994</v>
      </c>
      <c r="B20" s="2066"/>
      <c r="C20" s="826"/>
      <c r="D20" s="827" t="s">
        <v>995</v>
      </c>
      <c r="E20" s="828">
        <v>1770</v>
      </c>
      <c r="F20" s="829">
        <v>771</v>
      </c>
      <c r="G20" s="828">
        <v>3797</v>
      </c>
      <c r="H20" s="829">
        <v>1768</v>
      </c>
      <c r="I20" s="828">
        <v>59613700</v>
      </c>
      <c r="J20" s="829">
        <v>1656</v>
      </c>
      <c r="K20" s="830">
        <v>40544204</v>
      </c>
    </row>
    <row r="21" spans="1:15" ht="15" customHeight="1">
      <c r="A21" s="2055" t="s">
        <v>996</v>
      </c>
      <c r="B21" s="2056"/>
      <c r="C21" s="831" t="s">
        <v>989</v>
      </c>
      <c r="D21" s="823" t="s">
        <v>997</v>
      </c>
      <c r="E21" s="832">
        <v>852</v>
      </c>
      <c r="F21" s="813">
        <v>410</v>
      </c>
      <c r="G21" s="812">
        <v>3351</v>
      </c>
      <c r="H21" s="813">
        <v>852</v>
      </c>
      <c r="I21" s="812">
        <v>59949179</v>
      </c>
      <c r="J21" s="813">
        <v>835</v>
      </c>
      <c r="K21" s="814">
        <v>58104871</v>
      </c>
    </row>
    <row r="22" spans="1:15" ht="15" customHeight="1">
      <c r="A22" s="2051" t="s">
        <v>998</v>
      </c>
      <c r="B22" s="2052"/>
      <c r="C22" s="833" t="s">
        <v>992</v>
      </c>
      <c r="D22" s="834" t="s">
        <v>999</v>
      </c>
      <c r="E22" s="809">
        <v>1238</v>
      </c>
      <c r="F22" s="810">
        <v>376</v>
      </c>
      <c r="G22" s="809">
        <v>1578</v>
      </c>
      <c r="H22" s="810">
        <v>1238</v>
      </c>
      <c r="I22" s="809">
        <v>5186786</v>
      </c>
      <c r="J22" s="810">
        <v>1234</v>
      </c>
      <c r="K22" s="811">
        <v>4612857</v>
      </c>
      <c r="L22" s="825"/>
      <c r="M22" s="825"/>
      <c r="N22" s="825"/>
      <c r="O22" s="825"/>
    </row>
    <row r="23" spans="1:15" ht="15" customHeight="1">
      <c r="A23" s="2055" t="s">
        <v>1000</v>
      </c>
      <c r="B23" s="2056"/>
      <c r="C23" s="2057" t="s">
        <v>1001</v>
      </c>
      <c r="D23" s="2058"/>
      <c r="E23" s="812">
        <v>1072</v>
      </c>
      <c r="F23" s="813">
        <v>1082</v>
      </c>
      <c r="G23" s="812">
        <v>8108</v>
      </c>
      <c r="H23" s="813">
        <v>1072</v>
      </c>
      <c r="I23" s="812">
        <v>34434595</v>
      </c>
      <c r="J23" s="813">
        <v>965</v>
      </c>
      <c r="K23" s="814">
        <v>24531863</v>
      </c>
    </row>
    <row r="24" spans="1:15" ht="15" customHeight="1">
      <c r="A24" s="2065" t="s">
        <v>1002</v>
      </c>
      <c r="B24" s="2067"/>
      <c r="C24" s="827"/>
      <c r="D24" s="827" t="s">
        <v>1003</v>
      </c>
      <c r="E24" s="828">
        <v>1057</v>
      </c>
      <c r="F24" s="829">
        <v>986</v>
      </c>
      <c r="G24" s="828">
        <v>3746</v>
      </c>
      <c r="H24" s="829">
        <v>1057</v>
      </c>
      <c r="I24" s="828">
        <v>34407833</v>
      </c>
      <c r="J24" s="829">
        <v>950</v>
      </c>
      <c r="K24" s="830">
        <v>24512737</v>
      </c>
    </row>
    <row r="25" spans="1:15" ht="15" customHeight="1">
      <c r="A25" s="2055" t="s">
        <v>1004</v>
      </c>
      <c r="B25" s="2056"/>
      <c r="C25" s="835" t="s">
        <v>1005</v>
      </c>
      <c r="D25" s="823" t="s">
        <v>1006</v>
      </c>
      <c r="E25" s="832">
        <v>11</v>
      </c>
      <c r="F25" s="813">
        <v>94</v>
      </c>
      <c r="G25" s="812">
        <v>3780</v>
      </c>
      <c r="H25" s="813">
        <v>11</v>
      </c>
      <c r="I25" s="812">
        <v>20809</v>
      </c>
      <c r="J25" s="813">
        <v>11</v>
      </c>
      <c r="K25" s="814">
        <v>15970</v>
      </c>
    </row>
    <row r="26" spans="1:15" ht="15" customHeight="1">
      <c r="A26" s="2051" t="s">
        <v>1007</v>
      </c>
      <c r="B26" s="2068"/>
      <c r="C26" s="834" t="s">
        <v>992</v>
      </c>
      <c r="D26" s="834" t="s">
        <v>1008</v>
      </c>
      <c r="E26" s="809">
        <v>4</v>
      </c>
      <c r="F26" s="810">
        <v>2</v>
      </c>
      <c r="G26" s="809">
        <v>582</v>
      </c>
      <c r="H26" s="810">
        <v>4</v>
      </c>
      <c r="I26" s="809">
        <v>5953</v>
      </c>
      <c r="J26" s="810">
        <v>4</v>
      </c>
      <c r="K26" s="811">
        <v>3156</v>
      </c>
    </row>
    <row r="27" spans="1:15" ht="15" customHeight="1">
      <c r="A27" s="2055" t="s">
        <v>1009</v>
      </c>
      <c r="B27" s="2056"/>
      <c r="C27" s="2057" t="s">
        <v>1010</v>
      </c>
      <c r="D27" s="2058"/>
      <c r="E27" s="812">
        <v>1159</v>
      </c>
      <c r="F27" s="813">
        <v>475</v>
      </c>
      <c r="G27" s="812">
        <v>618</v>
      </c>
      <c r="H27" s="813">
        <v>1157</v>
      </c>
      <c r="I27" s="812">
        <v>86329617</v>
      </c>
      <c r="J27" s="813">
        <v>1134</v>
      </c>
      <c r="K27" s="814">
        <v>74702473</v>
      </c>
    </row>
    <row r="28" spans="1:15" ht="15" customHeight="1">
      <c r="A28" s="2065" t="s">
        <v>1011</v>
      </c>
      <c r="B28" s="2067"/>
      <c r="C28" s="827"/>
      <c r="D28" s="827" t="s">
        <v>1003</v>
      </c>
      <c r="E28" s="828">
        <v>1130</v>
      </c>
      <c r="F28" s="829">
        <v>468</v>
      </c>
      <c r="G28" s="828">
        <v>2321</v>
      </c>
      <c r="H28" s="829">
        <v>1128</v>
      </c>
      <c r="I28" s="828">
        <v>85851719</v>
      </c>
      <c r="J28" s="829">
        <v>1106</v>
      </c>
      <c r="K28" s="830">
        <v>74301951</v>
      </c>
    </row>
    <row r="29" spans="1:15" ht="15" customHeight="1">
      <c r="A29" s="2055" t="s">
        <v>1012</v>
      </c>
      <c r="B29" s="2056"/>
      <c r="C29" s="835" t="s">
        <v>1013</v>
      </c>
      <c r="D29" s="823" t="s">
        <v>1006</v>
      </c>
      <c r="E29" s="832">
        <v>5</v>
      </c>
      <c r="F29" s="813">
        <v>1</v>
      </c>
      <c r="G29" s="812">
        <v>1262</v>
      </c>
      <c r="H29" s="813">
        <v>5</v>
      </c>
      <c r="I29" s="812">
        <v>180321</v>
      </c>
      <c r="J29" s="813">
        <v>4</v>
      </c>
      <c r="K29" s="814">
        <v>167028</v>
      </c>
    </row>
    <row r="30" spans="1:15" ht="15" customHeight="1">
      <c r="A30" s="2055" t="s">
        <v>1014</v>
      </c>
      <c r="B30" s="2056"/>
      <c r="C30" s="835" t="s">
        <v>992</v>
      </c>
      <c r="D30" s="823" t="s">
        <v>1008</v>
      </c>
      <c r="E30" s="832">
        <v>3</v>
      </c>
      <c r="F30" s="813">
        <v>0</v>
      </c>
      <c r="G30" s="812">
        <v>0</v>
      </c>
      <c r="H30" s="813">
        <v>3</v>
      </c>
      <c r="I30" s="812">
        <v>30177</v>
      </c>
      <c r="J30" s="813">
        <v>3</v>
      </c>
      <c r="K30" s="814">
        <v>30138</v>
      </c>
    </row>
    <row r="31" spans="1:15" ht="15" customHeight="1">
      <c r="A31" s="2055" t="s">
        <v>1015</v>
      </c>
      <c r="B31" s="2056"/>
      <c r="C31" s="834"/>
      <c r="D31" s="834" t="s">
        <v>1016</v>
      </c>
      <c r="E31" s="809">
        <v>21</v>
      </c>
      <c r="F31" s="810">
        <v>5</v>
      </c>
      <c r="G31" s="809">
        <v>7035</v>
      </c>
      <c r="H31" s="810">
        <v>21</v>
      </c>
      <c r="I31" s="809">
        <v>267400</v>
      </c>
      <c r="J31" s="810">
        <v>21</v>
      </c>
      <c r="K31" s="811">
        <v>203356</v>
      </c>
    </row>
    <row r="32" spans="1:15" ht="15" customHeight="1">
      <c r="A32" s="2055" t="s">
        <v>1017</v>
      </c>
      <c r="B32" s="2056"/>
      <c r="C32" s="2057" t="s">
        <v>1018</v>
      </c>
      <c r="D32" s="2058"/>
      <c r="E32" s="812">
        <v>1629</v>
      </c>
      <c r="F32" s="813"/>
      <c r="G32" s="812"/>
      <c r="H32" s="813">
        <v>1629</v>
      </c>
      <c r="I32" s="812">
        <v>3985453</v>
      </c>
      <c r="J32" s="813">
        <v>1626</v>
      </c>
      <c r="K32" s="814">
        <v>4027596</v>
      </c>
    </row>
    <row r="33" spans="1:13" ht="15" customHeight="1">
      <c r="A33" s="2065" t="s">
        <v>1019</v>
      </c>
      <c r="B33" s="2067"/>
      <c r="C33" s="827"/>
      <c r="D33" s="827" t="s">
        <v>1003</v>
      </c>
      <c r="E33" s="828">
        <v>149</v>
      </c>
      <c r="F33" s="829"/>
      <c r="G33" s="828"/>
      <c r="H33" s="829">
        <v>149</v>
      </c>
      <c r="I33" s="828">
        <v>1359170</v>
      </c>
      <c r="J33" s="829">
        <v>146</v>
      </c>
      <c r="K33" s="830">
        <v>1314211</v>
      </c>
    </row>
    <row r="34" spans="1:13" ht="15" customHeight="1">
      <c r="A34" s="2055" t="s">
        <v>1020</v>
      </c>
      <c r="B34" s="2056"/>
      <c r="C34" s="835" t="s">
        <v>1021</v>
      </c>
      <c r="D34" s="823" t="s">
        <v>1006</v>
      </c>
      <c r="E34" s="832">
        <v>0</v>
      </c>
      <c r="F34" s="813"/>
      <c r="G34" s="812"/>
      <c r="H34" s="813">
        <v>0</v>
      </c>
      <c r="I34" s="812">
        <v>0</v>
      </c>
      <c r="J34" s="813">
        <v>0</v>
      </c>
      <c r="K34" s="814">
        <v>0</v>
      </c>
    </row>
    <row r="35" spans="1:13" ht="15" customHeight="1">
      <c r="A35" s="2051" t="s">
        <v>1022</v>
      </c>
      <c r="B35" s="2068"/>
      <c r="C35" s="834" t="s">
        <v>992</v>
      </c>
      <c r="D35" s="834" t="s">
        <v>1008</v>
      </c>
      <c r="E35" s="809">
        <v>1480</v>
      </c>
      <c r="F35" s="810"/>
      <c r="G35" s="809"/>
      <c r="H35" s="810">
        <v>1480</v>
      </c>
      <c r="I35" s="809">
        <v>2626283</v>
      </c>
      <c r="J35" s="810">
        <v>1480</v>
      </c>
      <c r="K35" s="811">
        <v>2713385</v>
      </c>
    </row>
    <row r="36" spans="1:13" ht="15" customHeight="1">
      <c r="A36" s="2065" t="s">
        <v>1023</v>
      </c>
      <c r="B36" s="2067"/>
      <c r="C36" s="836"/>
      <c r="D36" s="835" t="s">
        <v>1024</v>
      </c>
      <c r="E36" s="828">
        <v>19</v>
      </c>
      <c r="F36" s="829">
        <v>360</v>
      </c>
      <c r="G36" s="828">
        <v>9760</v>
      </c>
      <c r="H36" s="829">
        <v>19</v>
      </c>
      <c r="I36" s="828">
        <v>460176</v>
      </c>
      <c r="J36" s="829">
        <v>19</v>
      </c>
      <c r="K36" s="830">
        <v>460176</v>
      </c>
    </row>
    <row r="37" spans="1:13" ht="15" customHeight="1">
      <c r="A37" s="2055" t="s">
        <v>1025</v>
      </c>
      <c r="B37" s="2056"/>
      <c r="C37" s="835" t="s">
        <v>1026</v>
      </c>
      <c r="D37" s="823" t="s">
        <v>1027</v>
      </c>
      <c r="E37" s="832">
        <v>8</v>
      </c>
      <c r="F37" s="813">
        <v>9</v>
      </c>
      <c r="G37" s="812">
        <v>8414</v>
      </c>
      <c r="H37" s="813">
        <v>8</v>
      </c>
      <c r="I37" s="812">
        <v>1234926</v>
      </c>
      <c r="J37" s="813">
        <v>8</v>
      </c>
      <c r="K37" s="814">
        <v>1079155</v>
      </c>
    </row>
    <row r="38" spans="1:13" ht="15" customHeight="1" thickBot="1">
      <c r="A38" s="2069">
        <v>28</v>
      </c>
      <c r="B38" s="2070"/>
      <c r="C38" s="837" t="s">
        <v>992</v>
      </c>
      <c r="D38" s="838" t="s">
        <v>1028</v>
      </c>
      <c r="E38" s="839">
        <v>266</v>
      </c>
      <c r="F38" s="840">
        <v>58</v>
      </c>
      <c r="G38" s="839">
        <v>5274</v>
      </c>
      <c r="H38" s="840">
        <v>266</v>
      </c>
      <c r="I38" s="839">
        <v>8819248</v>
      </c>
      <c r="J38" s="840">
        <v>263</v>
      </c>
      <c r="K38" s="841">
        <v>8116514</v>
      </c>
      <c r="M38" s="825"/>
    </row>
    <row r="40" spans="1:13">
      <c r="E40" s="825"/>
    </row>
    <row r="41" spans="1:13">
      <c r="E41" s="825"/>
      <c r="F41" s="825"/>
      <c r="G41" s="825"/>
      <c r="H41" s="825"/>
      <c r="I41" s="825"/>
      <c r="J41" s="825"/>
      <c r="K41" s="825"/>
    </row>
  </sheetData>
  <mergeCells count="49">
    <mergeCell ref="A36:B36"/>
    <mergeCell ref="A37:B37"/>
    <mergeCell ref="A38:B38"/>
    <mergeCell ref="A31:B31"/>
    <mergeCell ref="A32:B32"/>
    <mergeCell ref="C32:D32"/>
    <mergeCell ref="A33:B33"/>
    <mergeCell ref="A34:B34"/>
    <mergeCell ref="A35:B35"/>
    <mergeCell ref="A26:B26"/>
    <mergeCell ref="A27:B27"/>
    <mergeCell ref="C27:D27"/>
    <mergeCell ref="A28:B28"/>
    <mergeCell ref="A29:B29"/>
    <mergeCell ref="A30:B30"/>
    <mergeCell ref="A14:B14"/>
    <mergeCell ref="C14:D14"/>
    <mergeCell ref="A15:B15"/>
    <mergeCell ref="C15:D15"/>
    <mergeCell ref="A25:B25"/>
    <mergeCell ref="A16:B16"/>
    <mergeCell ref="A17:B17"/>
    <mergeCell ref="C17:D17"/>
    <mergeCell ref="A18:B18"/>
    <mergeCell ref="A19:B19"/>
    <mergeCell ref="A20:B20"/>
    <mergeCell ref="A21:B21"/>
    <mergeCell ref="A22:B22"/>
    <mergeCell ref="A23:B23"/>
    <mergeCell ref="C23:D23"/>
    <mergeCell ref="A24:B24"/>
    <mergeCell ref="A11:B11"/>
    <mergeCell ref="C11:D11"/>
    <mergeCell ref="A12:B12"/>
    <mergeCell ref="C12:D12"/>
    <mergeCell ref="A13:B13"/>
    <mergeCell ref="C13:D13"/>
    <mergeCell ref="A2:K2"/>
    <mergeCell ref="A4:J4"/>
    <mergeCell ref="A5:B10"/>
    <mergeCell ref="C5:D10"/>
    <mergeCell ref="E5:K5"/>
    <mergeCell ref="E6:G6"/>
    <mergeCell ref="H6:K6"/>
    <mergeCell ref="E7:E8"/>
    <mergeCell ref="F7:G8"/>
    <mergeCell ref="H7:I7"/>
    <mergeCell ref="J7:K8"/>
    <mergeCell ref="H8:I8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7" orientation="landscape" r:id="rId1"/>
  <headerFooter alignWithMargins="0">
    <oddHeader>&amp;R&amp;"Calibri,Félkövér"&amp;11 &amp;12 27. melléklet a .../2026. (…….)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95CB-16B6-4C4B-A1F0-A13694CD874D}">
  <dimension ref="B1:N90"/>
  <sheetViews>
    <sheetView zoomScaleNormal="100" workbookViewId="0">
      <selection activeCell="B5" sqref="B5:G5"/>
    </sheetView>
  </sheetViews>
  <sheetFormatPr defaultColWidth="10.6640625" defaultRowHeight="15"/>
  <cols>
    <col min="1" max="1" width="10.6640625" style="843"/>
    <col min="2" max="2" width="11.5" style="842" customWidth="1"/>
    <col min="3" max="3" width="8.83203125" style="843" customWidth="1"/>
    <col min="4" max="4" width="118" style="843" customWidth="1"/>
    <col min="5" max="5" width="26" style="843" customWidth="1"/>
    <col min="6" max="6" width="23.5" style="843" customWidth="1"/>
    <col min="7" max="7" width="24.1640625" style="843" customWidth="1"/>
    <col min="8" max="8" width="22.5" style="844" customWidth="1"/>
    <col min="9" max="9" width="19.83203125" style="843" bestFit="1" customWidth="1"/>
    <col min="10" max="10" width="18.83203125" style="843" customWidth="1"/>
    <col min="11" max="11" width="10.6640625" style="843"/>
    <col min="12" max="12" width="19.1640625" style="843" bestFit="1" customWidth="1"/>
    <col min="13" max="13" width="28" style="843" customWidth="1"/>
    <col min="14" max="16384" width="10.6640625" style="843"/>
  </cols>
  <sheetData>
    <row r="1" spans="2:14" ht="18">
      <c r="I1" s="845"/>
    </row>
    <row r="2" spans="2:14" ht="18">
      <c r="E2" s="757"/>
      <c r="F2" s="846"/>
    </row>
    <row r="5" spans="2:14" ht="21.75" customHeight="1">
      <c r="B5" s="2073" t="s">
        <v>1230</v>
      </c>
      <c r="C5" s="2073"/>
      <c r="D5" s="2073"/>
      <c r="E5" s="2073"/>
      <c r="F5" s="2073"/>
      <c r="G5" s="2073"/>
    </row>
    <row r="6" spans="2:14" ht="16.5" thickBot="1">
      <c r="B6" s="847"/>
      <c r="C6" s="848"/>
      <c r="D6" s="848"/>
      <c r="E6" s="848"/>
      <c r="F6" s="848"/>
      <c r="G6" s="553" t="s">
        <v>12</v>
      </c>
    </row>
    <row r="7" spans="2:14" s="845" customFormat="1" ht="19.5" customHeight="1" thickBot="1">
      <c r="B7" s="1505" t="s">
        <v>718</v>
      </c>
      <c r="C7" s="1506"/>
      <c r="D7" s="1506"/>
      <c r="E7" s="2074"/>
      <c r="F7" s="2075"/>
      <c r="G7" s="2076"/>
      <c r="H7" s="849"/>
    </row>
    <row r="8" spans="2:14" ht="20.100000000000001" customHeight="1" thickBot="1">
      <c r="B8" s="1509"/>
      <c r="C8" s="1506"/>
      <c r="D8" s="1506"/>
      <c r="E8" s="1510" t="s">
        <v>1029</v>
      </c>
      <c r="F8" s="1508" t="s">
        <v>1030</v>
      </c>
      <c r="G8" s="1511" t="s">
        <v>1031</v>
      </c>
    </row>
    <row r="9" spans="2:14" s="851" customFormat="1" ht="23.1" customHeight="1" thickBot="1">
      <c r="B9" s="1512" t="s">
        <v>1032</v>
      </c>
      <c r="C9" s="1513" t="s">
        <v>1033</v>
      </c>
      <c r="D9" s="1513"/>
      <c r="E9" s="1514">
        <f>+E10+E18+E49+E53</f>
        <v>134969738</v>
      </c>
      <c r="F9" s="1514">
        <f>+F10+F18+F49+F53</f>
        <v>36138063</v>
      </c>
      <c r="G9" s="1515">
        <f>+G10+G18+G49+G53</f>
        <v>98831675</v>
      </c>
      <c r="H9" s="850"/>
    </row>
    <row r="10" spans="2:14" s="853" customFormat="1" ht="23.1" customHeight="1" thickBot="1">
      <c r="B10" s="1507" t="s">
        <v>730</v>
      </c>
      <c r="C10" s="1516" t="s">
        <v>1034</v>
      </c>
      <c r="D10" s="1516"/>
      <c r="E10" s="1517">
        <f>+E11+E15</f>
        <v>352792</v>
      </c>
      <c r="F10" s="1517">
        <f>+F11+F15</f>
        <v>300038</v>
      </c>
      <c r="G10" s="1518">
        <f>+G15+G11</f>
        <v>52754</v>
      </c>
      <c r="H10" s="852"/>
      <c r="I10" s="851"/>
      <c r="L10" s="851"/>
      <c r="M10" s="851"/>
    </row>
    <row r="11" spans="2:14" s="854" customFormat="1" ht="23.1" customHeight="1">
      <c r="B11" s="1519" t="s">
        <v>1035</v>
      </c>
      <c r="C11" s="1520" t="s">
        <v>722</v>
      </c>
      <c r="D11" s="1520"/>
      <c r="E11" s="1521">
        <f>SUM(E12:E14)</f>
        <v>201051</v>
      </c>
      <c r="F11" s="1521">
        <f>SUM(F12:F14)</f>
        <v>163132</v>
      </c>
      <c r="G11" s="1522">
        <f>SUM(G12:G14)</f>
        <v>37919</v>
      </c>
      <c r="H11" s="853"/>
      <c r="I11" s="851"/>
      <c r="J11" s="853"/>
      <c r="K11" s="853"/>
      <c r="L11" s="851"/>
      <c r="M11" s="851"/>
      <c r="N11" s="853"/>
    </row>
    <row r="12" spans="2:14" ht="23.1" customHeight="1">
      <c r="B12" s="1523"/>
      <c r="C12" s="1524" t="s">
        <v>1036</v>
      </c>
      <c r="D12" s="1524"/>
      <c r="E12" s="1525">
        <v>40162</v>
      </c>
      <c r="F12" s="1526">
        <v>26819</v>
      </c>
      <c r="G12" s="1527">
        <f>+E12-F12</f>
        <v>13343</v>
      </c>
      <c r="H12" s="855"/>
      <c r="I12" s="851"/>
      <c r="J12" s="853"/>
      <c r="K12" s="853"/>
      <c r="L12" s="851"/>
      <c r="M12" s="851"/>
      <c r="N12" s="853"/>
    </row>
    <row r="13" spans="2:14" ht="23.1" customHeight="1">
      <c r="B13" s="1523"/>
      <c r="C13" s="1524" t="s">
        <v>1037</v>
      </c>
      <c r="D13" s="1524"/>
      <c r="E13" s="1525">
        <v>160889</v>
      </c>
      <c r="F13" s="1526">
        <v>136313</v>
      </c>
      <c r="G13" s="1527">
        <f t="shared" ref="G13:G14" si="0">+E13-F13</f>
        <v>24576</v>
      </c>
      <c r="H13" s="855"/>
      <c r="I13" s="851"/>
      <c r="J13" s="853"/>
      <c r="K13" s="853"/>
      <c r="L13" s="851"/>
      <c r="M13" s="851"/>
      <c r="N13" s="853"/>
    </row>
    <row r="14" spans="2:14" ht="23.1" customHeight="1">
      <c r="B14" s="1528"/>
      <c r="C14" s="1529" t="s">
        <v>1038</v>
      </c>
      <c r="D14" s="1529"/>
      <c r="E14" s="1530">
        <v>0</v>
      </c>
      <c r="F14" s="1531">
        <v>0</v>
      </c>
      <c r="G14" s="1527">
        <f t="shared" si="0"/>
        <v>0</v>
      </c>
      <c r="H14" s="855"/>
      <c r="I14" s="851"/>
      <c r="J14" s="853"/>
      <c r="K14" s="853"/>
      <c r="L14" s="851"/>
      <c r="M14" s="851"/>
      <c r="N14" s="853"/>
    </row>
    <row r="15" spans="2:14" s="854" customFormat="1" ht="23.1" customHeight="1">
      <c r="B15" s="1532" t="s">
        <v>728</v>
      </c>
      <c r="C15" s="1533" t="s">
        <v>727</v>
      </c>
      <c r="D15" s="1533"/>
      <c r="E15" s="1534">
        <f>SUM(E16:E17)</f>
        <v>151741</v>
      </c>
      <c r="F15" s="1534">
        <f t="shared" ref="F15:G15" si="1">SUM(F16:F17)</f>
        <v>136906</v>
      </c>
      <c r="G15" s="1535">
        <f t="shared" si="1"/>
        <v>14835</v>
      </c>
      <c r="H15" s="855"/>
      <c r="I15" s="851"/>
      <c r="J15" s="853"/>
      <c r="K15" s="853"/>
      <c r="L15" s="851"/>
      <c r="M15" s="851"/>
      <c r="N15" s="853"/>
    </row>
    <row r="16" spans="2:14" ht="23.1" customHeight="1">
      <c r="B16" s="1523"/>
      <c r="C16" s="1524" t="s">
        <v>1036</v>
      </c>
      <c r="D16" s="1524"/>
      <c r="E16" s="1525">
        <v>8595</v>
      </c>
      <c r="F16" s="1526">
        <v>8386</v>
      </c>
      <c r="G16" s="1527">
        <f>+E16-F16</f>
        <v>209</v>
      </c>
      <c r="H16" s="855"/>
      <c r="I16" s="851"/>
      <c r="J16" s="853"/>
      <c r="K16" s="853"/>
      <c r="L16" s="851"/>
      <c r="M16" s="851"/>
      <c r="N16" s="853"/>
    </row>
    <row r="17" spans="2:14" ht="23.1" customHeight="1" thickBot="1">
      <c r="B17" s="1528"/>
      <c r="C17" s="1529" t="s">
        <v>1037</v>
      </c>
      <c r="D17" s="1529"/>
      <c r="E17" s="1530">
        <v>143146</v>
      </c>
      <c r="F17" s="1531">
        <v>128520</v>
      </c>
      <c r="G17" s="1536">
        <f>+E17-F17</f>
        <v>14626</v>
      </c>
      <c r="H17" s="855"/>
      <c r="I17" s="851"/>
      <c r="J17" s="853"/>
      <c r="K17" s="853"/>
      <c r="L17" s="851"/>
      <c r="M17" s="851"/>
      <c r="N17" s="853"/>
    </row>
    <row r="18" spans="2:14" s="853" customFormat="1" ht="23.1" customHeight="1" thickBot="1">
      <c r="B18" s="1507" t="s">
        <v>742</v>
      </c>
      <c r="C18" s="1516" t="s">
        <v>1039</v>
      </c>
      <c r="D18" s="1516"/>
      <c r="E18" s="1537">
        <f>+E19+E40+E44+E45</f>
        <v>126603147</v>
      </c>
      <c r="F18" s="1537">
        <f>+F19+F40+F44+F45</f>
        <v>35838025</v>
      </c>
      <c r="G18" s="1538">
        <f>E18-F18</f>
        <v>90765122</v>
      </c>
      <c r="H18" s="852"/>
      <c r="I18" s="851"/>
      <c r="L18" s="851"/>
      <c r="M18" s="851"/>
    </row>
    <row r="19" spans="2:14" s="856" customFormat="1" ht="23.1" customHeight="1">
      <c r="B19" s="1519" t="s">
        <v>733</v>
      </c>
      <c r="C19" s="1520" t="s">
        <v>732</v>
      </c>
      <c r="D19" s="1520"/>
      <c r="E19" s="1539">
        <f>+E20+E27+E36</f>
        <v>117746805</v>
      </c>
      <c r="F19" s="1539">
        <f>+F20+F27+F36</f>
        <v>30553406</v>
      </c>
      <c r="G19" s="1540">
        <f>+G20+G27+G36</f>
        <v>87193399</v>
      </c>
      <c r="H19" s="852"/>
      <c r="I19" s="851"/>
      <c r="J19" s="853"/>
      <c r="K19" s="853"/>
      <c r="L19" s="851"/>
      <c r="M19" s="851"/>
      <c r="N19" s="853"/>
    </row>
    <row r="20" spans="2:14" s="857" customFormat="1" ht="23.1" customHeight="1">
      <c r="B20" s="1532"/>
      <c r="C20" s="1541" t="s">
        <v>1040</v>
      </c>
      <c r="D20" s="1533"/>
      <c r="E20" s="1542">
        <f>SUM(E21:E26)</f>
        <v>60276161</v>
      </c>
      <c r="F20" s="1542">
        <f>SUM(F21:F26)</f>
        <v>19390297</v>
      </c>
      <c r="G20" s="1543">
        <f>SUM(G21:G26)</f>
        <v>40885864</v>
      </c>
      <c r="H20" s="855"/>
      <c r="I20" s="851"/>
      <c r="J20" s="853"/>
      <c r="L20" s="851"/>
      <c r="M20" s="851"/>
    </row>
    <row r="21" spans="2:14" ht="23.1" customHeight="1">
      <c r="B21" s="1528"/>
      <c r="C21" s="1544" t="s">
        <v>1041</v>
      </c>
      <c r="D21" s="1529" t="s">
        <v>1042</v>
      </c>
      <c r="E21" s="1530">
        <v>39006211</v>
      </c>
      <c r="F21" s="1531">
        <v>14488370</v>
      </c>
      <c r="G21" s="1545">
        <f>+E21-F21</f>
        <v>24517841</v>
      </c>
      <c r="H21" s="855"/>
      <c r="I21" s="851"/>
      <c r="J21" s="853"/>
      <c r="L21" s="851"/>
      <c r="M21" s="851"/>
    </row>
    <row r="22" spans="2:14" ht="23.1" customHeight="1">
      <c r="B22" s="1523"/>
      <c r="C22" s="1546" t="s">
        <v>1041</v>
      </c>
      <c r="D22" s="1524" t="s">
        <v>1043</v>
      </c>
      <c r="E22" s="1525">
        <v>11469203</v>
      </c>
      <c r="F22" s="1526">
        <v>3695911</v>
      </c>
      <c r="G22" s="1527">
        <f t="shared" ref="G22:G26" si="2">+E22-F22</f>
        <v>7773292</v>
      </c>
      <c r="H22" s="855"/>
      <c r="I22" s="851"/>
      <c r="J22" s="853"/>
      <c r="L22" s="851"/>
      <c r="M22" s="851"/>
    </row>
    <row r="23" spans="2:14" ht="23.1" customHeight="1">
      <c r="B23" s="1523"/>
      <c r="C23" s="1546" t="s">
        <v>1041</v>
      </c>
      <c r="D23" s="1524" t="s">
        <v>1044</v>
      </c>
      <c r="E23" s="1525">
        <v>687649</v>
      </c>
      <c r="F23" s="1526">
        <v>208</v>
      </c>
      <c r="G23" s="1527">
        <f t="shared" si="2"/>
        <v>687441</v>
      </c>
      <c r="H23" s="855"/>
      <c r="I23" s="851"/>
      <c r="J23" s="853"/>
      <c r="L23" s="851"/>
      <c r="M23" s="851"/>
    </row>
    <row r="24" spans="2:14" ht="23.1" customHeight="1">
      <c r="B24" s="1523"/>
      <c r="C24" s="1546" t="s">
        <v>1041</v>
      </c>
      <c r="D24" s="1524" t="s">
        <v>1045</v>
      </c>
      <c r="E24" s="1525">
        <v>3441199</v>
      </c>
      <c r="F24" s="1526">
        <v>478711</v>
      </c>
      <c r="G24" s="1527">
        <f t="shared" si="2"/>
        <v>2962488</v>
      </c>
      <c r="H24" s="855"/>
      <c r="I24" s="851"/>
      <c r="J24" s="853"/>
      <c r="L24" s="851"/>
      <c r="M24" s="851"/>
    </row>
    <row r="25" spans="2:14" ht="23.1" customHeight="1">
      <c r="B25" s="1523"/>
      <c r="C25" s="1546" t="s">
        <v>1041</v>
      </c>
      <c r="D25" s="1524" t="s">
        <v>1046</v>
      </c>
      <c r="E25" s="1525">
        <f>64885+39583+792774</f>
        <v>897242</v>
      </c>
      <c r="F25" s="1526">
        <f>8303+74181</f>
        <v>82484</v>
      </c>
      <c r="G25" s="1527">
        <f t="shared" si="2"/>
        <v>814758</v>
      </c>
      <c r="H25" s="855"/>
      <c r="I25" s="851"/>
      <c r="J25" s="853"/>
      <c r="L25" s="851"/>
      <c r="M25" s="851"/>
    </row>
    <row r="26" spans="2:14" ht="38.25" customHeight="1">
      <c r="B26" s="1528"/>
      <c r="C26" s="1547" t="s">
        <v>1041</v>
      </c>
      <c r="D26" s="1548" t="s">
        <v>1047</v>
      </c>
      <c r="E26" s="1530">
        <f>4774656+1</f>
        <v>4774657</v>
      </c>
      <c r="F26" s="1531">
        <f>644612+1</f>
        <v>644613</v>
      </c>
      <c r="G26" s="1549">
        <f t="shared" si="2"/>
        <v>4130044</v>
      </c>
      <c r="H26" s="855"/>
      <c r="I26" s="851"/>
      <c r="J26" s="853"/>
      <c r="L26" s="851"/>
      <c r="M26" s="851"/>
    </row>
    <row r="27" spans="2:14" s="857" customFormat="1" ht="23.1" customHeight="1">
      <c r="B27" s="1532"/>
      <c r="C27" s="1541" t="s">
        <v>1048</v>
      </c>
      <c r="D27" s="1550"/>
      <c r="E27" s="1542">
        <f>SUM(E28:E35)</f>
        <v>56290768</v>
      </c>
      <c r="F27" s="1542">
        <f>SUM(F28:F35)</f>
        <v>10774681</v>
      </c>
      <c r="G27" s="1543">
        <f>SUM(G28:G35)</f>
        <v>45516087</v>
      </c>
      <c r="H27" s="855"/>
      <c r="I27" s="851"/>
      <c r="J27" s="853"/>
      <c r="L27" s="851"/>
      <c r="M27" s="851"/>
    </row>
    <row r="28" spans="2:14" ht="23.1" customHeight="1">
      <c r="B28" s="1528"/>
      <c r="C28" s="1544" t="s">
        <v>1041</v>
      </c>
      <c r="D28" s="1531" t="s">
        <v>1049</v>
      </c>
      <c r="E28" s="1530">
        <v>4797868</v>
      </c>
      <c r="F28" s="1531">
        <v>2086112</v>
      </c>
      <c r="G28" s="1536">
        <f>E28-F28</f>
        <v>2711756</v>
      </c>
      <c r="H28" s="855"/>
      <c r="I28" s="851"/>
      <c r="J28" s="853"/>
      <c r="L28" s="851"/>
      <c r="M28" s="851"/>
    </row>
    <row r="29" spans="2:14" ht="23.1" customHeight="1">
      <c r="B29" s="1523"/>
      <c r="C29" s="1546" t="s">
        <v>1041</v>
      </c>
      <c r="D29" s="1526" t="s">
        <v>1050</v>
      </c>
      <c r="E29" s="1525">
        <v>335297</v>
      </c>
      <c r="F29" s="1526">
        <v>69730</v>
      </c>
      <c r="G29" s="1527">
        <f t="shared" ref="G29:G35" si="3">E29-F29</f>
        <v>265567</v>
      </c>
      <c r="H29" s="855"/>
      <c r="I29" s="851"/>
      <c r="J29" s="853"/>
      <c r="L29" s="851"/>
      <c r="M29" s="851"/>
    </row>
    <row r="30" spans="2:14" ht="23.1" customHeight="1">
      <c r="B30" s="1523"/>
      <c r="C30" s="1546" t="s">
        <v>1041</v>
      </c>
      <c r="D30" s="1526" t="s">
        <v>1051</v>
      </c>
      <c r="E30" s="1525">
        <v>629109</v>
      </c>
      <c r="F30" s="1526">
        <v>181341</v>
      </c>
      <c r="G30" s="1527">
        <f t="shared" si="3"/>
        <v>447768</v>
      </c>
      <c r="H30" s="855"/>
      <c r="I30" s="851"/>
      <c r="J30" s="853"/>
      <c r="L30" s="851"/>
      <c r="M30" s="851"/>
    </row>
    <row r="31" spans="2:14" ht="23.1" customHeight="1">
      <c r="B31" s="1523"/>
      <c r="C31" s="1546" t="s">
        <v>1041</v>
      </c>
      <c r="D31" s="1526" t="s">
        <v>1045</v>
      </c>
      <c r="E31" s="1525">
        <v>10256843</v>
      </c>
      <c r="F31" s="1526">
        <v>2154700</v>
      </c>
      <c r="G31" s="1527">
        <f t="shared" si="3"/>
        <v>8102143</v>
      </c>
      <c r="H31" s="855"/>
      <c r="I31" s="851"/>
      <c r="J31" s="853"/>
      <c r="L31" s="851"/>
      <c r="M31" s="851"/>
    </row>
    <row r="32" spans="2:14" ht="23.1" customHeight="1">
      <c r="B32" s="1523"/>
      <c r="C32" s="1546" t="s">
        <v>1041</v>
      </c>
      <c r="D32" s="1526" t="s">
        <v>1052</v>
      </c>
      <c r="E32" s="1525">
        <v>51817</v>
      </c>
      <c r="F32" s="1526">
        <v>5067</v>
      </c>
      <c r="G32" s="1527">
        <f t="shared" si="3"/>
        <v>46750</v>
      </c>
      <c r="H32" s="855"/>
      <c r="I32" s="851"/>
      <c r="J32" s="853"/>
      <c r="L32" s="851"/>
      <c r="M32" s="851"/>
    </row>
    <row r="33" spans="2:13" ht="23.1" customHeight="1">
      <c r="B33" s="1523"/>
      <c r="C33" s="1546" t="s">
        <v>1041</v>
      </c>
      <c r="D33" s="1551" t="s">
        <v>1053</v>
      </c>
      <c r="E33" s="1525">
        <v>201300</v>
      </c>
      <c r="F33" s="1526">
        <v>28085</v>
      </c>
      <c r="G33" s="1527">
        <f t="shared" si="3"/>
        <v>173215</v>
      </c>
      <c r="H33" s="855"/>
      <c r="I33" s="851"/>
      <c r="J33" s="853"/>
      <c r="L33" s="851"/>
      <c r="M33" s="851"/>
    </row>
    <row r="34" spans="2:13" ht="23.1" customHeight="1">
      <c r="B34" s="1523"/>
      <c r="C34" s="1546" t="s">
        <v>1041</v>
      </c>
      <c r="D34" s="1526" t="s">
        <v>1046</v>
      </c>
      <c r="E34" s="1525">
        <f>287278+21191+511044+1616319+7405711+42959+9602297+12593449+506049+1920180+158374+82229+83224</f>
        <v>34830304</v>
      </c>
      <c r="F34" s="1526">
        <f>64943+5071+204585+461558+2095932+9047+953166+1153695+84750+299976+4491+415+5521</f>
        <v>5343150</v>
      </c>
      <c r="G34" s="1527">
        <f t="shared" si="3"/>
        <v>29487154</v>
      </c>
      <c r="H34" s="858"/>
      <c r="I34" s="851"/>
      <c r="J34" s="853"/>
      <c r="L34" s="851"/>
      <c r="M34" s="851"/>
    </row>
    <row r="35" spans="2:13" ht="39" customHeight="1">
      <c r="B35" s="1528"/>
      <c r="C35" s="1547" t="s">
        <v>1041</v>
      </c>
      <c r="D35" s="1552" t="s">
        <v>1054</v>
      </c>
      <c r="E35" s="1530">
        <v>5188230</v>
      </c>
      <c r="F35" s="1531">
        <v>906496</v>
      </c>
      <c r="G35" s="1527">
        <f t="shared" si="3"/>
        <v>4281734</v>
      </c>
      <c r="H35" s="855"/>
      <c r="I35" s="851"/>
      <c r="J35" s="853"/>
      <c r="L35" s="851"/>
      <c r="M35" s="851"/>
    </row>
    <row r="36" spans="2:13" s="857" customFormat="1" ht="23.1" customHeight="1">
      <c r="B36" s="1532"/>
      <c r="C36" s="1541" t="s">
        <v>1038</v>
      </c>
      <c r="D36" s="1550"/>
      <c r="E36" s="1542">
        <f>SUM(E37:E39)</f>
        <v>1179876</v>
      </c>
      <c r="F36" s="1542">
        <f>SUM(F37:F39)</f>
        <v>388428</v>
      </c>
      <c r="G36" s="1543">
        <f>SUM(G37:G39)</f>
        <v>791448</v>
      </c>
      <c r="H36" s="855"/>
      <c r="I36" s="851"/>
      <c r="J36" s="853"/>
      <c r="L36" s="851"/>
      <c r="M36" s="851"/>
    </row>
    <row r="37" spans="2:13" ht="23.1" customHeight="1">
      <c r="B37" s="1528"/>
      <c r="C37" s="1544" t="s">
        <v>1041</v>
      </c>
      <c r="D37" s="1531" t="s">
        <v>1055</v>
      </c>
      <c r="E37" s="1530">
        <v>188773</v>
      </c>
      <c r="F37" s="1531">
        <v>20790</v>
      </c>
      <c r="G37" s="1536">
        <f>E37-F37</f>
        <v>167983</v>
      </c>
      <c r="H37" s="855"/>
      <c r="I37" s="851"/>
      <c r="J37" s="853"/>
      <c r="L37" s="851"/>
      <c r="M37" s="851"/>
    </row>
    <row r="38" spans="2:13" ht="23.1" customHeight="1">
      <c r="B38" s="1523"/>
      <c r="C38" s="1546" t="s">
        <v>1041</v>
      </c>
      <c r="D38" s="1526" t="s">
        <v>1046</v>
      </c>
      <c r="E38" s="1525">
        <f>974378+13659</f>
        <v>988037</v>
      </c>
      <c r="F38" s="1526">
        <f>364739+1294</f>
        <v>366033</v>
      </c>
      <c r="G38" s="1527">
        <f>E38-F38</f>
        <v>622004</v>
      </c>
      <c r="H38" s="855"/>
      <c r="I38" s="851"/>
      <c r="J38" s="853"/>
      <c r="L38" s="851"/>
      <c r="M38" s="851"/>
    </row>
    <row r="39" spans="2:13" ht="40.5" customHeight="1">
      <c r="B39" s="1528"/>
      <c r="C39" s="1547" t="s">
        <v>1041</v>
      </c>
      <c r="D39" s="1552" t="s">
        <v>1056</v>
      </c>
      <c r="E39" s="1530">
        <v>3066</v>
      </c>
      <c r="F39" s="1531">
        <v>1605</v>
      </c>
      <c r="G39" s="1527">
        <f>E39-F39</f>
        <v>1461</v>
      </c>
      <c r="H39" s="855"/>
      <c r="I39" s="851"/>
      <c r="J39" s="853"/>
      <c r="L39" s="851"/>
      <c r="M39" s="851"/>
    </row>
    <row r="40" spans="2:13" s="856" customFormat="1" ht="23.1" customHeight="1">
      <c r="B40" s="1532" t="s">
        <v>1057</v>
      </c>
      <c r="C40" s="1533" t="s">
        <v>1058</v>
      </c>
      <c r="D40" s="1533"/>
      <c r="E40" s="1534">
        <f>SUM(E41:E43)</f>
        <v>8494119</v>
      </c>
      <c r="F40" s="1534">
        <f>SUM(F41:F43)</f>
        <v>5284211</v>
      </c>
      <c r="G40" s="1535">
        <f>SUM(G41:G43)</f>
        <v>3209908</v>
      </c>
      <c r="H40" s="852"/>
      <c r="I40" s="851"/>
      <c r="J40" s="853"/>
      <c r="L40" s="851"/>
      <c r="M40" s="851"/>
    </row>
    <row r="41" spans="2:13" ht="23.1" customHeight="1">
      <c r="B41" s="1528"/>
      <c r="C41" s="1529" t="s">
        <v>1059</v>
      </c>
      <c r="D41" s="1529"/>
      <c r="E41" s="1530">
        <v>1013870</v>
      </c>
      <c r="F41" s="1531">
        <f>7145-1</f>
        <v>7144</v>
      </c>
      <c r="G41" s="1536">
        <f>E41-F41</f>
        <v>1006726</v>
      </c>
      <c r="H41" s="855"/>
      <c r="I41" s="851"/>
      <c r="J41" s="853"/>
      <c r="L41" s="851"/>
      <c r="M41" s="851"/>
    </row>
    <row r="42" spans="2:13" ht="23.1" customHeight="1">
      <c r="B42" s="1523"/>
      <c r="C42" s="1524" t="s">
        <v>1060</v>
      </c>
      <c r="D42" s="1524"/>
      <c r="E42" s="1525">
        <v>7461903</v>
      </c>
      <c r="F42" s="1526">
        <v>5258721</v>
      </c>
      <c r="G42" s="1527">
        <f>E42-F42</f>
        <v>2203182</v>
      </c>
      <c r="H42" s="855"/>
      <c r="I42" s="851"/>
      <c r="J42" s="853"/>
      <c r="L42" s="851"/>
      <c r="M42" s="851"/>
    </row>
    <row r="43" spans="2:13" ht="23.1" customHeight="1">
      <c r="B43" s="1553"/>
      <c r="C43" s="1554" t="s">
        <v>1061</v>
      </c>
      <c r="D43" s="1554"/>
      <c r="E43" s="1555">
        <v>18346</v>
      </c>
      <c r="F43" s="1556">
        <v>18346</v>
      </c>
      <c r="G43" s="1527">
        <f>E43-F43</f>
        <v>0</v>
      </c>
      <c r="H43" s="855"/>
      <c r="I43" s="851"/>
      <c r="J43" s="853"/>
      <c r="L43" s="851"/>
      <c r="M43" s="851"/>
    </row>
    <row r="44" spans="2:13" s="856" customFormat="1" ht="23.1" customHeight="1">
      <c r="B44" s="1557" t="s">
        <v>738</v>
      </c>
      <c r="C44" s="1558" t="s">
        <v>1062</v>
      </c>
      <c r="D44" s="1558"/>
      <c r="E44" s="1559">
        <v>408</v>
      </c>
      <c r="F44" s="1559">
        <v>408</v>
      </c>
      <c r="G44" s="1560">
        <f>E44-F44</f>
        <v>0</v>
      </c>
      <c r="H44" s="852"/>
      <c r="I44" s="851"/>
      <c r="J44" s="853"/>
      <c r="L44" s="851"/>
      <c r="M44" s="851"/>
    </row>
    <row r="45" spans="2:13" s="856" customFormat="1" ht="23.1" customHeight="1">
      <c r="B45" s="1519" t="s">
        <v>1063</v>
      </c>
      <c r="C45" s="1520" t="s">
        <v>739</v>
      </c>
      <c r="D45" s="1520"/>
      <c r="E45" s="1521">
        <f>SUM(E46:E47)</f>
        <v>361815</v>
      </c>
      <c r="F45" s="1521">
        <f>SUM(F46:F47)</f>
        <v>0</v>
      </c>
      <c r="G45" s="1522">
        <f>SUM(G46:G47)</f>
        <v>361815</v>
      </c>
      <c r="H45" s="852"/>
      <c r="I45" s="851"/>
      <c r="J45" s="853"/>
      <c r="L45" s="851"/>
      <c r="M45" s="851"/>
    </row>
    <row r="46" spans="2:13" ht="23.1" customHeight="1">
      <c r="B46" s="1523"/>
      <c r="C46" s="1561" t="s">
        <v>1064</v>
      </c>
      <c r="D46" s="1561"/>
      <c r="E46" s="1562">
        <f>270539+1</f>
        <v>270540</v>
      </c>
      <c r="F46" s="1563"/>
      <c r="G46" s="1527">
        <f>E46-F46</f>
        <v>270540</v>
      </c>
      <c r="H46" s="855"/>
      <c r="I46" s="851"/>
      <c r="J46" s="853"/>
      <c r="L46" s="851"/>
      <c r="M46" s="851"/>
    </row>
    <row r="47" spans="2:13" ht="23.1" customHeight="1">
      <c r="B47" s="1523"/>
      <c r="C47" s="1561" t="s">
        <v>1065</v>
      </c>
      <c r="D47" s="1561"/>
      <c r="E47" s="1562">
        <v>91275</v>
      </c>
      <c r="F47" s="1563"/>
      <c r="G47" s="1527">
        <f>E47-F47</f>
        <v>91275</v>
      </c>
      <c r="H47" s="855"/>
      <c r="I47" s="851"/>
      <c r="J47" s="853"/>
      <c r="L47" s="851"/>
      <c r="M47" s="851"/>
    </row>
    <row r="48" spans="2:13" s="856" customFormat="1" ht="23.1" customHeight="1">
      <c r="B48" s="1564" t="s">
        <v>1066</v>
      </c>
      <c r="C48" s="1565" t="s">
        <v>1067</v>
      </c>
      <c r="D48" s="1566"/>
      <c r="E48" s="1567">
        <v>0</v>
      </c>
      <c r="F48" s="1568">
        <v>0</v>
      </c>
      <c r="G48" s="1569">
        <f>E48-F48</f>
        <v>0</v>
      </c>
      <c r="H48" s="852"/>
      <c r="I48" s="851"/>
      <c r="J48" s="853"/>
      <c r="L48" s="851"/>
      <c r="M48" s="851"/>
    </row>
    <row r="49" spans="2:13" s="853" customFormat="1" ht="23.1" customHeight="1" thickBot="1">
      <c r="B49" s="1570" t="s">
        <v>749</v>
      </c>
      <c r="C49" s="1571" t="s">
        <v>1068</v>
      </c>
      <c r="D49" s="1572"/>
      <c r="E49" s="1573">
        <f>SUM(E50)</f>
        <v>7956777</v>
      </c>
      <c r="F49" s="1574"/>
      <c r="G49" s="1575">
        <f>SUM(G50:G52)</f>
        <v>7956777</v>
      </c>
      <c r="H49" s="852"/>
      <c r="I49" s="851"/>
      <c r="L49" s="851"/>
      <c r="M49" s="851"/>
    </row>
    <row r="50" spans="2:13" s="859" customFormat="1" ht="23.1" customHeight="1">
      <c r="B50" s="1528" t="s">
        <v>1069</v>
      </c>
      <c r="C50" s="1529" t="s">
        <v>1070</v>
      </c>
      <c r="D50" s="1576"/>
      <c r="E50" s="1577">
        <v>7956777</v>
      </c>
      <c r="F50" s="1578"/>
      <c r="G50" s="1527">
        <v>7956777</v>
      </c>
      <c r="H50" s="844"/>
      <c r="I50" s="851"/>
      <c r="L50" s="851"/>
      <c r="M50" s="851"/>
    </row>
    <row r="51" spans="2:13" s="859" customFormat="1" ht="23.1" customHeight="1">
      <c r="B51" s="1523" t="s">
        <v>747</v>
      </c>
      <c r="C51" s="1524" t="s">
        <v>1071</v>
      </c>
      <c r="D51" s="1561"/>
      <c r="E51" s="1562"/>
      <c r="F51" s="1563"/>
      <c r="G51" s="1527">
        <v>0</v>
      </c>
      <c r="H51" s="844"/>
      <c r="I51" s="851"/>
      <c r="L51" s="851"/>
      <c r="M51" s="851"/>
    </row>
    <row r="52" spans="2:13" s="859" customFormat="1" ht="23.1" customHeight="1" thickBot="1">
      <c r="B52" s="1528" t="s">
        <v>1072</v>
      </c>
      <c r="C52" s="1529" t="s">
        <v>1073</v>
      </c>
      <c r="D52" s="1576"/>
      <c r="E52" s="1577"/>
      <c r="F52" s="1578"/>
      <c r="G52" s="1536">
        <v>0</v>
      </c>
      <c r="H52" s="844"/>
      <c r="I52" s="851"/>
      <c r="L52" s="851"/>
      <c r="M52" s="851"/>
    </row>
    <row r="53" spans="2:13" s="853" customFormat="1" ht="23.1" customHeight="1" thickBot="1">
      <c r="B53" s="1507" t="s">
        <v>1074</v>
      </c>
      <c r="C53" s="1516" t="s">
        <v>1075</v>
      </c>
      <c r="D53" s="1579"/>
      <c r="E53" s="1580">
        <f>SUM(E54)</f>
        <v>57022</v>
      </c>
      <c r="F53" s="1580">
        <f>SUM(F54)</f>
        <v>0</v>
      </c>
      <c r="G53" s="1581">
        <f>SUM(G54)</f>
        <v>57022</v>
      </c>
      <c r="H53" s="852"/>
      <c r="I53" s="851"/>
      <c r="L53" s="851"/>
      <c r="M53" s="851"/>
    </row>
    <row r="54" spans="2:13" ht="23.1" customHeight="1" thickBot="1">
      <c r="B54" s="1528" t="s">
        <v>1076</v>
      </c>
      <c r="C54" s="1582" t="s">
        <v>1077</v>
      </c>
      <c r="D54" s="1576"/>
      <c r="E54" s="1577">
        <v>57022</v>
      </c>
      <c r="F54" s="1578">
        <v>0</v>
      </c>
      <c r="G54" s="1536">
        <v>57022</v>
      </c>
      <c r="H54" s="855"/>
      <c r="I54" s="853"/>
      <c r="L54" s="851"/>
      <c r="M54" s="851"/>
    </row>
    <row r="55" spans="2:13" s="853" customFormat="1" ht="23.1" customHeight="1" thickBot="1">
      <c r="B55" s="1507" t="s">
        <v>1078</v>
      </c>
      <c r="C55" s="1516" t="s">
        <v>1079</v>
      </c>
      <c r="D55" s="1579"/>
      <c r="E55" s="1580" t="s">
        <v>48</v>
      </c>
      <c r="F55" s="1583"/>
      <c r="G55" s="1518">
        <f>SUM(G56:G57)</f>
        <v>22203</v>
      </c>
      <c r="H55" s="852"/>
      <c r="L55" s="851"/>
    </row>
    <row r="56" spans="2:13" s="859" customFormat="1" ht="23.1" customHeight="1">
      <c r="B56" s="1528" t="s">
        <v>756</v>
      </c>
      <c r="C56" s="1529" t="s">
        <v>1080</v>
      </c>
      <c r="D56" s="1576"/>
      <c r="E56" s="1577" t="s">
        <v>48</v>
      </c>
      <c r="F56" s="1578"/>
      <c r="G56" s="1536">
        <v>22203</v>
      </c>
      <c r="H56" s="860"/>
      <c r="L56" s="851"/>
    </row>
    <row r="57" spans="2:13" s="859" customFormat="1" ht="23.1" customHeight="1">
      <c r="B57" s="1523" t="s">
        <v>758</v>
      </c>
      <c r="C57" s="1524" t="s">
        <v>757</v>
      </c>
      <c r="D57" s="1561"/>
      <c r="E57" s="1562" t="s">
        <v>48</v>
      </c>
      <c r="F57" s="1563"/>
      <c r="G57" s="1527">
        <v>0</v>
      </c>
      <c r="H57" s="844"/>
      <c r="L57" s="851"/>
    </row>
    <row r="58" spans="2:13" ht="20.100000000000001" customHeight="1" thickBot="1">
      <c r="B58" s="1528"/>
      <c r="C58" s="1529"/>
      <c r="D58" s="1576"/>
      <c r="E58" s="1577"/>
      <c r="F58" s="1578"/>
      <c r="G58" s="1536"/>
      <c r="L58" s="851"/>
    </row>
    <row r="59" spans="2:13" s="853" customFormat="1" ht="23.1" customHeight="1" thickBot="1">
      <c r="B59" s="1507" t="s">
        <v>772</v>
      </c>
      <c r="C59" s="1516" t="s">
        <v>1081</v>
      </c>
      <c r="D59" s="1579"/>
      <c r="E59" s="1584"/>
      <c r="F59" s="1579"/>
      <c r="G59" s="1585">
        <f>SUM(G60:G63)</f>
        <v>2436498</v>
      </c>
      <c r="H59" s="852"/>
      <c r="L59" s="851"/>
    </row>
    <row r="60" spans="2:13" s="859" customFormat="1" ht="23.1" customHeight="1">
      <c r="B60" s="1528" t="s">
        <v>764</v>
      </c>
      <c r="C60" s="1529" t="s">
        <v>763</v>
      </c>
      <c r="D60" s="1576"/>
      <c r="E60" s="1577"/>
      <c r="F60" s="1578"/>
      <c r="G60" s="1586">
        <v>0</v>
      </c>
      <c r="H60" s="844"/>
    </row>
    <row r="61" spans="2:13" s="859" customFormat="1" ht="23.1" customHeight="1">
      <c r="B61" s="1523" t="s">
        <v>766</v>
      </c>
      <c r="C61" s="1524" t="s">
        <v>765</v>
      </c>
      <c r="D61" s="1561"/>
      <c r="E61" s="1562"/>
      <c r="F61" s="1563"/>
      <c r="G61" s="1587">
        <v>1008</v>
      </c>
      <c r="H61" s="844"/>
    </row>
    <row r="62" spans="2:13" s="859" customFormat="1" ht="23.1" customHeight="1">
      <c r="B62" s="1528" t="s">
        <v>768</v>
      </c>
      <c r="C62" s="1529" t="s">
        <v>767</v>
      </c>
      <c r="D62" s="1576"/>
      <c r="E62" s="1577"/>
      <c r="F62" s="1578"/>
      <c r="G62" s="1586">
        <v>2413612</v>
      </c>
      <c r="H62" s="844"/>
    </row>
    <row r="63" spans="2:13" s="859" customFormat="1" ht="23.1" customHeight="1">
      <c r="B63" s="1523" t="s">
        <v>1082</v>
      </c>
      <c r="C63" s="1524" t="s">
        <v>769</v>
      </c>
      <c r="D63" s="1561"/>
      <c r="E63" s="1562"/>
      <c r="F63" s="1563"/>
      <c r="G63" s="1587">
        <v>21878</v>
      </c>
      <c r="H63" s="844"/>
    </row>
    <row r="64" spans="2:13" ht="20.100000000000001" customHeight="1" thickBot="1">
      <c r="B64" s="1528"/>
      <c r="C64" s="1529"/>
      <c r="D64" s="1576"/>
      <c r="E64" s="1577"/>
      <c r="F64" s="1578"/>
      <c r="G64" s="1536"/>
    </row>
    <row r="65" spans="2:8" ht="20.100000000000001" customHeight="1">
      <c r="B65" s="1588"/>
      <c r="C65" s="1589"/>
      <c r="D65" s="1590"/>
      <c r="E65" s="1591"/>
      <c r="F65" s="1590"/>
      <c r="G65" s="1592"/>
    </row>
    <row r="66" spans="2:8" s="854" customFormat="1" ht="23.1" customHeight="1">
      <c r="B66" s="1593" t="s">
        <v>1083</v>
      </c>
      <c r="C66" s="1520"/>
      <c r="D66" s="1520"/>
      <c r="E66" s="1539"/>
      <c r="F66" s="1520"/>
      <c r="G66" s="1540"/>
      <c r="H66" s="855"/>
    </row>
    <row r="67" spans="2:8" s="857" customFormat="1" ht="23.1" customHeight="1">
      <c r="B67" s="1519"/>
      <c r="C67" s="1520" t="s">
        <v>1084</v>
      </c>
      <c r="D67" s="1520"/>
      <c r="E67" s="1521">
        <f>SUM(E68:E71)</f>
        <v>3268259</v>
      </c>
      <c r="F67" s="1521">
        <f>SUM(F68:F71)</f>
        <v>3268259</v>
      </c>
      <c r="G67" s="1540">
        <f>SUM(G68:G71)</f>
        <v>0</v>
      </c>
      <c r="H67" s="858"/>
    </row>
    <row r="68" spans="2:8" s="859" customFormat="1" ht="23.1" customHeight="1">
      <c r="B68" s="1523"/>
      <c r="C68" s="1524" t="s">
        <v>1034</v>
      </c>
      <c r="D68" s="1524"/>
      <c r="E68" s="1525">
        <v>225929</v>
      </c>
      <c r="F68" s="1525">
        <v>225929</v>
      </c>
      <c r="G68" s="1527">
        <f>+E68-F68</f>
        <v>0</v>
      </c>
      <c r="H68" s="844"/>
    </row>
    <row r="69" spans="2:8" s="859" customFormat="1" ht="23.1" customHeight="1">
      <c r="B69" s="1528"/>
      <c r="C69" s="1529" t="s">
        <v>1085</v>
      </c>
      <c r="D69" s="1529"/>
      <c r="E69" s="1530">
        <v>97535</v>
      </c>
      <c r="F69" s="1530">
        <v>97535</v>
      </c>
      <c r="G69" s="1527">
        <f>+E69-F69</f>
        <v>0</v>
      </c>
      <c r="H69" s="844"/>
    </row>
    <row r="70" spans="2:8" s="859" customFormat="1" ht="23.1" customHeight="1">
      <c r="B70" s="1523"/>
      <c r="C70" s="1524" t="s">
        <v>1086</v>
      </c>
      <c r="D70" s="1524"/>
      <c r="E70" s="1525">
        <v>2944387</v>
      </c>
      <c r="F70" s="1525">
        <v>2944387</v>
      </c>
      <c r="G70" s="1527">
        <f>+E70-F70</f>
        <v>0</v>
      </c>
      <c r="H70" s="1229"/>
    </row>
    <row r="71" spans="2:8" s="859" customFormat="1" ht="23.1" customHeight="1">
      <c r="B71" s="1523"/>
      <c r="C71" s="1524" t="s">
        <v>737</v>
      </c>
      <c r="D71" s="1524"/>
      <c r="E71" s="1525">
        <v>408</v>
      </c>
      <c r="F71" s="1525">
        <v>408</v>
      </c>
      <c r="G71" s="1527">
        <f>+E71-F71</f>
        <v>0</v>
      </c>
      <c r="H71" s="844"/>
    </row>
    <row r="72" spans="2:8" s="854" customFormat="1" ht="23.1" customHeight="1">
      <c r="B72" s="1519"/>
      <c r="C72" s="1529"/>
      <c r="D72" s="1520"/>
      <c r="E72" s="1530"/>
      <c r="F72" s="1594"/>
      <c r="G72" s="1540"/>
      <c r="H72" s="855"/>
    </row>
    <row r="73" spans="2:8" s="857" customFormat="1" ht="23.1" customHeight="1">
      <c r="B73" s="1519"/>
      <c r="C73" s="1520" t="s">
        <v>1087</v>
      </c>
      <c r="D73" s="1520"/>
      <c r="E73" s="1521">
        <f>SUM(E74:E76)</f>
        <v>755815</v>
      </c>
      <c r="F73" s="1521">
        <f>SUM(F74:F76)</f>
        <v>755815</v>
      </c>
      <c r="G73" s="1540">
        <f>SUM(G74:G76)</f>
        <v>0</v>
      </c>
      <c r="H73" s="855"/>
    </row>
    <row r="74" spans="2:8" s="854" customFormat="1" ht="23.1" customHeight="1">
      <c r="B74" s="1532"/>
      <c r="C74" s="1524" t="s">
        <v>1088</v>
      </c>
      <c r="D74" s="1533"/>
      <c r="E74" s="1525">
        <v>25361</v>
      </c>
      <c r="F74" s="1526">
        <v>25361</v>
      </c>
      <c r="G74" s="1527">
        <f>+E74-F74</f>
        <v>0</v>
      </c>
      <c r="H74" s="855"/>
    </row>
    <row r="75" spans="2:8" s="854" customFormat="1" ht="23.1" customHeight="1">
      <c r="B75" s="1519"/>
      <c r="C75" s="1529" t="s">
        <v>1089</v>
      </c>
      <c r="D75" s="1520"/>
      <c r="E75" s="1530">
        <v>23896</v>
      </c>
      <c r="F75" s="1531">
        <v>23896</v>
      </c>
      <c r="G75" s="1527">
        <f>+E75-F75</f>
        <v>0</v>
      </c>
      <c r="H75" s="855"/>
    </row>
    <row r="76" spans="2:8" s="854" customFormat="1" ht="23.1" customHeight="1">
      <c r="B76" s="1532"/>
      <c r="C76" s="1524" t="s">
        <v>1090</v>
      </c>
      <c r="D76" s="1533"/>
      <c r="E76" s="1525">
        <v>706558</v>
      </c>
      <c r="F76" s="1526">
        <v>706558</v>
      </c>
      <c r="G76" s="1527">
        <f>+E76-F76</f>
        <v>0</v>
      </c>
      <c r="H76" s="855"/>
    </row>
    <row r="77" spans="2:8" s="854" customFormat="1" ht="23.1" customHeight="1">
      <c r="B77" s="1519"/>
      <c r="C77" s="1529"/>
      <c r="D77" s="1520"/>
      <c r="E77" s="1595"/>
      <c r="F77" s="1529"/>
      <c r="G77" s="1596"/>
      <c r="H77" s="855"/>
    </row>
    <row r="78" spans="2:8" s="854" customFormat="1" ht="23.1" customHeight="1">
      <c r="B78" s="1519"/>
      <c r="C78" s="1520" t="s">
        <v>1091</v>
      </c>
      <c r="D78" s="1520"/>
      <c r="E78" s="1539"/>
      <c r="F78" s="1539"/>
      <c r="G78" s="1597"/>
      <c r="H78" s="855"/>
    </row>
    <row r="79" spans="2:8" s="854" customFormat="1" ht="23.1" customHeight="1">
      <c r="B79" s="1532"/>
      <c r="C79" s="1533" t="s">
        <v>1092</v>
      </c>
      <c r="D79" s="1533"/>
      <c r="E79" s="1598"/>
      <c r="F79" s="1598"/>
      <c r="G79" s="1540"/>
      <c r="H79" s="855"/>
    </row>
    <row r="80" spans="2:8" s="859" customFormat="1" ht="36.75" customHeight="1">
      <c r="B80" s="1528"/>
      <c r="C80" s="2077" t="s">
        <v>1093</v>
      </c>
      <c r="D80" s="2078"/>
      <c r="E80" s="1530">
        <v>1190007</v>
      </c>
      <c r="F80" s="1595"/>
      <c r="G80" s="1599"/>
      <c r="H80" s="844"/>
    </row>
    <row r="81" spans="2:8" s="859" customFormat="1" ht="23.1" customHeight="1">
      <c r="B81" s="1523"/>
      <c r="C81" s="1524" t="s">
        <v>1094</v>
      </c>
      <c r="D81" s="1524"/>
      <c r="E81" s="1525"/>
      <c r="F81" s="1600"/>
      <c r="G81" s="1599"/>
      <c r="H81" s="844"/>
    </row>
    <row r="82" spans="2:8" s="859" customFormat="1" ht="23.1" customHeight="1">
      <c r="B82" s="1528"/>
      <c r="C82" s="1529" t="s">
        <v>1095</v>
      </c>
      <c r="D82" s="1529"/>
      <c r="E82" s="1530">
        <v>80241</v>
      </c>
      <c r="F82" s="1595"/>
      <c r="G82" s="1599"/>
      <c r="H82" s="844"/>
    </row>
    <row r="83" spans="2:8" s="859" customFormat="1" ht="23.1" customHeight="1">
      <c r="B83" s="1523"/>
      <c r="C83" s="1524" t="s">
        <v>1096</v>
      </c>
      <c r="D83" s="1524"/>
      <c r="E83" s="1525">
        <v>19803936</v>
      </c>
      <c r="F83" s="1600"/>
      <c r="G83" s="1599"/>
      <c r="H83" s="844"/>
    </row>
    <row r="84" spans="2:8" ht="20.100000000000001" customHeight="1">
      <c r="B84" s="1528"/>
      <c r="C84" s="1529"/>
      <c r="D84" s="1529"/>
      <c r="E84" s="1595"/>
      <c r="F84" s="1529"/>
      <c r="G84" s="1596"/>
    </row>
    <row r="85" spans="2:8" s="856" customFormat="1" ht="23.1" customHeight="1">
      <c r="B85" s="1601"/>
      <c r="C85" s="1550" t="s">
        <v>1097</v>
      </c>
      <c r="D85" s="1550"/>
      <c r="E85" s="1534">
        <f>SUM(E86:E90)</f>
        <v>23996392</v>
      </c>
      <c r="F85" s="1534">
        <f t="shared" ref="F85" si="4">SUM(F86:F90)</f>
        <v>7638236</v>
      </c>
      <c r="G85" s="1535">
        <f>SUM(G86:G90)</f>
        <v>16358156</v>
      </c>
      <c r="H85" s="852"/>
    </row>
    <row r="86" spans="2:8" s="859" customFormat="1" ht="23.1" customHeight="1">
      <c r="B86" s="1528"/>
      <c r="C86" s="2079" t="s">
        <v>1098</v>
      </c>
      <c r="D86" s="2080"/>
      <c r="E86" s="1530">
        <v>4568309</v>
      </c>
      <c r="F86" s="1531">
        <v>2048577</v>
      </c>
      <c r="G86" s="1536">
        <f>+E86-F86</f>
        <v>2519732</v>
      </c>
      <c r="H86" s="844"/>
    </row>
    <row r="87" spans="2:8" s="859" customFormat="1" ht="23.1" customHeight="1">
      <c r="B87" s="1523"/>
      <c r="C87" s="2071" t="s">
        <v>1099</v>
      </c>
      <c r="D87" s="2072"/>
      <c r="E87" s="1525">
        <v>4412378</v>
      </c>
      <c r="F87" s="1526">
        <v>2193741</v>
      </c>
      <c r="G87" s="1527">
        <f>+E87-F87</f>
        <v>2218637</v>
      </c>
      <c r="H87" s="844"/>
    </row>
    <row r="88" spans="2:8" s="859" customFormat="1" ht="37.5" customHeight="1">
      <c r="B88" s="1523"/>
      <c r="C88" s="2071" t="s">
        <v>1100</v>
      </c>
      <c r="D88" s="2072"/>
      <c r="E88" s="1525">
        <v>623571</v>
      </c>
      <c r="F88" s="1526">
        <v>359726</v>
      </c>
      <c r="G88" s="1527">
        <f>+E88-F88</f>
        <v>263845</v>
      </c>
      <c r="H88" s="844"/>
    </row>
    <row r="89" spans="2:8" s="859" customFormat="1" ht="38.25" customHeight="1">
      <c r="B89" s="1523"/>
      <c r="C89" s="2071" t="s">
        <v>1101</v>
      </c>
      <c r="D89" s="2072"/>
      <c r="E89" s="1525">
        <v>550229</v>
      </c>
      <c r="F89" s="1526">
        <v>303183</v>
      </c>
      <c r="G89" s="1527">
        <f>+E89-F89</f>
        <v>247046</v>
      </c>
      <c r="H89" s="844"/>
    </row>
    <row r="90" spans="2:8" s="857" customFormat="1" ht="23.1" customHeight="1" thickBot="1">
      <c r="B90" s="1570"/>
      <c r="C90" s="1602" t="s">
        <v>1102</v>
      </c>
      <c r="D90" s="1571"/>
      <c r="E90" s="1603">
        <v>13841905</v>
      </c>
      <c r="F90" s="1602">
        <v>2733009</v>
      </c>
      <c r="G90" s="1604">
        <f>+E90-F90</f>
        <v>11108896</v>
      </c>
      <c r="H90" s="855"/>
    </row>
  </sheetData>
  <mergeCells count="7">
    <mergeCell ref="C89:D89"/>
    <mergeCell ref="B5:G5"/>
    <mergeCell ref="E7:G7"/>
    <mergeCell ref="C80:D80"/>
    <mergeCell ref="C86:D86"/>
    <mergeCell ref="C87:D87"/>
    <mergeCell ref="C88:D88"/>
  </mergeCells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60" orientation="portrait" r:id="rId1"/>
  <headerFooter alignWithMargins="0">
    <oddHeader>&amp;R&amp;"Arial,Félkövér"&amp;14 &amp;"Calibri,Félkövér"&amp;11 &amp;12 28. melléklet a .../2026. (…….) önkormányzati rendelethez</oddHeader>
  </headerFooter>
  <rowBreaks count="1" manualBreakCount="1">
    <brk id="48" min="1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FC7B6-4BB9-4BBA-81F3-A1A2FCA67ABA}">
  <dimension ref="A1:K36"/>
  <sheetViews>
    <sheetView zoomScaleNormal="100" workbookViewId="0">
      <selection activeCell="B1" sqref="B1:K1"/>
    </sheetView>
  </sheetViews>
  <sheetFormatPr defaultRowHeight="14.25"/>
  <cols>
    <col min="1" max="1" width="14" style="861" customWidth="1"/>
    <col min="2" max="2" width="15.33203125" style="861" customWidth="1"/>
    <col min="3" max="3" width="16.5" style="861" customWidth="1"/>
    <col min="4" max="4" width="16.6640625" style="861" customWidth="1"/>
    <col min="5" max="5" width="38" style="861" customWidth="1"/>
    <col min="6" max="6" width="16.6640625" style="861" bestFit="1" customWidth="1"/>
    <col min="7" max="7" width="17.6640625" style="861" customWidth="1"/>
    <col min="8" max="8" width="16.6640625" style="863" bestFit="1" customWidth="1"/>
    <col min="9" max="9" width="16.33203125" style="861" bestFit="1" customWidth="1"/>
    <col min="10" max="10" width="14.6640625" style="863" customWidth="1"/>
    <col min="11" max="11" width="16" style="861" bestFit="1" customWidth="1"/>
    <col min="12" max="250" width="9.33203125" style="861"/>
    <col min="251" max="251" width="22.5" style="861" customWidth="1"/>
    <col min="252" max="252" width="15.33203125" style="861" customWidth="1"/>
    <col min="253" max="253" width="16.5" style="861" customWidth="1"/>
    <col min="254" max="254" width="16.6640625" style="861" customWidth="1"/>
    <col min="255" max="255" width="38" style="861" customWidth="1"/>
    <col min="256" max="256" width="19.83203125" style="861" bestFit="1" customWidth="1"/>
    <col min="257" max="257" width="20" style="861" bestFit="1" customWidth="1"/>
    <col min="258" max="258" width="21.33203125" style="861" customWidth="1"/>
    <col min="259" max="259" width="17" style="861" bestFit="1" customWidth="1"/>
    <col min="260" max="260" width="13.1640625" style="861" bestFit="1" customWidth="1"/>
    <col min="261" max="261" width="17.83203125" style="861" customWidth="1"/>
    <col min="262" max="262" width="18.1640625" style="861" bestFit="1" customWidth="1"/>
    <col min="263" max="263" width="16" style="861" bestFit="1" customWidth="1"/>
    <col min="264" max="264" width="14.6640625" style="861" bestFit="1" customWidth="1"/>
    <col min="265" max="506" width="9.33203125" style="861"/>
    <col min="507" max="507" width="22.5" style="861" customWidth="1"/>
    <col min="508" max="508" width="15.33203125" style="861" customWidth="1"/>
    <col min="509" max="509" width="16.5" style="861" customWidth="1"/>
    <col min="510" max="510" width="16.6640625" style="861" customWidth="1"/>
    <col min="511" max="511" width="38" style="861" customWidth="1"/>
    <col min="512" max="512" width="19.83203125" style="861" bestFit="1" customWidth="1"/>
    <col min="513" max="513" width="20" style="861" bestFit="1" customWidth="1"/>
    <col min="514" max="514" width="21.33203125" style="861" customWidth="1"/>
    <col min="515" max="515" width="17" style="861" bestFit="1" customWidth="1"/>
    <col min="516" max="516" width="13.1640625" style="861" bestFit="1" customWidth="1"/>
    <col min="517" max="517" width="17.83203125" style="861" customWidth="1"/>
    <col min="518" max="518" width="18.1640625" style="861" bestFit="1" customWidth="1"/>
    <col min="519" max="519" width="16" style="861" bestFit="1" customWidth="1"/>
    <col min="520" max="520" width="14.6640625" style="861" bestFit="1" customWidth="1"/>
    <col min="521" max="762" width="9.33203125" style="861"/>
    <col min="763" max="763" width="22.5" style="861" customWidth="1"/>
    <col min="764" max="764" width="15.33203125" style="861" customWidth="1"/>
    <col min="765" max="765" width="16.5" style="861" customWidth="1"/>
    <col min="766" max="766" width="16.6640625" style="861" customWidth="1"/>
    <col min="767" max="767" width="38" style="861" customWidth="1"/>
    <col min="768" max="768" width="19.83203125" style="861" bestFit="1" customWidth="1"/>
    <col min="769" max="769" width="20" style="861" bestFit="1" customWidth="1"/>
    <col min="770" max="770" width="21.33203125" style="861" customWidth="1"/>
    <col min="771" max="771" width="17" style="861" bestFit="1" customWidth="1"/>
    <col min="772" max="772" width="13.1640625" style="861" bestFit="1" customWidth="1"/>
    <col min="773" max="773" width="17.83203125" style="861" customWidth="1"/>
    <col min="774" max="774" width="18.1640625" style="861" bestFit="1" customWidth="1"/>
    <col min="775" max="775" width="16" style="861" bestFit="1" customWidth="1"/>
    <col min="776" max="776" width="14.6640625" style="861" bestFit="1" customWidth="1"/>
    <col min="777" max="1018" width="9.33203125" style="861"/>
    <col min="1019" max="1019" width="22.5" style="861" customWidth="1"/>
    <col min="1020" max="1020" width="15.33203125" style="861" customWidth="1"/>
    <col min="1021" max="1021" width="16.5" style="861" customWidth="1"/>
    <col min="1022" max="1022" width="16.6640625" style="861" customWidth="1"/>
    <col min="1023" max="1023" width="38" style="861" customWidth="1"/>
    <col min="1024" max="1024" width="19.83203125" style="861" bestFit="1" customWidth="1"/>
    <col min="1025" max="1025" width="20" style="861" bestFit="1" customWidth="1"/>
    <col min="1026" max="1026" width="21.33203125" style="861" customWidth="1"/>
    <col min="1027" max="1027" width="17" style="861" bestFit="1" customWidth="1"/>
    <col min="1028" max="1028" width="13.1640625" style="861" bestFit="1" customWidth="1"/>
    <col min="1029" max="1029" width="17.83203125" style="861" customWidth="1"/>
    <col min="1030" max="1030" width="18.1640625" style="861" bestFit="1" customWidth="1"/>
    <col min="1031" max="1031" width="16" style="861" bestFit="1" customWidth="1"/>
    <col min="1032" max="1032" width="14.6640625" style="861" bestFit="1" customWidth="1"/>
    <col min="1033" max="1274" width="9.33203125" style="861"/>
    <col min="1275" max="1275" width="22.5" style="861" customWidth="1"/>
    <col min="1276" max="1276" width="15.33203125" style="861" customWidth="1"/>
    <col min="1277" max="1277" width="16.5" style="861" customWidth="1"/>
    <col min="1278" max="1278" width="16.6640625" style="861" customWidth="1"/>
    <col min="1279" max="1279" width="38" style="861" customWidth="1"/>
    <col min="1280" max="1280" width="19.83203125" style="861" bestFit="1" customWidth="1"/>
    <col min="1281" max="1281" width="20" style="861" bestFit="1" customWidth="1"/>
    <col min="1282" max="1282" width="21.33203125" style="861" customWidth="1"/>
    <col min="1283" max="1283" width="17" style="861" bestFit="1" customWidth="1"/>
    <col min="1284" max="1284" width="13.1640625" style="861" bestFit="1" customWidth="1"/>
    <col min="1285" max="1285" width="17.83203125" style="861" customWidth="1"/>
    <col min="1286" max="1286" width="18.1640625" style="861" bestFit="1" customWidth="1"/>
    <col min="1287" max="1287" width="16" style="861" bestFit="1" customWidth="1"/>
    <col min="1288" max="1288" width="14.6640625" style="861" bestFit="1" customWidth="1"/>
    <col min="1289" max="1530" width="9.33203125" style="861"/>
    <col min="1531" max="1531" width="22.5" style="861" customWidth="1"/>
    <col min="1532" max="1532" width="15.33203125" style="861" customWidth="1"/>
    <col min="1533" max="1533" width="16.5" style="861" customWidth="1"/>
    <col min="1534" max="1534" width="16.6640625" style="861" customWidth="1"/>
    <col min="1535" max="1535" width="38" style="861" customWidth="1"/>
    <col min="1536" max="1536" width="19.83203125" style="861" bestFit="1" customWidth="1"/>
    <col min="1537" max="1537" width="20" style="861" bestFit="1" customWidth="1"/>
    <col min="1538" max="1538" width="21.33203125" style="861" customWidth="1"/>
    <col min="1539" max="1539" width="17" style="861" bestFit="1" customWidth="1"/>
    <col min="1540" max="1540" width="13.1640625" style="861" bestFit="1" customWidth="1"/>
    <col min="1541" max="1541" width="17.83203125" style="861" customWidth="1"/>
    <col min="1542" max="1542" width="18.1640625" style="861" bestFit="1" customWidth="1"/>
    <col min="1543" max="1543" width="16" style="861" bestFit="1" customWidth="1"/>
    <col min="1544" max="1544" width="14.6640625" style="861" bestFit="1" customWidth="1"/>
    <col min="1545" max="1786" width="9.33203125" style="861"/>
    <col min="1787" max="1787" width="22.5" style="861" customWidth="1"/>
    <col min="1788" max="1788" width="15.33203125" style="861" customWidth="1"/>
    <col min="1789" max="1789" width="16.5" style="861" customWidth="1"/>
    <col min="1790" max="1790" width="16.6640625" style="861" customWidth="1"/>
    <col min="1791" max="1791" width="38" style="861" customWidth="1"/>
    <col min="1792" max="1792" width="19.83203125" style="861" bestFit="1" customWidth="1"/>
    <col min="1793" max="1793" width="20" style="861" bestFit="1" customWidth="1"/>
    <col min="1794" max="1794" width="21.33203125" style="861" customWidth="1"/>
    <col min="1795" max="1795" width="17" style="861" bestFit="1" customWidth="1"/>
    <col min="1796" max="1796" width="13.1640625" style="861" bestFit="1" customWidth="1"/>
    <col min="1797" max="1797" width="17.83203125" style="861" customWidth="1"/>
    <col min="1798" max="1798" width="18.1640625" style="861" bestFit="1" customWidth="1"/>
    <col min="1799" max="1799" width="16" style="861" bestFit="1" customWidth="1"/>
    <col min="1800" max="1800" width="14.6640625" style="861" bestFit="1" customWidth="1"/>
    <col min="1801" max="2042" width="9.33203125" style="861"/>
    <col min="2043" max="2043" width="22.5" style="861" customWidth="1"/>
    <col min="2044" max="2044" width="15.33203125" style="861" customWidth="1"/>
    <col min="2045" max="2045" width="16.5" style="861" customWidth="1"/>
    <col min="2046" max="2046" width="16.6640625" style="861" customWidth="1"/>
    <col min="2047" max="2047" width="38" style="861" customWidth="1"/>
    <col min="2048" max="2048" width="19.83203125" style="861" bestFit="1" customWidth="1"/>
    <col min="2049" max="2049" width="20" style="861" bestFit="1" customWidth="1"/>
    <col min="2050" max="2050" width="21.33203125" style="861" customWidth="1"/>
    <col min="2051" max="2051" width="17" style="861" bestFit="1" customWidth="1"/>
    <col min="2052" max="2052" width="13.1640625" style="861" bestFit="1" customWidth="1"/>
    <col min="2053" max="2053" width="17.83203125" style="861" customWidth="1"/>
    <col min="2054" max="2054" width="18.1640625" style="861" bestFit="1" customWidth="1"/>
    <col min="2055" max="2055" width="16" style="861" bestFit="1" customWidth="1"/>
    <col min="2056" max="2056" width="14.6640625" style="861" bestFit="1" customWidth="1"/>
    <col min="2057" max="2298" width="9.33203125" style="861"/>
    <col min="2299" max="2299" width="22.5" style="861" customWidth="1"/>
    <col min="2300" max="2300" width="15.33203125" style="861" customWidth="1"/>
    <col min="2301" max="2301" width="16.5" style="861" customWidth="1"/>
    <col min="2302" max="2302" width="16.6640625" style="861" customWidth="1"/>
    <col min="2303" max="2303" width="38" style="861" customWidth="1"/>
    <col min="2304" max="2304" width="19.83203125" style="861" bestFit="1" customWidth="1"/>
    <col min="2305" max="2305" width="20" style="861" bestFit="1" customWidth="1"/>
    <col min="2306" max="2306" width="21.33203125" style="861" customWidth="1"/>
    <col min="2307" max="2307" width="17" style="861" bestFit="1" customWidth="1"/>
    <col min="2308" max="2308" width="13.1640625" style="861" bestFit="1" customWidth="1"/>
    <col min="2309" max="2309" width="17.83203125" style="861" customWidth="1"/>
    <col min="2310" max="2310" width="18.1640625" style="861" bestFit="1" customWidth="1"/>
    <col min="2311" max="2311" width="16" style="861" bestFit="1" customWidth="1"/>
    <col min="2312" max="2312" width="14.6640625" style="861" bestFit="1" customWidth="1"/>
    <col min="2313" max="2554" width="9.33203125" style="861"/>
    <col min="2555" max="2555" width="22.5" style="861" customWidth="1"/>
    <col min="2556" max="2556" width="15.33203125" style="861" customWidth="1"/>
    <col min="2557" max="2557" width="16.5" style="861" customWidth="1"/>
    <col min="2558" max="2558" width="16.6640625" style="861" customWidth="1"/>
    <col min="2559" max="2559" width="38" style="861" customWidth="1"/>
    <col min="2560" max="2560" width="19.83203125" style="861" bestFit="1" customWidth="1"/>
    <col min="2561" max="2561" width="20" style="861" bestFit="1" customWidth="1"/>
    <col min="2562" max="2562" width="21.33203125" style="861" customWidth="1"/>
    <col min="2563" max="2563" width="17" style="861" bestFit="1" customWidth="1"/>
    <col min="2564" max="2564" width="13.1640625" style="861" bestFit="1" customWidth="1"/>
    <col min="2565" max="2565" width="17.83203125" style="861" customWidth="1"/>
    <col min="2566" max="2566" width="18.1640625" style="861" bestFit="1" customWidth="1"/>
    <col min="2567" max="2567" width="16" style="861" bestFit="1" customWidth="1"/>
    <col min="2568" max="2568" width="14.6640625" style="861" bestFit="1" customWidth="1"/>
    <col min="2569" max="2810" width="9.33203125" style="861"/>
    <col min="2811" max="2811" width="22.5" style="861" customWidth="1"/>
    <col min="2812" max="2812" width="15.33203125" style="861" customWidth="1"/>
    <col min="2813" max="2813" width="16.5" style="861" customWidth="1"/>
    <col min="2814" max="2814" width="16.6640625" style="861" customWidth="1"/>
    <col min="2815" max="2815" width="38" style="861" customWidth="1"/>
    <col min="2816" max="2816" width="19.83203125" style="861" bestFit="1" customWidth="1"/>
    <col min="2817" max="2817" width="20" style="861" bestFit="1" customWidth="1"/>
    <col min="2818" max="2818" width="21.33203125" style="861" customWidth="1"/>
    <col min="2819" max="2819" width="17" style="861" bestFit="1" customWidth="1"/>
    <col min="2820" max="2820" width="13.1640625" style="861" bestFit="1" customWidth="1"/>
    <col min="2821" max="2821" width="17.83203125" style="861" customWidth="1"/>
    <col min="2822" max="2822" width="18.1640625" style="861" bestFit="1" customWidth="1"/>
    <col min="2823" max="2823" width="16" style="861" bestFit="1" customWidth="1"/>
    <col min="2824" max="2824" width="14.6640625" style="861" bestFit="1" customWidth="1"/>
    <col min="2825" max="3066" width="9.33203125" style="861"/>
    <col min="3067" max="3067" width="22.5" style="861" customWidth="1"/>
    <col min="3068" max="3068" width="15.33203125" style="861" customWidth="1"/>
    <col min="3069" max="3069" width="16.5" style="861" customWidth="1"/>
    <col min="3070" max="3070" width="16.6640625" style="861" customWidth="1"/>
    <col min="3071" max="3071" width="38" style="861" customWidth="1"/>
    <col min="3072" max="3072" width="19.83203125" style="861" bestFit="1" customWidth="1"/>
    <col min="3073" max="3073" width="20" style="861" bestFit="1" customWidth="1"/>
    <col min="3074" max="3074" width="21.33203125" style="861" customWidth="1"/>
    <col min="3075" max="3075" width="17" style="861" bestFit="1" customWidth="1"/>
    <col min="3076" max="3076" width="13.1640625" style="861" bestFit="1" customWidth="1"/>
    <col min="3077" max="3077" width="17.83203125" style="861" customWidth="1"/>
    <col min="3078" max="3078" width="18.1640625" style="861" bestFit="1" customWidth="1"/>
    <col min="3079" max="3079" width="16" style="861" bestFit="1" customWidth="1"/>
    <col min="3080" max="3080" width="14.6640625" style="861" bestFit="1" customWidth="1"/>
    <col min="3081" max="3322" width="9.33203125" style="861"/>
    <col min="3323" max="3323" width="22.5" style="861" customWidth="1"/>
    <col min="3324" max="3324" width="15.33203125" style="861" customWidth="1"/>
    <col min="3325" max="3325" width="16.5" style="861" customWidth="1"/>
    <col min="3326" max="3326" width="16.6640625" style="861" customWidth="1"/>
    <col min="3327" max="3327" width="38" style="861" customWidth="1"/>
    <col min="3328" max="3328" width="19.83203125" style="861" bestFit="1" customWidth="1"/>
    <col min="3329" max="3329" width="20" style="861" bestFit="1" customWidth="1"/>
    <col min="3330" max="3330" width="21.33203125" style="861" customWidth="1"/>
    <col min="3331" max="3331" width="17" style="861" bestFit="1" customWidth="1"/>
    <col min="3332" max="3332" width="13.1640625" style="861" bestFit="1" customWidth="1"/>
    <col min="3333" max="3333" width="17.83203125" style="861" customWidth="1"/>
    <col min="3334" max="3334" width="18.1640625" style="861" bestFit="1" customWidth="1"/>
    <col min="3335" max="3335" width="16" style="861" bestFit="1" customWidth="1"/>
    <col min="3336" max="3336" width="14.6640625" style="861" bestFit="1" customWidth="1"/>
    <col min="3337" max="3578" width="9.33203125" style="861"/>
    <col min="3579" max="3579" width="22.5" style="861" customWidth="1"/>
    <col min="3580" max="3580" width="15.33203125" style="861" customWidth="1"/>
    <col min="3581" max="3581" width="16.5" style="861" customWidth="1"/>
    <col min="3582" max="3582" width="16.6640625" style="861" customWidth="1"/>
    <col min="3583" max="3583" width="38" style="861" customWidth="1"/>
    <col min="3584" max="3584" width="19.83203125" style="861" bestFit="1" customWidth="1"/>
    <col min="3585" max="3585" width="20" style="861" bestFit="1" customWidth="1"/>
    <col min="3586" max="3586" width="21.33203125" style="861" customWidth="1"/>
    <col min="3587" max="3587" width="17" style="861" bestFit="1" customWidth="1"/>
    <col min="3588" max="3588" width="13.1640625" style="861" bestFit="1" customWidth="1"/>
    <col min="3589" max="3589" width="17.83203125" style="861" customWidth="1"/>
    <col min="3590" max="3590" width="18.1640625" style="861" bestFit="1" customWidth="1"/>
    <col min="3591" max="3591" width="16" style="861" bestFit="1" customWidth="1"/>
    <col min="3592" max="3592" width="14.6640625" style="861" bestFit="1" customWidth="1"/>
    <col min="3593" max="3834" width="9.33203125" style="861"/>
    <col min="3835" max="3835" width="22.5" style="861" customWidth="1"/>
    <col min="3836" max="3836" width="15.33203125" style="861" customWidth="1"/>
    <col min="3837" max="3837" width="16.5" style="861" customWidth="1"/>
    <col min="3838" max="3838" width="16.6640625" style="861" customWidth="1"/>
    <col min="3839" max="3839" width="38" style="861" customWidth="1"/>
    <col min="3840" max="3840" width="19.83203125" style="861" bestFit="1" customWidth="1"/>
    <col min="3841" max="3841" width="20" style="861" bestFit="1" customWidth="1"/>
    <col min="3842" max="3842" width="21.33203125" style="861" customWidth="1"/>
    <col min="3843" max="3843" width="17" style="861" bestFit="1" customWidth="1"/>
    <col min="3844" max="3844" width="13.1640625" style="861" bestFit="1" customWidth="1"/>
    <col min="3845" max="3845" width="17.83203125" style="861" customWidth="1"/>
    <col min="3846" max="3846" width="18.1640625" style="861" bestFit="1" customWidth="1"/>
    <col min="3847" max="3847" width="16" style="861" bestFit="1" customWidth="1"/>
    <col min="3848" max="3848" width="14.6640625" style="861" bestFit="1" customWidth="1"/>
    <col min="3849" max="4090" width="9.33203125" style="861"/>
    <col min="4091" max="4091" width="22.5" style="861" customWidth="1"/>
    <col min="4092" max="4092" width="15.33203125" style="861" customWidth="1"/>
    <col min="4093" max="4093" width="16.5" style="861" customWidth="1"/>
    <col min="4094" max="4094" width="16.6640625" style="861" customWidth="1"/>
    <col min="4095" max="4095" width="38" style="861" customWidth="1"/>
    <col min="4096" max="4096" width="19.83203125" style="861" bestFit="1" customWidth="1"/>
    <col min="4097" max="4097" width="20" style="861" bestFit="1" customWidth="1"/>
    <col min="4098" max="4098" width="21.33203125" style="861" customWidth="1"/>
    <col min="4099" max="4099" width="17" style="861" bestFit="1" customWidth="1"/>
    <col min="4100" max="4100" width="13.1640625" style="861" bestFit="1" customWidth="1"/>
    <col min="4101" max="4101" width="17.83203125" style="861" customWidth="1"/>
    <col min="4102" max="4102" width="18.1640625" style="861" bestFit="1" customWidth="1"/>
    <col min="4103" max="4103" width="16" style="861" bestFit="1" customWidth="1"/>
    <col min="4104" max="4104" width="14.6640625" style="861" bestFit="1" customWidth="1"/>
    <col min="4105" max="4346" width="9.33203125" style="861"/>
    <col min="4347" max="4347" width="22.5" style="861" customWidth="1"/>
    <col min="4348" max="4348" width="15.33203125" style="861" customWidth="1"/>
    <col min="4349" max="4349" width="16.5" style="861" customWidth="1"/>
    <col min="4350" max="4350" width="16.6640625" style="861" customWidth="1"/>
    <col min="4351" max="4351" width="38" style="861" customWidth="1"/>
    <col min="4352" max="4352" width="19.83203125" style="861" bestFit="1" customWidth="1"/>
    <col min="4353" max="4353" width="20" style="861" bestFit="1" customWidth="1"/>
    <col min="4354" max="4354" width="21.33203125" style="861" customWidth="1"/>
    <col min="4355" max="4355" width="17" style="861" bestFit="1" customWidth="1"/>
    <col min="4356" max="4356" width="13.1640625" style="861" bestFit="1" customWidth="1"/>
    <col min="4357" max="4357" width="17.83203125" style="861" customWidth="1"/>
    <col min="4358" max="4358" width="18.1640625" style="861" bestFit="1" customWidth="1"/>
    <col min="4359" max="4359" width="16" style="861" bestFit="1" customWidth="1"/>
    <col min="4360" max="4360" width="14.6640625" style="861" bestFit="1" customWidth="1"/>
    <col min="4361" max="4602" width="9.33203125" style="861"/>
    <col min="4603" max="4603" width="22.5" style="861" customWidth="1"/>
    <col min="4604" max="4604" width="15.33203125" style="861" customWidth="1"/>
    <col min="4605" max="4605" width="16.5" style="861" customWidth="1"/>
    <col min="4606" max="4606" width="16.6640625" style="861" customWidth="1"/>
    <col min="4607" max="4607" width="38" style="861" customWidth="1"/>
    <col min="4608" max="4608" width="19.83203125" style="861" bestFit="1" customWidth="1"/>
    <col min="4609" max="4609" width="20" style="861" bestFit="1" customWidth="1"/>
    <col min="4610" max="4610" width="21.33203125" style="861" customWidth="1"/>
    <col min="4611" max="4611" width="17" style="861" bestFit="1" customWidth="1"/>
    <col min="4612" max="4612" width="13.1640625" style="861" bestFit="1" customWidth="1"/>
    <col min="4613" max="4613" width="17.83203125" style="861" customWidth="1"/>
    <col min="4614" max="4614" width="18.1640625" style="861" bestFit="1" customWidth="1"/>
    <col min="4615" max="4615" width="16" style="861" bestFit="1" customWidth="1"/>
    <col min="4616" max="4616" width="14.6640625" style="861" bestFit="1" customWidth="1"/>
    <col min="4617" max="4858" width="9.33203125" style="861"/>
    <col min="4859" max="4859" width="22.5" style="861" customWidth="1"/>
    <col min="4860" max="4860" width="15.33203125" style="861" customWidth="1"/>
    <col min="4861" max="4861" width="16.5" style="861" customWidth="1"/>
    <col min="4862" max="4862" width="16.6640625" style="861" customWidth="1"/>
    <col min="4863" max="4863" width="38" style="861" customWidth="1"/>
    <col min="4864" max="4864" width="19.83203125" style="861" bestFit="1" customWidth="1"/>
    <col min="4865" max="4865" width="20" style="861" bestFit="1" customWidth="1"/>
    <col min="4866" max="4866" width="21.33203125" style="861" customWidth="1"/>
    <col min="4867" max="4867" width="17" style="861" bestFit="1" customWidth="1"/>
    <col min="4868" max="4868" width="13.1640625" style="861" bestFit="1" customWidth="1"/>
    <col min="4869" max="4869" width="17.83203125" style="861" customWidth="1"/>
    <col min="4870" max="4870" width="18.1640625" style="861" bestFit="1" customWidth="1"/>
    <col min="4871" max="4871" width="16" style="861" bestFit="1" customWidth="1"/>
    <col min="4872" max="4872" width="14.6640625" style="861" bestFit="1" customWidth="1"/>
    <col min="4873" max="5114" width="9.33203125" style="861"/>
    <col min="5115" max="5115" width="22.5" style="861" customWidth="1"/>
    <col min="5116" max="5116" width="15.33203125" style="861" customWidth="1"/>
    <col min="5117" max="5117" width="16.5" style="861" customWidth="1"/>
    <col min="5118" max="5118" width="16.6640625" style="861" customWidth="1"/>
    <col min="5119" max="5119" width="38" style="861" customWidth="1"/>
    <col min="5120" max="5120" width="19.83203125" style="861" bestFit="1" customWidth="1"/>
    <col min="5121" max="5121" width="20" style="861" bestFit="1" customWidth="1"/>
    <col min="5122" max="5122" width="21.33203125" style="861" customWidth="1"/>
    <col min="5123" max="5123" width="17" style="861" bestFit="1" customWidth="1"/>
    <col min="5124" max="5124" width="13.1640625" style="861" bestFit="1" customWidth="1"/>
    <col min="5125" max="5125" width="17.83203125" style="861" customWidth="1"/>
    <col min="5126" max="5126" width="18.1640625" style="861" bestFit="1" customWidth="1"/>
    <col min="5127" max="5127" width="16" style="861" bestFit="1" customWidth="1"/>
    <col min="5128" max="5128" width="14.6640625" style="861" bestFit="1" customWidth="1"/>
    <col min="5129" max="5370" width="9.33203125" style="861"/>
    <col min="5371" max="5371" width="22.5" style="861" customWidth="1"/>
    <col min="5372" max="5372" width="15.33203125" style="861" customWidth="1"/>
    <col min="5373" max="5373" width="16.5" style="861" customWidth="1"/>
    <col min="5374" max="5374" width="16.6640625" style="861" customWidth="1"/>
    <col min="5375" max="5375" width="38" style="861" customWidth="1"/>
    <col min="5376" max="5376" width="19.83203125" style="861" bestFit="1" customWidth="1"/>
    <col min="5377" max="5377" width="20" style="861" bestFit="1" customWidth="1"/>
    <col min="5378" max="5378" width="21.33203125" style="861" customWidth="1"/>
    <col min="5379" max="5379" width="17" style="861" bestFit="1" customWidth="1"/>
    <col min="5380" max="5380" width="13.1640625" style="861" bestFit="1" customWidth="1"/>
    <col min="5381" max="5381" width="17.83203125" style="861" customWidth="1"/>
    <col min="5382" max="5382" width="18.1640625" style="861" bestFit="1" customWidth="1"/>
    <col min="5383" max="5383" width="16" style="861" bestFit="1" customWidth="1"/>
    <col min="5384" max="5384" width="14.6640625" style="861" bestFit="1" customWidth="1"/>
    <col min="5385" max="5626" width="9.33203125" style="861"/>
    <col min="5627" max="5627" width="22.5" style="861" customWidth="1"/>
    <col min="5628" max="5628" width="15.33203125" style="861" customWidth="1"/>
    <col min="5629" max="5629" width="16.5" style="861" customWidth="1"/>
    <col min="5630" max="5630" width="16.6640625" style="861" customWidth="1"/>
    <col min="5631" max="5631" width="38" style="861" customWidth="1"/>
    <col min="5632" max="5632" width="19.83203125" style="861" bestFit="1" customWidth="1"/>
    <col min="5633" max="5633" width="20" style="861" bestFit="1" customWidth="1"/>
    <col min="5634" max="5634" width="21.33203125" style="861" customWidth="1"/>
    <col min="5635" max="5635" width="17" style="861" bestFit="1" customWidth="1"/>
    <col min="5636" max="5636" width="13.1640625" style="861" bestFit="1" customWidth="1"/>
    <col min="5637" max="5637" width="17.83203125" style="861" customWidth="1"/>
    <col min="5638" max="5638" width="18.1640625" style="861" bestFit="1" customWidth="1"/>
    <col min="5639" max="5639" width="16" style="861" bestFit="1" customWidth="1"/>
    <col min="5640" max="5640" width="14.6640625" style="861" bestFit="1" customWidth="1"/>
    <col min="5641" max="5882" width="9.33203125" style="861"/>
    <col min="5883" max="5883" width="22.5" style="861" customWidth="1"/>
    <col min="5884" max="5884" width="15.33203125" style="861" customWidth="1"/>
    <col min="5885" max="5885" width="16.5" style="861" customWidth="1"/>
    <col min="5886" max="5886" width="16.6640625" style="861" customWidth="1"/>
    <col min="5887" max="5887" width="38" style="861" customWidth="1"/>
    <col min="5888" max="5888" width="19.83203125" style="861" bestFit="1" customWidth="1"/>
    <col min="5889" max="5889" width="20" style="861" bestFit="1" customWidth="1"/>
    <col min="5890" max="5890" width="21.33203125" style="861" customWidth="1"/>
    <col min="5891" max="5891" width="17" style="861" bestFit="1" customWidth="1"/>
    <col min="5892" max="5892" width="13.1640625" style="861" bestFit="1" customWidth="1"/>
    <col min="5893" max="5893" width="17.83203125" style="861" customWidth="1"/>
    <col min="5894" max="5894" width="18.1640625" style="861" bestFit="1" customWidth="1"/>
    <col min="5895" max="5895" width="16" style="861" bestFit="1" customWidth="1"/>
    <col min="5896" max="5896" width="14.6640625" style="861" bestFit="1" customWidth="1"/>
    <col min="5897" max="6138" width="9.33203125" style="861"/>
    <col min="6139" max="6139" width="22.5" style="861" customWidth="1"/>
    <col min="6140" max="6140" width="15.33203125" style="861" customWidth="1"/>
    <col min="6141" max="6141" width="16.5" style="861" customWidth="1"/>
    <col min="6142" max="6142" width="16.6640625" style="861" customWidth="1"/>
    <col min="6143" max="6143" width="38" style="861" customWidth="1"/>
    <col min="6144" max="6144" width="19.83203125" style="861" bestFit="1" customWidth="1"/>
    <col min="6145" max="6145" width="20" style="861" bestFit="1" customWidth="1"/>
    <col min="6146" max="6146" width="21.33203125" style="861" customWidth="1"/>
    <col min="6147" max="6147" width="17" style="861" bestFit="1" customWidth="1"/>
    <col min="6148" max="6148" width="13.1640625" style="861" bestFit="1" customWidth="1"/>
    <col min="6149" max="6149" width="17.83203125" style="861" customWidth="1"/>
    <col min="6150" max="6150" width="18.1640625" style="861" bestFit="1" customWidth="1"/>
    <col min="6151" max="6151" width="16" style="861" bestFit="1" customWidth="1"/>
    <col min="6152" max="6152" width="14.6640625" style="861" bestFit="1" customWidth="1"/>
    <col min="6153" max="6394" width="9.33203125" style="861"/>
    <col min="6395" max="6395" width="22.5" style="861" customWidth="1"/>
    <col min="6396" max="6396" width="15.33203125" style="861" customWidth="1"/>
    <col min="6397" max="6397" width="16.5" style="861" customWidth="1"/>
    <col min="6398" max="6398" width="16.6640625" style="861" customWidth="1"/>
    <col min="6399" max="6399" width="38" style="861" customWidth="1"/>
    <col min="6400" max="6400" width="19.83203125" style="861" bestFit="1" customWidth="1"/>
    <col min="6401" max="6401" width="20" style="861" bestFit="1" customWidth="1"/>
    <col min="6402" max="6402" width="21.33203125" style="861" customWidth="1"/>
    <col min="6403" max="6403" width="17" style="861" bestFit="1" customWidth="1"/>
    <col min="6404" max="6404" width="13.1640625" style="861" bestFit="1" customWidth="1"/>
    <col min="6405" max="6405" width="17.83203125" style="861" customWidth="1"/>
    <col min="6406" max="6406" width="18.1640625" style="861" bestFit="1" customWidth="1"/>
    <col min="6407" max="6407" width="16" style="861" bestFit="1" customWidth="1"/>
    <col min="6408" max="6408" width="14.6640625" style="861" bestFit="1" customWidth="1"/>
    <col min="6409" max="6650" width="9.33203125" style="861"/>
    <col min="6651" max="6651" width="22.5" style="861" customWidth="1"/>
    <col min="6652" max="6652" width="15.33203125" style="861" customWidth="1"/>
    <col min="6653" max="6653" width="16.5" style="861" customWidth="1"/>
    <col min="6654" max="6654" width="16.6640625" style="861" customWidth="1"/>
    <col min="6655" max="6655" width="38" style="861" customWidth="1"/>
    <col min="6656" max="6656" width="19.83203125" style="861" bestFit="1" customWidth="1"/>
    <col min="6657" max="6657" width="20" style="861" bestFit="1" customWidth="1"/>
    <col min="6658" max="6658" width="21.33203125" style="861" customWidth="1"/>
    <col min="6659" max="6659" width="17" style="861" bestFit="1" customWidth="1"/>
    <col min="6660" max="6660" width="13.1640625" style="861" bestFit="1" customWidth="1"/>
    <col min="6661" max="6661" width="17.83203125" style="861" customWidth="1"/>
    <col min="6662" max="6662" width="18.1640625" style="861" bestFit="1" customWidth="1"/>
    <col min="6663" max="6663" width="16" style="861" bestFit="1" customWidth="1"/>
    <col min="6664" max="6664" width="14.6640625" style="861" bestFit="1" customWidth="1"/>
    <col min="6665" max="6906" width="9.33203125" style="861"/>
    <col min="6907" max="6907" width="22.5" style="861" customWidth="1"/>
    <col min="6908" max="6908" width="15.33203125" style="861" customWidth="1"/>
    <col min="6909" max="6909" width="16.5" style="861" customWidth="1"/>
    <col min="6910" max="6910" width="16.6640625" style="861" customWidth="1"/>
    <col min="6911" max="6911" width="38" style="861" customWidth="1"/>
    <col min="6912" max="6912" width="19.83203125" style="861" bestFit="1" customWidth="1"/>
    <col min="6913" max="6913" width="20" style="861" bestFit="1" customWidth="1"/>
    <col min="6914" max="6914" width="21.33203125" style="861" customWidth="1"/>
    <col min="6915" max="6915" width="17" style="861" bestFit="1" customWidth="1"/>
    <col min="6916" max="6916" width="13.1640625" style="861" bestFit="1" customWidth="1"/>
    <col min="6917" max="6917" width="17.83203125" style="861" customWidth="1"/>
    <col min="6918" max="6918" width="18.1640625" style="861" bestFit="1" customWidth="1"/>
    <col min="6919" max="6919" width="16" style="861" bestFit="1" customWidth="1"/>
    <col min="6920" max="6920" width="14.6640625" style="861" bestFit="1" customWidth="1"/>
    <col min="6921" max="7162" width="9.33203125" style="861"/>
    <col min="7163" max="7163" width="22.5" style="861" customWidth="1"/>
    <col min="7164" max="7164" width="15.33203125" style="861" customWidth="1"/>
    <col min="7165" max="7165" width="16.5" style="861" customWidth="1"/>
    <col min="7166" max="7166" width="16.6640625" style="861" customWidth="1"/>
    <col min="7167" max="7167" width="38" style="861" customWidth="1"/>
    <col min="7168" max="7168" width="19.83203125" style="861" bestFit="1" customWidth="1"/>
    <col min="7169" max="7169" width="20" style="861" bestFit="1" customWidth="1"/>
    <col min="7170" max="7170" width="21.33203125" style="861" customWidth="1"/>
    <col min="7171" max="7171" width="17" style="861" bestFit="1" customWidth="1"/>
    <col min="7172" max="7172" width="13.1640625" style="861" bestFit="1" customWidth="1"/>
    <col min="7173" max="7173" width="17.83203125" style="861" customWidth="1"/>
    <col min="7174" max="7174" width="18.1640625" style="861" bestFit="1" customWidth="1"/>
    <col min="7175" max="7175" width="16" style="861" bestFit="1" customWidth="1"/>
    <col min="7176" max="7176" width="14.6640625" style="861" bestFit="1" customWidth="1"/>
    <col min="7177" max="7418" width="9.33203125" style="861"/>
    <col min="7419" max="7419" width="22.5" style="861" customWidth="1"/>
    <col min="7420" max="7420" width="15.33203125" style="861" customWidth="1"/>
    <col min="7421" max="7421" width="16.5" style="861" customWidth="1"/>
    <col min="7422" max="7422" width="16.6640625" style="861" customWidth="1"/>
    <col min="7423" max="7423" width="38" style="861" customWidth="1"/>
    <col min="7424" max="7424" width="19.83203125" style="861" bestFit="1" customWidth="1"/>
    <col min="7425" max="7425" width="20" style="861" bestFit="1" customWidth="1"/>
    <col min="7426" max="7426" width="21.33203125" style="861" customWidth="1"/>
    <col min="7427" max="7427" width="17" style="861" bestFit="1" customWidth="1"/>
    <col min="7428" max="7428" width="13.1640625" style="861" bestFit="1" customWidth="1"/>
    <col min="7429" max="7429" width="17.83203125" style="861" customWidth="1"/>
    <col min="7430" max="7430" width="18.1640625" style="861" bestFit="1" customWidth="1"/>
    <col min="7431" max="7431" width="16" style="861" bestFit="1" customWidth="1"/>
    <col min="7432" max="7432" width="14.6640625" style="861" bestFit="1" customWidth="1"/>
    <col min="7433" max="7674" width="9.33203125" style="861"/>
    <col min="7675" max="7675" width="22.5" style="861" customWidth="1"/>
    <col min="7676" max="7676" width="15.33203125" style="861" customWidth="1"/>
    <col min="7677" max="7677" width="16.5" style="861" customWidth="1"/>
    <col min="7678" max="7678" width="16.6640625" style="861" customWidth="1"/>
    <col min="7679" max="7679" width="38" style="861" customWidth="1"/>
    <col min="7680" max="7680" width="19.83203125" style="861" bestFit="1" customWidth="1"/>
    <col min="7681" max="7681" width="20" style="861" bestFit="1" customWidth="1"/>
    <col min="7682" max="7682" width="21.33203125" style="861" customWidth="1"/>
    <col min="7683" max="7683" width="17" style="861" bestFit="1" customWidth="1"/>
    <col min="7684" max="7684" width="13.1640625" style="861" bestFit="1" customWidth="1"/>
    <col min="7685" max="7685" width="17.83203125" style="861" customWidth="1"/>
    <col min="7686" max="7686" width="18.1640625" style="861" bestFit="1" customWidth="1"/>
    <col min="7687" max="7687" width="16" style="861" bestFit="1" customWidth="1"/>
    <col min="7688" max="7688" width="14.6640625" style="861" bestFit="1" customWidth="1"/>
    <col min="7689" max="7930" width="9.33203125" style="861"/>
    <col min="7931" max="7931" width="22.5" style="861" customWidth="1"/>
    <col min="7932" max="7932" width="15.33203125" style="861" customWidth="1"/>
    <col min="7933" max="7933" width="16.5" style="861" customWidth="1"/>
    <col min="7934" max="7934" width="16.6640625" style="861" customWidth="1"/>
    <col min="7935" max="7935" width="38" style="861" customWidth="1"/>
    <col min="7936" max="7936" width="19.83203125" style="861" bestFit="1" customWidth="1"/>
    <col min="7937" max="7937" width="20" style="861" bestFit="1" customWidth="1"/>
    <col min="7938" max="7938" width="21.33203125" style="861" customWidth="1"/>
    <col min="7939" max="7939" width="17" style="861" bestFit="1" customWidth="1"/>
    <col min="7940" max="7940" width="13.1640625" style="861" bestFit="1" customWidth="1"/>
    <col min="7941" max="7941" width="17.83203125" style="861" customWidth="1"/>
    <col min="7942" max="7942" width="18.1640625" style="861" bestFit="1" customWidth="1"/>
    <col min="7943" max="7943" width="16" style="861" bestFit="1" customWidth="1"/>
    <col min="7944" max="7944" width="14.6640625" style="861" bestFit="1" customWidth="1"/>
    <col min="7945" max="8186" width="9.33203125" style="861"/>
    <col min="8187" max="8187" width="22.5" style="861" customWidth="1"/>
    <col min="8188" max="8188" width="15.33203125" style="861" customWidth="1"/>
    <col min="8189" max="8189" width="16.5" style="861" customWidth="1"/>
    <col min="8190" max="8190" width="16.6640625" style="861" customWidth="1"/>
    <col min="8191" max="8191" width="38" style="861" customWidth="1"/>
    <col min="8192" max="8192" width="19.83203125" style="861" bestFit="1" customWidth="1"/>
    <col min="8193" max="8193" width="20" style="861" bestFit="1" customWidth="1"/>
    <col min="8194" max="8194" width="21.33203125" style="861" customWidth="1"/>
    <col min="8195" max="8195" width="17" style="861" bestFit="1" customWidth="1"/>
    <col min="8196" max="8196" width="13.1640625" style="861" bestFit="1" customWidth="1"/>
    <col min="8197" max="8197" width="17.83203125" style="861" customWidth="1"/>
    <col min="8198" max="8198" width="18.1640625" style="861" bestFit="1" customWidth="1"/>
    <col min="8199" max="8199" width="16" style="861" bestFit="1" customWidth="1"/>
    <col min="8200" max="8200" width="14.6640625" style="861" bestFit="1" customWidth="1"/>
    <col min="8201" max="8442" width="9.33203125" style="861"/>
    <col min="8443" max="8443" width="22.5" style="861" customWidth="1"/>
    <col min="8444" max="8444" width="15.33203125" style="861" customWidth="1"/>
    <col min="8445" max="8445" width="16.5" style="861" customWidth="1"/>
    <col min="8446" max="8446" width="16.6640625" style="861" customWidth="1"/>
    <col min="8447" max="8447" width="38" style="861" customWidth="1"/>
    <col min="8448" max="8448" width="19.83203125" style="861" bestFit="1" customWidth="1"/>
    <col min="8449" max="8449" width="20" style="861" bestFit="1" customWidth="1"/>
    <col min="8450" max="8450" width="21.33203125" style="861" customWidth="1"/>
    <col min="8451" max="8451" width="17" style="861" bestFit="1" customWidth="1"/>
    <col min="8452" max="8452" width="13.1640625" style="861" bestFit="1" customWidth="1"/>
    <col min="8453" max="8453" width="17.83203125" style="861" customWidth="1"/>
    <col min="8454" max="8454" width="18.1640625" style="861" bestFit="1" customWidth="1"/>
    <col min="8455" max="8455" width="16" style="861" bestFit="1" customWidth="1"/>
    <col min="8456" max="8456" width="14.6640625" style="861" bestFit="1" customWidth="1"/>
    <col min="8457" max="8698" width="9.33203125" style="861"/>
    <col min="8699" max="8699" width="22.5" style="861" customWidth="1"/>
    <col min="8700" max="8700" width="15.33203125" style="861" customWidth="1"/>
    <col min="8701" max="8701" width="16.5" style="861" customWidth="1"/>
    <col min="8702" max="8702" width="16.6640625" style="861" customWidth="1"/>
    <col min="8703" max="8703" width="38" style="861" customWidth="1"/>
    <col min="8704" max="8704" width="19.83203125" style="861" bestFit="1" customWidth="1"/>
    <col min="8705" max="8705" width="20" style="861" bestFit="1" customWidth="1"/>
    <col min="8706" max="8706" width="21.33203125" style="861" customWidth="1"/>
    <col min="8707" max="8707" width="17" style="861" bestFit="1" customWidth="1"/>
    <col min="8708" max="8708" width="13.1640625" style="861" bestFit="1" customWidth="1"/>
    <col min="8709" max="8709" width="17.83203125" style="861" customWidth="1"/>
    <col min="8710" max="8710" width="18.1640625" style="861" bestFit="1" customWidth="1"/>
    <col min="8711" max="8711" width="16" style="861" bestFit="1" customWidth="1"/>
    <col min="8712" max="8712" width="14.6640625" style="861" bestFit="1" customWidth="1"/>
    <col min="8713" max="8954" width="9.33203125" style="861"/>
    <col min="8955" max="8955" width="22.5" style="861" customWidth="1"/>
    <col min="8956" max="8956" width="15.33203125" style="861" customWidth="1"/>
    <col min="8957" max="8957" width="16.5" style="861" customWidth="1"/>
    <col min="8958" max="8958" width="16.6640625" style="861" customWidth="1"/>
    <col min="8959" max="8959" width="38" style="861" customWidth="1"/>
    <col min="8960" max="8960" width="19.83203125" style="861" bestFit="1" customWidth="1"/>
    <col min="8961" max="8961" width="20" style="861" bestFit="1" customWidth="1"/>
    <col min="8962" max="8962" width="21.33203125" style="861" customWidth="1"/>
    <col min="8963" max="8963" width="17" style="861" bestFit="1" customWidth="1"/>
    <col min="8964" max="8964" width="13.1640625" style="861" bestFit="1" customWidth="1"/>
    <col min="8965" max="8965" width="17.83203125" style="861" customWidth="1"/>
    <col min="8966" max="8966" width="18.1640625" style="861" bestFit="1" customWidth="1"/>
    <col min="8967" max="8967" width="16" style="861" bestFit="1" customWidth="1"/>
    <col min="8968" max="8968" width="14.6640625" style="861" bestFit="1" customWidth="1"/>
    <col min="8969" max="9210" width="9.33203125" style="861"/>
    <col min="9211" max="9211" width="22.5" style="861" customWidth="1"/>
    <col min="9212" max="9212" width="15.33203125" style="861" customWidth="1"/>
    <col min="9213" max="9213" width="16.5" style="861" customWidth="1"/>
    <col min="9214" max="9214" width="16.6640625" style="861" customWidth="1"/>
    <col min="9215" max="9215" width="38" style="861" customWidth="1"/>
    <col min="9216" max="9216" width="19.83203125" style="861" bestFit="1" customWidth="1"/>
    <col min="9217" max="9217" width="20" style="861" bestFit="1" customWidth="1"/>
    <col min="9218" max="9218" width="21.33203125" style="861" customWidth="1"/>
    <col min="9219" max="9219" width="17" style="861" bestFit="1" customWidth="1"/>
    <col min="9220" max="9220" width="13.1640625" style="861" bestFit="1" customWidth="1"/>
    <col min="9221" max="9221" width="17.83203125" style="861" customWidth="1"/>
    <col min="9222" max="9222" width="18.1640625" style="861" bestFit="1" customWidth="1"/>
    <col min="9223" max="9223" width="16" style="861" bestFit="1" customWidth="1"/>
    <col min="9224" max="9224" width="14.6640625" style="861" bestFit="1" customWidth="1"/>
    <col min="9225" max="9466" width="9.33203125" style="861"/>
    <col min="9467" max="9467" width="22.5" style="861" customWidth="1"/>
    <col min="9468" max="9468" width="15.33203125" style="861" customWidth="1"/>
    <col min="9469" max="9469" width="16.5" style="861" customWidth="1"/>
    <col min="9470" max="9470" width="16.6640625" style="861" customWidth="1"/>
    <col min="9471" max="9471" width="38" style="861" customWidth="1"/>
    <col min="9472" max="9472" width="19.83203125" style="861" bestFit="1" customWidth="1"/>
    <col min="9473" max="9473" width="20" style="861" bestFit="1" customWidth="1"/>
    <col min="9474" max="9474" width="21.33203125" style="861" customWidth="1"/>
    <col min="9475" max="9475" width="17" style="861" bestFit="1" customWidth="1"/>
    <col min="9476" max="9476" width="13.1640625" style="861" bestFit="1" customWidth="1"/>
    <col min="9477" max="9477" width="17.83203125" style="861" customWidth="1"/>
    <col min="9478" max="9478" width="18.1640625" style="861" bestFit="1" customWidth="1"/>
    <col min="9479" max="9479" width="16" style="861" bestFit="1" customWidth="1"/>
    <col min="9480" max="9480" width="14.6640625" style="861" bestFit="1" customWidth="1"/>
    <col min="9481" max="9722" width="9.33203125" style="861"/>
    <col min="9723" max="9723" width="22.5" style="861" customWidth="1"/>
    <col min="9724" max="9724" width="15.33203125" style="861" customWidth="1"/>
    <col min="9725" max="9725" width="16.5" style="861" customWidth="1"/>
    <col min="9726" max="9726" width="16.6640625" style="861" customWidth="1"/>
    <col min="9727" max="9727" width="38" style="861" customWidth="1"/>
    <col min="9728" max="9728" width="19.83203125" style="861" bestFit="1" customWidth="1"/>
    <col min="9729" max="9729" width="20" style="861" bestFit="1" customWidth="1"/>
    <col min="9730" max="9730" width="21.33203125" style="861" customWidth="1"/>
    <col min="9731" max="9731" width="17" style="861" bestFit="1" customWidth="1"/>
    <col min="9732" max="9732" width="13.1640625" style="861" bestFit="1" customWidth="1"/>
    <col min="9733" max="9733" width="17.83203125" style="861" customWidth="1"/>
    <col min="9734" max="9734" width="18.1640625" style="861" bestFit="1" customWidth="1"/>
    <col min="9735" max="9735" width="16" style="861" bestFit="1" customWidth="1"/>
    <col min="9736" max="9736" width="14.6640625" style="861" bestFit="1" customWidth="1"/>
    <col min="9737" max="9978" width="9.33203125" style="861"/>
    <col min="9979" max="9979" width="22.5" style="861" customWidth="1"/>
    <col min="9980" max="9980" width="15.33203125" style="861" customWidth="1"/>
    <col min="9981" max="9981" width="16.5" style="861" customWidth="1"/>
    <col min="9982" max="9982" width="16.6640625" style="861" customWidth="1"/>
    <col min="9983" max="9983" width="38" style="861" customWidth="1"/>
    <col min="9984" max="9984" width="19.83203125" style="861" bestFit="1" customWidth="1"/>
    <col min="9985" max="9985" width="20" style="861" bestFit="1" customWidth="1"/>
    <col min="9986" max="9986" width="21.33203125" style="861" customWidth="1"/>
    <col min="9987" max="9987" width="17" style="861" bestFit="1" customWidth="1"/>
    <col min="9988" max="9988" width="13.1640625" style="861" bestFit="1" customWidth="1"/>
    <col min="9989" max="9989" width="17.83203125" style="861" customWidth="1"/>
    <col min="9990" max="9990" width="18.1640625" style="861" bestFit="1" customWidth="1"/>
    <col min="9991" max="9991" width="16" style="861" bestFit="1" customWidth="1"/>
    <col min="9992" max="9992" width="14.6640625" style="861" bestFit="1" customWidth="1"/>
    <col min="9993" max="10234" width="9.33203125" style="861"/>
    <col min="10235" max="10235" width="22.5" style="861" customWidth="1"/>
    <col min="10236" max="10236" width="15.33203125" style="861" customWidth="1"/>
    <col min="10237" max="10237" width="16.5" style="861" customWidth="1"/>
    <col min="10238" max="10238" width="16.6640625" style="861" customWidth="1"/>
    <col min="10239" max="10239" width="38" style="861" customWidth="1"/>
    <col min="10240" max="10240" width="19.83203125" style="861" bestFit="1" customWidth="1"/>
    <col min="10241" max="10241" width="20" style="861" bestFit="1" customWidth="1"/>
    <col min="10242" max="10242" width="21.33203125" style="861" customWidth="1"/>
    <col min="10243" max="10243" width="17" style="861" bestFit="1" customWidth="1"/>
    <col min="10244" max="10244" width="13.1640625" style="861" bestFit="1" customWidth="1"/>
    <col min="10245" max="10245" width="17.83203125" style="861" customWidth="1"/>
    <col min="10246" max="10246" width="18.1640625" style="861" bestFit="1" customWidth="1"/>
    <col min="10247" max="10247" width="16" style="861" bestFit="1" customWidth="1"/>
    <col min="10248" max="10248" width="14.6640625" style="861" bestFit="1" customWidth="1"/>
    <col min="10249" max="10490" width="9.33203125" style="861"/>
    <col min="10491" max="10491" width="22.5" style="861" customWidth="1"/>
    <col min="10492" max="10492" width="15.33203125" style="861" customWidth="1"/>
    <col min="10493" max="10493" width="16.5" style="861" customWidth="1"/>
    <col min="10494" max="10494" width="16.6640625" style="861" customWidth="1"/>
    <col min="10495" max="10495" width="38" style="861" customWidth="1"/>
    <col min="10496" max="10496" width="19.83203125" style="861" bestFit="1" customWidth="1"/>
    <col min="10497" max="10497" width="20" style="861" bestFit="1" customWidth="1"/>
    <col min="10498" max="10498" width="21.33203125" style="861" customWidth="1"/>
    <col min="10499" max="10499" width="17" style="861" bestFit="1" customWidth="1"/>
    <col min="10500" max="10500" width="13.1640625" style="861" bestFit="1" customWidth="1"/>
    <col min="10501" max="10501" width="17.83203125" style="861" customWidth="1"/>
    <col min="10502" max="10502" width="18.1640625" style="861" bestFit="1" customWidth="1"/>
    <col min="10503" max="10503" width="16" style="861" bestFit="1" customWidth="1"/>
    <col min="10504" max="10504" width="14.6640625" style="861" bestFit="1" customWidth="1"/>
    <col min="10505" max="10746" width="9.33203125" style="861"/>
    <col min="10747" max="10747" width="22.5" style="861" customWidth="1"/>
    <col min="10748" max="10748" width="15.33203125" style="861" customWidth="1"/>
    <col min="10749" max="10749" width="16.5" style="861" customWidth="1"/>
    <col min="10750" max="10750" width="16.6640625" style="861" customWidth="1"/>
    <col min="10751" max="10751" width="38" style="861" customWidth="1"/>
    <col min="10752" max="10752" width="19.83203125" style="861" bestFit="1" customWidth="1"/>
    <col min="10753" max="10753" width="20" style="861" bestFit="1" customWidth="1"/>
    <col min="10754" max="10754" width="21.33203125" style="861" customWidth="1"/>
    <col min="10755" max="10755" width="17" style="861" bestFit="1" customWidth="1"/>
    <col min="10756" max="10756" width="13.1640625" style="861" bestFit="1" customWidth="1"/>
    <col min="10757" max="10757" width="17.83203125" style="861" customWidth="1"/>
    <col min="10758" max="10758" width="18.1640625" style="861" bestFit="1" customWidth="1"/>
    <col min="10759" max="10759" width="16" style="861" bestFit="1" customWidth="1"/>
    <col min="10760" max="10760" width="14.6640625" style="861" bestFit="1" customWidth="1"/>
    <col min="10761" max="11002" width="9.33203125" style="861"/>
    <col min="11003" max="11003" width="22.5" style="861" customWidth="1"/>
    <col min="11004" max="11004" width="15.33203125" style="861" customWidth="1"/>
    <col min="11005" max="11005" width="16.5" style="861" customWidth="1"/>
    <col min="11006" max="11006" width="16.6640625" style="861" customWidth="1"/>
    <col min="11007" max="11007" width="38" style="861" customWidth="1"/>
    <col min="11008" max="11008" width="19.83203125" style="861" bestFit="1" customWidth="1"/>
    <col min="11009" max="11009" width="20" style="861" bestFit="1" customWidth="1"/>
    <col min="11010" max="11010" width="21.33203125" style="861" customWidth="1"/>
    <col min="11011" max="11011" width="17" style="861" bestFit="1" customWidth="1"/>
    <col min="11012" max="11012" width="13.1640625" style="861" bestFit="1" customWidth="1"/>
    <col min="11013" max="11013" width="17.83203125" style="861" customWidth="1"/>
    <col min="11014" max="11014" width="18.1640625" style="861" bestFit="1" customWidth="1"/>
    <col min="11015" max="11015" width="16" style="861" bestFit="1" customWidth="1"/>
    <col min="11016" max="11016" width="14.6640625" style="861" bestFit="1" customWidth="1"/>
    <col min="11017" max="11258" width="9.33203125" style="861"/>
    <col min="11259" max="11259" width="22.5" style="861" customWidth="1"/>
    <col min="11260" max="11260" width="15.33203125" style="861" customWidth="1"/>
    <col min="11261" max="11261" width="16.5" style="861" customWidth="1"/>
    <col min="11262" max="11262" width="16.6640625" style="861" customWidth="1"/>
    <col min="11263" max="11263" width="38" style="861" customWidth="1"/>
    <col min="11264" max="11264" width="19.83203125" style="861" bestFit="1" customWidth="1"/>
    <col min="11265" max="11265" width="20" style="861" bestFit="1" customWidth="1"/>
    <col min="11266" max="11266" width="21.33203125" style="861" customWidth="1"/>
    <col min="11267" max="11267" width="17" style="861" bestFit="1" customWidth="1"/>
    <col min="11268" max="11268" width="13.1640625" style="861" bestFit="1" customWidth="1"/>
    <col min="11269" max="11269" width="17.83203125" style="861" customWidth="1"/>
    <col min="11270" max="11270" width="18.1640625" style="861" bestFit="1" customWidth="1"/>
    <col min="11271" max="11271" width="16" style="861" bestFit="1" customWidth="1"/>
    <col min="11272" max="11272" width="14.6640625" style="861" bestFit="1" customWidth="1"/>
    <col min="11273" max="11514" width="9.33203125" style="861"/>
    <col min="11515" max="11515" width="22.5" style="861" customWidth="1"/>
    <col min="11516" max="11516" width="15.33203125" style="861" customWidth="1"/>
    <col min="11517" max="11517" width="16.5" style="861" customWidth="1"/>
    <col min="11518" max="11518" width="16.6640625" style="861" customWidth="1"/>
    <col min="11519" max="11519" width="38" style="861" customWidth="1"/>
    <col min="11520" max="11520" width="19.83203125" style="861" bestFit="1" customWidth="1"/>
    <col min="11521" max="11521" width="20" style="861" bestFit="1" customWidth="1"/>
    <col min="11522" max="11522" width="21.33203125" style="861" customWidth="1"/>
    <col min="11523" max="11523" width="17" style="861" bestFit="1" customWidth="1"/>
    <col min="11524" max="11524" width="13.1640625" style="861" bestFit="1" customWidth="1"/>
    <col min="11525" max="11525" width="17.83203125" style="861" customWidth="1"/>
    <col min="11526" max="11526" width="18.1640625" style="861" bestFit="1" customWidth="1"/>
    <col min="11527" max="11527" width="16" style="861" bestFit="1" customWidth="1"/>
    <col min="11528" max="11528" width="14.6640625" style="861" bestFit="1" customWidth="1"/>
    <col min="11529" max="11770" width="9.33203125" style="861"/>
    <col min="11771" max="11771" width="22.5" style="861" customWidth="1"/>
    <col min="11772" max="11772" width="15.33203125" style="861" customWidth="1"/>
    <col min="11773" max="11773" width="16.5" style="861" customWidth="1"/>
    <col min="11774" max="11774" width="16.6640625" style="861" customWidth="1"/>
    <col min="11775" max="11775" width="38" style="861" customWidth="1"/>
    <col min="11776" max="11776" width="19.83203125" style="861" bestFit="1" customWidth="1"/>
    <col min="11777" max="11777" width="20" style="861" bestFit="1" customWidth="1"/>
    <col min="11778" max="11778" width="21.33203125" style="861" customWidth="1"/>
    <col min="11779" max="11779" width="17" style="861" bestFit="1" customWidth="1"/>
    <col min="11780" max="11780" width="13.1640625" style="861" bestFit="1" customWidth="1"/>
    <col min="11781" max="11781" width="17.83203125" style="861" customWidth="1"/>
    <col min="11782" max="11782" width="18.1640625" style="861" bestFit="1" customWidth="1"/>
    <col min="11783" max="11783" width="16" style="861" bestFit="1" customWidth="1"/>
    <col min="11784" max="11784" width="14.6640625" style="861" bestFit="1" customWidth="1"/>
    <col min="11785" max="12026" width="9.33203125" style="861"/>
    <col min="12027" max="12027" width="22.5" style="861" customWidth="1"/>
    <col min="12028" max="12028" width="15.33203125" style="861" customWidth="1"/>
    <col min="12029" max="12029" width="16.5" style="861" customWidth="1"/>
    <col min="12030" max="12030" width="16.6640625" style="861" customWidth="1"/>
    <col min="12031" max="12031" width="38" style="861" customWidth="1"/>
    <col min="12032" max="12032" width="19.83203125" style="861" bestFit="1" customWidth="1"/>
    <col min="12033" max="12033" width="20" style="861" bestFit="1" customWidth="1"/>
    <col min="12034" max="12034" width="21.33203125" style="861" customWidth="1"/>
    <col min="12035" max="12035" width="17" style="861" bestFit="1" customWidth="1"/>
    <col min="12036" max="12036" width="13.1640625" style="861" bestFit="1" customWidth="1"/>
    <col min="12037" max="12037" width="17.83203125" style="861" customWidth="1"/>
    <col min="12038" max="12038" width="18.1640625" style="861" bestFit="1" customWidth="1"/>
    <col min="12039" max="12039" width="16" style="861" bestFit="1" customWidth="1"/>
    <col min="12040" max="12040" width="14.6640625" style="861" bestFit="1" customWidth="1"/>
    <col min="12041" max="12282" width="9.33203125" style="861"/>
    <col min="12283" max="12283" width="22.5" style="861" customWidth="1"/>
    <col min="12284" max="12284" width="15.33203125" style="861" customWidth="1"/>
    <col min="12285" max="12285" width="16.5" style="861" customWidth="1"/>
    <col min="12286" max="12286" width="16.6640625" style="861" customWidth="1"/>
    <col min="12287" max="12287" width="38" style="861" customWidth="1"/>
    <col min="12288" max="12288" width="19.83203125" style="861" bestFit="1" customWidth="1"/>
    <col min="12289" max="12289" width="20" style="861" bestFit="1" customWidth="1"/>
    <col min="12290" max="12290" width="21.33203125" style="861" customWidth="1"/>
    <col min="12291" max="12291" width="17" style="861" bestFit="1" customWidth="1"/>
    <col min="12292" max="12292" width="13.1640625" style="861" bestFit="1" customWidth="1"/>
    <col min="12293" max="12293" width="17.83203125" style="861" customWidth="1"/>
    <col min="12294" max="12294" width="18.1640625" style="861" bestFit="1" customWidth="1"/>
    <col min="12295" max="12295" width="16" style="861" bestFit="1" customWidth="1"/>
    <col min="12296" max="12296" width="14.6640625" style="861" bestFit="1" customWidth="1"/>
    <col min="12297" max="12538" width="9.33203125" style="861"/>
    <col min="12539" max="12539" width="22.5" style="861" customWidth="1"/>
    <col min="12540" max="12540" width="15.33203125" style="861" customWidth="1"/>
    <col min="12541" max="12541" width="16.5" style="861" customWidth="1"/>
    <col min="12542" max="12542" width="16.6640625" style="861" customWidth="1"/>
    <col min="12543" max="12543" width="38" style="861" customWidth="1"/>
    <col min="12544" max="12544" width="19.83203125" style="861" bestFit="1" customWidth="1"/>
    <col min="12545" max="12545" width="20" style="861" bestFit="1" customWidth="1"/>
    <col min="12546" max="12546" width="21.33203125" style="861" customWidth="1"/>
    <col min="12547" max="12547" width="17" style="861" bestFit="1" customWidth="1"/>
    <col min="12548" max="12548" width="13.1640625" style="861" bestFit="1" customWidth="1"/>
    <col min="12549" max="12549" width="17.83203125" style="861" customWidth="1"/>
    <col min="12550" max="12550" width="18.1640625" style="861" bestFit="1" customWidth="1"/>
    <col min="12551" max="12551" width="16" style="861" bestFit="1" customWidth="1"/>
    <col min="12552" max="12552" width="14.6640625" style="861" bestFit="1" customWidth="1"/>
    <col min="12553" max="12794" width="9.33203125" style="861"/>
    <col min="12795" max="12795" width="22.5" style="861" customWidth="1"/>
    <col min="12796" max="12796" width="15.33203125" style="861" customWidth="1"/>
    <col min="12797" max="12797" width="16.5" style="861" customWidth="1"/>
    <col min="12798" max="12798" width="16.6640625" style="861" customWidth="1"/>
    <col min="12799" max="12799" width="38" style="861" customWidth="1"/>
    <col min="12800" max="12800" width="19.83203125" style="861" bestFit="1" customWidth="1"/>
    <col min="12801" max="12801" width="20" style="861" bestFit="1" customWidth="1"/>
    <col min="12802" max="12802" width="21.33203125" style="861" customWidth="1"/>
    <col min="12803" max="12803" width="17" style="861" bestFit="1" customWidth="1"/>
    <col min="12804" max="12804" width="13.1640625" style="861" bestFit="1" customWidth="1"/>
    <col min="12805" max="12805" width="17.83203125" style="861" customWidth="1"/>
    <col min="12806" max="12806" width="18.1640625" style="861" bestFit="1" customWidth="1"/>
    <col min="12807" max="12807" width="16" style="861" bestFit="1" customWidth="1"/>
    <col min="12808" max="12808" width="14.6640625" style="861" bestFit="1" customWidth="1"/>
    <col min="12809" max="13050" width="9.33203125" style="861"/>
    <col min="13051" max="13051" width="22.5" style="861" customWidth="1"/>
    <col min="13052" max="13052" width="15.33203125" style="861" customWidth="1"/>
    <col min="13053" max="13053" width="16.5" style="861" customWidth="1"/>
    <col min="13054" max="13054" width="16.6640625" style="861" customWidth="1"/>
    <col min="13055" max="13055" width="38" style="861" customWidth="1"/>
    <col min="13056" max="13056" width="19.83203125" style="861" bestFit="1" customWidth="1"/>
    <col min="13057" max="13057" width="20" style="861" bestFit="1" customWidth="1"/>
    <col min="13058" max="13058" width="21.33203125" style="861" customWidth="1"/>
    <col min="13059" max="13059" width="17" style="861" bestFit="1" customWidth="1"/>
    <col min="13060" max="13060" width="13.1640625" style="861" bestFit="1" customWidth="1"/>
    <col min="13061" max="13061" width="17.83203125" style="861" customWidth="1"/>
    <col min="13062" max="13062" width="18.1640625" style="861" bestFit="1" customWidth="1"/>
    <col min="13063" max="13063" width="16" style="861" bestFit="1" customWidth="1"/>
    <col min="13064" max="13064" width="14.6640625" style="861" bestFit="1" customWidth="1"/>
    <col min="13065" max="13306" width="9.33203125" style="861"/>
    <col min="13307" max="13307" width="22.5" style="861" customWidth="1"/>
    <col min="13308" max="13308" width="15.33203125" style="861" customWidth="1"/>
    <col min="13309" max="13309" width="16.5" style="861" customWidth="1"/>
    <col min="13310" max="13310" width="16.6640625" style="861" customWidth="1"/>
    <col min="13311" max="13311" width="38" style="861" customWidth="1"/>
    <col min="13312" max="13312" width="19.83203125" style="861" bestFit="1" customWidth="1"/>
    <col min="13313" max="13313" width="20" style="861" bestFit="1" customWidth="1"/>
    <col min="13314" max="13314" width="21.33203125" style="861" customWidth="1"/>
    <col min="13315" max="13315" width="17" style="861" bestFit="1" customWidth="1"/>
    <col min="13316" max="13316" width="13.1640625" style="861" bestFit="1" customWidth="1"/>
    <col min="13317" max="13317" width="17.83203125" style="861" customWidth="1"/>
    <col min="13318" max="13318" width="18.1640625" style="861" bestFit="1" customWidth="1"/>
    <col min="13319" max="13319" width="16" style="861" bestFit="1" customWidth="1"/>
    <col min="13320" max="13320" width="14.6640625" style="861" bestFit="1" customWidth="1"/>
    <col min="13321" max="13562" width="9.33203125" style="861"/>
    <col min="13563" max="13563" width="22.5" style="861" customWidth="1"/>
    <col min="13564" max="13564" width="15.33203125" style="861" customWidth="1"/>
    <col min="13565" max="13565" width="16.5" style="861" customWidth="1"/>
    <col min="13566" max="13566" width="16.6640625" style="861" customWidth="1"/>
    <col min="13567" max="13567" width="38" style="861" customWidth="1"/>
    <col min="13568" max="13568" width="19.83203125" style="861" bestFit="1" customWidth="1"/>
    <col min="13569" max="13569" width="20" style="861" bestFit="1" customWidth="1"/>
    <col min="13570" max="13570" width="21.33203125" style="861" customWidth="1"/>
    <col min="13571" max="13571" width="17" style="861" bestFit="1" customWidth="1"/>
    <col min="13572" max="13572" width="13.1640625" style="861" bestFit="1" customWidth="1"/>
    <col min="13573" max="13573" width="17.83203125" style="861" customWidth="1"/>
    <col min="13574" max="13574" width="18.1640625" style="861" bestFit="1" customWidth="1"/>
    <col min="13575" max="13575" width="16" style="861" bestFit="1" customWidth="1"/>
    <col min="13576" max="13576" width="14.6640625" style="861" bestFit="1" customWidth="1"/>
    <col min="13577" max="13818" width="9.33203125" style="861"/>
    <col min="13819" max="13819" width="22.5" style="861" customWidth="1"/>
    <col min="13820" max="13820" width="15.33203125" style="861" customWidth="1"/>
    <col min="13821" max="13821" width="16.5" style="861" customWidth="1"/>
    <col min="13822" max="13822" width="16.6640625" style="861" customWidth="1"/>
    <col min="13823" max="13823" width="38" style="861" customWidth="1"/>
    <col min="13824" max="13824" width="19.83203125" style="861" bestFit="1" customWidth="1"/>
    <col min="13825" max="13825" width="20" style="861" bestFit="1" customWidth="1"/>
    <col min="13826" max="13826" width="21.33203125" style="861" customWidth="1"/>
    <col min="13827" max="13827" width="17" style="861" bestFit="1" customWidth="1"/>
    <col min="13828" max="13828" width="13.1640625" style="861" bestFit="1" customWidth="1"/>
    <col min="13829" max="13829" width="17.83203125" style="861" customWidth="1"/>
    <col min="13830" max="13830" width="18.1640625" style="861" bestFit="1" customWidth="1"/>
    <col min="13831" max="13831" width="16" style="861" bestFit="1" customWidth="1"/>
    <col min="13832" max="13832" width="14.6640625" style="861" bestFit="1" customWidth="1"/>
    <col min="13833" max="14074" width="9.33203125" style="861"/>
    <col min="14075" max="14075" width="22.5" style="861" customWidth="1"/>
    <col min="14076" max="14076" width="15.33203125" style="861" customWidth="1"/>
    <col min="14077" max="14077" width="16.5" style="861" customWidth="1"/>
    <col min="14078" max="14078" width="16.6640625" style="861" customWidth="1"/>
    <col min="14079" max="14079" width="38" style="861" customWidth="1"/>
    <col min="14080" max="14080" width="19.83203125" style="861" bestFit="1" customWidth="1"/>
    <col min="14081" max="14081" width="20" style="861" bestFit="1" customWidth="1"/>
    <col min="14082" max="14082" width="21.33203125" style="861" customWidth="1"/>
    <col min="14083" max="14083" width="17" style="861" bestFit="1" customWidth="1"/>
    <col min="14084" max="14084" width="13.1640625" style="861" bestFit="1" customWidth="1"/>
    <col min="14085" max="14085" width="17.83203125" style="861" customWidth="1"/>
    <col min="14086" max="14086" width="18.1640625" style="861" bestFit="1" customWidth="1"/>
    <col min="14087" max="14087" width="16" style="861" bestFit="1" customWidth="1"/>
    <col min="14088" max="14088" width="14.6640625" style="861" bestFit="1" customWidth="1"/>
    <col min="14089" max="14330" width="9.33203125" style="861"/>
    <col min="14331" max="14331" width="22.5" style="861" customWidth="1"/>
    <col min="14332" max="14332" width="15.33203125" style="861" customWidth="1"/>
    <col min="14333" max="14333" width="16.5" style="861" customWidth="1"/>
    <col min="14334" max="14334" width="16.6640625" style="861" customWidth="1"/>
    <col min="14335" max="14335" width="38" style="861" customWidth="1"/>
    <col min="14336" max="14336" width="19.83203125" style="861" bestFit="1" customWidth="1"/>
    <col min="14337" max="14337" width="20" style="861" bestFit="1" customWidth="1"/>
    <col min="14338" max="14338" width="21.33203125" style="861" customWidth="1"/>
    <col min="14339" max="14339" width="17" style="861" bestFit="1" customWidth="1"/>
    <col min="14340" max="14340" width="13.1640625" style="861" bestFit="1" customWidth="1"/>
    <col min="14341" max="14341" width="17.83203125" style="861" customWidth="1"/>
    <col min="14342" max="14342" width="18.1640625" style="861" bestFit="1" customWidth="1"/>
    <col min="14343" max="14343" width="16" style="861" bestFit="1" customWidth="1"/>
    <col min="14344" max="14344" width="14.6640625" style="861" bestFit="1" customWidth="1"/>
    <col min="14345" max="14586" width="9.33203125" style="861"/>
    <col min="14587" max="14587" width="22.5" style="861" customWidth="1"/>
    <col min="14588" max="14588" width="15.33203125" style="861" customWidth="1"/>
    <col min="14589" max="14589" width="16.5" style="861" customWidth="1"/>
    <col min="14590" max="14590" width="16.6640625" style="861" customWidth="1"/>
    <col min="14591" max="14591" width="38" style="861" customWidth="1"/>
    <col min="14592" max="14592" width="19.83203125" style="861" bestFit="1" customWidth="1"/>
    <col min="14593" max="14593" width="20" style="861" bestFit="1" customWidth="1"/>
    <col min="14594" max="14594" width="21.33203125" style="861" customWidth="1"/>
    <col min="14595" max="14595" width="17" style="861" bestFit="1" customWidth="1"/>
    <col min="14596" max="14596" width="13.1640625" style="861" bestFit="1" customWidth="1"/>
    <col min="14597" max="14597" width="17.83203125" style="861" customWidth="1"/>
    <col min="14598" max="14598" width="18.1640625" style="861" bestFit="1" customWidth="1"/>
    <col min="14599" max="14599" width="16" style="861" bestFit="1" customWidth="1"/>
    <col min="14600" max="14600" width="14.6640625" style="861" bestFit="1" customWidth="1"/>
    <col min="14601" max="14842" width="9.33203125" style="861"/>
    <col min="14843" max="14843" width="22.5" style="861" customWidth="1"/>
    <col min="14844" max="14844" width="15.33203125" style="861" customWidth="1"/>
    <col min="14845" max="14845" width="16.5" style="861" customWidth="1"/>
    <col min="14846" max="14846" width="16.6640625" style="861" customWidth="1"/>
    <col min="14847" max="14847" width="38" style="861" customWidth="1"/>
    <col min="14848" max="14848" width="19.83203125" style="861" bestFit="1" customWidth="1"/>
    <col min="14849" max="14849" width="20" style="861" bestFit="1" customWidth="1"/>
    <col min="14850" max="14850" width="21.33203125" style="861" customWidth="1"/>
    <col min="14851" max="14851" width="17" style="861" bestFit="1" customWidth="1"/>
    <col min="14852" max="14852" width="13.1640625" style="861" bestFit="1" customWidth="1"/>
    <col min="14853" max="14853" width="17.83203125" style="861" customWidth="1"/>
    <col min="14854" max="14854" width="18.1640625" style="861" bestFit="1" customWidth="1"/>
    <col min="14855" max="14855" width="16" style="861" bestFit="1" customWidth="1"/>
    <col min="14856" max="14856" width="14.6640625" style="861" bestFit="1" customWidth="1"/>
    <col min="14857" max="15098" width="9.33203125" style="861"/>
    <col min="15099" max="15099" width="22.5" style="861" customWidth="1"/>
    <col min="15100" max="15100" width="15.33203125" style="861" customWidth="1"/>
    <col min="15101" max="15101" width="16.5" style="861" customWidth="1"/>
    <col min="15102" max="15102" width="16.6640625" style="861" customWidth="1"/>
    <col min="15103" max="15103" width="38" style="861" customWidth="1"/>
    <col min="15104" max="15104" width="19.83203125" style="861" bestFit="1" customWidth="1"/>
    <col min="15105" max="15105" width="20" style="861" bestFit="1" customWidth="1"/>
    <col min="15106" max="15106" width="21.33203125" style="861" customWidth="1"/>
    <col min="15107" max="15107" width="17" style="861" bestFit="1" customWidth="1"/>
    <col min="15108" max="15108" width="13.1640625" style="861" bestFit="1" customWidth="1"/>
    <col min="15109" max="15109" width="17.83203125" style="861" customWidth="1"/>
    <col min="15110" max="15110" width="18.1640625" style="861" bestFit="1" customWidth="1"/>
    <col min="15111" max="15111" width="16" style="861" bestFit="1" customWidth="1"/>
    <col min="15112" max="15112" width="14.6640625" style="861" bestFit="1" customWidth="1"/>
    <col min="15113" max="15354" width="9.33203125" style="861"/>
    <col min="15355" max="15355" width="22.5" style="861" customWidth="1"/>
    <col min="15356" max="15356" width="15.33203125" style="861" customWidth="1"/>
    <col min="15357" max="15357" width="16.5" style="861" customWidth="1"/>
    <col min="15358" max="15358" width="16.6640625" style="861" customWidth="1"/>
    <col min="15359" max="15359" width="38" style="861" customWidth="1"/>
    <col min="15360" max="15360" width="19.83203125" style="861" bestFit="1" customWidth="1"/>
    <col min="15361" max="15361" width="20" style="861" bestFit="1" customWidth="1"/>
    <col min="15362" max="15362" width="21.33203125" style="861" customWidth="1"/>
    <col min="15363" max="15363" width="17" style="861" bestFit="1" customWidth="1"/>
    <col min="15364" max="15364" width="13.1640625" style="861" bestFit="1" customWidth="1"/>
    <col min="15365" max="15365" width="17.83203125" style="861" customWidth="1"/>
    <col min="15366" max="15366" width="18.1640625" style="861" bestFit="1" customWidth="1"/>
    <col min="15367" max="15367" width="16" style="861" bestFit="1" customWidth="1"/>
    <col min="15368" max="15368" width="14.6640625" style="861" bestFit="1" customWidth="1"/>
    <col min="15369" max="15610" width="9.33203125" style="861"/>
    <col min="15611" max="15611" width="22.5" style="861" customWidth="1"/>
    <col min="15612" max="15612" width="15.33203125" style="861" customWidth="1"/>
    <col min="15613" max="15613" width="16.5" style="861" customWidth="1"/>
    <col min="15614" max="15614" width="16.6640625" style="861" customWidth="1"/>
    <col min="15615" max="15615" width="38" style="861" customWidth="1"/>
    <col min="15616" max="15616" width="19.83203125" style="861" bestFit="1" customWidth="1"/>
    <col min="15617" max="15617" width="20" style="861" bestFit="1" customWidth="1"/>
    <col min="15618" max="15618" width="21.33203125" style="861" customWidth="1"/>
    <col min="15619" max="15619" width="17" style="861" bestFit="1" customWidth="1"/>
    <col min="15620" max="15620" width="13.1640625" style="861" bestFit="1" customWidth="1"/>
    <col min="15621" max="15621" width="17.83203125" style="861" customWidth="1"/>
    <col min="15622" max="15622" width="18.1640625" style="861" bestFit="1" customWidth="1"/>
    <col min="15623" max="15623" width="16" style="861" bestFit="1" customWidth="1"/>
    <col min="15624" max="15624" width="14.6640625" style="861" bestFit="1" customWidth="1"/>
    <col min="15625" max="15866" width="9.33203125" style="861"/>
    <col min="15867" max="15867" width="22.5" style="861" customWidth="1"/>
    <col min="15868" max="15868" width="15.33203125" style="861" customWidth="1"/>
    <col min="15869" max="15869" width="16.5" style="861" customWidth="1"/>
    <col min="15870" max="15870" width="16.6640625" style="861" customWidth="1"/>
    <col min="15871" max="15871" width="38" style="861" customWidth="1"/>
    <col min="15872" max="15872" width="19.83203125" style="861" bestFit="1" customWidth="1"/>
    <col min="15873" max="15873" width="20" style="861" bestFit="1" customWidth="1"/>
    <col min="15874" max="15874" width="21.33203125" style="861" customWidth="1"/>
    <col min="15875" max="15875" width="17" style="861" bestFit="1" customWidth="1"/>
    <col min="15876" max="15876" width="13.1640625" style="861" bestFit="1" customWidth="1"/>
    <col min="15877" max="15877" width="17.83203125" style="861" customWidth="1"/>
    <col min="15878" max="15878" width="18.1640625" style="861" bestFit="1" customWidth="1"/>
    <col min="15879" max="15879" width="16" style="861" bestFit="1" customWidth="1"/>
    <col min="15880" max="15880" width="14.6640625" style="861" bestFit="1" customWidth="1"/>
    <col min="15881" max="16122" width="9.33203125" style="861"/>
    <col min="16123" max="16123" width="22.5" style="861" customWidth="1"/>
    <col min="16124" max="16124" width="15.33203125" style="861" customWidth="1"/>
    <col min="16125" max="16125" width="16.5" style="861" customWidth="1"/>
    <col min="16126" max="16126" width="16.6640625" style="861" customWidth="1"/>
    <col min="16127" max="16127" width="38" style="861" customWidth="1"/>
    <col min="16128" max="16128" width="19.83203125" style="861" bestFit="1" customWidth="1"/>
    <col min="16129" max="16129" width="20" style="861" bestFit="1" customWidth="1"/>
    <col min="16130" max="16130" width="21.33203125" style="861" customWidth="1"/>
    <col min="16131" max="16131" width="17" style="861" bestFit="1" customWidth="1"/>
    <col min="16132" max="16132" width="13.1640625" style="861" bestFit="1" customWidth="1"/>
    <col min="16133" max="16133" width="17.83203125" style="861" customWidth="1"/>
    <col min="16134" max="16134" width="18.1640625" style="861" bestFit="1" customWidth="1"/>
    <col min="16135" max="16135" width="16" style="861" bestFit="1" customWidth="1"/>
    <col min="16136" max="16136" width="14.6640625" style="861" bestFit="1" customWidth="1"/>
    <col min="16137" max="16384" width="9.33203125" style="861"/>
  </cols>
  <sheetData>
    <row r="1" spans="1:11" ht="17.25">
      <c r="B1" s="2081" t="s">
        <v>626</v>
      </c>
      <c r="C1" s="2081"/>
      <c r="D1" s="2081"/>
      <c r="E1" s="2081"/>
      <c r="F1" s="2081"/>
      <c r="G1" s="2081"/>
      <c r="H1" s="2081"/>
      <c r="I1" s="2081"/>
      <c r="J1" s="2081"/>
      <c r="K1" s="2081"/>
    </row>
    <row r="2" spans="1:11" ht="17.25">
      <c r="B2" s="2082" t="s">
        <v>1149</v>
      </c>
      <c r="C2" s="2083"/>
      <c r="D2" s="2083"/>
      <c r="E2" s="2083"/>
      <c r="F2" s="2083"/>
      <c r="G2" s="2083"/>
      <c r="H2" s="2083"/>
      <c r="I2" s="2083"/>
      <c r="J2" s="2083"/>
      <c r="K2" s="2083"/>
    </row>
    <row r="3" spans="1:11" ht="15">
      <c r="B3" s="862"/>
      <c r="I3" s="864"/>
      <c r="J3" s="865"/>
      <c r="K3" s="862"/>
    </row>
    <row r="4" spans="1:11" ht="15.75" thickBot="1">
      <c r="K4" s="764" t="s">
        <v>12</v>
      </c>
    </row>
    <row r="5" spans="1:11" ht="22.5" customHeight="1">
      <c r="A5" s="866"/>
      <c r="B5" s="2084" t="s">
        <v>25</v>
      </c>
      <c r="C5" s="2085"/>
      <c r="D5" s="2085"/>
      <c r="E5" s="2086"/>
      <c r="F5" s="2093" t="s">
        <v>1103</v>
      </c>
      <c r="G5" s="2096" t="s">
        <v>1104</v>
      </c>
      <c r="H5" s="2097"/>
      <c r="I5" s="867" t="s">
        <v>1105</v>
      </c>
      <c r="J5" s="868" t="s">
        <v>1106</v>
      </c>
      <c r="K5" s="2100" t="s">
        <v>1107</v>
      </c>
    </row>
    <row r="6" spans="1:11" ht="22.5" customHeight="1">
      <c r="A6" s="866"/>
      <c r="B6" s="2087"/>
      <c r="C6" s="2088"/>
      <c r="D6" s="2088"/>
      <c r="E6" s="2089"/>
      <c r="F6" s="2094"/>
      <c r="G6" s="2098"/>
      <c r="H6" s="2099"/>
      <c r="I6" s="869" t="s">
        <v>1108</v>
      </c>
      <c r="J6" s="870" t="s">
        <v>1109</v>
      </c>
      <c r="K6" s="2101"/>
    </row>
    <row r="7" spans="1:11" ht="29.25" customHeight="1" thickBot="1">
      <c r="A7" s="866"/>
      <c r="B7" s="2090"/>
      <c r="C7" s="2091"/>
      <c r="D7" s="2091"/>
      <c r="E7" s="2092"/>
      <c r="F7" s="2095"/>
      <c r="G7" s="871" t="s">
        <v>1110</v>
      </c>
      <c r="H7" s="872" t="s">
        <v>1111</v>
      </c>
      <c r="I7" s="873" t="s">
        <v>1112</v>
      </c>
      <c r="J7" s="874" t="s">
        <v>957</v>
      </c>
      <c r="K7" s="2101"/>
    </row>
    <row r="8" spans="1:11" ht="18" customHeight="1">
      <c r="B8" s="875" t="s">
        <v>1113</v>
      </c>
      <c r="C8" s="876"/>
      <c r="D8" s="876"/>
      <c r="E8" s="877"/>
      <c r="F8" s="878">
        <f>((500+2500)*1000)/1000</f>
        <v>3000</v>
      </c>
      <c r="G8" s="879">
        <v>100</v>
      </c>
      <c r="H8" s="880">
        <f>3000000/1000</f>
        <v>3000</v>
      </c>
      <c r="I8" s="881">
        <v>0</v>
      </c>
      <c r="J8" s="882"/>
      <c r="K8" s="882">
        <f>H8-I8-J8</f>
        <v>3000</v>
      </c>
    </row>
    <row r="9" spans="1:11" ht="18" customHeight="1">
      <c r="B9" s="875" t="s">
        <v>1114</v>
      </c>
      <c r="C9" s="876"/>
      <c r="D9" s="876"/>
      <c r="E9" s="877"/>
      <c r="F9" s="878">
        <f>((7537500-5992312.5-370845)*1000)/1000</f>
        <v>1174342.5</v>
      </c>
      <c r="G9" s="879">
        <v>52.85</v>
      </c>
      <c r="H9" s="880">
        <f>620644880/1000</f>
        <v>620644.88</v>
      </c>
      <c r="I9" s="881"/>
      <c r="J9" s="883"/>
      <c r="K9" s="883">
        <f t="shared" ref="K9:K26" si="0">H9-I9-J9</f>
        <v>620644.88</v>
      </c>
    </row>
    <row r="10" spans="1:11" ht="18" customHeight="1">
      <c r="B10" s="884" t="s">
        <v>1115</v>
      </c>
      <c r="C10" s="876"/>
      <c r="D10" s="876"/>
      <c r="E10" s="877"/>
      <c r="F10" s="878">
        <f>(5000000+35630500+300000)/1000</f>
        <v>40930.5</v>
      </c>
      <c r="G10" s="879">
        <v>10.3</v>
      </c>
      <c r="H10" s="880">
        <f>((5000-150-1320+8670)*1000-9690000+3634311+100000)/1000</f>
        <v>6244.3109999999997</v>
      </c>
      <c r="I10" s="881">
        <v>0</v>
      </c>
      <c r="J10" s="883">
        <f>6244311/1000</f>
        <v>6244.3109999999997</v>
      </c>
      <c r="K10" s="883">
        <f t="shared" si="0"/>
        <v>0</v>
      </c>
    </row>
    <row r="11" spans="1:11" ht="18" customHeight="1">
      <c r="B11" s="885" t="s">
        <v>1116</v>
      </c>
      <c r="C11" s="886"/>
      <c r="D11" s="886"/>
      <c r="E11" s="887"/>
      <c r="F11" s="888">
        <f>150000000/1000</f>
        <v>150000</v>
      </c>
      <c r="G11" s="889">
        <v>35</v>
      </c>
      <c r="H11" s="890">
        <f>69490000/1000</f>
        <v>69490</v>
      </c>
      <c r="I11" s="891"/>
      <c r="J11" s="892"/>
      <c r="K11" s="883">
        <f t="shared" si="0"/>
        <v>69490</v>
      </c>
    </row>
    <row r="12" spans="1:11" ht="18" customHeight="1">
      <c r="B12" s="885" t="s">
        <v>1117</v>
      </c>
      <c r="C12" s="886"/>
      <c r="D12" s="886"/>
      <c r="E12" s="886"/>
      <c r="F12" s="878">
        <f>((10000-9500+25000)*1000)/1000</f>
        <v>25500</v>
      </c>
      <c r="G12" s="889">
        <v>100</v>
      </c>
      <c r="H12" s="890">
        <f>((500+25000)*1000)/1000</f>
        <v>25500</v>
      </c>
      <c r="I12" s="881">
        <v>0</v>
      </c>
      <c r="J12" s="892"/>
      <c r="K12" s="883">
        <f t="shared" si="0"/>
        <v>25500</v>
      </c>
    </row>
    <row r="13" spans="1:11" ht="18" customHeight="1">
      <c r="B13" s="885" t="s">
        <v>1118</v>
      </c>
      <c r="C13" s="886"/>
      <c r="D13" s="886"/>
      <c r="E13" s="886"/>
      <c r="F13" s="878">
        <f>3000000/1000</f>
        <v>3000</v>
      </c>
      <c r="G13" s="889">
        <v>100</v>
      </c>
      <c r="H13" s="890">
        <f>102627000/1000</f>
        <v>102627</v>
      </c>
      <c r="I13" s="893"/>
      <c r="J13" s="892"/>
      <c r="K13" s="883">
        <f t="shared" si="0"/>
        <v>102627</v>
      </c>
    </row>
    <row r="14" spans="1:11" ht="18" customHeight="1">
      <c r="B14" s="885" t="s">
        <v>1119</v>
      </c>
      <c r="C14" s="886"/>
      <c r="D14" s="886"/>
      <c r="E14" s="886"/>
      <c r="F14" s="878">
        <f>3000000/1000</f>
        <v>3000</v>
      </c>
      <c r="G14" s="889">
        <v>67</v>
      </c>
      <c r="H14" s="890">
        <f>3000000*0.67/1000</f>
        <v>2010.0000000000002</v>
      </c>
      <c r="I14" s="893"/>
      <c r="J14" s="892"/>
      <c r="K14" s="894">
        <f t="shared" si="0"/>
        <v>2010.0000000000002</v>
      </c>
    </row>
    <row r="15" spans="1:11" ht="18" customHeight="1">
      <c r="B15" s="895" t="s">
        <v>1120</v>
      </c>
      <c r="C15" s="876"/>
      <c r="D15" s="876"/>
      <c r="E15" s="876"/>
      <c r="F15" s="878"/>
      <c r="G15" s="879"/>
      <c r="H15" s="896">
        <f>SUM(H8:H14)</f>
        <v>829516.19099999999</v>
      </c>
      <c r="I15" s="897">
        <f>SUM(I8:I14)</f>
        <v>0</v>
      </c>
      <c r="J15" s="898">
        <f>SUM(J8:J14)</f>
        <v>6244.3109999999997</v>
      </c>
      <c r="K15" s="899">
        <f>SUM(K8:K14)</f>
        <v>823271.88</v>
      </c>
    </row>
    <row r="16" spans="1:11" ht="18" customHeight="1">
      <c r="B16" s="900" t="s">
        <v>1121</v>
      </c>
      <c r="C16" s="901"/>
      <c r="D16" s="901"/>
      <c r="E16" s="902"/>
      <c r="F16" s="903">
        <f>((1794000+335200+258800+275390+1815700+98800+202918+232000+90000)*1000)/1000</f>
        <v>5102808</v>
      </c>
      <c r="G16" s="904">
        <v>100</v>
      </c>
      <c r="H16" s="905">
        <f>((2133575+389433+258800+275390+1815700+98800+202918+232000+90000)*1000-115)/1000</f>
        <v>5496615.8849999998</v>
      </c>
      <c r="I16" s="906">
        <v>0</v>
      </c>
      <c r="J16" s="907"/>
      <c r="K16" s="883">
        <f t="shared" si="0"/>
        <v>5496615.8849999998</v>
      </c>
    </row>
    <row r="17" spans="2:11" ht="18" customHeight="1">
      <c r="B17" s="884" t="s">
        <v>1122</v>
      </c>
      <c r="C17" s="876"/>
      <c r="D17" s="876"/>
      <c r="E17" s="877"/>
      <c r="F17" s="878">
        <f>((3000+17000)*1000)/1000</f>
        <v>20000</v>
      </c>
      <c r="G17" s="879">
        <v>100</v>
      </c>
      <c r="H17" s="880">
        <f>((3000+17000)*1000)/1000</f>
        <v>20000</v>
      </c>
      <c r="I17" s="881"/>
      <c r="J17" s="883"/>
      <c r="K17" s="883">
        <f t="shared" si="0"/>
        <v>20000</v>
      </c>
    </row>
    <row r="18" spans="2:11" ht="18" customHeight="1">
      <c r="B18" s="875" t="s">
        <v>1123</v>
      </c>
      <c r="C18" s="876"/>
      <c r="D18" s="876"/>
      <c r="E18" s="877"/>
      <c r="F18" s="878">
        <f>4700000/1000</f>
        <v>4700</v>
      </c>
      <c r="G18" s="879">
        <v>100</v>
      </c>
      <c r="H18" s="880">
        <f>(4700000+45017000)/1000</f>
        <v>49717</v>
      </c>
      <c r="I18" s="881">
        <v>0</v>
      </c>
      <c r="J18" s="883"/>
      <c r="K18" s="883">
        <f t="shared" si="0"/>
        <v>49717</v>
      </c>
    </row>
    <row r="19" spans="2:11" ht="18" customHeight="1">
      <c r="B19" s="875" t="s">
        <v>1124</v>
      </c>
      <c r="C19" s="876"/>
      <c r="D19" s="876"/>
      <c r="E19" s="877"/>
      <c r="F19" s="878">
        <f>3000000/1000</f>
        <v>3000</v>
      </c>
      <c r="G19" s="879">
        <v>100</v>
      </c>
      <c r="H19" s="880">
        <f>3000000/1000</f>
        <v>3000</v>
      </c>
      <c r="I19" s="881"/>
      <c r="J19" s="883"/>
      <c r="K19" s="883">
        <f t="shared" si="0"/>
        <v>3000</v>
      </c>
    </row>
    <row r="20" spans="2:11" ht="18" customHeight="1">
      <c r="B20" s="875" t="s">
        <v>1125</v>
      </c>
      <c r="C20" s="876"/>
      <c r="D20" s="876"/>
      <c r="E20" s="877"/>
      <c r="F20" s="878">
        <f>15000000/1000</f>
        <v>15000</v>
      </c>
      <c r="G20" s="879">
        <v>100</v>
      </c>
      <c r="H20" s="880">
        <f>15000000/1000</f>
        <v>15000</v>
      </c>
      <c r="I20" s="881"/>
      <c r="J20" s="883"/>
      <c r="K20" s="883">
        <f t="shared" si="0"/>
        <v>15000</v>
      </c>
    </row>
    <row r="21" spans="2:11" ht="18" customHeight="1">
      <c r="B21" s="885" t="s">
        <v>1126</v>
      </c>
      <c r="C21" s="886"/>
      <c r="D21" s="886"/>
      <c r="E21" s="886"/>
      <c r="F21" s="878">
        <f>((500+2500)*1000)/1000</f>
        <v>3000</v>
      </c>
      <c r="G21" s="889">
        <v>100</v>
      </c>
      <c r="H21" s="890">
        <f>((2500+500)*1000)/1000</f>
        <v>3000</v>
      </c>
      <c r="I21" s="881"/>
      <c r="J21" s="892"/>
      <c r="K21" s="883">
        <f t="shared" si="0"/>
        <v>3000</v>
      </c>
    </row>
    <row r="22" spans="2:11" ht="18" customHeight="1">
      <c r="B22" s="885" t="s">
        <v>1127</v>
      </c>
      <c r="C22" s="886"/>
      <c r="D22" s="886"/>
      <c r="E22" s="886"/>
      <c r="F22" s="878">
        <f>3000000/1000</f>
        <v>3000</v>
      </c>
      <c r="G22" s="889">
        <v>85</v>
      </c>
      <c r="H22" s="890">
        <f>((1700+850)*1000)/1000</f>
        <v>2550</v>
      </c>
      <c r="I22" s="893"/>
      <c r="J22" s="892"/>
      <c r="K22" s="883">
        <f t="shared" si="0"/>
        <v>2550</v>
      </c>
    </row>
    <row r="23" spans="2:11" ht="18" customHeight="1">
      <c r="B23" s="908" t="s">
        <v>1128</v>
      </c>
      <c r="C23" s="876"/>
      <c r="D23" s="876"/>
      <c r="E23" s="876"/>
      <c r="F23" s="878"/>
      <c r="G23" s="909"/>
      <c r="H23" s="896">
        <f>SUM(H16:H22)</f>
        <v>5589882.8849999998</v>
      </c>
      <c r="I23" s="897">
        <f>SUM(I16:I22)</f>
        <v>0</v>
      </c>
      <c r="J23" s="898">
        <f>SUM(J16:J22)</f>
        <v>0</v>
      </c>
      <c r="K23" s="899">
        <f>SUM(K16:K22)</f>
        <v>5589882.8849999998</v>
      </c>
    </row>
    <row r="24" spans="2:11" ht="18" customHeight="1">
      <c r="B24" s="885" t="s">
        <v>1129</v>
      </c>
      <c r="C24" s="886"/>
      <c r="D24" s="886"/>
      <c r="E24" s="886"/>
      <c r="F24" s="888">
        <f>728840000/1000</f>
        <v>728840</v>
      </c>
      <c r="G24" s="889">
        <v>3.51</v>
      </c>
      <c r="H24" s="890">
        <f>25570000/1000</f>
        <v>25570</v>
      </c>
      <c r="I24" s="891"/>
      <c r="J24" s="892"/>
      <c r="K24" s="883">
        <f t="shared" si="0"/>
        <v>25570</v>
      </c>
    </row>
    <row r="25" spans="2:11" ht="18" customHeight="1">
      <c r="B25" s="885" t="s">
        <v>1130</v>
      </c>
      <c r="C25" s="886"/>
      <c r="D25" s="886"/>
      <c r="E25" s="887"/>
      <c r="F25" s="888">
        <f>13473446000/1000</f>
        <v>13473446</v>
      </c>
      <c r="G25" s="889">
        <v>0.11</v>
      </c>
      <c r="H25" s="890">
        <f>14590000/1000</f>
        <v>14590</v>
      </c>
      <c r="I25" s="891"/>
      <c r="J25" s="892"/>
      <c r="K25" s="883">
        <f t="shared" si="0"/>
        <v>14590</v>
      </c>
    </row>
    <row r="26" spans="2:11" ht="18" customHeight="1">
      <c r="B26" s="885" t="s">
        <v>1131</v>
      </c>
      <c r="C26" s="886"/>
      <c r="D26" s="886"/>
      <c r="E26" s="887"/>
      <c r="F26" s="888">
        <f>9000001000/1000</f>
        <v>9000001</v>
      </c>
      <c r="G26" s="910">
        <v>3.7999999999999999E-2</v>
      </c>
      <c r="H26" s="890">
        <f>3462000/1000</f>
        <v>3462</v>
      </c>
      <c r="I26" s="891"/>
      <c r="J26" s="892"/>
      <c r="K26" s="883">
        <f t="shared" si="0"/>
        <v>3462</v>
      </c>
    </row>
    <row r="27" spans="2:11" ht="18" customHeight="1" thickBot="1">
      <c r="B27" s="911" t="s">
        <v>1132</v>
      </c>
      <c r="C27" s="912"/>
      <c r="D27" s="912"/>
      <c r="E27" s="912"/>
      <c r="F27" s="913"/>
      <c r="G27" s="914"/>
      <c r="H27" s="915">
        <f>SUM(H24:H26)</f>
        <v>43622</v>
      </c>
      <c r="I27" s="916">
        <f>SUM(I24:I26)</f>
        <v>0</v>
      </c>
      <c r="J27" s="917">
        <f>SUM(J24:J26)</f>
        <v>0</v>
      </c>
      <c r="K27" s="918">
        <f>SUM(K24:K26)</f>
        <v>43622</v>
      </c>
    </row>
    <row r="28" spans="2:11" ht="21" customHeight="1" thickBot="1">
      <c r="B28" s="919" t="s">
        <v>688</v>
      </c>
      <c r="C28" s="920"/>
      <c r="D28" s="920"/>
      <c r="E28" s="920"/>
      <c r="F28" s="921"/>
      <c r="G28" s="922"/>
      <c r="H28" s="923">
        <f>H15+H23+H27</f>
        <v>6463021.0759999994</v>
      </c>
      <c r="I28" s="924">
        <f>I15+I23+I27</f>
        <v>0</v>
      </c>
      <c r="J28" s="925">
        <f>J15+J23+J27</f>
        <v>6244.3109999999997</v>
      </c>
      <c r="K28" s="926">
        <f>K15+K23+K27</f>
        <v>6456776.7649999997</v>
      </c>
    </row>
    <row r="29" spans="2:11">
      <c r="I29" s="863"/>
      <c r="K29" s="927"/>
    </row>
    <row r="30" spans="2:11">
      <c r="I30" s="863"/>
    </row>
    <row r="31" spans="2:11">
      <c r="E31" s="863"/>
      <c r="F31" s="863"/>
      <c r="G31" s="863"/>
    </row>
    <row r="32" spans="2:11">
      <c r="E32" s="863"/>
      <c r="F32" s="863"/>
      <c r="G32" s="863"/>
    </row>
    <row r="33" spans="5:7">
      <c r="E33" s="863"/>
      <c r="F33" s="863"/>
      <c r="G33" s="863"/>
    </row>
    <row r="34" spans="5:7">
      <c r="E34" s="863"/>
      <c r="F34" s="863"/>
      <c r="G34" s="863"/>
    </row>
    <row r="35" spans="5:7">
      <c r="E35" s="863"/>
      <c r="F35" s="863"/>
      <c r="G35" s="863"/>
    </row>
    <row r="36" spans="5:7">
      <c r="E36" s="863"/>
      <c r="F36" s="863"/>
      <c r="G36" s="863"/>
    </row>
  </sheetData>
  <mergeCells count="6">
    <mergeCell ref="B1:K1"/>
    <mergeCell ref="B2:K2"/>
    <mergeCell ref="B5:E7"/>
    <mergeCell ref="F5:F7"/>
    <mergeCell ref="G5:H6"/>
    <mergeCell ref="K5:K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&amp;R&amp;"-,Félkövér"&amp;12 29. melléklet a .../2026.(........)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7"/>
  <sheetViews>
    <sheetView zoomScaleNormal="100" zoomScaleSheetLayoutView="75" workbookViewId="0">
      <selection activeCell="B2" sqref="B2:J2"/>
    </sheetView>
  </sheetViews>
  <sheetFormatPr defaultColWidth="9.33203125" defaultRowHeight="21" customHeight="1"/>
  <cols>
    <col min="1" max="1" width="15.5" style="20" customWidth="1"/>
    <col min="2" max="2" width="5" style="33" customWidth="1"/>
    <col min="3" max="3" width="5.6640625" style="33" customWidth="1"/>
    <col min="4" max="5" width="2.33203125" style="33" customWidth="1"/>
    <col min="6" max="6" width="107.5" style="33" customWidth="1"/>
    <col min="7" max="7" width="26" style="33" customWidth="1"/>
    <col min="8" max="8" width="25.1640625" style="33" customWidth="1"/>
    <col min="9" max="9" width="22.83203125" style="33" bestFit="1" customWidth="1"/>
    <col min="10" max="10" width="21.33203125" style="33" bestFit="1" customWidth="1"/>
    <col min="11" max="11" width="25.5" style="35" bestFit="1" customWidth="1"/>
    <col min="12" max="12" width="37.83203125" style="32" customWidth="1"/>
    <col min="13" max="13" width="24.1640625" style="32" customWidth="1"/>
    <col min="14" max="14" width="10.1640625" style="32" bestFit="1" customWidth="1"/>
    <col min="15" max="15" width="9.33203125" style="1"/>
    <col min="16" max="16" width="16.83203125" style="1" bestFit="1" customWidth="1"/>
    <col min="17" max="16384" width="9.33203125" style="1"/>
  </cols>
  <sheetData>
    <row r="1" spans="1:14" ht="21" customHeight="1">
      <c r="B1" s="1905"/>
      <c r="C1" s="1905"/>
      <c r="D1" s="1905"/>
      <c r="E1" s="1905"/>
      <c r="F1" s="1905"/>
    </row>
    <row r="2" spans="1:14" ht="24.75" customHeight="1">
      <c r="B2" s="1883" t="s">
        <v>179</v>
      </c>
      <c r="C2" s="1883"/>
      <c r="D2" s="1883"/>
      <c r="E2" s="1883"/>
      <c r="F2" s="1883"/>
      <c r="G2" s="1883"/>
      <c r="H2" s="1883"/>
      <c r="I2" s="1883"/>
      <c r="J2" s="1883"/>
    </row>
    <row r="3" spans="1:14" ht="24.75" customHeight="1">
      <c r="B3" s="53"/>
      <c r="C3" s="53"/>
      <c r="D3" s="53"/>
      <c r="E3" s="53"/>
      <c r="F3" s="53"/>
      <c r="G3" s="54"/>
      <c r="H3" s="54"/>
      <c r="I3" s="54"/>
      <c r="J3" s="54"/>
    </row>
    <row r="4" spans="1:14" ht="24.75" customHeight="1" thickBot="1">
      <c r="B4" s="54"/>
      <c r="C4" s="55"/>
      <c r="D4" s="55"/>
      <c r="E4" s="55"/>
      <c r="F4" s="56"/>
      <c r="G4" s="54"/>
      <c r="H4" s="54"/>
      <c r="I4" s="54"/>
      <c r="J4" s="58" t="s">
        <v>12</v>
      </c>
    </row>
    <row r="5" spans="1:14" ht="19.5" customHeight="1">
      <c r="B5" s="227"/>
      <c r="C5" s="1611"/>
      <c r="D5" s="1611"/>
      <c r="E5" s="1611"/>
      <c r="F5" s="1612" t="s">
        <v>25</v>
      </c>
      <c r="G5" s="1887" t="s">
        <v>442</v>
      </c>
      <c r="H5" s="1887"/>
      <c r="I5" s="97" t="s">
        <v>240</v>
      </c>
      <c r="J5" s="150" t="s">
        <v>77</v>
      </c>
    </row>
    <row r="6" spans="1:14" ht="19.5" customHeight="1" thickBot="1">
      <c r="B6" s="1613"/>
      <c r="C6" s="1614"/>
      <c r="D6" s="1614"/>
      <c r="E6" s="1614"/>
      <c r="F6" s="1615"/>
      <c r="G6" s="151" t="s">
        <v>147</v>
      </c>
      <c r="H6" s="151" t="s">
        <v>75</v>
      </c>
      <c r="I6" s="152" t="s">
        <v>76</v>
      </c>
      <c r="J6" s="102" t="s">
        <v>78</v>
      </c>
    </row>
    <row r="7" spans="1:14" ht="19.5" customHeight="1">
      <c r="B7" s="1616" t="s">
        <v>181</v>
      </c>
      <c r="C7" s="1617"/>
      <c r="D7" s="1617"/>
      <c r="E7" s="1617"/>
      <c r="F7" s="1617"/>
      <c r="G7" s="110"/>
      <c r="H7" s="110"/>
      <c r="I7" s="110"/>
      <c r="J7" s="141"/>
    </row>
    <row r="8" spans="1:14" s="15" customFormat="1" ht="19.5" customHeight="1">
      <c r="A8" s="60"/>
      <c r="B8" s="1618"/>
      <c r="C8" s="1619" t="s">
        <v>612</v>
      </c>
      <c r="D8" s="1619"/>
      <c r="E8" s="1619"/>
      <c r="F8" s="1620"/>
      <c r="G8" s="978">
        <v>1706599</v>
      </c>
      <c r="H8" s="978">
        <v>1759844</v>
      </c>
      <c r="I8" s="984">
        <v>1759844</v>
      </c>
      <c r="J8" s="997">
        <f>+I8/H8*100</f>
        <v>100</v>
      </c>
      <c r="K8" s="41"/>
      <c r="L8" s="42"/>
      <c r="M8" s="41"/>
      <c r="N8" s="36"/>
    </row>
    <row r="9" spans="1:14" s="15" customFormat="1" ht="19.5" customHeight="1">
      <c r="A9" s="60"/>
      <c r="B9" s="1618"/>
      <c r="C9" s="1621" t="s">
        <v>218</v>
      </c>
      <c r="D9" s="1621"/>
      <c r="E9" s="1621"/>
      <c r="F9" s="1622"/>
      <c r="G9" s="979">
        <v>3333839</v>
      </c>
      <c r="H9" s="979">
        <v>3354379</v>
      </c>
      <c r="I9" s="183">
        <v>3354379</v>
      </c>
      <c r="J9" s="998">
        <f>+I9/H9*100</f>
        <v>100</v>
      </c>
      <c r="K9" s="41"/>
      <c r="L9" s="42"/>
      <c r="M9" s="41"/>
      <c r="N9" s="36"/>
    </row>
    <row r="10" spans="1:14" s="15" customFormat="1" ht="32.25" customHeight="1">
      <c r="A10" s="62"/>
      <c r="B10" s="1618"/>
      <c r="C10" s="1906" t="s">
        <v>301</v>
      </c>
      <c r="D10" s="1906"/>
      <c r="E10" s="1906"/>
      <c r="F10" s="1906"/>
      <c r="G10" s="978">
        <v>2145681</v>
      </c>
      <c r="H10" s="978">
        <v>2130512</v>
      </c>
      <c r="I10" s="984">
        <v>2130512</v>
      </c>
      <c r="J10" s="998">
        <f t="shared" ref="J10:J11" si="0">+I10/H10*100</f>
        <v>100</v>
      </c>
      <c r="K10" s="41"/>
      <c r="L10" s="42"/>
      <c r="M10" s="42"/>
      <c r="N10" s="36"/>
    </row>
    <row r="11" spans="1:14" s="15" customFormat="1" ht="19.5" customHeight="1">
      <c r="A11" s="60"/>
      <c r="B11" s="1618"/>
      <c r="C11" s="1621" t="s">
        <v>302</v>
      </c>
      <c r="D11" s="1621"/>
      <c r="E11" s="1621"/>
      <c r="F11" s="1622"/>
      <c r="G11" s="979">
        <v>878065</v>
      </c>
      <c r="H11" s="979">
        <v>946949</v>
      </c>
      <c r="I11" s="183">
        <v>946949</v>
      </c>
      <c r="J11" s="999">
        <f t="shared" si="0"/>
        <v>100</v>
      </c>
      <c r="K11" s="41"/>
      <c r="L11" s="42"/>
      <c r="M11" s="41"/>
      <c r="N11" s="36"/>
    </row>
    <row r="12" spans="1:14" s="15" customFormat="1" ht="19.5" customHeight="1">
      <c r="A12" s="63"/>
      <c r="B12" s="1618"/>
      <c r="C12" s="1623" t="s">
        <v>303</v>
      </c>
      <c r="D12" s="1624"/>
      <c r="E12" s="1624"/>
      <c r="F12" s="1624"/>
      <c r="G12" s="980">
        <f>SUM(G13:G14)</f>
        <v>214192</v>
      </c>
      <c r="H12" s="980">
        <f>SUM(H13:H14)</f>
        <v>214194</v>
      </c>
      <c r="I12" s="980">
        <f t="shared" ref="I12" si="1">SUM(I13:I14)</f>
        <v>214194</v>
      </c>
      <c r="J12" s="1000">
        <f>+I12/H12*100</f>
        <v>100</v>
      </c>
      <c r="K12" s="41"/>
      <c r="L12" s="38"/>
      <c r="M12" s="38"/>
      <c r="N12" s="36"/>
    </row>
    <row r="13" spans="1:14" ht="19.5" customHeight="1">
      <c r="A13" s="64"/>
      <c r="B13" s="1625"/>
      <c r="C13" s="1605"/>
      <c r="D13" s="1626" t="s">
        <v>446</v>
      </c>
      <c r="E13" s="1627"/>
      <c r="F13" s="1628"/>
      <c r="G13" s="113">
        <v>71479</v>
      </c>
      <c r="H13" s="113">
        <v>71480</v>
      </c>
      <c r="I13" s="113">
        <v>71480</v>
      </c>
      <c r="J13" s="146">
        <f>+I13/H13*100</f>
        <v>100</v>
      </c>
      <c r="K13" s="41"/>
      <c r="L13" s="38"/>
      <c r="M13" s="37"/>
    </row>
    <row r="14" spans="1:14" ht="33.75" customHeight="1">
      <c r="A14" s="64"/>
      <c r="B14" s="1625"/>
      <c r="C14" s="1605"/>
      <c r="D14" s="1910" t="s">
        <v>447</v>
      </c>
      <c r="E14" s="1910"/>
      <c r="F14" s="1910"/>
      <c r="G14" s="113">
        <v>142713</v>
      </c>
      <c r="H14" s="113">
        <v>142714</v>
      </c>
      <c r="I14" s="113">
        <v>142714</v>
      </c>
      <c r="J14" s="146">
        <f t="shared" ref="J14" si="2">+I14/H14*100</f>
        <v>100</v>
      </c>
      <c r="K14" s="41"/>
      <c r="L14" s="38"/>
      <c r="M14" s="37"/>
    </row>
    <row r="15" spans="1:14" s="15" customFormat="1" ht="19.5" customHeight="1">
      <c r="A15" s="63"/>
      <c r="B15" s="1618"/>
      <c r="C15" s="1621" t="s">
        <v>308</v>
      </c>
      <c r="D15" s="1629"/>
      <c r="E15" s="1630"/>
      <c r="F15" s="1631"/>
      <c r="G15" s="979">
        <f>+G8+G9+G10+G11+G12</f>
        <v>8278376</v>
      </c>
      <c r="H15" s="979">
        <f>+H8+H9+H10+H11+H12</f>
        <v>8405878</v>
      </c>
      <c r="I15" s="979">
        <f>+I8+I9+I10+I11+I12</f>
        <v>8405878</v>
      </c>
      <c r="J15" s="998">
        <f>+I15/H15*100</f>
        <v>100</v>
      </c>
      <c r="K15" s="41"/>
      <c r="L15" s="38"/>
      <c r="M15" s="38"/>
      <c r="N15" s="36"/>
    </row>
    <row r="16" spans="1:14" s="15" customFormat="1" ht="19.5" customHeight="1">
      <c r="A16" s="63"/>
      <c r="B16" s="1618"/>
      <c r="C16" s="1623" t="s">
        <v>309</v>
      </c>
      <c r="D16" s="1619"/>
      <c r="E16" s="1619"/>
      <c r="F16" s="1632"/>
      <c r="G16" s="978"/>
      <c r="H16" s="978"/>
      <c r="I16" s="978"/>
      <c r="J16" s="999"/>
      <c r="K16" s="41"/>
      <c r="L16" s="38"/>
      <c r="M16" s="38"/>
      <c r="N16" s="36"/>
    </row>
    <row r="17" spans="1:14" ht="19.5" customHeight="1">
      <c r="A17" s="64"/>
      <c r="B17" s="1625"/>
      <c r="C17" s="1605"/>
      <c r="D17" s="1633" t="s">
        <v>318</v>
      </c>
      <c r="E17" s="1627"/>
      <c r="F17" s="1628"/>
      <c r="G17" s="113"/>
      <c r="H17" s="113">
        <v>5539</v>
      </c>
      <c r="I17" s="113">
        <v>5539</v>
      </c>
      <c r="J17" s="146">
        <f t="shared" ref="J17:J63" si="3">+I17/H17*100</f>
        <v>100</v>
      </c>
      <c r="K17" s="41"/>
      <c r="L17" s="38"/>
      <c r="M17" s="38"/>
    </row>
    <row r="18" spans="1:14" ht="19.5" customHeight="1">
      <c r="A18" s="64"/>
      <c r="B18" s="1625"/>
      <c r="C18" s="1605"/>
      <c r="D18" s="1634" t="s">
        <v>219</v>
      </c>
      <c r="E18" s="1635"/>
      <c r="F18" s="1635"/>
      <c r="G18" s="113"/>
      <c r="H18" s="113">
        <v>251154</v>
      </c>
      <c r="I18" s="113">
        <v>251154</v>
      </c>
      <c r="J18" s="146">
        <f t="shared" si="3"/>
        <v>100</v>
      </c>
      <c r="K18" s="41"/>
      <c r="L18" s="38"/>
      <c r="M18" s="38"/>
    </row>
    <row r="19" spans="1:14" s="4" customFormat="1" ht="19.5" customHeight="1">
      <c r="A19" s="60"/>
      <c r="B19" s="1636"/>
      <c r="C19" s="1621" t="s">
        <v>310</v>
      </c>
      <c r="D19" s="1637"/>
      <c r="E19" s="1638"/>
      <c r="F19" s="1639"/>
      <c r="G19" s="183">
        <f>SUM(G17:G18)</f>
        <v>0</v>
      </c>
      <c r="H19" s="183">
        <f>SUM(H17:H18)</f>
        <v>256693</v>
      </c>
      <c r="I19" s="183">
        <f>SUM(I17:I18)</f>
        <v>256693</v>
      </c>
      <c r="J19" s="998">
        <f t="shared" si="3"/>
        <v>100</v>
      </c>
      <c r="K19" s="41"/>
      <c r="L19" s="42"/>
      <c r="M19" s="42"/>
      <c r="N19" s="40"/>
    </row>
    <row r="20" spans="1:14" s="4" customFormat="1" ht="19.5" customHeight="1">
      <c r="A20" s="60"/>
      <c r="B20" s="1636"/>
      <c r="C20" s="1623" t="s">
        <v>323</v>
      </c>
      <c r="D20" s="1640"/>
      <c r="E20" s="1641"/>
      <c r="F20" s="1642"/>
      <c r="G20" s="116"/>
      <c r="H20" s="116"/>
      <c r="I20" s="116"/>
      <c r="J20" s="148"/>
      <c r="K20" s="41"/>
      <c r="L20" s="42"/>
      <c r="M20" s="42"/>
      <c r="N20" s="40"/>
    </row>
    <row r="21" spans="1:14" ht="36" customHeight="1">
      <c r="A21" s="64"/>
      <c r="B21" s="1625"/>
      <c r="C21" s="1605"/>
      <c r="D21" s="1907" t="s">
        <v>304</v>
      </c>
      <c r="E21" s="1907"/>
      <c r="F21" s="1907"/>
      <c r="G21" s="89">
        <v>318266</v>
      </c>
      <c r="H21" s="89">
        <v>318266</v>
      </c>
      <c r="I21" s="89">
        <v>318266</v>
      </c>
      <c r="J21" s="149">
        <f t="shared" si="3"/>
        <v>100</v>
      </c>
      <c r="K21" s="41"/>
      <c r="L21" s="38"/>
      <c r="M21" s="37"/>
    </row>
    <row r="22" spans="1:14" ht="37.5" customHeight="1">
      <c r="A22" s="64"/>
      <c r="B22" s="1625"/>
      <c r="C22" s="1605"/>
      <c r="D22" s="1907" t="s">
        <v>448</v>
      </c>
      <c r="E22" s="1907"/>
      <c r="F22" s="1907"/>
      <c r="G22" s="89">
        <v>230670</v>
      </c>
      <c r="H22" s="89">
        <v>230670</v>
      </c>
      <c r="I22" s="113">
        <v>230670</v>
      </c>
      <c r="J22" s="149">
        <f t="shared" si="3"/>
        <v>100</v>
      </c>
      <c r="K22" s="41"/>
      <c r="L22" s="38"/>
      <c r="M22" s="37"/>
    </row>
    <row r="23" spans="1:14" ht="37.5" customHeight="1">
      <c r="A23" s="64"/>
      <c r="B23" s="1625"/>
      <c r="C23" s="1605"/>
      <c r="D23" s="1907" t="s">
        <v>449</v>
      </c>
      <c r="E23" s="1907"/>
      <c r="F23" s="1907"/>
      <c r="G23" s="113">
        <v>188000</v>
      </c>
      <c r="H23" s="113">
        <v>188000</v>
      </c>
      <c r="I23" s="113">
        <v>188000</v>
      </c>
      <c r="J23" s="149">
        <f t="shared" si="3"/>
        <v>100</v>
      </c>
      <c r="K23" s="41"/>
      <c r="L23" s="38"/>
      <c r="M23" s="37"/>
    </row>
    <row r="24" spans="1:14" ht="52.5" customHeight="1">
      <c r="A24" s="64"/>
      <c r="B24" s="1625"/>
      <c r="C24" s="1605"/>
      <c r="D24" s="1909" t="s">
        <v>1238</v>
      </c>
      <c r="E24" s="1909"/>
      <c r="F24" s="1909"/>
      <c r="G24" s="89">
        <v>157338</v>
      </c>
      <c r="H24" s="89">
        <v>157338</v>
      </c>
      <c r="I24" s="89">
        <v>157338</v>
      </c>
      <c r="J24" s="149">
        <f t="shared" si="3"/>
        <v>100</v>
      </c>
      <c r="K24" s="41"/>
      <c r="L24" s="38"/>
      <c r="M24" s="37"/>
    </row>
    <row r="25" spans="1:14" s="4" customFormat="1" ht="19.5" customHeight="1">
      <c r="A25" s="60"/>
      <c r="B25" s="1636"/>
      <c r="C25" s="1623" t="s">
        <v>576</v>
      </c>
      <c r="D25" s="1640"/>
      <c r="E25" s="1641"/>
      <c r="F25" s="1642"/>
      <c r="G25" s="116">
        <f>SUM(G21:G24)</f>
        <v>894274</v>
      </c>
      <c r="H25" s="116">
        <f>SUM(H21:H24)</f>
        <v>894274</v>
      </c>
      <c r="I25" s="116">
        <f>SUM(I21:I24)</f>
        <v>894274</v>
      </c>
      <c r="J25" s="148">
        <f t="shared" si="3"/>
        <v>100</v>
      </c>
      <c r="K25" s="41"/>
      <c r="L25" s="42"/>
      <c r="M25" s="42"/>
      <c r="N25" s="40"/>
    </row>
    <row r="26" spans="1:14" s="15" customFormat="1" ht="19.5" customHeight="1">
      <c r="A26" s="63"/>
      <c r="B26" s="1618"/>
      <c r="C26" s="1621" t="s">
        <v>105</v>
      </c>
      <c r="D26" s="1621"/>
      <c r="E26" s="1621"/>
      <c r="F26" s="1622"/>
      <c r="G26" s="979"/>
      <c r="H26" s="979"/>
      <c r="I26" s="979"/>
      <c r="J26" s="998"/>
      <c r="K26" s="41"/>
      <c r="L26" s="38"/>
      <c r="M26" s="38"/>
      <c r="N26" s="36"/>
    </row>
    <row r="27" spans="1:14" ht="37.5" customHeight="1">
      <c r="A27" s="64"/>
      <c r="B27" s="1625"/>
      <c r="C27" s="1605"/>
      <c r="D27" s="1907" t="s">
        <v>333</v>
      </c>
      <c r="E27" s="1907"/>
      <c r="F27" s="1907"/>
      <c r="G27" s="113"/>
      <c r="H27" s="113">
        <v>7300</v>
      </c>
      <c r="I27" s="113">
        <v>7300</v>
      </c>
      <c r="J27" s="146">
        <f t="shared" si="3"/>
        <v>100</v>
      </c>
      <c r="K27" s="41"/>
      <c r="L27" s="38"/>
      <c r="M27" s="37"/>
    </row>
    <row r="28" spans="1:14" ht="19.5" customHeight="1">
      <c r="A28" s="64"/>
      <c r="B28" s="1625"/>
      <c r="C28" s="1605"/>
      <c r="D28" s="1643" t="s">
        <v>243</v>
      </c>
      <c r="E28" s="1643"/>
      <c r="F28" s="1643"/>
      <c r="G28" s="87"/>
      <c r="H28" s="87">
        <v>3137</v>
      </c>
      <c r="I28" s="87">
        <v>3137</v>
      </c>
      <c r="J28" s="139">
        <f t="shared" si="3"/>
        <v>100</v>
      </c>
      <c r="K28" s="41"/>
      <c r="L28" s="38"/>
      <c r="M28" s="38"/>
    </row>
    <row r="29" spans="1:14" s="15" customFormat="1" ht="19.5" customHeight="1">
      <c r="A29" s="63"/>
      <c r="B29" s="1618"/>
      <c r="C29" s="1644" t="s">
        <v>202</v>
      </c>
      <c r="D29" s="1644"/>
      <c r="E29" s="1644"/>
      <c r="F29" s="1645"/>
      <c r="G29" s="982">
        <f>SUM(G27:G28)</f>
        <v>0</v>
      </c>
      <c r="H29" s="982">
        <f>SUM(H27:H28)</f>
        <v>10437</v>
      </c>
      <c r="I29" s="982">
        <f>SUM(I27:I28)</f>
        <v>10437</v>
      </c>
      <c r="J29" s="1001">
        <f t="shared" si="3"/>
        <v>100</v>
      </c>
      <c r="K29" s="41"/>
      <c r="L29" s="38"/>
      <c r="M29" s="38"/>
      <c r="N29" s="36"/>
    </row>
    <row r="30" spans="1:14" s="15" customFormat="1" ht="19.5" customHeight="1">
      <c r="A30" s="63"/>
      <c r="B30" s="1646" t="s">
        <v>364</v>
      </c>
      <c r="C30" s="1647"/>
      <c r="D30" s="1621"/>
      <c r="E30" s="1621"/>
      <c r="F30" s="1621"/>
      <c r="G30" s="983">
        <f>+G15+G19+G25+G29</f>
        <v>9172650</v>
      </c>
      <c r="H30" s="983">
        <f>+H15+H19+H25+H29</f>
        <v>9567282</v>
      </c>
      <c r="I30" s="983">
        <f>+I15+I19+I25+I29</f>
        <v>9567282</v>
      </c>
      <c r="J30" s="998">
        <f t="shared" si="3"/>
        <v>100</v>
      </c>
      <c r="K30" s="41"/>
      <c r="L30" s="38"/>
      <c r="M30" s="38"/>
      <c r="N30" s="36"/>
    </row>
    <row r="31" spans="1:14" s="12" customFormat="1" ht="19.5" customHeight="1">
      <c r="A31" s="60"/>
      <c r="B31" s="1636"/>
      <c r="C31" s="1619" t="s">
        <v>106</v>
      </c>
      <c r="D31" s="1648"/>
      <c r="E31" s="1649"/>
      <c r="F31" s="1649"/>
      <c r="G31" s="984"/>
      <c r="H31" s="984"/>
      <c r="I31" s="984"/>
      <c r="J31" s="999"/>
      <c r="K31" s="41"/>
      <c r="L31" s="38"/>
      <c r="M31" s="38"/>
      <c r="N31" s="39"/>
    </row>
    <row r="32" spans="1:14" ht="19.5" customHeight="1">
      <c r="A32" s="64"/>
      <c r="B32" s="1625"/>
      <c r="C32" s="1650" t="s">
        <v>216</v>
      </c>
      <c r="D32" s="1650"/>
      <c r="E32" s="1650"/>
      <c r="F32" s="1650"/>
      <c r="G32" s="172"/>
      <c r="H32" s="172"/>
      <c r="I32" s="172"/>
      <c r="J32" s="146"/>
      <c r="K32" s="41"/>
      <c r="L32" s="38"/>
      <c r="M32" s="37"/>
    </row>
    <row r="33" spans="1:14" s="4" customFormat="1" ht="19.5" customHeight="1" thickBot="1">
      <c r="A33" s="60"/>
      <c r="B33" s="1636"/>
      <c r="C33" s="1651" t="s">
        <v>203</v>
      </c>
      <c r="D33" s="1652"/>
      <c r="E33" s="1652"/>
      <c r="F33" s="1652"/>
      <c r="G33" s="94">
        <f>SUM(G32)</f>
        <v>0</v>
      </c>
      <c r="H33" s="94">
        <f t="shared" ref="H33:I33" si="4">SUM(H32)</f>
        <v>0</v>
      </c>
      <c r="I33" s="94">
        <f t="shared" si="4"/>
        <v>0</v>
      </c>
      <c r="J33" s="95"/>
      <c r="K33" s="41"/>
      <c r="L33" s="42"/>
      <c r="M33" s="41"/>
      <c r="N33" s="40"/>
    </row>
    <row r="34" spans="1:14" s="4" customFormat="1" ht="19.5" customHeight="1" thickBot="1">
      <c r="A34" s="60"/>
      <c r="B34" s="1636" t="s">
        <v>204</v>
      </c>
      <c r="C34" s="1653" t="s">
        <v>87</v>
      </c>
      <c r="D34" s="1653"/>
      <c r="E34" s="1653"/>
      <c r="F34" s="1653"/>
      <c r="G34" s="108">
        <f>+G30+G33</f>
        <v>9172650</v>
      </c>
      <c r="H34" s="108">
        <f>+H30+H33</f>
        <v>9567282</v>
      </c>
      <c r="I34" s="108">
        <f>+I30+I33</f>
        <v>9567282</v>
      </c>
      <c r="J34" s="126">
        <f t="shared" si="3"/>
        <v>100</v>
      </c>
      <c r="K34" s="41"/>
      <c r="L34" s="42"/>
      <c r="M34" s="41"/>
      <c r="N34" s="40"/>
    </row>
    <row r="35" spans="1:14" ht="19.5" customHeight="1" thickBot="1">
      <c r="A35" s="64"/>
      <c r="B35" s="1625"/>
      <c r="C35" s="1654" t="s">
        <v>206</v>
      </c>
      <c r="D35" s="1655"/>
      <c r="E35" s="1655"/>
      <c r="F35" s="1655"/>
      <c r="G35" s="118"/>
      <c r="H35" s="118"/>
      <c r="I35" s="118"/>
      <c r="J35" s="1002"/>
      <c r="K35" s="41"/>
      <c r="L35" s="38"/>
      <c r="M35" s="37"/>
    </row>
    <row r="36" spans="1:14" s="4" customFormat="1" ht="19.5" customHeight="1" thickBot="1">
      <c r="A36" s="60"/>
      <c r="B36" s="1636" t="s">
        <v>205</v>
      </c>
      <c r="C36" s="1656" t="s">
        <v>97</v>
      </c>
      <c r="D36" s="1653"/>
      <c r="E36" s="1653"/>
      <c r="F36" s="1653"/>
      <c r="G36" s="108">
        <f>SUM(G35)</f>
        <v>0</v>
      </c>
      <c r="H36" s="108">
        <f t="shared" ref="H36:I36" si="5">SUM(H35)</f>
        <v>0</v>
      </c>
      <c r="I36" s="108">
        <f t="shared" si="5"/>
        <v>0</v>
      </c>
      <c r="J36" s="1003"/>
      <c r="K36" s="41"/>
      <c r="L36" s="42"/>
      <c r="M36" s="41"/>
      <c r="N36" s="40"/>
    </row>
    <row r="37" spans="1:14" ht="19.5" customHeight="1">
      <c r="A37" s="64"/>
      <c r="B37" s="1625"/>
      <c r="C37" s="1623"/>
      <c r="D37" s="1657" t="s">
        <v>577</v>
      </c>
      <c r="E37" s="1658"/>
      <c r="F37" s="1659"/>
      <c r="G37" s="89"/>
      <c r="H37" s="89">
        <v>25</v>
      </c>
      <c r="I37" s="89">
        <v>25</v>
      </c>
      <c r="J37" s="146">
        <f t="shared" si="3"/>
        <v>100</v>
      </c>
      <c r="K37" s="41"/>
      <c r="L37" s="38"/>
      <c r="M37" s="38"/>
    </row>
    <row r="38" spans="1:14" ht="19.5" customHeight="1">
      <c r="A38" s="64"/>
      <c r="B38" s="1625"/>
      <c r="C38" s="1623"/>
      <c r="D38" s="1657" t="s">
        <v>290</v>
      </c>
      <c r="E38" s="1660"/>
      <c r="F38" s="1661"/>
      <c r="G38" s="89"/>
      <c r="H38" s="89">
        <v>13406</v>
      </c>
      <c r="I38" s="113">
        <v>13406</v>
      </c>
      <c r="J38" s="146">
        <f t="shared" si="3"/>
        <v>100</v>
      </c>
      <c r="K38" s="41"/>
      <c r="L38" s="38"/>
      <c r="M38" s="38"/>
    </row>
    <row r="39" spans="1:14" ht="19.5" customHeight="1">
      <c r="A39" s="64"/>
      <c r="B39" s="1625"/>
      <c r="C39" s="1623"/>
      <c r="D39" s="1626" t="s">
        <v>288</v>
      </c>
      <c r="E39" s="1660"/>
      <c r="F39" s="1661"/>
      <c r="G39" s="89">
        <v>302075</v>
      </c>
      <c r="H39" s="89">
        <v>75519</v>
      </c>
      <c r="I39" s="113">
        <v>75519</v>
      </c>
      <c r="J39" s="146">
        <f t="shared" si="3"/>
        <v>100</v>
      </c>
      <c r="K39" s="41"/>
      <c r="L39" s="38"/>
      <c r="M39" s="38"/>
    </row>
    <row r="40" spans="1:14" ht="19.5" customHeight="1">
      <c r="A40" s="64"/>
      <c r="B40" s="1625"/>
      <c r="C40" s="1623"/>
      <c r="D40" s="1626" t="s">
        <v>289</v>
      </c>
      <c r="E40" s="1660"/>
      <c r="F40" s="1661"/>
      <c r="G40" s="89">
        <v>53000</v>
      </c>
      <c r="H40" s="89">
        <v>13250</v>
      </c>
      <c r="I40" s="113">
        <v>13250</v>
      </c>
      <c r="J40" s="146">
        <f t="shared" si="3"/>
        <v>100</v>
      </c>
      <c r="K40" s="41"/>
      <c r="L40" s="38"/>
      <c r="M40" s="38"/>
    </row>
    <row r="41" spans="1:14" ht="19.5" customHeight="1">
      <c r="A41" s="64"/>
      <c r="B41" s="1625"/>
      <c r="C41" s="1623"/>
      <c r="D41" s="1626" t="s">
        <v>436</v>
      </c>
      <c r="E41" s="1660"/>
      <c r="F41" s="1661"/>
      <c r="G41" s="89"/>
      <c r="H41" s="89">
        <v>1000</v>
      </c>
      <c r="I41" s="113">
        <v>1000</v>
      </c>
      <c r="J41" s="146">
        <f t="shared" si="3"/>
        <v>100</v>
      </c>
      <c r="K41" s="41"/>
      <c r="L41" s="38"/>
      <c r="M41" s="38"/>
    </row>
    <row r="42" spans="1:14" ht="47.25" customHeight="1">
      <c r="A42" s="64"/>
      <c r="B42" s="1625"/>
      <c r="C42" s="1605"/>
      <c r="D42" s="1911" t="s">
        <v>613</v>
      </c>
      <c r="E42" s="1911"/>
      <c r="F42" s="1911"/>
      <c r="G42" s="251"/>
      <c r="H42" s="251">
        <v>19144</v>
      </c>
      <c r="I42" s="138">
        <v>19144</v>
      </c>
      <c r="J42" s="453">
        <f t="shared" si="3"/>
        <v>100</v>
      </c>
      <c r="K42" s="41"/>
      <c r="L42" s="38"/>
      <c r="M42" s="38"/>
    </row>
    <row r="43" spans="1:14" ht="19.5" customHeight="1">
      <c r="A43" s="64"/>
      <c r="B43" s="1625"/>
      <c r="C43" s="1605"/>
      <c r="D43" s="1908" t="s">
        <v>413</v>
      </c>
      <c r="E43" s="1908"/>
      <c r="F43" s="1908"/>
      <c r="G43" s="172">
        <v>23860</v>
      </c>
      <c r="H43" s="89">
        <v>23860</v>
      </c>
      <c r="I43" s="172">
        <v>23860</v>
      </c>
      <c r="J43" s="149">
        <f t="shared" si="3"/>
        <v>100</v>
      </c>
      <c r="K43" s="41"/>
      <c r="L43" s="38"/>
      <c r="M43" s="38"/>
    </row>
    <row r="44" spans="1:14" ht="20.25">
      <c r="A44" s="64"/>
      <c r="B44" s="1625"/>
      <c r="C44" s="1605"/>
      <c r="D44" s="1634" t="s">
        <v>512</v>
      </c>
      <c r="E44" s="1634"/>
      <c r="F44" s="1634"/>
      <c r="G44" s="172"/>
      <c r="H44" s="89"/>
      <c r="I44" s="172"/>
      <c r="J44" s="146"/>
      <c r="K44" s="41"/>
      <c r="L44" s="38"/>
      <c r="M44" s="38"/>
    </row>
    <row r="45" spans="1:14" ht="20.25">
      <c r="A45" s="64"/>
      <c r="B45" s="1625"/>
      <c r="C45" s="1605"/>
      <c r="D45" s="1634"/>
      <c r="E45" s="1634" t="s">
        <v>513</v>
      </c>
      <c r="F45" s="1634"/>
      <c r="G45" s="172"/>
      <c r="H45" s="89">
        <v>85612</v>
      </c>
      <c r="I45" s="89">
        <v>85612</v>
      </c>
      <c r="J45" s="146">
        <f t="shared" si="3"/>
        <v>100</v>
      </c>
      <c r="K45" s="41"/>
      <c r="L45" s="38"/>
      <c r="M45" s="38"/>
    </row>
    <row r="46" spans="1:14" ht="20.25">
      <c r="A46" s="64"/>
      <c r="B46" s="1625"/>
      <c r="C46" s="1605"/>
      <c r="D46" s="1634"/>
      <c r="E46" s="1634" t="s">
        <v>514</v>
      </c>
      <c r="F46" s="1634"/>
      <c r="G46" s="172"/>
      <c r="H46" s="89">
        <v>64388</v>
      </c>
      <c r="I46" s="89">
        <v>64388</v>
      </c>
      <c r="J46" s="146">
        <f t="shared" si="3"/>
        <v>100</v>
      </c>
      <c r="K46" s="41"/>
      <c r="L46" s="38"/>
      <c r="M46" s="38"/>
    </row>
    <row r="47" spans="1:14" ht="20.25">
      <c r="A47" s="64"/>
      <c r="B47" s="1625"/>
      <c r="C47" s="1605"/>
      <c r="D47" s="1662"/>
      <c r="E47" s="1662" t="s">
        <v>515</v>
      </c>
      <c r="F47" s="1662"/>
      <c r="G47" s="172"/>
      <c r="H47" s="89">
        <v>100000</v>
      </c>
      <c r="I47" s="981">
        <v>100000</v>
      </c>
      <c r="J47" s="146">
        <f t="shared" si="3"/>
        <v>100</v>
      </c>
      <c r="K47" s="41"/>
      <c r="L47" s="38"/>
      <c r="M47" s="38"/>
    </row>
    <row r="48" spans="1:14" ht="19.5" customHeight="1" thickBot="1">
      <c r="A48" s="64"/>
      <c r="B48" s="1636" t="s">
        <v>207</v>
      </c>
      <c r="C48" s="1904" t="s">
        <v>96</v>
      </c>
      <c r="D48" s="1904"/>
      <c r="E48" s="1904"/>
      <c r="F48" s="1904"/>
      <c r="G48" s="94">
        <f>SUM(G37:G47)</f>
        <v>378935</v>
      </c>
      <c r="H48" s="94">
        <f>SUM(H37:H47)</f>
        <v>396204</v>
      </c>
      <c r="I48" s="94">
        <f>SUM(I37:I47)</f>
        <v>396204</v>
      </c>
      <c r="J48" s="95">
        <f t="shared" si="3"/>
        <v>100</v>
      </c>
      <c r="K48" s="41"/>
      <c r="L48" s="38"/>
      <c r="M48" s="38"/>
    </row>
    <row r="49" spans="1:13" ht="19.5" customHeight="1" thickBot="1">
      <c r="A49" s="64"/>
      <c r="B49" s="1425" t="s">
        <v>244</v>
      </c>
      <c r="C49" s="1656"/>
      <c r="D49" s="1653"/>
      <c r="E49" s="1653"/>
      <c r="F49" s="1653"/>
      <c r="G49" s="985">
        <f>+G34+G36+G48</f>
        <v>9551585</v>
      </c>
      <c r="H49" s="985">
        <f>+H34+H36+H48</f>
        <v>9963486</v>
      </c>
      <c r="I49" s="985">
        <f>+I34+I36+I48</f>
        <v>9963486</v>
      </c>
      <c r="J49" s="109">
        <f t="shared" si="3"/>
        <v>100</v>
      </c>
      <c r="K49" s="41"/>
      <c r="L49" s="38"/>
      <c r="M49" s="37"/>
    </row>
    <row r="50" spans="1:13" ht="19.5" customHeight="1">
      <c r="A50" s="64"/>
      <c r="B50" s="1616" t="s">
        <v>186</v>
      </c>
      <c r="C50" s="1617"/>
      <c r="D50" s="1663"/>
      <c r="E50" s="1663"/>
      <c r="F50" s="1617"/>
      <c r="G50" s="986"/>
      <c r="H50" s="986"/>
      <c r="I50" s="986"/>
      <c r="J50" s="136"/>
      <c r="K50" s="41"/>
      <c r="L50" s="38"/>
      <c r="M50" s="37"/>
    </row>
    <row r="51" spans="1:13" ht="19.5" customHeight="1">
      <c r="A51" s="64"/>
      <c r="B51" s="1664"/>
      <c r="C51" s="1623" t="s">
        <v>88</v>
      </c>
      <c r="D51" s="1665"/>
      <c r="E51" s="1665"/>
      <c r="F51" s="1666"/>
      <c r="G51" s="987"/>
      <c r="H51" s="987"/>
      <c r="I51" s="987"/>
      <c r="J51" s="148"/>
      <c r="K51" s="41"/>
      <c r="L51" s="38"/>
      <c r="M51" s="37"/>
    </row>
    <row r="52" spans="1:13" ht="19.5" customHeight="1">
      <c r="A52" s="64"/>
      <c r="B52" s="1625"/>
      <c r="C52" s="1605"/>
      <c r="D52" s="1627" t="s">
        <v>319</v>
      </c>
      <c r="E52" s="1627"/>
      <c r="F52" s="1628"/>
      <c r="G52" s="988"/>
      <c r="H52" s="988">
        <v>1070</v>
      </c>
      <c r="I52" s="988">
        <v>1070</v>
      </c>
      <c r="J52" s="149">
        <f t="shared" si="3"/>
        <v>100</v>
      </c>
      <c r="K52" s="52"/>
      <c r="L52" s="38"/>
      <c r="M52" s="38"/>
    </row>
    <row r="53" spans="1:13" ht="19.5" customHeight="1">
      <c r="A53" s="64"/>
      <c r="B53" s="1664"/>
      <c r="C53" s="1623" t="s">
        <v>89</v>
      </c>
      <c r="D53" s="1665"/>
      <c r="E53" s="1665"/>
      <c r="F53" s="1666"/>
      <c r="G53" s="987"/>
      <c r="H53" s="987"/>
      <c r="I53" s="987"/>
      <c r="J53" s="148"/>
      <c r="K53" s="52"/>
      <c r="L53" s="38"/>
      <c r="M53" s="38"/>
    </row>
    <row r="54" spans="1:13" ht="19.5" customHeight="1">
      <c r="A54" s="64"/>
      <c r="B54" s="1625"/>
      <c r="C54" s="1605"/>
      <c r="D54" s="1627" t="s">
        <v>26</v>
      </c>
      <c r="E54" s="1627"/>
      <c r="F54" s="1628"/>
      <c r="G54" s="988">
        <v>2535000</v>
      </c>
      <c r="H54" s="988">
        <v>2845187</v>
      </c>
      <c r="I54" s="988">
        <v>2845187</v>
      </c>
      <c r="J54" s="149">
        <f t="shared" si="3"/>
        <v>100</v>
      </c>
      <c r="K54" s="52"/>
      <c r="L54" s="38"/>
      <c r="M54" s="37"/>
    </row>
    <row r="55" spans="1:13" ht="19.5" customHeight="1">
      <c r="A55" s="64"/>
      <c r="B55" s="1664"/>
      <c r="C55" s="1623" t="s">
        <v>90</v>
      </c>
      <c r="D55" s="1665"/>
      <c r="E55" s="1665"/>
      <c r="F55" s="1666"/>
      <c r="G55" s="987"/>
      <c r="H55" s="987"/>
      <c r="I55" s="987"/>
      <c r="J55" s="1004"/>
      <c r="K55" s="52"/>
      <c r="L55" s="38"/>
      <c r="M55" s="37"/>
    </row>
    <row r="56" spans="1:13" ht="19.5" customHeight="1">
      <c r="A56" s="64"/>
      <c r="B56" s="1625"/>
      <c r="C56" s="1623"/>
      <c r="D56" s="1667" t="s">
        <v>9</v>
      </c>
      <c r="E56" s="1668"/>
      <c r="F56" s="1627"/>
      <c r="G56" s="89">
        <v>11717000</v>
      </c>
      <c r="H56" s="89">
        <v>13287493</v>
      </c>
      <c r="I56" s="89">
        <v>13287493</v>
      </c>
      <c r="J56" s="149">
        <f t="shared" si="3"/>
        <v>100</v>
      </c>
      <c r="K56" s="52"/>
      <c r="L56" s="38"/>
      <c r="M56" s="37"/>
    </row>
    <row r="57" spans="1:13" ht="19.5" customHeight="1">
      <c r="A57" s="64"/>
      <c r="B57" s="1625"/>
      <c r="C57" s="1623"/>
      <c r="D57" s="1667" t="s">
        <v>36</v>
      </c>
      <c r="E57" s="1667"/>
      <c r="F57" s="1627"/>
      <c r="G57" s="89">
        <v>30000</v>
      </c>
      <c r="H57" s="89">
        <v>32112</v>
      </c>
      <c r="I57" s="89">
        <v>32112</v>
      </c>
      <c r="J57" s="149">
        <f t="shared" si="3"/>
        <v>100</v>
      </c>
      <c r="K57" s="52"/>
      <c r="L57" s="38"/>
      <c r="M57" s="38"/>
    </row>
    <row r="58" spans="1:13" ht="19.5" customHeight="1">
      <c r="A58" s="64"/>
      <c r="B58" s="1664"/>
      <c r="C58" s="1623" t="s">
        <v>91</v>
      </c>
      <c r="D58" s="1665"/>
      <c r="E58" s="1665"/>
      <c r="F58" s="1666"/>
      <c r="G58" s="987"/>
      <c r="H58" s="987"/>
      <c r="I58" s="987"/>
      <c r="J58" s="149"/>
      <c r="K58" s="52"/>
      <c r="L58" s="38"/>
      <c r="M58" s="38"/>
    </row>
    <row r="59" spans="1:13" ht="19.5" customHeight="1">
      <c r="A59" s="64"/>
      <c r="B59" s="1625"/>
      <c r="C59" s="1623"/>
      <c r="D59" s="1667" t="s">
        <v>160</v>
      </c>
      <c r="E59" s="1667"/>
      <c r="F59" s="1627"/>
      <c r="G59" s="89">
        <v>25000</v>
      </c>
      <c r="H59" s="89">
        <v>28890</v>
      </c>
      <c r="I59" s="89">
        <v>28890</v>
      </c>
      <c r="J59" s="149">
        <f t="shared" si="3"/>
        <v>100</v>
      </c>
      <c r="K59" s="52"/>
      <c r="L59" s="38"/>
      <c r="M59" s="38"/>
    </row>
    <row r="60" spans="1:13" ht="19.5" customHeight="1">
      <c r="A60" s="64"/>
      <c r="B60" s="1625"/>
      <c r="C60" s="1623"/>
      <c r="D60" s="1667" t="s">
        <v>46</v>
      </c>
      <c r="E60" s="1668"/>
      <c r="F60" s="1627"/>
      <c r="G60" s="89">
        <v>1000</v>
      </c>
      <c r="H60" s="89">
        <v>1094</v>
      </c>
      <c r="I60" s="89">
        <v>1094</v>
      </c>
      <c r="J60" s="149">
        <f t="shared" si="3"/>
        <v>100</v>
      </c>
      <c r="K60" s="52"/>
      <c r="L60" s="38"/>
      <c r="M60" s="38"/>
    </row>
    <row r="61" spans="1:13" ht="19.5" customHeight="1">
      <c r="A61" s="64"/>
      <c r="B61" s="1625"/>
      <c r="C61" s="1605"/>
      <c r="D61" s="1627" t="s">
        <v>20</v>
      </c>
      <c r="E61" s="1627"/>
      <c r="F61" s="1627"/>
      <c r="G61" s="89"/>
      <c r="H61" s="89">
        <v>8219</v>
      </c>
      <c r="I61" s="89">
        <v>8219</v>
      </c>
      <c r="J61" s="149">
        <f t="shared" si="3"/>
        <v>100</v>
      </c>
      <c r="K61" s="52"/>
      <c r="L61" s="38"/>
      <c r="M61" s="38"/>
    </row>
    <row r="62" spans="1:13" ht="19.5" customHeight="1">
      <c r="A62" s="64"/>
      <c r="B62" s="1625"/>
      <c r="C62" s="1623"/>
      <c r="D62" s="1669" t="s">
        <v>493</v>
      </c>
      <c r="E62" s="1670"/>
      <c r="F62" s="1671"/>
      <c r="G62" s="981"/>
      <c r="H62" s="981">
        <v>200</v>
      </c>
      <c r="I62" s="981">
        <v>200</v>
      </c>
      <c r="J62" s="433">
        <f t="shared" si="3"/>
        <v>100</v>
      </c>
      <c r="K62" s="52"/>
      <c r="L62" s="38"/>
      <c r="M62" s="38"/>
    </row>
    <row r="63" spans="1:13" ht="19.5" customHeight="1" thickBot="1">
      <c r="A63" s="64"/>
      <c r="B63" s="1672" t="s">
        <v>187</v>
      </c>
      <c r="C63" s="1673"/>
      <c r="D63" s="1652"/>
      <c r="E63" s="1652"/>
      <c r="F63" s="1652"/>
      <c r="G63" s="989">
        <f>SUM(G52:G62)</f>
        <v>14308000</v>
      </c>
      <c r="H63" s="989">
        <f>SUM(H52:H62)</f>
        <v>16204265</v>
      </c>
      <c r="I63" s="989">
        <f>SUM(I52:I62)</f>
        <v>16204265</v>
      </c>
      <c r="J63" s="95">
        <f t="shared" si="3"/>
        <v>100</v>
      </c>
      <c r="K63" s="41"/>
      <c r="L63" s="38"/>
      <c r="M63" s="38"/>
    </row>
    <row r="64" spans="1:13" ht="19.5" customHeight="1">
      <c r="A64" s="64"/>
      <c r="B64" s="1636" t="s">
        <v>195</v>
      </c>
      <c r="C64" s="1674"/>
      <c r="D64" s="1674"/>
      <c r="E64" s="1674"/>
      <c r="F64" s="1674"/>
      <c r="G64" s="959"/>
      <c r="H64" s="959"/>
      <c r="I64" s="959"/>
      <c r="J64" s="161"/>
      <c r="K64" s="41"/>
      <c r="L64" s="38"/>
      <c r="M64" s="38"/>
    </row>
    <row r="65" spans="1:13" ht="19.5" customHeight="1">
      <c r="A65" s="64"/>
      <c r="B65" s="1625"/>
      <c r="C65" s="1623"/>
      <c r="D65" s="1675" t="s">
        <v>171</v>
      </c>
      <c r="E65" s="1675"/>
      <c r="F65" s="1626"/>
      <c r="G65" s="113"/>
      <c r="H65" s="113">
        <v>906</v>
      </c>
      <c r="I65" s="113">
        <v>906</v>
      </c>
      <c r="J65" s="146">
        <f t="shared" ref="J65:J126" si="6">+I65/H65*100</f>
        <v>100</v>
      </c>
      <c r="K65" s="41"/>
      <c r="L65" s="38"/>
      <c r="M65" s="37"/>
    </row>
    <row r="66" spans="1:13" ht="19.5" customHeight="1">
      <c r="A66" s="64"/>
      <c r="B66" s="1625"/>
      <c r="C66" s="1623"/>
      <c r="D66" s="1676" t="s">
        <v>437</v>
      </c>
      <c r="E66" s="1677"/>
      <c r="F66" s="1678"/>
      <c r="G66" s="172"/>
      <c r="H66" s="172">
        <v>860</v>
      </c>
      <c r="I66" s="251">
        <v>860</v>
      </c>
      <c r="J66" s="146">
        <f t="shared" si="6"/>
        <v>100</v>
      </c>
      <c r="K66" s="41"/>
      <c r="L66" s="38"/>
      <c r="M66" s="37"/>
    </row>
    <row r="67" spans="1:13" ht="19.5" customHeight="1">
      <c r="A67" s="64"/>
      <c r="B67" s="1625"/>
      <c r="C67" s="1623"/>
      <c r="D67" s="1667" t="s">
        <v>450</v>
      </c>
      <c r="E67" s="1667"/>
      <c r="F67" s="1627"/>
      <c r="G67" s="89">
        <v>17950</v>
      </c>
      <c r="H67" s="89">
        <v>17950</v>
      </c>
      <c r="I67" s="89">
        <v>17950</v>
      </c>
      <c r="J67" s="146">
        <f t="shared" si="6"/>
        <v>100</v>
      </c>
      <c r="K67" s="41"/>
      <c r="L67" s="38"/>
      <c r="M67" s="37"/>
    </row>
    <row r="68" spans="1:13" ht="19.5" customHeight="1">
      <c r="A68" s="64"/>
      <c r="B68" s="1625"/>
      <c r="C68" s="1623"/>
      <c r="D68" s="1676" t="s">
        <v>332</v>
      </c>
      <c r="E68" s="1676"/>
      <c r="F68" s="1678"/>
      <c r="G68" s="172"/>
      <c r="H68" s="172">
        <v>40</v>
      </c>
      <c r="I68" s="172">
        <v>40</v>
      </c>
      <c r="J68" s="146">
        <f t="shared" si="6"/>
        <v>100</v>
      </c>
      <c r="K68" s="41"/>
      <c r="L68" s="38"/>
      <c r="M68" s="37"/>
    </row>
    <row r="69" spans="1:13" ht="37.5" customHeight="1">
      <c r="A69" s="64"/>
      <c r="B69" s="1625"/>
      <c r="C69" s="1623"/>
      <c r="D69" s="1916" t="s">
        <v>334</v>
      </c>
      <c r="E69" s="1916"/>
      <c r="F69" s="1916"/>
      <c r="G69" s="172"/>
      <c r="H69" s="172">
        <v>412</v>
      </c>
      <c r="I69" s="172">
        <v>412</v>
      </c>
      <c r="J69" s="146">
        <f t="shared" si="6"/>
        <v>100</v>
      </c>
      <c r="K69" s="41"/>
      <c r="L69" s="38"/>
      <c r="M69" s="37"/>
    </row>
    <row r="70" spans="1:13" ht="19.5" customHeight="1">
      <c r="A70" s="64"/>
      <c r="B70" s="1625"/>
      <c r="C70" s="1623"/>
      <c r="D70" s="1676" t="s">
        <v>167</v>
      </c>
      <c r="E70" s="1677"/>
      <c r="F70" s="1678"/>
      <c r="G70" s="172"/>
      <c r="H70" s="172">
        <v>16675</v>
      </c>
      <c r="I70" s="172">
        <v>16675</v>
      </c>
      <c r="J70" s="146">
        <f t="shared" si="6"/>
        <v>100</v>
      </c>
      <c r="K70" s="41"/>
      <c r="L70" s="38"/>
      <c r="M70" s="37"/>
    </row>
    <row r="71" spans="1:13" ht="19.5" customHeight="1">
      <c r="A71" s="64"/>
      <c r="B71" s="1625"/>
      <c r="C71" s="1623"/>
      <c r="D71" s="1676" t="s">
        <v>451</v>
      </c>
      <c r="E71" s="1667"/>
      <c r="F71" s="1627"/>
      <c r="G71" s="89">
        <v>68400</v>
      </c>
      <c r="H71" s="89">
        <v>68400</v>
      </c>
      <c r="I71" s="89">
        <v>68400</v>
      </c>
      <c r="J71" s="146">
        <f t="shared" si="6"/>
        <v>100</v>
      </c>
      <c r="K71" s="41"/>
      <c r="L71" s="38"/>
      <c r="M71" s="37"/>
    </row>
    <row r="72" spans="1:13" ht="19.5" customHeight="1">
      <c r="A72" s="64"/>
      <c r="B72" s="1625"/>
      <c r="C72" s="1623"/>
      <c r="D72" s="1667" t="s">
        <v>291</v>
      </c>
      <c r="E72" s="1667"/>
      <c r="F72" s="1627"/>
      <c r="G72" s="89"/>
      <c r="H72" s="89">
        <v>49563</v>
      </c>
      <c r="I72" s="89">
        <v>49563</v>
      </c>
      <c r="J72" s="146">
        <f t="shared" si="6"/>
        <v>100</v>
      </c>
      <c r="K72" s="41"/>
      <c r="L72" s="38"/>
      <c r="M72" s="37"/>
    </row>
    <row r="73" spans="1:13" ht="19.5" customHeight="1">
      <c r="A73" s="64"/>
      <c r="B73" s="1625"/>
      <c r="C73" s="1623"/>
      <c r="D73" s="1667" t="s">
        <v>312</v>
      </c>
      <c r="E73" s="1667"/>
      <c r="F73" s="1627"/>
      <c r="G73" s="89"/>
      <c r="H73" s="89">
        <v>1056</v>
      </c>
      <c r="I73" s="186">
        <v>1056</v>
      </c>
      <c r="J73" s="146">
        <f t="shared" si="6"/>
        <v>100</v>
      </c>
      <c r="K73" s="41"/>
      <c r="L73" s="38"/>
      <c r="M73" s="37"/>
    </row>
    <row r="74" spans="1:13" ht="19.5" customHeight="1">
      <c r="A74" s="64"/>
      <c r="B74" s="1625"/>
      <c r="C74" s="1623"/>
      <c r="D74" s="1680" t="s">
        <v>172</v>
      </c>
      <c r="E74" s="1667"/>
      <c r="F74" s="1627"/>
      <c r="G74" s="89">
        <v>665000</v>
      </c>
      <c r="H74" s="89">
        <v>677325</v>
      </c>
      <c r="I74" s="89">
        <v>677325</v>
      </c>
      <c r="J74" s="146">
        <f t="shared" si="6"/>
        <v>100</v>
      </c>
      <c r="K74" s="41"/>
      <c r="L74" s="37"/>
      <c r="M74" s="37"/>
    </row>
    <row r="75" spans="1:13" ht="19.5" customHeight="1">
      <c r="A75" s="64"/>
      <c r="B75" s="1625"/>
      <c r="C75" s="1623"/>
      <c r="D75" s="1680" t="s">
        <v>200</v>
      </c>
      <c r="E75" s="1667"/>
      <c r="F75" s="1627"/>
      <c r="G75" s="89">
        <v>9000</v>
      </c>
      <c r="H75" s="89">
        <v>25521</v>
      </c>
      <c r="I75" s="89">
        <v>25261</v>
      </c>
      <c r="J75" s="146">
        <f t="shared" si="6"/>
        <v>98.981231142980292</v>
      </c>
      <c r="K75" s="41"/>
      <c r="L75" s="38"/>
      <c r="M75" s="37"/>
    </row>
    <row r="76" spans="1:13" ht="19.5" customHeight="1">
      <c r="A76" s="64"/>
      <c r="B76" s="1625"/>
      <c r="C76" s="1623"/>
      <c r="D76" s="1681" t="s">
        <v>59</v>
      </c>
      <c r="E76" s="1677"/>
      <c r="F76" s="1678"/>
      <c r="G76" s="172">
        <v>2700</v>
      </c>
      <c r="H76" s="172">
        <v>2479</v>
      </c>
      <c r="I76" s="172">
        <v>2479</v>
      </c>
      <c r="J76" s="146">
        <f t="shared" si="6"/>
        <v>100</v>
      </c>
      <c r="K76" s="41"/>
      <c r="L76" s="38"/>
      <c r="M76" s="37"/>
    </row>
    <row r="77" spans="1:13" ht="19.5" customHeight="1">
      <c r="A77" s="64"/>
      <c r="B77" s="1625"/>
      <c r="C77" s="1623"/>
      <c r="D77" s="1680" t="s">
        <v>58</v>
      </c>
      <c r="E77" s="1667"/>
      <c r="F77" s="1627"/>
      <c r="G77" s="89">
        <v>700000</v>
      </c>
      <c r="H77" s="89">
        <v>700000</v>
      </c>
      <c r="I77" s="89">
        <v>810894</v>
      </c>
      <c r="J77" s="146">
        <f t="shared" si="6"/>
        <v>115.842</v>
      </c>
      <c r="K77" s="41"/>
      <c r="L77" s="38"/>
      <c r="M77" s="37"/>
    </row>
    <row r="78" spans="1:13" ht="20.25" customHeight="1">
      <c r="A78" s="65"/>
      <c r="B78" s="1625"/>
      <c r="C78" s="1623"/>
      <c r="D78" s="1667" t="s">
        <v>31</v>
      </c>
      <c r="E78" s="1667"/>
      <c r="F78" s="1627"/>
      <c r="G78" s="89">
        <v>9000</v>
      </c>
      <c r="H78" s="89">
        <v>11837</v>
      </c>
      <c r="I78" s="89">
        <f>49002-37165</f>
        <v>11837</v>
      </c>
      <c r="J78" s="146">
        <f t="shared" si="6"/>
        <v>100</v>
      </c>
      <c r="K78" s="41"/>
      <c r="L78" s="38"/>
      <c r="M78" s="37"/>
    </row>
    <row r="79" spans="1:13" ht="19.5" customHeight="1">
      <c r="A79" s="64"/>
      <c r="B79" s="1625"/>
      <c r="C79" s="1623"/>
      <c r="D79" s="1680" t="s">
        <v>52</v>
      </c>
      <c r="E79" s="1667"/>
      <c r="F79" s="1627"/>
      <c r="G79" s="89">
        <v>17000</v>
      </c>
      <c r="H79" s="89">
        <v>33152</v>
      </c>
      <c r="I79" s="89">
        <v>33152</v>
      </c>
      <c r="J79" s="146">
        <f t="shared" si="6"/>
        <v>100</v>
      </c>
      <c r="K79" s="41"/>
      <c r="L79" s="38"/>
      <c r="M79" s="37"/>
    </row>
    <row r="80" spans="1:13" ht="19.5" customHeight="1">
      <c r="A80" s="64"/>
      <c r="B80" s="1625"/>
      <c r="C80" s="1623"/>
      <c r="D80" s="1681" t="s">
        <v>162</v>
      </c>
      <c r="E80" s="1676"/>
      <c r="F80" s="1678"/>
      <c r="G80" s="172"/>
      <c r="H80" s="172">
        <v>115354</v>
      </c>
      <c r="I80" s="172">
        <v>115354</v>
      </c>
      <c r="J80" s="146">
        <f t="shared" si="6"/>
        <v>100</v>
      </c>
      <c r="K80" s="41"/>
      <c r="L80" s="38"/>
      <c r="M80" s="38"/>
    </row>
    <row r="81" spans="1:13" ht="19.5" customHeight="1">
      <c r="A81" s="64"/>
      <c r="B81" s="1625"/>
      <c r="C81" s="1623"/>
      <c r="D81" s="1682" t="s">
        <v>578</v>
      </c>
      <c r="E81" s="1683"/>
      <c r="F81" s="1678"/>
      <c r="G81" s="172"/>
      <c r="H81" s="172">
        <v>26</v>
      </c>
      <c r="I81" s="172">
        <v>26</v>
      </c>
      <c r="J81" s="146">
        <f t="shared" si="6"/>
        <v>100</v>
      </c>
      <c r="K81" s="41"/>
      <c r="L81" s="38"/>
      <c r="M81" s="38"/>
    </row>
    <row r="82" spans="1:13" ht="19.5" customHeight="1">
      <c r="A82" s="64"/>
      <c r="B82" s="1625"/>
      <c r="C82" s="1623"/>
      <c r="D82" s="1680" t="s">
        <v>166</v>
      </c>
      <c r="E82" s="1676"/>
      <c r="F82" s="1678"/>
      <c r="G82" s="172">
        <v>1700</v>
      </c>
      <c r="H82" s="172">
        <v>3440</v>
      </c>
      <c r="I82" s="172">
        <v>3440</v>
      </c>
      <c r="J82" s="146">
        <f t="shared" si="6"/>
        <v>100</v>
      </c>
      <c r="K82" s="41"/>
      <c r="L82" s="38"/>
      <c r="M82" s="37"/>
    </row>
    <row r="83" spans="1:13" ht="19.5" customHeight="1">
      <c r="A83" s="64"/>
      <c r="B83" s="1625"/>
      <c r="C83" s="1623"/>
      <c r="D83" s="1684" t="s">
        <v>335</v>
      </c>
      <c r="E83" s="1676"/>
      <c r="F83" s="1678"/>
      <c r="G83" s="172"/>
      <c r="H83" s="172">
        <v>10377</v>
      </c>
      <c r="I83" s="251">
        <v>10377</v>
      </c>
      <c r="J83" s="146">
        <f t="shared" si="6"/>
        <v>100</v>
      </c>
      <c r="K83" s="41"/>
      <c r="L83" s="38"/>
      <c r="M83" s="37"/>
    </row>
    <row r="84" spans="1:13" ht="19.5" customHeight="1">
      <c r="A84" s="64"/>
      <c r="B84" s="1625"/>
      <c r="C84" s="1623"/>
      <c r="D84" s="1667" t="s">
        <v>552</v>
      </c>
      <c r="E84" s="1684"/>
      <c r="F84" s="1678"/>
      <c r="G84" s="172"/>
      <c r="H84" s="172">
        <v>37165</v>
      </c>
      <c r="I84" s="89">
        <v>37165</v>
      </c>
      <c r="J84" s="146">
        <f t="shared" si="6"/>
        <v>100</v>
      </c>
      <c r="K84" s="41"/>
      <c r="L84" s="38"/>
      <c r="M84" s="37"/>
    </row>
    <row r="85" spans="1:13" ht="37.5" customHeight="1">
      <c r="A85" s="64"/>
      <c r="B85" s="1625"/>
      <c r="C85" s="1623"/>
      <c r="D85" s="1912" t="s">
        <v>516</v>
      </c>
      <c r="E85" s="1919"/>
      <c r="F85" s="1919"/>
      <c r="G85" s="172"/>
      <c r="H85" s="172">
        <v>349075</v>
      </c>
      <c r="I85" s="113">
        <v>349075</v>
      </c>
      <c r="J85" s="146">
        <f t="shared" si="6"/>
        <v>100</v>
      </c>
      <c r="K85" s="41"/>
      <c r="L85" s="38"/>
      <c r="M85" s="37"/>
    </row>
    <row r="86" spans="1:13" ht="19.5" customHeight="1">
      <c r="A86" s="64"/>
      <c r="B86" s="1664"/>
      <c r="C86" s="1623" t="s">
        <v>98</v>
      </c>
      <c r="D86" s="1665"/>
      <c r="E86" s="1665"/>
      <c r="F86" s="1626"/>
      <c r="G86" s="89"/>
      <c r="H86" s="89"/>
      <c r="I86" s="113"/>
      <c r="J86" s="146"/>
      <c r="K86" s="41"/>
      <c r="L86" s="38"/>
      <c r="M86" s="37"/>
    </row>
    <row r="87" spans="1:13" ht="19.5" customHeight="1">
      <c r="A87" s="64"/>
      <c r="B87" s="1625"/>
      <c r="C87" s="1623"/>
      <c r="D87" s="1682" t="s">
        <v>173</v>
      </c>
      <c r="E87" s="1667"/>
      <c r="F87" s="1627"/>
      <c r="G87" s="89">
        <v>117936</v>
      </c>
      <c r="H87" s="89">
        <v>117936</v>
      </c>
      <c r="I87" s="87"/>
      <c r="J87" s="146">
        <f t="shared" si="6"/>
        <v>0</v>
      </c>
      <c r="K87" s="41"/>
      <c r="L87" s="38"/>
      <c r="M87" s="37"/>
    </row>
    <row r="88" spans="1:13" ht="19.5" customHeight="1">
      <c r="A88" s="64"/>
      <c r="B88" s="1625"/>
      <c r="C88" s="1623"/>
      <c r="D88" s="1682" t="s">
        <v>21</v>
      </c>
      <c r="E88" s="1667"/>
      <c r="F88" s="1627"/>
      <c r="G88" s="89">
        <v>400000</v>
      </c>
      <c r="H88" s="89">
        <v>400000</v>
      </c>
      <c r="I88" s="89">
        <f>584248-5-10034-2</f>
        <v>574207</v>
      </c>
      <c r="J88" s="146">
        <f t="shared" si="6"/>
        <v>143.55175</v>
      </c>
      <c r="K88" s="41"/>
      <c r="L88" s="38"/>
      <c r="M88" s="38"/>
    </row>
    <row r="89" spans="1:13" ht="19.5" customHeight="1">
      <c r="A89" s="64"/>
      <c r="B89" s="1625"/>
      <c r="C89" s="1623"/>
      <c r="D89" s="1682" t="s">
        <v>427</v>
      </c>
      <c r="E89" s="1667"/>
      <c r="F89" s="1627"/>
      <c r="G89" s="89"/>
      <c r="H89" s="89">
        <v>10035</v>
      </c>
      <c r="I89" s="89">
        <v>10035</v>
      </c>
      <c r="J89" s="146">
        <f t="shared" si="6"/>
        <v>100</v>
      </c>
      <c r="K89" s="41"/>
      <c r="L89" s="38"/>
      <c r="M89" s="38"/>
    </row>
    <row r="90" spans="1:13" ht="19.5" customHeight="1">
      <c r="A90" s="64"/>
      <c r="B90" s="1625"/>
      <c r="C90" s="1623"/>
      <c r="D90" s="1667" t="s">
        <v>114</v>
      </c>
      <c r="E90" s="1667"/>
      <c r="F90" s="1627"/>
      <c r="G90" s="89">
        <v>20000</v>
      </c>
      <c r="H90" s="89">
        <v>20000</v>
      </c>
      <c r="I90" s="89"/>
      <c r="J90" s="146">
        <f t="shared" si="6"/>
        <v>0</v>
      </c>
      <c r="K90" s="41"/>
      <c r="L90" s="38"/>
      <c r="M90" s="37"/>
    </row>
    <row r="91" spans="1:13" ht="19.5" customHeight="1">
      <c r="A91" s="64"/>
      <c r="B91" s="1625"/>
      <c r="C91" s="1623"/>
      <c r="D91" s="1667" t="s">
        <v>517</v>
      </c>
      <c r="E91" s="1667"/>
      <c r="F91" s="1627"/>
      <c r="G91" s="89"/>
      <c r="H91" s="89">
        <v>1169</v>
      </c>
      <c r="I91" s="89"/>
      <c r="J91" s="146">
        <f t="shared" si="6"/>
        <v>0</v>
      </c>
      <c r="K91" s="41"/>
      <c r="L91" s="38"/>
      <c r="M91" s="37"/>
    </row>
    <row r="92" spans="1:13" ht="19.5" customHeight="1">
      <c r="A92" s="64"/>
      <c r="B92" s="1625"/>
      <c r="C92" s="1623"/>
      <c r="D92" s="1627" t="s">
        <v>42</v>
      </c>
      <c r="E92" s="1667"/>
      <c r="F92" s="1627"/>
      <c r="G92" s="89"/>
      <c r="H92" s="89">
        <v>262019</v>
      </c>
      <c r="I92" s="89"/>
      <c r="J92" s="146">
        <f t="shared" si="6"/>
        <v>0</v>
      </c>
      <c r="K92" s="41"/>
      <c r="L92" s="38"/>
      <c r="M92" s="38"/>
    </row>
    <row r="93" spans="1:13" ht="19.5" customHeight="1">
      <c r="A93" s="64"/>
      <c r="B93" s="1664"/>
      <c r="C93" s="1623" t="s">
        <v>99</v>
      </c>
      <c r="D93" s="1686"/>
      <c r="E93" s="1686"/>
      <c r="F93" s="1687"/>
      <c r="G93" s="990"/>
      <c r="H93" s="990"/>
      <c r="I93" s="990"/>
      <c r="J93" s="146"/>
      <c r="K93" s="41"/>
      <c r="L93" s="38"/>
      <c r="M93" s="38"/>
    </row>
    <row r="94" spans="1:13" ht="19.5" customHeight="1">
      <c r="A94" s="64"/>
      <c r="B94" s="1625"/>
      <c r="C94" s="1605"/>
      <c r="D94" s="1913" t="s">
        <v>180</v>
      </c>
      <c r="E94" s="1913"/>
      <c r="F94" s="1913"/>
      <c r="G94" s="113">
        <v>120000</v>
      </c>
      <c r="H94" s="113">
        <v>159200</v>
      </c>
      <c r="I94" s="113">
        <f>186371-27171-621+1</f>
        <v>158580</v>
      </c>
      <c r="J94" s="146">
        <f t="shared" si="6"/>
        <v>99.610552763819101</v>
      </c>
      <c r="K94" s="41"/>
      <c r="L94" s="38"/>
      <c r="M94" s="37"/>
    </row>
    <row r="95" spans="1:13" ht="19.5" customHeight="1">
      <c r="A95" s="64"/>
      <c r="B95" s="1625"/>
      <c r="C95" s="1605"/>
      <c r="D95" s="1627" t="s">
        <v>420</v>
      </c>
      <c r="E95" s="1627"/>
      <c r="F95" s="1627"/>
      <c r="G95" s="113"/>
      <c r="H95" s="113">
        <v>12821</v>
      </c>
      <c r="I95" s="113">
        <v>12821</v>
      </c>
      <c r="J95" s="146">
        <f t="shared" si="6"/>
        <v>100</v>
      </c>
      <c r="K95" s="41"/>
      <c r="L95" s="38"/>
      <c r="M95" s="37"/>
    </row>
    <row r="96" spans="1:13" ht="19.5" customHeight="1">
      <c r="A96" s="64"/>
      <c r="B96" s="1625"/>
      <c r="C96" s="1605"/>
      <c r="D96" s="1627" t="s">
        <v>579</v>
      </c>
      <c r="E96" s="1627"/>
      <c r="F96" s="1627"/>
      <c r="G96" s="113"/>
      <c r="H96" s="113">
        <v>27171</v>
      </c>
      <c r="I96" s="1006">
        <v>27171</v>
      </c>
      <c r="J96" s="146">
        <f t="shared" si="6"/>
        <v>100</v>
      </c>
      <c r="K96" s="41"/>
      <c r="L96" s="38"/>
      <c r="M96" s="37"/>
    </row>
    <row r="97" spans="1:15" ht="19.5" customHeight="1" thickBot="1">
      <c r="A97" s="64"/>
      <c r="B97" s="1688" t="s">
        <v>192</v>
      </c>
      <c r="C97" s="1652"/>
      <c r="D97" s="1652"/>
      <c r="E97" s="1652"/>
      <c r="F97" s="1652"/>
      <c r="G97" s="94">
        <f>SUM(G65:G96)</f>
        <v>2148686</v>
      </c>
      <c r="H97" s="94">
        <f>SUM(H65:H96)</f>
        <v>3131964</v>
      </c>
      <c r="I97" s="94">
        <f>SUM(I65:I96)</f>
        <v>3015061</v>
      </c>
      <c r="J97" s="95">
        <f t="shared" si="6"/>
        <v>96.267421975476083</v>
      </c>
      <c r="K97" s="41"/>
    </row>
    <row r="98" spans="1:15" ht="19.5" customHeight="1">
      <c r="A98" s="64"/>
      <c r="B98" s="1636" t="s">
        <v>185</v>
      </c>
      <c r="C98" s="1666"/>
      <c r="D98" s="1666"/>
      <c r="E98" s="1666"/>
      <c r="F98" s="1666"/>
      <c r="G98" s="116"/>
      <c r="H98" s="87"/>
      <c r="I98" s="116"/>
      <c r="J98" s="136"/>
      <c r="K98" s="41"/>
      <c r="L98" s="35"/>
    </row>
    <row r="99" spans="1:15" ht="38.25" customHeight="1">
      <c r="A99" s="64"/>
      <c r="B99" s="1636"/>
      <c r="C99" s="1915" t="s">
        <v>94</v>
      </c>
      <c r="D99" s="1915"/>
      <c r="E99" s="1915"/>
      <c r="F99" s="1915"/>
      <c r="G99" s="984"/>
      <c r="H99" s="984"/>
      <c r="I99" s="984"/>
      <c r="J99" s="999"/>
      <c r="K99" s="41"/>
    </row>
    <row r="100" spans="1:15" ht="19.5" customHeight="1">
      <c r="A100" s="64"/>
      <c r="B100" s="1664"/>
      <c r="C100" s="1643"/>
      <c r="D100" s="1914" t="s">
        <v>305</v>
      </c>
      <c r="E100" s="1913"/>
      <c r="F100" s="1913"/>
      <c r="G100" s="991"/>
      <c r="H100" s="991">
        <v>20000</v>
      </c>
      <c r="I100" s="991"/>
      <c r="J100" s="149">
        <f t="shared" si="6"/>
        <v>0</v>
      </c>
      <c r="K100" s="41"/>
    </row>
    <row r="101" spans="1:15" ht="19.5" customHeight="1">
      <c r="A101" s="64"/>
      <c r="B101" s="1636"/>
      <c r="C101" s="1666" t="s">
        <v>95</v>
      </c>
      <c r="D101" s="1666"/>
      <c r="E101" s="1666"/>
      <c r="F101" s="1666"/>
      <c r="G101" s="116"/>
      <c r="H101" s="116"/>
      <c r="I101" s="116"/>
      <c r="J101" s="433"/>
      <c r="K101" s="41"/>
    </row>
    <row r="102" spans="1:15" ht="19.5" customHeight="1">
      <c r="A102" s="64"/>
      <c r="B102" s="1664"/>
      <c r="C102" s="1643"/>
      <c r="D102" s="1917" t="s">
        <v>367</v>
      </c>
      <c r="E102" s="1918"/>
      <c r="F102" s="1918"/>
      <c r="G102" s="991"/>
      <c r="H102" s="991">
        <v>432</v>
      </c>
      <c r="I102" s="991">
        <v>432</v>
      </c>
      <c r="J102" s="146">
        <f t="shared" ref="J102:J109" si="7">+I102/H102*100</f>
        <v>100</v>
      </c>
      <c r="K102" s="41"/>
    </row>
    <row r="103" spans="1:15" ht="19.5" customHeight="1">
      <c r="A103" s="64"/>
      <c r="B103" s="1664"/>
      <c r="C103" s="1643"/>
      <c r="D103" s="1675" t="s">
        <v>580</v>
      </c>
      <c r="E103" s="1635"/>
      <c r="F103" s="1626"/>
      <c r="G103" s="992"/>
      <c r="H103" s="991">
        <v>300</v>
      </c>
      <c r="I103" s="991">
        <v>300</v>
      </c>
      <c r="J103" s="146">
        <f t="shared" si="7"/>
        <v>100</v>
      </c>
      <c r="K103" s="41"/>
    </row>
    <row r="104" spans="1:15" ht="19.5" customHeight="1">
      <c r="A104" s="64"/>
      <c r="B104" s="1664"/>
      <c r="C104" s="1643"/>
      <c r="D104" s="1634" t="s">
        <v>313</v>
      </c>
      <c r="E104" s="1627"/>
      <c r="F104" s="1627"/>
      <c r="G104" s="993"/>
      <c r="H104" s="988">
        <v>150</v>
      </c>
      <c r="I104" s="1007">
        <v>150</v>
      </c>
      <c r="J104" s="149">
        <f t="shared" si="7"/>
        <v>100</v>
      </c>
      <c r="K104" s="41"/>
    </row>
    <row r="105" spans="1:15" ht="19.5" customHeight="1">
      <c r="A105" s="64"/>
      <c r="B105" s="1664"/>
      <c r="C105" s="1643"/>
      <c r="D105" s="1643" t="s">
        <v>336</v>
      </c>
      <c r="E105" s="1605"/>
      <c r="F105" s="1627"/>
      <c r="G105" s="993"/>
      <c r="H105" s="988">
        <v>5161</v>
      </c>
      <c r="I105" s="988">
        <v>5161</v>
      </c>
      <c r="J105" s="149">
        <f t="shared" si="7"/>
        <v>100</v>
      </c>
      <c r="K105" s="41"/>
    </row>
    <row r="106" spans="1:15" ht="19.5" customHeight="1">
      <c r="A106" s="64"/>
      <c r="B106" s="1664"/>
      <c r="C106" s="1643"/>
      <c r="D106" s="1684" t="s">
        <v>518</v>
      </c>
      <c r="E106" s="1643"/>
      <c r="F106" s="1627"/>
      <c r="G106" s="993"/>
      <c r="H106" s="988">
        <v>3000</v>
      </c>
      <c r="I106" s="1007">
        <v>3000</v>
      </c>
      <c r="J106" s="149">
        <f t="shared" si="7"/>
        <v>100</v>
      </c>
      <c r="K106" s="41"/>
    </row>
    <row r="107" spans="1:15" ht="19.5" customHeight="1">
      <c r="A107" s="64"/>
      <c r="B107" s="1664"/>
      <c r="C107" s="1643"/>
      <c r="D107" s="1634" t="s">
        <v>368</v>
      </c>
      <c r="E107" s="1667"/>
      <c r="F107" s="1634"/>
      <c r="G107" s="994"/>
      <c r="H107" s="993">
        <v>250</v>
      </c>
      <c r="I107" s="988">
        <v>250</v>
      </c>
      <c r="J107" s="149">
        <f t="shared" si="7"/>
        <v>100</v>
      </c>
      <c r="K107" s="50"/>
      <c r="L107" s="41"/>
      <c r="O107" s="32"/>
    </row>
    <row r="108" spans="1:15" ht="19.5" customHeight="1">
      <c r="A108" s="64"/>
      <c r="B108" s="1664"/>
      <c r="C108" s="1643"/>
      <c r="D108" s="1635" t="s">
        <v>360</v>
      </c>
      <c r="E108" s="1667"/>
      <c r="F108" s="1634"/>
      <c r="G108" s="995"/>
      <c r="H108" s="993">
        <v>30917</v>
      </c>
      <c r="I108" s="988">
        <v>8732</v>
      </c>
      <c r="J108" s="149">
        <f t="shared" si="7"/>
        <v>28.243361257560569</v>
      </c>
      <c r="K108" s="50"/>
      <c r="L108" s="41"/>
      <c r="O108" s="32"/>
    </row>
    <row r="109" spans="1:15" ht="19.5" customHeight="1">
      <c r="A109" s="64"/>
      <c r="B109" s="1664"/>
      <c r="C109" s="1643"/>
      <c r="D109" s="1635" t="s">
        <v>392</v>
      </c>
      <c r="E109" s="1667"/>
      <c r="F109" s="1634"/>
      <c r="G109" s="995"/>
      <c r="H109" s="993">
        <v>1618</v>
      </c>
      <c r="I109" s="988">
        <v>1432</v>
      </c>
      <c r="J109" s="149">
        <f t="shared" si="7"/>
        <v>88.504326328800985</v>
      </c>
      <c r="K109" s="50"/>
      <c r="L109" s="41"/>
      <c r="O109" s="32"/>
    </row>
    <row r="110" spans="1:15" ht="19.5" customHeight="1">
      <c r="A110" s="64"/>
      <c r="B110" s="1664"/>
      <c r="C110" s="1643"/>
      <c r="D110" s="1635" t="s">
        <v>438</v>
      </c>
      <c r="E110" s="1667"/>
      <c r="F110" s="1634"/>
      <c r="G110" s="995"/>
      <c r="H110" s="172">
        <v>44415</v>
      </c>
      <c r="I110" s="988">
        <v>10954</v>
      </c>
      <c r="J110" s="149">
        <f t="shared" si="6"/>
        <v>24.662839130924237</v>
      </c>
      <c r="K110" s="50"/>
      <c r="L110" s="41"/>
      <c r="O110" s="32"/>
    </row>
    <row r="111" spans="1:15" ht="40.5" customHeight="1">
      <c r="A111" s="64"/>
      <c r="B111" s="1664"/>
      <c r="C111" s="1643"/>
      <c r="D111" s="1908" t="s">
        <v>581</v>
      </c>
      <c r="E111" s="1908"/>
      <c r="F111" s="1908"/>
      <c r="G111" s="995"/>
      <c r="H111" s="172">
        <f>35735-19144</f>
        <v>16591</v>
      </c>
      <c r="I111" s="988">
        <v>728</v>
      </c>
      <c r="J111" s="149">
        <f t="shared" si="6"/>
        <v>4.3879211620758243</v>
      </c>
      <c r="K111" s="50"/>
      <c r="L111" s="41"/>
      <c r="O111" s="32"/>
    </row>
    <row r="112" spans="1:15" ht="19.5" customHeight="1">
      <c r="A112" s="64"/>
      <c r="B112" s="1664"/>
      <c r="C112" s="1643"/>
      <c r="D112" s="1689" t="s">
        <v>582</v>
      </c>
      <c r="E112" s="1629"/>
      <c r="F112" s="1627"/>
      <c r="G112" s="993"/>
      <c r="H112" s="988">
        <v>161</v>
      </c>
      <c r="I112" s="988">
        <v>161</v>
      </c>
      <c r="J112" s="149">
        <f t="shared" si="6"/>
        <v>100</v>
      </c>
      <c r="K112" s="41"/>
    </row>
    <row r="113" spans="1:14" ht="19.5" customHeight="1">
      <c r="A113" s="64"/>
      <c r="B113" s="1664"/>
      <c r="C113" s="1643"/>
      <c r="D113" s="1643" t="s">
        <v>428</v>
      </c>
      <c r="E113" s="1605"/>
      <c r="F113" s="1605"/>
      <c r="G113" s="993"/>
      <c r="H113" s="992">
        <v>5370</v>
      </c>
      <c r="I113" s="992">
        <v>5288</v>
      </c>
      <c r="J113" s="149">
        <f t="shared" si="6"/>
        <v>98.472998137802605</v>
      </c>
      <c r="K113" s="41"/>
    </row>
    <row r="114" spans="1:14" ht="19.5" customHeight="1">
      <c r="A114" s="64"/>
      <c r="B114" s="1664"/>
      <c r="C114" s="1643"/>
      <c r="D114" s="1634" t="s">
        <v>429</v>
      </c>
      <c r="E114" s="1627"/>
      <c r="F114" s="1627"/>
      <c r="G114" s="988"/>
      <c r="H114" s="988">
        <v>6355</v>
      </c>
      <c r="I114" s="988">
        <v>1881</v>
      </c>
      <c r="J114" s="149">
        <f t="shared" si="6"/>
        <v>29.598741148701809</v>
      </c>
      <c r="K114" s="41"/>
    </row>
    <row r="115" spans="1:14" ht="19.5" customHeight="1">
      <c r="A115" s="64"/>
      <c r="B115" s="1664"/>
      <c r="C115" s="1643"/>
      <c r="D115" s="1634" t="s">
        <v>553</v>
      </c>
      <c r="E115" s="1627"/>
      <c r="F115" s="1627"/>
      <c r="G115" s="988"/>
      <c r="H115" s="988">
        <v>1626</v>
      </c>
      <c r="I115" s="988"/>
      <c r="J115" s="149">
        <f t="shared" si="6"/>
        <v>0</v>
      </c>
      <c r="K115" s="41"/>
    </row>
    <row r="116" spans="1:14" ht="19.5" customHeight="1">
      <c r="A116" s="64"/>
      <c r="B116" s="1664"/>
      <c r="C116" s="1643"/>
      <c r="D116" s="1634" t="s">
        <v>554</v>
      </c>
      <c r="E116" s="1627"/>
      <c r="F116" s="1627"/>
      <c r="G116" s="988"/>
      <c r="H116" s="988">
        <v>59209</v>
      </c>
      <c r="I116" s="988"/>
      <c r="J116" s="149">
        <f t="shared" si="6"/>
        <v>0</v>
      </c>
      <c r="K116" s="41"/>
    </row>
    <row r="117" spans="1:14" ht="19.5" customHeight="1">
      <c r="A117" s="64"/>
      <c r="B117" s="1664"/>
      <c r="C117" s="1643"/>
      <c r="D117" s="1634" t="s">
        <v>555</v>
      </c>
      <c r="E117" s="1627"/>
      <c r="F117" s="1627"/>
      <c r="G117" s="988"/>
      <c r="H117" s="988">
        <v>660352</v>
      </c>
      <c r="I117" s="988"/>
      <c r="J117" s="149">
        <f t="shared" si="6"/>
        <v>0</v>
      </c>
      <c r="K117" s="41"/>
    </row>
    <row r="118" spans="1:14" ht="19.5" customHeight="1">
      <c r="A118" s="64"/>
      <c r="B118" s="1664"/>
      <c r="C118" s="1643"/>
      <c r="D118" s="1634" t="s">
        <v>556</v>
      </c>
      <c r="E118" s="1627"/>
      <c r="F118" s="1627"/>
      <c r="G118" s="988"/>
      <c r="H118" s="988">
        <v>638723</v>
      </c>
      <c r="I118" s="988"/>
      <c r="J118" s="149">
        <f t="shared" si="6"/>
        <v>0</v>
      </c>
      <c r="K118" s="41"/>
    </row>
    <row r="119" spans="1:14" ht="19.5" customHeight="1">
      <c r="A119" s="64"/>
      <c r="B119" s="1664"/>
      <c r="C119" s="1643"/>
      <c r="D119" s="1634" t="s">
        <v>557</v>
      </c>
      <c r="E119" s="1627"/>
      <c r="F119" s="1627"/>
      <c r="G119" s="988"/>
      <c r="H119" s="988">
        <v>500925</v>
      </c>
      <c r="I119" s="988"/>
      <c r="J119" s="149">
        <f t="shared" si="6"/>
        <v>0</v>
      </c>
      <c r="K119" s="41"/>
    </row>
    <row r="120" spans="1:14" ht="19.5" customHeight="1">
      <c r="A120" s="64"/>
      <c r="B120" s="1664"/>
      <c r="C120" s="1643"/>
      <c r="D120" s="1634" t="s">
        <v>483</v>
      </c>
      <c r="E120" s="1627"/>
      <c r="F120" s="1627"/>
      <c r="G120" s="988"/>
      <c r="H120" s="988">
        <v>300</v>
      </c>
      <c r="I120" s="988"/>
      <c r="J120" s="149">
        <f t="shared" si="6"/>
        <v>0</v>
      </c>
      <c r="K120" s="41"/>
    </row>
    <row r="121" spans="1:14" ht="19.5" customHeight="1" thickBot="1">
      <c r="A121" s="64"/>
      <c r="B121" s="1636" t="s">
        <v>208</v>
      </c>
      <c r="C121" s="1652"/>
      <c r="D121" s="1690"/>
      <c r="E121" s="1690"/>
      <c r="F121" s="1652"/>
      <c r="G121" s="989">
        <f>SUM(G100:G120)</f>
        <v>0</v>
      </c>
      <c r="H121" s="989">
        <f>SUM(H100:H120)</f>
        <v>1995855</v>
      </c>
      <c r="I121" s="989">
        <f>SUM(I100:I120)</f>
        <v>38469</v>
      </c>
      <c r="J121" s="95">
        <f t="shared" si="6"/>
        <v>1.9274446289935891</v>
      </c>
      <c r="K121" s="41"/>
    </row>
    <row r="122" spans="1:14" ht="19.5" customHeight="1">
      <c r="A122" s="64"/>
      <c r="B122" s="1616" t="s">
        <v>92</v>
      </c>
      <c r="C122" s="1691"/>
      <c r="D122" s="1691"/>
      <c r="E122" s="1691"/>
      <c r="F122" s="1691"/>
      <c r="G122" s="996"/>
      <c r="H122" s="996"/>
      <c r="I122" s="996"/>
      <c r="J122" s="1005"/>
      <c r="K122" s="41"/>
    </row>
    <row r="123" spans="1:14" s="4" customFormat="1" ht="19.5" customHeight="1">
      <c r="A123" s="60"/>
      <c r="B123" s="1692"/>
      <c r="C123" s="1643" t="s">
        <v>64</v>
      </c>
      <c r="D123" s="1674"/>
      <c r="E123" s="1674"/>
      <c r="F123" s="1640"/>
      <c r="G123" s="991">
        <v>20784</v>
      </c>
      <c r="H123" s="991">
        <v>41924</v>
      </c>
      <c r="I123" s="991">
        <v>41905</v>
      </c>
      <c r="J123" s="146">
        <f t="shared" si="6"/>
        <v>99.954679896956407</v>
      </c>
      <c r="K123" s="41"/>
      <c r="L123" s="32"/>
      <c r="M123" s="32"/>
      <c r="N123" s="40"/>
    </row>
    <row r="124" spans="1:14" s="4" customFormat="1" ht="19.5" customHeight="1">
      <c r="A124" s="60"/>
      <c r="B124" s="1692"/>
      <c r="C124" s="1634" t="s">
        <v>245</v>
      </c>
      <c r="D124" s="1634"/>
      <c r="E124" s="1693"/>
      <c r="F124" s="1694"/>
      <c r="G124" s="991">
        <v>658521</v>
      </c>
      <c r="H124" s="991">
        <v>704665</v>
      </c>
      <c r="I124" s="991">
        <v>704665</v>
      </c>
      <c r="J124" s="146">
        <f t="shared" si="6"/>
        <v>100</v>
      </c>
      <c r="K124" s="41"/>
      <c r="L124" s="32"/>
      <c r="M124" s="32"/>
      <c r="N124" s="40"/>
    </row>
    <row r="125" spans="1:14" s="4" customFormat="1" ht="19.5" customHeight="1">
      <c r="A125" s="60"/>
      <c r="B125" s="1692"/>
      <c r="C125" s="1634" t="s">
        <v>169</v>
      </c>
      <c r="D125" s="1695"/>
      <c r="E125" s="1693"/>
      <c r="F125" s="1694"/>
      <c r="G125" s="991">
        <v>28471</v>
      </c>
      <c r="H125" s="991">
        <v>138481</v>
      </c>
      <c r="I125" s="991">
        <v>138481</v>
      </c>
      <c r="J125" s="146">
        <f t="shared" si="6"/>
        <v>100</v>
      </c>
      <c r="K125" s="41"/>
      <c r="L125" s="32"/>
      <c r="M125" s="32"/>
      <c r="N125" s="40"/>
    </row>
    <row r="126" spans="1:14" s="4" customFormat="1" ht="19.5" customHeight="1">
      <c r="A126" s="60"/>
      <c r="B126" s="1692"/>
      <c r="C126" s="1634" t="s">
        <v>477</v>
      </c>
      <c r="D126" s="1648"/>
      <c r="E126" s="1693"/>
      <c r="F126" s="1694"/>
      <c r="G126" s="991">
        <v>113344</v>
      </c>
      <c r="H126" s="991">
        <v>377871</v>
      </c>
      <c r="I126" s="991">
        <v>377872</v>
      </c>
      <c r="J126" s="146">
        <f t="shared" si="6"/>
        <v>100.00026464057841</v>
      </c>
      <c r="K126" s="41"/>
      <c r="L126" s="32"/>
      <c r="M126" s="32"/>
      <c r="N126" s="40"/>
    </row>
    <row r="127" spans="1:14" s="4" customFormat="1" ht="19.5" customHeight="1">
      <c r="A127" s="60"/>
      <c r="B127" s="1692"/>
      <c r="C127" s="1634" t="s">
        <v>190</v>
      </c>
      <c r="D127" s="1695"/>
      <c r="E127" s="1693"/>
      <c r="F127" s="1694"/>
      <c r="G127" s="991">
        <v>32900</v>
      </c>
      <c r="H127" s="991">
        <v>50672</v>
      </c>
      <c r="I127" s="991">
        <v>50672</v>
      </c>
      <c r="J127" s="146">
        <f t="shared" ref="J127:J134" si="8">+I127/H127*100</f>
        <v>100</v>
      </c>
      <c r="K127" s="41"/>
      <c r="L127" s="32"/>
      <c r="M127" s="32"/>
      <c r="N127" s="40"/>
    </row>
    <row r="128" spans="1:14" s="4" customFormat="1" ht="19.5" customHeight="1">
      <c r="A128" s="60"/>
      <c r="B128" s="1692"/>
      <c r="C128" s="1634" t="s">
        <v>189</v>
      </c>
      <c r="D128" s="1641"/>
      <c r="E128" s="1693"/>
      <c r="F128" s="1694"/>
      <c r="G128" s="991">
        <v>154078</v>
      </c>
      <c r="H128" s="991">
        <v>226561</v>
      </c>
      <c r="I128" s="991">
        <v>169955</v>
      </c>
      <c r="J128" s="146">
        <f t="shared" si="8"/>
        <v>75.015117341466535</v>
      </c>
      <c r="K128" s="41"/>
      <c r="L128" s="32"/>
      <c r="M128" s="32"/>
      <c r="N128" s="40"/>
    </row>
    <row r="129" spans="1:14" s="4" customFormat="1" ht="19.5" customHeight="1">
      <c r="A129" s="60"/>
      <c r="B129" s="1692"/>
      <c r="C129" s="1907" t="s">
        <v>38</v>
      </c>
      <c r="D129" s="1912"/>
      <c r="E129" s="1912"/>
      <c r="F129" s="1912"/>
      <c r="G129" s="991">
        <v>197479</v>
      </c>
      <c r="H129" s="991">
        <v>265916</v>
      </c>
      <c r="I129" s="991">
        <v>265916</v>
      </c>
      <c r="J129" s="146">
        <f t="shared" si="8"/>
        <v>100</v>
      </c>
      <c r="K129" s="41"/>
      <c r="L129" s="32"/>
      <c r="M129" s="32"/>
      <c r="N129" s="40"/>
    </row>
    <row r="130" spans="1:14" s="4" customFormat="1" ht="19.5" customHeight="1">
      <c r="A130" s="60"/>
      <c r="B130" s="1692"/>
      <c r="C130" s="1634" t="s">
        <v>201</v>
      </c>
      <c r="D130" s="1693"/>
      <c r="E130" s="1693"/>
      <c r="F130" s="1694"/>
      <c r="G130" s="991">
        <v>488765</v>
      </c>
      <c r="H130" s="991">
        <v>518074</v>
      </c>
      <c r="I130" s="991">
        <v>518075</v>
      </c>
      <c r="J130" s="146">
        <f t="shared" si="8"/>
        <v>100.0001930226184</v>
      </c>
      <c r="K130" s="41"/>
      <c r="L130" s="32"/>
      <c r="M130" s="32"/>
      <c r="N130" s="40"/>
    </row>
    <row r="131" spans="1:14" s="4" customFormat="1" ht="19.5" customHeight="1">
      <c r="A131" s="60"/>
      <c r="B131" s="1692"/>
      <c r="C131" s="1634" t="s">
        <v>56</v>
      </c>
      <c r="D131" s="1693"/>
      <c r="E131" s="1693"/>
      <c r="F131" s="1694"/>
      <c r="G131" s="991">
        <v>97148</v>
      </c>
      <c r="H131" s="991">
        <v>124485</v>
      </c>
      <c r="I131" s="991">
        <v>124465</v>
      </c>
      <c r="J131" s="146">
        <f t="shared" si="8"/>
        <v>99.983933807286022</v>
      </c>
      <c r="K131" s="41"/>
      <c r="L131" s="32"/>
      <c r="M131" s="32"/>
      <c r="N131" s="40"/>
    </row>
    <row r="132" spans="1:14" s="4" customFormat="1" ht="19.5" customHeight="1">
      <c r="A132" s="60"/>
      <c r="B132" s="1692"/>
      <c r="C132" s="1634" t="s">
        <v>57</v>
      </c>
      <c r="D132" s="1693"/>
      <c r="E132" s="1693"/>
      <c r="F132" s="1694"/>
      <c r="G132" s="991">
        <v>188823</v>
      </c>
      <c r="H132" s="991">
        <v>191884</v>
      </c>
      <c r="I132" s="991">
        <v>191884</v>
      </c>
      <c r="J132" s="146">
        <f t="shared" si="8"/>
        <v>100</v>
      </c>
      <c r="K132" s="41"/>
      <c r="L132" s="32"/>
      <c r="M132" s="32"/>
      <c r="N132" s="40"/>
    </row>
    <row r="133" spans="1:14" s="4" customFormat="1" ht="19.5" customHeight="1">
      <c r="A133" s="60"/>
      <c r="B133" s="1692"/>
      <c r="C133" s="1643" t="s">
        <v>37</v>
      </c>
      <c r="D133" s="1674"/>
      <c r="E133" s="1674"/>
      <c r="F133" s="1640"/>
      <c r="G133" s="992">
        <v>19000</v>
      </c>
      <c r="H133" s="992">
        <v>33501</v>
      </c>
      <c r="I133" s="992">
        <v>32813</v>
      </c>
      <c r="J133" s="146">
        <f t="shared" si="8"/>
        <v>97.946329960299693</v>
      </c>
      <c r="K133" s="41"/>
      <c r="L133" s="40"/>
      <c r="M133" s="40"/>
      <c r="N133" s="40"/>
    </row>
    <row r="134" spans="1:14" ht="19.5" customHeight="1" thickBot="1">
      <c r="A134" s="64"/>
      <c r="B134" s="1688" t="s">
        <v>209</v>
      </c>
      <c r="C134" s="1696"/>
      <c r="D134" s="1652"/>
      <c r="E134" s="1652"/>
      <c r="F134" s="1652"/>
      <c r="G134" s="989">
        <f>SUM(G123:G133)</f>
        <v>1999313</v>
      </c>
      <c r="H134" s="989">
        <f>SUM(H123:H133)</f>
        <v>2674034</v>
      </c>
      <c r="I134" s="989">
        <f>SUM(I123:I133)</f>
        <v>2616703</v>
      </c>
      <c r="J134" s="95">
        <f t="shared" si="8"/>
        <v>97.856010806145321</v>
      </c>
      <c r="K134" s="41"/>
      <c r="L134" s="40"/>
      <c r="M134" s="40"/>
    </row>
    <row r="135" spans="1:14" ht="19.5" customHeight="1" thickBot="1">
      <c r="A135" s="64"/>
      <c r="B135" s="1688" t="s">
        <v>320</v>
      </c>
      <c r="C135" s="1696"/>
      <c r="D135" s="1652"/>
      <c r="E135" s="1652"/>
      <c r="F135" s="1652"/>
      <c r="G135" s="989">
        <f>+G49+G121+G97+G63+G134</f>
        <v>28007584</v>
      </c>
      <c r="H135" s="989">
        <f>+H49+H121+H97+H63+H134</f>
        <v>33969604</v>
      </c>
      <c r="I135" s="989">
        <f>+I49+I121+I97+I63+I134</f>
        <v>31837984</v>
      </c>
      <c r="J135" s="95">
        <f>+I135/H135*100</f>
        <v>93.724919489788576</v>
      </c>
      <c r="K135" s="41"/>
      <c r="L135" s="40"/>
      <c r="M135" s="40"/>
    </row>
    <row r="136" spans="1:14" ht="21" customHeight="1">
      <c r="K136" s="23"/>
      <c r="L136" s="40"/>
      <c r="M136" s="40"/>
    </row>
    <row r="137" spans="1:14" ht="21" customHeight="1">
      <c r="I137" s="20"/>
      <c r="K137" s="23"/>
      <c r="L137" s="40"/>
      <c r="M137" s="40"/>
    </row>
  </sheetData>
  <mergeCells count="21">
    <mergeCell ref="C129:F129"/>
    <mergeCell ref="D94:F94"/>
    <mergeCell ref="D100:F100"/>
    <mergeCell ref="C99:F99"/>
    <mergeCell ref="D69:F69"/>
    <mergeCell ref="D102:F102"/>
    <mergeCell ref="D111:F111"/>
    <mergeCell ref="D85:F85"/>
    <mergeCell ref="C48:F48"/>
    <mergeCell ref="B1:F1"/>
    <mergeCell ref="C10:F10"/>
    <mergeCell ref="G5:H5"/>
    <mergeCell ref="B2:J2"/>
    <mergeCell ref="D22:F22"/>
    <mergeCell ref="D23:F23"/>
    <mergeCell ref="D27:F27"/>
    <mergeCell ref="D43:F43"/>
    <mergeCell ref="D24:F24"/>
    <mergeCell ref="D14:F14"/>
    <mergeCell ref="D21:F21"/>
    <mergeCell ref="D42:F42"/>
  </mergeCells>
  <phoneticPr fontId="0" type="noConversion"/>
  <printOptions horizontalCentered="1" verticalCentered="1"/>
  <pageMargins left="0.39370078740157483" right="0" top="0" bottom="0" header="0.51181102362204722" footer="0"/>
  <pageSetup paperSize="9" scale="57" orientation="portrait" r:id="rId1"/>
  <headerFooter alignWithMargins="0">
    <oddHeader>&amp;R&amp;"Calibri,Félkövér"&amp;11 &amp;12 &amp;14 3. melléklet  a .../2026. (........) önkormányzati rendelethez</oddHeader>
  </headerFooter>
  <rowBreaks count="2" manualBreakCount="2">
    <brk id="49" min="1" max="9" man="1"/>
    <brk id="97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EB1F-0E8C-44B0-ABDB-E06CD359784E}">
  <dimension ref="B1:F22"/>
  <sheetViews>
    <sheetView tabSelected="1" zoomScaleNormal="100" workbookViewId="0">
      <selection activeCell="B2" sqref="B2:E2"/>
    </sheetView>
  </sheetViews>
  <sheetFormatPr defaultRowHeight="15"/>
  <cols>
    <col min="1" max="1" width="9.33203125" style="928"/>
    <col min="2" max="2" width="25.1640625" style="928" customWidth="1"/>
    <col min="3" max="5" width="26.83203125" style="928" customWidth="1"/>
    <col min="6" max="6" width="25.33203125" style="928" customWidth="1"/>
    <col min="7" max="7" width="9.33203125" style="928"/>
    <col min="8" max="8" width="11.5" style="928" bestFit="1" customWidth="1"/>
    <col min="9" max="253" width="9.33203125" style="928"/>
    <col min="254" max="254" width="14.83203125" style="928" customWidth="1"/>
    <col min="255" max="255" width="20.33203125" style="928" customWidth="1"/>
    <col min="256" max="256" width="18.6640625" style="928" bestFit="1" customWidth="1"/>
    <col min="257" max="257" width="16.33203125" style="928" customWidth="1"/>
    <col min="258" max="258" width="22.6640625" style="928" bestFit="1" customWidth="1"/>
    <col min="259" max="260" width="18" style="928" bestFit="1" customWidth="1"/>
    <col min="261" max="261" width="12.6640625" style="928" customWidth="1"/>
    <col min="262" max="262" width="18.1640625" style="928" bestFit="1" customWidth="1"/>
    <col min="263" max="263" width="9.33203125" style="928"/>
    <col min="264" max="264" width="11.5" style="928" bestFit="1" customWidth="1"/>
    <col min="265" max="509" width="9.33203125" style="928"/>
    <col min="510" max="510" width="14.83203125" style="928" customWidth="1"/>
    <col min="511" max="511" width="20.33203125" style="928" customWidth="1"/>
    <col min="512" max="512" width="18.6640625" style="928" bestFit="1" customWidth="1"/>
    <col min="513" max="513" width="16.33203125" style="928" customWidth="1"/>
    <col min="514" max="514" width="22.6640625" style="928" bestFit="1" customWidth="1"/>
    <col min="515" max="516" width="18" style="928" bestFit="1" customWidth="1"/>
    <col min="517" max="517" width="12.6640625" style="928" customWidth="1"/>
    <col min="518" max="518" width="18.1640625" style="928" bestFit="1" customWidth="1"/>
    <col min="519" max="519" width="9.33203125" style="928"/>
    <col min="520" max="520" width="11.5" style="928" bestFit="1" customWidth="1"/>
    <col min="521" max="765" width="9.33203125" style="928"/>
    <col min="766" max="766" width="14.83203125" style="928" customWidth="1"/>
    <col min="767" max="767" width="20.33203125" style="928" customWidth="1"/>
    <col min="768" max="768" width="18.6640625" style="928" bestFit="1" customWidth="1"/>
    <col min="769" max="769" width="16.33203125" style="928" customWidth="1"/>
    <col min="770" max="770" width="22.6640625" style="928" bestFit="1" customWidth="1"/>
    <col min="771" max="772" width="18" style="928" bestFit="1" customWidth="1"/>
    <col min="773" max="773" width="12.6640625" style="928" customWidth="1"/>
    <col min="774" max="774" width="18.1640625" style="928" bestFit="1" customWidth="1"/>
    <col min="775" max="775" width="9.33203125" style="928"/>
    <col min="776" max="776" width="11.5" style="928" bestFit="1" customWidth="1"/>
    <col min="777" max="1021" width="9.33203125" style="928"/>
    <col min="1022" max="1022" width="14.83203125" style="928" customWidth="1"/>
    <col min="1023" max="1023" width="20.33203125" style="928" customWidth="1"/>
    <col min="1024" max="1024" width="18.6640625" style="928" bestFit="1" customWidth="1"/>
    <col min="1025" max="1025" width="16.33203125" style="928" customWidth="1"/>
    <col min="1026" max="1026" width="22.6640625" style="928" bestFit="1" customWidth="1"/>
    <col min="1027" max="1028" width="18" style="928" bestFit="1" customWidth="1"/>
    <col min="1029" max="1029" width="12.6640625" style="928" customWidth="1"/>
    <col min="1030" max="1030" width="18.1640625" style="928" bestFit="1" customWidth="1"/>
    <col min="1031" max="1031" width="9.33203125" style="928"/>
    <col min="1032" max="1032" width="11.5" style="928" bestFit="1" customWidth="1"/>
    <col min="1033" max="1277" width="9.33203125" style="928"/>
    <col min="1278" max="1278" width="14.83203125" style="928" customWidth="1"/>
    <col min="1279" max="1279" width="20.33203125" style="928" customWidth="1"/>
    <col min="1280" max="1280" width="18.6640625" style="928" bestFit="1" customWidth="1"/>
    <col min="1281" max="1281" width="16.33203125" style="928" customWidth="1"/>
    <col min="1282" max="1282" width="22.6640625" style="928" bestFit="1" customWidth="1"/>
    <col min="1283" max="1284" width="18" style="928" bestFit="1" customWidth="1"/>
    <col min="1285" max="1285" width="12.6640625" style="928" customWidth="1"/>
    <col min="1286" max="1286" width="18.1640625" style="928" bestFit="1" customWidth="1"/>
    <col min="1287" max="1287" width="9.33203125" style="928"/>
    <col min="1288" max="1288" width="11.5" style="928" bestFit="1" customWidth="1"/>
    <col min="1289" max="1533" width="9.33203125" style="928"/>
    <col min="1534" max="1534" width="14.83203125" style="928" customWidth="1"/>
    <col min="1535" max="1535" width="20.33203125" style="928" customWidth="1"/>
    <col min="1536" max="1536" width="18.6640625" style="928" bestFit="1" customWidth="1"/>
    <col min="1537" max="1537" width="16.33203125" style="928" customWidth="1"/>
    <col min="1538" max="1538" width="22.6640625" style="928" bestFit="1" customWidth="1"/>
    <col min="1539" max="1540" width="18" style="928" bestFit="1" customWidth="1"/>
    <col min="1541" max="1541" width="12.6640625" style="928" customWidth="1"/>
    <col min="1542" max="1542" width="18.1640625" style="928" bestFit="1" customWidth="1"/>
    <col min="1543" max="1543" width="9.33203125" style="928"/>
    <col min="1544" max="1544" width="11.5" style="928" bestFit="1" customWidth="1"/>
    <col min="1545" max="1789" width="9.33203125" style="928"/>
    <col min="1790" max="1790" width="14.83203125" style="928" customWidth="1"/>
    <col min="1791" max="1791" width="20.33203125" style="928" customWidth="1"/>
    <col min="1792" max="1792" width="18.6640625" style="928" bestFit="1" customWidth="1"/>
    <col min="1793" max="1793" width="16.33203125" style="928" customWidth="1"/>
    <col min="1794" max="1794" width="22.6640625" style="928" bestFit="1" customWidth="1"/>
    <col min="1795" max="1796" width="18" style="928" bestFit="1" customWidth="1"/>
    <col min="1797" max="1797" width="12.6640625" style="928" customWidth="1"/>
    <col min="1798" max="1798" width="18.1640625" style="928" bestFit="1" customWidth="1"/>
    <col min="1799" max="1799" width="9.33203125" style="928"/>
    <col min="1800" max="1800" width="11.5" style="928" bestFit="1" customWidth="1"/>
    <col min="1801" max="2045" width="9.33203125" style="928"/>
    <col min="2046" max="2046" width="14.83203125" style="928" customWidth="1"/>
    <col min="2047" max="2047" width="20.33203125" style="928" customWidth="1"/>
    <col min="2048" max="2048" width="18.6640625" style="928" bestFit="1" customWidth="1"/>
    <col min="2049" max="2049" width="16.33203125" style="928" customWidth="1"/>
    <col min="2050" max="2050" width="22.6640625" style="928" bestFit="1" customWidth="1"/>
    <col min="2051" max="2052" width="18" style="928" bestFit="1" customWidth="1"/>
    <col min="2053" max="2053" width="12.6640625" style="928" customWidth="1"/>
    <col min="2054" max="2054" width="18.1640625" style="928" bestFit="1" customWidth="1"/>
    <col min="2055" max="2055" width="9.33203125" style="928"/>
    <col min="2056" max="2056" width="11.5" style="928" bestFit="1" customWidth="1"/>
    <col min="2057" max="2301" width="9.33203125" style="928"/>
    <col min="2302" max="2302" width="14.83203125" style="928" customWidth="1"/>
    <col min="2303" max="2303" width="20.33203125" style="928" customWidth="1"/>
    <col min="2304" max="2304" width="18.6640625" style="928" bestFit="1" customWidth="1"/>
    <col min="2305" max="2305" width="16.33203125" style="928" customWidth="1"/>
    <col min="2306" max="2306" width="22.6640625" style="928" bestFit="1" customWidth="1"/>
    <col min="2307" max="2308" width="18" style="928" bestFit="1" customWidth="1"/>
    <col min="2309" max="2309" width="12.6640625" style="928" customWidth="1"/>
    <col min="2310" max="2310" width="18.1640625" style="928" bestFit="1" customWidth="1"/>
    <col min="2311" max="2311" width="9.33203125" style="928"/>
    <col min="2312" max="2312" width="11.5" style="928" bestFit="1" customWidth="1"/>
    <col min="2313" max="2557" width="9.33203125" style="928"/>
    <col min="2558" max="2558" width="14.83203125" style="928" customWidth="1"/>
    <col min="2559" max="2559" width="20.33203125" style="928" customWidth="1"/>
    <col min="2560" max="2560" width="18.6640625" style="928" bestFit="1" customWidth="1"/>
    <col min="2561" max="2561" width="16.33203125" style="928" customWidth="1"/>
    <col min="2562" max="2562" width="22.6640625" style="928" bestFit="1" customWidth="1"/>
    <col min="2563" max="2564" width="18" style="928" bestFit="1" customWidth="1"/>
    <col min="2565" max="2565" width="12.6640625" style="928" customWidth="1"/>
    <col min="2566" max="2566" width="18.1640625" style="928" bestFit="1" customWidth="1"/>
    <col min="2567" max="2567" width="9.33203125" style="928"/>
    <col min="2568" max="2568" width="11.5" style="928" bestFit="1" customWidth="1"/>
    <col min="2569" max="2813" width="9.33203125" style="928"/>
    <col min="2814" max="2814" width="14.83203125" style="928" customWidth="1"/>
    <col min="2815" max="2815" width="20.33203125" style="928" customWidth="1"/>
    <col min="2816" max="2816" width="18.6640625" style="928" bestFit="1" customWidth="1"/>
    <col min="2817" max="2817" width="16.33203125" style="928" customWidth="1"/>
    <col min="2818" max="2818" width="22.6640625" style="928" bestFit="1" customWidth="1"/>
    <col min="2819" max="2820" width="18" style="928" bestFit="1" customWidth="1"/>
    <col min="2821" max="2821" width="12.6640625" style="928" customWidth="1"/>
    <col min="2822" max="2822" width="18.1640625" style="928" bestFit="1" customWidth="1"/>
    <col min="2823" max="2823" width="9.33203125" style="928"/>
    <col min="2824" max="2824" width="11.5" style="928" bestFit="1" customWidth="1"/>
    <col min="2825" max="3069" width="9.33203125" style="928"/>
    <col min="3070" max="3070" width="14.83203125" style="928" customWidth="1"/>
    <col min="3071" max="3071" width="20.33203125" style="928" customWidth="1"/>
    <col min="3072" max="3072" width="18.6640625" style="928" bestFit="1" customWidth="1"/>
    <col min="3073" max="3073" width="16.33203125" style="928" customWidth="1"/>
    <col min="3074" max="3074" width="22.6640625" style="928" bestFit="1" customWidth="1"/>
    <col min="3075" max="3076" width="18" style="928" bestFit="1" customWidth="1"/>
    <col min="3077" max="3077" width="12.6640625" style="928" customWidth="1"/>
    <col min="3078" max="3078" width="18.1640625" style="928" bestFit="1" customWidth="1"/>
    <col min="3079" max="3079" width="9.33203125" style="928"/>
    <col min="3080" max="3080" width="11.5" style="928" bestFit="1" customWidth="1"/>
    <col min="3081" max="3325" width="9.33203125" style="928"/>
    <col min="3326" max="3326" width="14.83203125" style="928" customWidth="1"/>
    <col min="3327" max="3327" width="20.33203125" style="928" customWidth="1"/>
    <col min="3328" max="3328" width="18.6640625" style="928" bestFit="1" customWidth="1"/>
    <col min="3329" max="3329" width="16.33203125" style="928" customWidth="1"/>
    <col min="3330" max="3330" width="22.6640625" style="928" bestFit="1" customWidth="1"/>
    <col min="3331" max="3332" width="18" style="928" bestFit="1" customWidth="1"/>
    <col min="3333" max="3333" width="12.6640625" style="928" customWidth="1"/>
    <col min="3334" max="3334" width="18.1640625" style="928" bestFit="1" customWidth="1"/>
    <col min="3335" max="3335" width="9.33203125" style="928"/>
    <col min="3336" max="3336" width="11.5" style="928" bestFit="1" customWidth="1"/>
    <col min="3337" max="3581" width="9.33203125" style="928"/>
    <col min="3582" max="3582" width="14.83203125" style="928" customWidth="1"/>
    <col min="3583" max="3583" width="20.33203125" style="928" customWidth="1"/>
    <col min="3584" max="3584" width="18.6640625" style="928" bestFit="1" customWidth="1"/>
    <col min="3585" max="3585" width="16.33203125" style="928" customWidth="1"/>
    <col min="3586" max="3586" width="22.6640625" style="928" bestFit="1" customWidth="1"/>
    <col min="3587" max="3588" width="18" style="928" bestFit="1" customWidth="1"/>
    <col min="3589" max="3589" width="12.6640625" style="928" customWidth="1"/>
    <col min="3590" max="3590" width="18.1640625" style="928" bestFit="1" customWidth="1"/>
    <col min="3591" max="3591" width="9.33203125" style="928"/>
    <col min="3592" max="3592" width="11.5" style="928" bestFit="1" customWidth="1"/>
    <col min="3593" max="3837" width="9.33203125" style="928"/>
    <col min="3838" max="3838" width="14.83203125" style="928" customWidth="1"/>
    <col min="3839" max="3839" width="20.33203125" style="928" customWidth="1"/>
    <col min="3840" max="3840" width="18.6640625" style="928" bestFit="1" customWidth="1"/>
    <col min="3841" max="3841" width="16.33203125" style="928" customWidth="1"/>
    <col min="3842" max="3842" width="22.6640625" style="928" bestFit="1" customWidth="1"/>
    <col min="3843" max="3844" width="18" style="928" bestFit="1" customWidth="1"/>
    <col min="3845" max="3845" width="12.6640625" style="928" customWidth="1"/>
    <col min="3846" max="3846" width="18.1640625" style="928" bestFit="1" customWidth="1"/>
    <col min="3847" max="3847" width="9.33203125" style="928"/>
    <col min="3848" max="3848" width="11.5" style="928" bestFit="1" customWidth="1"/>
    <col min="3849" max="4093" width="9.33203125" style="928"/>
    <col min="4094" max="4094" width="14.83203125" style="928" customWidth="1"/>
    <col min="4095" max="4095" width="20.33203125" style="928" customWidth="1"/>
    <col min="4096" max="4096" width="18.6640625" style="928" bestFit="1" customWidth="1"/>
    <col min="4097" max="4097" width="16.33203125" style="928" customWidth="1"/>
    <col min="4098" max="4098" width="22.6640625" style="928" bestFit="1" customWidth="1"/>
    <col min="4099" max="4100" width="18" style="928" bestFit="1" customWidth="1"/>
    <col min="4101" max="4101" width="12.6640625" style="928" customWidth="1"/>
    <col min="4102" max="4102" width="18.1640625" style="928" bestFit="1" customWidth="1"/>
    <col min="4103" max="4103" width="9.33203125" style="928"/>
    <col min="4104" max="4104" width="11.5" style="928" bestFit="1" customWidth="1"/>
    <col min="4105" max="4349" width="9.33203125" style="928"/>
    <col min="4350" max="4350" width="14.83203125" style="928" customWidth="1"/>
    <col min="4351" max="4351" width="20.33203125" style="928" customWidth="1"/>
    <col min="4352" max="4352" width="18.6640625" style="928" bestFit="1" customWidth="1"/>
    <col min="4353" max="4353" width="16.33203125" style="928" customWidth="1"/>
    <col min="4354" max="4354" width="22.6640625" style="928" bestFit="1" customWidth="1"/>
    <col min="4355" max="4356" width="18" style="928" bestFit="1" customWidth="1"/>
    <col min="4357" max="4357" width="12.6640625" style="928" customWidth="1"/>
    <col min="4358" max="4358" width="18.1640625" style="928" bestFit="1" customWidth="1"/>
    <col min="4359" max="4359" width="9.33203125" style="928"/>
    <col min="4360" max="4360" width="11.5" style="928" bestFit="1" customWidth="1"/>
    <col min="4361" max="4605" width="9.33203125" style="928"/>
    <col min="4606" max="4606" width="14.83203125" style="928" customWidth="1"/>
    <col min="4607" max="4607" width="20.33203125" style="928" customWidth="1"/>
    <col min="4608" max="4608" width="18.6640625" style="928" bestFit="1" customWidth="1"/>
    <col min="4609" max="4609" width="16.33203125" style="928" customWidth="1"/>
    <col min="4610" max="4610" width="22.6640625" style="928" bestFit="1" customWidth="1"/>
    <col min="4611" max="4612" width="18" style="928" bestFit="1" customWidth="1"/>
    <col min="4613" max="4613" width="12.6640625" style="928" customWidth="1"/>
    <col min="4614" max="4614" width="18.1640625" style="928" bestFit="1" customWidth="1"/>
    <col min="4615" max="4615" width="9.33203125" style="928"/>
    <col min="4616" max="4616" width="11.5" style="928" bestFit="1" customWidth="1"/>
    <col min="4617" max="4861" width="9.33203125" style="928"/>
    <col min="4862" max="4862" width="14.83203125" style="928" customWidth="1"/>
    <col min="4863" max="4863" width="20.33203125" style="928" customWidth="1"/>
    <col min="4864" max="4864" width="18.6640625" style="928" bestFit="1" customWidth="1"/>
    <col min="4865" max="4865" width="16.33203125" style="928" customWidth="1"/>
    <col min="4866" max="4866" width="22.6640625" style="928" bestFit="1" customWidth="1"/>
    <col min="4867" max="4868" width="18" style="928" bestFit="1" customWidth="1"/>
    <col min="4869" max="4869" width="12.6640625" style="928" customWidth="1"/>
    <col min="4870" max="4870" width="18.1640625" style="928" bestFit="1" customWidth="1"/>
    <col min="4871" max="4871" width="9.33203125" style="928"/>
    <col min="4872" max="4872" width="11.5" style="928" bestFit="1" customWidth="1"/>
    <col min="4873" max="5117" width="9.33203125" style="928"/>
    <col min="5118" max="5118" width="14.83203125" style="928" customWidth="1"/>
    <col min="5119" max="5119" width="20.33203125" style="928" customWidth="1"/>
    <col min="5120" max="5120" width="18.6640625" style="928" bestFit="1" customWidth="1"/>
    <col min="5121" max="5121" width="16.33203125" style="928" customWidth="1"/>
    <col min="5122" max="5122" width="22.6640625" style="928" bestFit="1" customWidth="1"/>
    <col min="5123" max="5124" width="18" style="928" bestFit="1" customWidth="1"/>
    <col min="5125" max="5125" width="12.6640625" style="928" customWidth="1"/>
    <col min="5126" max="5126" width="18.1640625" style="928" bestFit="1" customWidth="1"/>
    <col min="5127" max="5127" width="9.33203125" style="928"/>
    <col min="5128" max="5128" width="11.5" style="928" bestFit="1" customWidth="1"/>
    <col min="5129" max="5373" width="9.33203125" style="928"/>
    <col min="5374" max="5374" width="14.83203125" style="928" customWidth="1"/>
    <col min="5375" max="5375" width="20.33203125" style="928" customWidth="1"/>
    <col min="5376" max="5376" width="18.6640625" style="928" bestFit="1" customWidth="1"/>
    <col min="5377" max="5377" width="16.33203125" style="928" customWidth="1"/>
    <col min="5378" max="5378" width="22.6640625" style="928" bestFit="1" customWidth="1"/>
    <col min="5379" max="5380" width="18" style="928" bestFit="1" customWidth="1"/>
    <col min="5381" max="5381" width="12.6640625" style="928" customWidth="1"/>
    <col min="5382" max="5382" width="18.1640625" style="928" bestFit="1" customWidth="1"/>
    <col min="5383" max="5383" width="9.33203125" style="928"/>
    <col min="5384" max="5384" width="11.5" style="928" bestFit="1" customWidth="1"/>
    <col min="5385" max="5629" width="9.33203125" style="928"/>
    <col min="5630" max="5630" width="14.83203125" style="928" customWidth="1"/>
    <col min="5631" max="5631" width="20.33203125" style="928" customWidth="1"/>
    <col min="5632" max="5632" width="18.6640625" style="928" bestFit="1" customWidth="1"/>
    <col min="5633" max="5633" width="16.33203125" style="928" customWidth="1"/>
    <col min="5634" max="5634" width="22.6640625" style="928" bestFit="1" customWidth="1"/>
    <col min="5635" max="5636" width="18" style="928" bestFit="1" customWidth="1"/>
    <col min="5637" max="5637" width="12.6640625" style="928" customWidth="1"/>
    <col min="5638" max="5638" width="18.1640625" style="928" bestFit="1" customWidth="1"/>
    <col min="5639" max="5639" width="9.33203125" style="928"/>
    <col min="5640" max="5640" width="11.5" style="928" bestFit="1" customWidth="1"/>
    <col min="5641" max="5885" width="9.33203125" style="928"/>
    <col min="5886" max="5886" width="14.83203125" style="928" customWidth="1"/>
    <col min="5887" max="5887" width="20.33203125" style="928" customWidth="1"/>
    <col min="5888" max="5888" width="18.6640625" style="928" bestFit="1" customWidth="1"/>
    <col min="5889" max="5889" width="16.33203125" style="928" customWidth="1"/>
    <col min="5890" max="5890" width="22.6640625" style="928" bestFit="1" customWidth="1"/>
    <col min="5891" max="5892" width="18" style="928" bestFit="1" customWidth="1"/>
    <col min="5893" max="5893" width="12.6640625" style="928" customWidth="1"/>
    <col min="5894" max="5894" width="18.1640625" style="928" bestFit="1" customWidth="1"/>
    <col min="5895" max="5895" width="9.33203125" style="928"/>
    <col min="5896" max="5896" width="11.5" style="928" bestFit="1" customWidth="1"/>
    <col min="5897" max="6141" width="9.33203125" style="928"/>
    <col min="6142" max="6142" width="14.83203125" style="928" customWidth="1"/>
    <col min="6143" max="6143" width="20.33203125" style="928" customWidth="1"/>
    <col min="6144" max="6144" width="18.6640625" style="928" bestFit="1" customWidth="1"/>
    <col min="6145" max="6145" width="16.33203125" style="928" customWidth="1"/>
    <col min="6146" max="6146" width="22.6640625" style="928" bestFit="1" customWidth="1"/>
    <col min="6147" max="6148" width="18" style="928" bestFit="1" customWidth="1"/>
    <col min="6149" max="6149" width="12.6640625" style="928" customWidth="1"/>
    <col min="6150" max="6150" width="18.1640625" style="928" bestFit="1" customWidth="1"/>
    <col min="6151" max="6151" width="9.33203125" style="928"/>
    <col min="6152" max="6152" width="11.5" style="928" bestFit="1" customWidth="1"/>
    <col min="6153" max="6397" width="9.33203125" style="928"/>
    <col min="6398" max="6398" width="14.83203125" style="928" customWidth="1"/>
    <col min="6399" max="6399" width="20.33203125" style="928" customWidth="1"/>
    <col min="6400" max="6400" width="18.6640625" style="928" bestFit="1" customWidth="1"/>
    <col min="6401" max="6401" width="16.33203125" style="928" customWidth="1"/>
    <col min="6402" max="6402" width="22.6640625" style="928" bestFit="1" customWidth="1"/>
    <col min="6403" max="6404" width="18" style="928" bestFit="1" customWidth="1"/>
    <col min="6405" max="6405" width="12.6640625" style="928" customWidth="1"/>
    <col min="6406" max="6406" width="18.1640625" style="928" bestFit="1" customWidth="1"/>
    <col min="6407" max="6407" width="9.33203125" style="928"/>
    <col min="6408" max="6408" width="11.5" style="928" bestFit="1" customWidth="1"/>
    <col min="6409" max="6653" width="9.33203125" style="928"/>
    <col min="6654" max="6654" width="14.83203125" style="928" customWidth="1"/>
    <col min="6655" max="6655" width="20.33203125" style="928" customWidth="1"/>
    <col min="6656" max="6656" width="18.6640625" style="928" bestFit="1" customWidth="1"/>
    <col min="6657" max="6657" width="16.33203125" style="928" customWidth="1"/>
    <col min="6658" max="6658" width="22.6640625" style="928" bestFit="1" customWidth="1"/>
    <col min="6659" max="6660" width="18" style="928" bestFit="1" customWidth="1"/>
    <col min="6661" max="6661" width="12.6640625" style="928" customWidth="1"/>
    <col min="6662" max="6662" width="18.1640625" style="928" bestFit="1" customWidth="1"/>
    <col min="6663" max="6663" width="9.33203125" style="928"/>
    <col min="6664" max="6664" width="11.5" style="928" bestFit="1" customWidth="1"/>
    <col min="6665" max="6909" width="9.33203125" style="928"/>
    <col min="6910" max="6910" width="14.83203125" style="928" customWidth="1"/>
    <col min="6911" max="6911" width="20.33203125" style="928" customWidth="1"/>
    <col min="6912" max="6912" width="18.6640625" style="928" bestFit="1" customWidth="1"/>
    <col min="6913" max="6913" width="16.33203125" style="928" customWidth="1"/>
    <col min="6914" max="6914" width="22.6640625" style="928" bestFit="1" customWidth="1"/>
    <col min="6915" max="6916" width="18" style="928" bestFit="1" customWidth="1"/>
    <col min="6917" max="6917" width="12.6640625" style="928" customWidth="1"/>
    <col min="6918" max="6918" width="18.1640625" style="928" bestFit="1" customWidth="1"/>
    <col min="6919" max="6919" width="9.33203125" style="928"/>
    <col min="6920" max="6920" width="11.5" style="928" bestFit="1" customWidth="1"/>
    <col min="6921" max="7165" width="9.33203125" style="928"/>
    <col min="7166" max="7166" width="14.83203125" style="928" customWidth="1"/>
    <col min="7167" max="7167" width="20.33203125" style="928" customWidth="1"/>
    <col min="7168" max="7168" width="18.6640625" style="928" bestFit="1" customWidth="1"/>
    <col min="7169" max="7169" width="16.33203125" style="928" customWidth="1"/>
    <col min="7170" max="7170" width="22.6640625" style="928" bestFit="1" customWidth="1"/>
    <col min="7171" max="7172" width="18" style="928" bestFit="1" customWidth="1"/>
    <col min="7173" max="7173" width="12.6640625" style="928" customWidth="1"/>
    <col min="7174" max="7174" width="18.1640625" style="928" bestFit="1" customWidth="1"/>
    <col min="7175" max="7175" width="9.33203125" style="928"/>
    <col min="7176" max="7176" width="11.5" style="928" bestFit="1" customWidth="1"/>
    <col min="7177" max="7421" width="9.33203125" style="928"/>
    <col min="7422" max="7422" width="14.83203125" style="928" customWidth="1"/>
    <col min="7423" max="7423" width="20.33203125" style="928" customWidth="1"/>
    <col min="7424" max="7424" width="18.6640625" style="928" bestFit="1" customWidth="1"/>
    <col min="7425" max="7425" width="16.33203125" style="928" customWidth="1"/>
    <col min="7426" max="7426" width="22.6640625" style="928" bestFit="1" customWidth="1"/>
    <col min="7427" max="7428" width="18" style="928" bestFit="1" customWidth="1"/>
    <col min="7429" max="7429" width="12.6640625" style="928" customWidth="1"/>
    <col min="7430" max="7430" width="18.1640625" style="928" bestFit="1" customWidth="1"/>
    <col min="7431" max="7431" width="9.33203125" style="928"/>
    <col min="7432" max="7432" width="11.5" style="928" bestFit="1" customWidth="1"/>
    <col min="7433" max="7677" width="9.33203125" style="928"/>
    <col min="7678" max="7678" width="14.83203125" style="928" customWidth="1"/>
    <col min="7679" max="7679" width="20.33203125" style="928" customWidth="1"/>
    <col min="7680" max="7680" width="18.6640625" style="928" bestFit="1" customWidth="1"/>
    <col min="7681" max="7681" width="16.33203125" style="928" customWidth="1"/>
    <col min="7682" max="7682" width="22.6640625" style="928" bestFit="1" customWidth="1"/>
    <col min="7683" max="7684" width="18" style="928" bestFit="1" customWidth="1"/>
    <col min="7685" max="7685" width="12.6640625" style="928" customWidth="1"/>
    <col min="7686" max="7686" width="18.1640625" style="928" bestFit="1" customWidth="1"/>
    <col min="7687" max="7687" width="9.33203125" style="928"/>
    <col min="7688" max="7688" width="11.5" style="928" bestFit="1" customWidth="1"/>
    <col min="7689" max="7933" width="9.33203125" style="928"/>
    <col min="7934" max="7934" width="14.83203125" style="928" customWidth="1"/>
    <col min="7935" max="7935" width="20.33203125" style="928" customWidth="1"/>
    <col min="7936" max="7936" width="18.6640625" style="928" bestFit="1" customWidth="1"/>
    <col min="7937" max="7937" width="16.33203125" style="928" customWidth="1"/>
    <col min="7938" max="7938" width="22.6640625" style="928" bestFit="1" customWidth="1"/>
    <col min="7939" max="7940" width="18" style="928" bestFit="1" customWidth="1"/>
    <col min="7941" max="7941" width="12.6640625" style="928" customWidth="1"/>
    <col min="7942" max="7942" width="18.1640625" style="928" bestFit="1" customWidth="1"/>
    <col min="7943" max="7943" width="9.33203125" style="928"/>
    <col min="7944" max="7944" width="11.5" style="928" bestFit="1" customWidth="1"/>
    <col min="7945" max="8189" width="9.33203125" style="928"/>
    <col min="8190" max="8190" width="14.83203125" style="928" customWidth="1"/>
    <col min="8191" max="8191" width="20.33203125" style="928" customWidth="1"/>
    <col min="8192" max="8192" width="18.6640625" style="928" bestFit="1" customWidth="1"/>
    <col min="8193" max="8193" width="16.33203125" style="928" customWidth="1"/>
    <col min="8194" max="8194" width="22.6640625" style="928" bestFit="1" customWidth="1"/>
    <col min="8195" max="8196" width="18" style="928" bestFit="1" customWidth="1"/>
    <col min="8197" max="8197" width="12.6640625" style="928" customWidth="1"/>
    <col min="8198" max="8198" width="18.1640625" style="928" bestFit="1" customWidth="1"/>
    <col min="8199" max="8199" width="9.33203125" style="928"/>
    <col min="8200" max="8200" width="11.5" style="928" bestFit="1" customWidth="1"/>
    <col min="8201" max="8445" width="9.33203125" style="928"/>
    <col min="8446" max="8446" width="14.83203125" style="928" customWidth="1"/>
    <col min="8447" max="8447" width="20.33203125" style="928" customWidth="1"/>
    <col min="8448" max="8448" width="18.6640625" style="928" bestFit="1" customWidth="1"/>
    <col min="8449" max="8449" width="16.33203125" style="928" customWidth="1"/>
    <col min="8450" max="8450" width="22.6640625" style="928" bestFit="1" customWidth="1"/>
    <col min="8451" max="8452" width="18" style="928" bestFit="1" customWidth="1"/>
    <col min="8453" max="8453" width="12.6640625" style="928" customWidth="1"/>
    <col min="8454" max="8454" width="18.1640625" style="928" bestFit="1" customWidth="1"/>
    <col min="8455" max="8455" width="9.33203125" style="928"/>
    <col min="8456" max="8456" width="11.5" style="928" bestFit="1" customWidth="1"/>
    <col min="8457" max="8701" width="9.33203125" style="928"/>
    <col min="8702" max="8702" width="14.83203125" style="928" customWidth="1"/>
    <col min="8703" max="8703" width="20.33203125" style="928" customWidth="1"/>
    <col min="8704" max="8704" width="18.6640625" style="928" bestFit="1" customWidth="1"/>
    <col min="8705" max="8705" width="16.33203125" style="928" customWidth="1"/>
    <col min="8706" max="8706" width="22.6640625" style="928" bestFit="1" customWidth="1"/>
    <col min="8707" max="8708" width="18" style="928" bestFit="1" customWidth="1"/>
    <col min="8709" max="8709" width="12.6640625" style="928" customWidth="1"/>
    <col min="8710" max="8710" width="18.1640625" style="928" bestFit="1" customWidth="1"/>
    <col min="8711" max="8711" width="9.33203125" style="928"/>
    <col min="8712" max="8712" width="11.5" style="928" bestFit="1" customWidth="1"/>
    <col min="8713" max="8957" width="9.33203125" style="928"/>
    <col min="8958" max="8958" width="14.83203125" style="928" customWidth="1"/>
    <col min="8959" max="8959" width="20.33203125" style="928" customWidth="1"/>
    <col min="8960" max="8960" width="18.6640625" style="928" bestFit="1" customWidth="1"/>
    <col min="8961" max="8961" width="16.33203125" style="928" customWidth="1"/>
    <col min="8962" max="8962" width="22.6640625" style="928" bestFit="1" customWidth="1"/>
    <col min="8963" max="8964" width="18" style="928" bestFit="1" customWidth="1"/>
    <col min="8965" max="8965" width="12.6640625" style="928" customWidth="1"/>
    <col min="8966" max="8966" width="18.1640625" style="928" bestFit="1" customWidth="1"/>
    <col min="8967" max="8967" width="9.33203125" style="928"/>
    <col min="8968" max="8968" width="11.5" style="928" bestFit="1" customWidth="1"/>
    <col min="8969" max="9213" width="9.33203125" style="928"/>
    <col min="9214" max="9214" width="14.83203125" style="928" customWidth="1"/>
    <col min="9215" max="9215" width="20.33203125" style="928" customWidth="1"/>
    <col min="9216" max="9216" width="18.6640625" style="928" bestFit="1" customWidth="1"/>
    <col min="9217" max="9217" width="16.33203125" style="928" customWidth="1"/>
    <col min="9218" max="9218" width="22.6640625" style="928" bestFit="1" customWidth="1"/>
    <col min="9219" max="9220" width="18" style="928" bestFit="1" customWidth="1"/>
    <col min="9221" max="9221" width="12.6640625" style="928" customWidth="1"/>
    <col min="9222" max="9222" width="18.1640625" style="928" bestFit="1" customWidth="1"/>
    <col min="9223" max="9223" width="9.33203125" style="928"/>
    <col min="9224" max="9224" width="11.5" style="928" bestFit="1" customWidth="1"/>
    <col min="9225" max="9469" width="9.33203125" style="928"/>
    <col min="9470" max="9470" width="14.83203125" style="928" customWidth="1"/>
    <col min="9471" max="9471" width="20.33203125" style="928" customWidth="1"/>
    <col min="9472" max="9472" width="18.6640625" style="928" bestFit="1" customWidth="1"/>
    <col min="9473" max="9473" width="16.33203125" style="928" customWidth="1"/>
    <col min="9474" max="9474" width="22.6640625" style="928" bestFit="1" customWidth="1"/>
    <col min="9475" max="9476" width="18" style="928" bestFit="1" customWidth="1"/>
    <col min="9477" max="9477" width="12.6640625" style="928" customWidth="1"/>
    <col min="9478" max="9478" width="18.1640625" style="928" bestFit="1" customWidth="1"/>
    <col min="9479" max="9479" width="9.33203125" style="928"/>
    <col min="9480" max="9480" width="11.5" style="928" bestFit="1" customWidth="1"/>
    <col min="9481" max="9725" width="9.33203125" style="928"/>
    <col min="9726" max="9726" width="14.83203125" style="928" customWidth="1"/>
    <col min="9727" max="9727" width="20.33203125" style="928" customWidth="1"/>
    <col min="9728" max="9728" width="18.6640625" style="928" bestFit="1" customWidth="1"/>
    <col min="9729" max="9729" width="16.33203125" style="928" customWidth="1"/>
    <col min="9730" max="9730" width="22.6640625" style="928" bestFit="1" customWidth="1"/>
    <col min="9731" max="9732" width="18" style="928" bestFit="1" customWidth="1"/>
    <col min="9733" max="9733" width="12.6640625" style="928" customWidth="1"/>
    <col min="9734" max="9734" width="18.1640625" style="928" bestFit="1" customWidth="1"/>
    <col min="9735" max="9735" width="9.33203125" style="928"/>
    <col min="9736" max="9736" width="11.5" style="928" bestFit="1" customWidth="1"/>
    <col min="9737" max="9981" width="9.33203125" style="928"/>
    <col min="9982" max="9982" width="14.83203125" style="928" customWidth="1"/>
    <col min="9983" max="9983" width="20.33203125" style="928" customWidth="1"/>
    <col min="9984" max="9984" width="18.6640625" style="928" bestFit="1" customWidth="1"/>
    <col min="9985" max="9985" width="16.33203125" style="928" customWidth="1"/>
    <col min="9986" max="9986" width="22.6640625" style="928" bestFit="1" customWidth="1"/>
    <col min="9987" max="9988" width="18" style="928" bestFit="1" customWidth="1"/>
    <col min="9989" max="9989" width="12.6640625" style="928" customWidth="1"/>
    <col min="9990" max="9990" width="18.1640625" style="928" bestFit="1" customWidth="1"/>
    <col min="9991" max="9991" width="9.33203125" style="928"/>
    <col min="9992" max="9992" width="11.5" style="928" bestFit="1" customWidth="1"/>
    <col min="9993" max="10237" width="9.33203125" style="928"/>
    <col min="10238" max="10238" width="14.83203125" style="928" customWidth="1"/>
    <col min="10239" max="10239" width="20.33203125" style="928" customWidth="1"/>
    <col min="10240" max="10240" width="18.6640625" style="928" bestFit="1" customWidth="1"/>
    <col min="10241" max="10241" width="16.33203125" style="928" customWidth="1"/>
    <col min="10242" max="10242" width="22.6640625" style="928" bestFit="1" customWidth="1"/>
    <col min="10243" max="10244" width="18" style="928" bestFit="1" customWidth="1"/>
    <col min="10245" max="10245" width="12.6640625" style="928" customWidth="1"/>
    <col min="10246" max="10246" width="18.1640625" style="928" bestFit="1" customWidth="1"/>
    <col min="10247" max="10247" width="9.33203125" style="928"/>
    <col min="10248" max="10248" width="11.5" style="928" bestFit="1" customWidth="1"/>
    <col min="10249" max="10493" width="9.33203125" style="928"/>
    <col min="10494" max="10494" width="14.83203125" style="928" customWidth="1"/>
    <col min="10495" max="10495" width="20.33203125" style="928" customWidth="1"/>
    <col min="10496" max="10496" width="18.6640625" style="928" bestFit="1" customWidth="1"/>
    <col min="10497" max="10497" width="16.33203125" style="928" customWidth="1"/>
    <col min="10498" max="10498" width="22.6640625" style="928" bestFit="1" customWidth="1"/>
    <col min="10499" max="10500" width="18" style="928" bestFit="1" customWidth="1"/>
    <col min="10501" max="10501" width="12.6640625" style="928" customWidth="1"/>
    <col min="10502" max="10502" width="18.1640625" style="928" bestFit="1" customWidth="1"/>
    <col min="10503" max="10503" width="9.33203125" style="928"/>
    <col min="10504" max="10504" width="11.5" style="928" bestFit="1" customWidth="1"/>
    <col min="10505" max="10749" width="9.33203125" style="928"/>
    <col min="10750" max="10750" width="14.83203125" style="928" customWidth="1"/>
    <col min="10751" max="10751" width="20.33203125" style="928" customWidth="1"/>
    <col min="10752" max="10752" width="18.6640625" style="928" bestFit="1" customWidth="1"/>
    <col min="10753" max="10753" width="16.33203125" style="928" customWidth="1"/>
    <col min="10754" max="10754" width="22.6640625" style="928" bestFit="1" customWidth="1"/>
    <col min="10755" max="10756" width="18" style="928" bestFit="1" customWidth="1"/>
    <col min="10757" max="10757" width="12.6640625" style="928" customWidth="1"/>
    <col min="10758" max="10758" width="18.1640625" style="928" bestFit="1" customWidth="1"/>
    <col min="10759" max="10759" width="9.33203125" style="928"/>
    <col min="10760" max="10760" width="11.5" style="928" bestFit="1" customWidth="1"/>
    <col min="10761" max="11005" width="9.33203125" style="928"/>
    <col min="11006" max="11006" width="14.83203125" style="928" customWidth="1"/>
    <col min="11007" max="11007" width="20.33203125" style="928" customWidth="1"/>
    <col min="11008" max="11008" width="18.6640625" style="928" bestFit="1" customWidth="1"/>
    <col min="11009" max="11009" width="16.33203125" style="928" customWidth="1"/>
    <col min="11010" max="11010" width="22.6640625" style="928" bestFit="1" customWidth="1"/>
    <col min="11011" max="11012" width="18" style="928" bestFit="1" customWidth="1"/>
    <col min="11013" max="11013" width="12.6640625" style="928" customWidth="1"/>
    <col min="11014" max="11014" width="18.1640625" style="928" bestFit="1" customWidth="1"/>
    <col min="11015" max="11015" width="9.33203125" style="928"/>
    <col min="11016" max="11016" width="11.5" style="928" bestFit="1" customWidth="1"/>
    <col min="11017" max="11261" width="9.33203125" style="928"/>
    <col min="11262" max="11262" width="14.83203125" style="928" customWidth="1"/>
    <col min="11263" max="11263" width="20.33203125" style="928" customWidth="1"/>
    <col min="11264" max="11264" width="18.6640625" style="928" bestFit="1" customWidth="1"/>
    <col min="11265" max="11265" width="16.33203125" style="928" customWidth="1"/>
    <col min="11266" max="11266" width="22.6640625" style="928" bestFit="1" customWidth="1"/>
    <col min="11267" max="11268" width="18" style="928" bestFit="1" customWidth="1"/>
    <col min="11269" max="11269" width="12.6640625" style="928" customWidth="1"/>
    <col min="11270" max="11270" width="18.1640625" style="928" bestFit="1" customWidth="1"/>
    <col min="11271" max="11271" width="9.33203125" style="928"/>
    <col min="11272" max="11272" width="11.5" style="928" bestFit="1" customWidth="1"/>
    <col min="11273" max="11517" width="9.33203125" style="928"/>
    <col min="11518" max="11518" width="14.83203125" style="928" customWidth="1"/>
    <col min="11519" max="11519" width="20.33203125" style="928" customWidth="1"/>
    <col min="11520" max="11520" width="18.6640625" style="928" bestFit="1" customWidth="1"/>
    <col min="11521" max="11521" width="16.33203125" style="928" customWidth="1"/>
    <col min="11522" max="11522" width="22.6640625" style="928" bestFit="1" customWidth="1"/>
    <col min="11523" max="11524" width="18" style="928" bestFit="1" customWidth="1"/>
    <col min="11525" max="11525" width="12.6640625" style="928" customWidth="1"/>
    <col min="11526" max="11526" width="18.1640625" style="928" bestFit="1" customWidth="1"/>
    <col min="11527" max="11527" width="9.33203125" style="928"/>
    <col min="11528" max="11528" width="11.5" style="928" bestFit="1" customWidth="1"/>
    <col min="11529" max="11773" width="9.33203125" style="928"/>
    <col min="11774" max="11774" width="14.83203125" style="928" customWidth="1"/>
    <col min="11775" max="11775" width="20.33203125" style="928" customWidth="1"/>
    <col min="11776" max="11776" width="18.6640625" style="928" bestFit="1" customWidth="1"/>
    <col min="11777" max="11777" width="16.33203125" style="928" customWidth="1"/>
    <col min="11778" max="11778" width="22.6640625" style="928" bestFit="1" customWidth="1"/>
    <col min="11779" max="11780" width="18" style="928" bestFit="1" customWidth="1"/>
    <col min="11781" max="11781" width="12.6640625" style="928" customWidth="1"/>
    <col min="11782" max="11782" width="18.1640625" style="928" bestFit="1" customWidth="1"/>
    <col min="11783" max="11783" width="9.33203125" style="928"/>
    <col min="11784" max="11784" width="11.5" style="928" bestFit="1" customWidth="1"/>
    <col min="11785" max="12029" width="9.33203125" style="928"/>
    <col min="12030" max="12030" width="14.83203125" style="928" customWidth="1"/>
    <col min="12031" max="12031" width="20.33203125" style="928" customWidth="1"/>
    <col min="12032" max="12032" width="18.6640625" style="928" bestFit="1" customWidth="1"/>
    <col min="12033" max="12033" width="16.33203125" style="928" customWidth="1"/>
    <col min="12034" max="12034" width="22.6640625" style="928" bestFit="1" customWidth="1"/>
    <col min="12035" max="12036" width="18" style="928" bestFit="1" customWidth="1"/>
    <col min="12037" max="12037" width="12.6640625" style="928" customWidth="1"/>
    <col min="12038" max="12038" width="18.1640625" style="928" bestFit="1" customWidth="1"/>
    <col min="12039" max="12039" width="9.33203125" style="928"/>
    <col min="12040" max="12040" width="11.5" style="928" bestFit="1" customWidth="1"/>
    <col min="12041" max="12285" width="9.33203125" style="928"/>
    <col min="12286" max="12286" width="14.83203125" style="928" customWidth="1"/>
    <col min="12287" max="12287" width="20.33203125" style="928" customWidth="1"/>
    <col min="12288" max="12288" width="18.6640625" style="928" bestFit="1" customWidth="1"/>
    <col min="12289" max="12289" width="16.33203125" style="928" customWidth="1"/>
    <col min="12290" max="12290" width="22.6640625" style="928" bestFit="1" customWidth="1"/>
    <col min="12291" max="12292" width="18" style="928" bestFit="1" customWidth="1"/>
    <col min="12293" max="12293" width="12.6640625" style="928" customWidth="1"/>
    <col min="12294" max="12294" width="18.1640625" style="928" bestFit="1" customWidth="1"/>
    <col min="12295" max="12295" width="9.33203125" style="928"/>
    <col min="12296" max="12296" width="11.5" style="928" bestFit="1" customWidth="1"/>
    <col min="12297" max="12541" width="9.33203125" style="928"/>
    <col min="12542" max="12542" width="14.83203125" style="928" customWidth="1"/>
    <col min="12543" max="12543" width="20.33203125" style="928" customWidth="1"/>
    <col min="12544" max="12544" width="18.6640625" style="928" bestFit="1" customWidth="1"/>
    <col min="12545" max="12545" width="16.33203125" style="928" customWidth="1"/>
    <col min="12546" max="12546" width="22.6640625" style="928" bestFit="1" customWidth="1"/>
    <col min="12547" max="12548" width="18" style="928" bestFit="1" customWidth="1"/>
    <col min="12549" max="12549" width="12.6640625" style="928" customWidth="1"/>
    <col min="12550" max="12550" width="18.1640625" style="928" bestFit="1" customWidth="1"/>
    <col min="12551" max="12551" width="9.33203125" style="928"/>
    <col min="12552" max="12552" width="11.5" style="928" bestFit="1" customWidth="1"/>
    <col min="12553" max="12797" width="9.33203125" style="928"/>
    <col min="12798" max="12798" width="14.83203125" style="928" customWidth="1"/>
    <col min="12799" max="12799" width="20.33203125" style="928" customWidth="1"/>
    <col min="12800" max="12800" width="18.6640625" style="928" bestFit="1" customWidth="1"/>
    <col min="12801" max="12801" width="16.33203125" style="928" customWidth="1"/>
    <col min="12802" max="12802" width="22.6640625" style="928" bestFit="1" customWidth="1"/>
    <col min="12803" max="12804" width="18" style="928" bestFit="1" customWidth="1"/>
    <col min="12805" max="12805" width="12.6640625" style="928" customWidth="1"/>
    <col min="12806" max="12806" width="18.1640625" style="928" bestFit="1" customWidth="1"/>
    <col min="12807" max="12807" width="9.33203125" style="928"/>
    <col min="12808" max="12808" width="11.5" style="928" bestFit="1" customWidth="1"/>
    <col min="12809" max="13053" width="9.33203125" style="928"/>
    <col min="13054" max="13054" width="14.83203125" style="928" customWidth="1"/>
    <col min="13055" max="13055" width="20.33203125" style="928" customWidth="1"/>
    <col min="13056" max="13056" width="18.6640625" style="928" bestFit="1" customWidth="1"/>
    <col min="13057" max="13057" width="16.33203125" style="928" customWidth="1"/>
    <col min="13058" max="13058" width="22.6640625" style="928" bestFit="1" customWidth="1"/>
    <col min="13059" max="13060" width="18" style="928" bestFit="1" customWidth="1"/>
    <col min="13061" max="13061" width="12.6640625" style="928" customWidth="1"/>
    <col min="13062" max="13062" width="18.1640625" style="928" bestFit="1" customWidth="1"/>
    <col min="13063" max="13063" width="9.33203125" style="928"/>
    <col min="13064" max="13064" width="11.5" style="928" bestFit="1" customWidth="1"/>
    <col min="13065" max="13309" width="9.33203125" style="928"/>
    <col min="13310" max="13310" width="14.83203125" style="928" customWidth="1"/>
    <col min="13311" max="13311" width="20.33203125" style="928" customWidth="1"/>
    <col min="13312" max="13312" width="18.6640625" style="928" bestFit="1" customWidth="1"/>
    <col min="13313" max="13313" width="16.33203125" style="928" customWidth="1"/>
    <col min="13314" max="13314" width="22.6640625" style="928" bestFit="1" customWidth="1"/>
    <col min="13315" max="13316" width="18" style="928" bestFit="1" customWidth="1"/>
    <col min="13317" max="13317" width="12.6640625" style="928" customWidth="1"/>
    <col min="13318" max="13318" width="18.1640625" style="928" bestFit="1" customWidth="1"/>
    <col min="13319" max="13319" width="9.33203125" style="928"/>
    <col min="13320" max="13320" width="11.5" style="928" bestFit="1" customWidth="1"/>
    <col min="13321" max="13565" width="9.33203125" style="928"/>
    <col min="13566" max="13566" width="14.83203125" style="928" customWidth="1"/>
    <col min="13567" max="13567" width="20.33203125" style="928" customWidth="1"/>
    <col min="13568" max="13568" width="18.6640625" style="928" bestFit="1" customWidth="1"/>
    <col min="13569" max="13569" width="16.33203125" style="928" customWidth="1"/>
    <col min="13570" max="13570" width="22.6640625" style="928" bestFit="1" customWidth="1"/>
    <col min="13571" max="13572" width="18" style="928" bestFit="1" customWidth="1"/>
    <col min="13573" max="13573" width="12.6640625" style="928" customWidth="1"/>
    <col min="13574" max="13574" width="18.1640625" style="928" bestFit="1" customWidth="1"/>
    <col min="13575" max="13575" width="9.33203125" style="928"/>
    <col min="13576" max="13576" width="11.5" style="928" bestFit="1" customWidth="1"/>
    <col min="13577" max="13821" width="9.33203125" style="928"/>
    <col min="13822" max="13822" width="14.83203125" style="928" customWidth="1"/>
    <col min="13823" max="13823" width="20.33203125" style="928" customWidth="1"/>
    <col min="13824" max="13824" width="18.6640625" style="928" bestFit="1" customWidth="1"/>
    <col min="13825" max="13825" width="16.33203125" style="928" customWidth="1"/>
    <col min="13826" max="13826" width="22.6640625" style="928" bestFit="1" customWidth="1"/>
    <col min="13827" max="13828" width="18" style="928" bestFit="1" customWidth="1"/>
    <col min="13829" max="13829" width="12.6640625" style="928" customWidth="1"/>
    <col min="13830" max="13830" width="18.1640625" style="928" bestFit="1" customWidth="1"/>
    <col min="13831" max="13831" width="9.33203125" style="928"/>
    <col min="13832" max="13832" width="11.5" style="928" bestFit="1" customWidth="1"/>
    <col min="13833" max="14077" width="9.33203125" style="928"/>
    <col min="14078" max="14078" width="14.83203125" style="928" customWidth="1"/>
    <col min="14079" max="14079" width="20.33203125" style="928" customWidth="1"/>
    <col min="14080" max="14080" width="18.6640625" style="928" bestFit="1" customWidth="1"/>
    <col min="14081" max="14081" width="16.33203125" style="928" customWidth="1"/>
    <col min="14082" max="14082" width="22.6640625" style="928" bestFit="1" customWidth="1"/>
    <col min="14083" max="14084" width="18" style="928" bestFit="1" customWidth="1"/>
    <col min="14085" max="14085" width="12.6640625" style="928" customWidth="1"/>
    <col min="14086" max="14086" width="18.1640625" style="928" bestFit="1" customWidth="1"/>
    <col min="14087" max="14087" width="9.33203125" style="928"/>
    <col min="14088" max="14088" width="11.5" style="928" bestFit="1" customWidth="1"/>
    <col min="14089" max="14333" width="9.33203125" style="928"/>
    <col min="14334" max="14334" width="14.83203125" style="928" customWidth="1"/>
    <col min="14335" max="14335" width="20.33203125" style="928" customWidth="1"/>
    <col min="14336" max="14336" width="18.6640625" style="928" bestFit="1" customWidth="1"/>
    <col min="14337" max="14337" width="16.33203125" style="928" customWidth="1"/>
    <col min="14338" max="14338" width="22.6640625" style="928" bestFit="1" customWidth="1"/>
    <col min="14339" max="14340" width="18" style="928" bestFit="1" customWidth="1"/>
    <col min="14341" max="14341" width="12.6640625" style="928" customWidth="1"/>
    <col min="14342" max="14342" width="18.1640625" style="928" bestFit="1" customWidth="1"/>
    <col min="14343" max="14343" width="9.33203125" style="928"/>
    <col min="14344" max="14344" width="11.5" style="928" bestFit="1" customWidth="1"/>
    <col min="14345" max="14589" width="9.33203125" style="928"/>
    <col min="14590" max="14590" width="14.83203125" style="928" customWidth="1"/>
    <col min="14591" max="14591" width="20.33203125" style="928" customWidth="1"/>
    <col min="14592" max="14592" width="18.6640625" style="928" bestFit="1" customWidth="1"/>
    <col min="14593" max="14593" width="16.33203125" style="928" customWidth="1"/>
    <col min="14594" max="14594" width="22.6640625" style="928" bestFit="1" customWidth="1"/>
    <col min="14595" max="14596" width="18" style="928" bestFit="1" customWidth="1"/>
    <col min="14597" max="14597" width="12.6640625" style="928" customWidth="1"/>
    <col min="14598" max="14598" width="18.1640625" style="928" bestFit="1" customWidth="1"/>
    <col min="14599" max="14599" width="9.33203125" style="928"/>
    <col min="14600" max="14600" width="11.5" style="928" bestFit="1" customWidth="1"/>
    <col min="14601" max="14845" width="9.33203125" style="928"/>
    <col min="14846" max="14846" width="14.83203125" style="928" customWidth="1"/>
    <col min="14847" max="14847" width="20.33203125" style="928" customWidth="1"/>
    <col min="14848" max="14848" width="18.6640625" style="928" bestFit="1" customWidth="1"/>
    <col min="14849" max="14849" width="16.33203125" style="928" customWidth="1"/>
    <col min="14850" max="14850" width="22.6640625" style="928" bestFit="1" customWidth="1"/>
    <col min="14851" max="14852" width="18" style="928" bestFit="1" customWidth="1"/>
    <col min="14853" max="14853" width="12.6640625" style="928" customWidth="1"/>
    <col min="14854" max="14854" width="18.1640625" style="928" bestFit="1" customWidth="1"/>
    <col min="14855" max="14855" width="9.33203125" style="928"/>
    <col min="14856" max="14856" width="11.5" style="928" bestFit="1" customWidth="1"/>
    <col min="14857" max="15101" width="9.33203125" style="928"/>
    <col min="15102" max="15102" width="14.83203125" style="928" customWidth="1"/>
    <col min="15103" max="15103" width="20.33203125" style="928" customWidth="1"/>
    <col min="15104" max="15104" width="18.6640625" style="928" bestFit="1" customWidth="1"/>
    <col min="15105" max="15105" width="16.33203125" style="928" customWidth="1"/>
    <col min="15106" max="15106" width="22.6640625" style="928" bestFit="1" customWidth="1"/>
    <col min="15107" max="15108" width="18" style="928" bestFit="1" customWidth="1"/>
    <col min="15109" max="15109" width="12.6640625" style="928" customWidth="1"/>
    <col min="15110" max="15110" width="18.1640625" style="928" bestFit="1" customWidth="1"/>
    <col min="15111" max="15111" width="9.33203125" style="928"/>
    <col min="15112" max="15112" width="11.5" style="928" bestFit="1" customWidth="1"/>
    <col min="15113" max="15357" width="9.33203125" style="928"/>
    <col min="15358" max="15358" width="14.83203125" style="928" customWidth="1"/>
    <col min="15359" max="15359" width="20.33203125" style="928" customWidth="1"/>
    <col min="15360" max="15360" width="18.6640625" style="928" bestFit="1" customWidth="1"/>
    <col min="15361" max="15361" width="16.33203125" style="928" customWidth="1"/>
    <col min="15362" max="15362" width="22.6640625" style="928" bestFit="1" customWidth="1"/>
    <col min="15363" max="15364" width="18" style="928" bestFit="1" customWidth="1"/>
    <col min="15365" max="15365" width="12.6640625" style="928" customWidth="1"/>
    <col min="15366" max="15366" width="18.1640625" style="928" bestFit="1" customWidth="1"/>
    <col min="15367" max="15367" width="9.33203125" style="928"/>
    <col min="15368" max="15368" width="11.5" style="928" bestFit="1" customWidth="1"/>
    <col min="15369" max="15613" width="9.33203125" style="928"/>
    <col min="15614" max="15614" width="14.83203125" style="928" customWidth="1"/>
    <col min="15615" max="15615" width="20.33203125" style="928" customWidth="1"/>
    <col min="15616" max="15616" width="18.6640625" style="928" bestFit="1" customWidth="1"/>
    <col min="15617" max="15617" width="16.33203125" style="928" customWidth="1"/>
    <col min="15618" max="15618" width="22.6640625" style="928" bestFit="1" customWidth="1"/>
    <col min="15619" max="15620" width="18" style="928" bestFit="1" customWidth="1"/>
    <col min="15621" max="15621" width="12.6640625" style="928" customWidth="1"/>
    <col min="15622" max="15622" width="18.1640625" style="928" bestFit="1" customWidth="1"/>
    <col min="15623" max="15623" width="9.33203125" style="928"/>
    <col min="15624" max="15624" width="11.5" style="928" bestFit="1" customWidth="1"/>
    <col min="15625" max="15869" width="9.33203125" style="928"/>
    <col min="15870" max="15870" width="14.83203125" style="928" customWidth="1"/>
    <col min="15871" max="15871" width="20.33203125" style="928" customWidth="1"/>
    <col min="15872" max="15872" width="18.6640625" style="928" bestFit="1" customWidth="1"/>
    <col min="15873" max="15873" width="16.33203125" style="928" customWidth="1"/>
    <col min="15874" max="15874" width="22.6640625" style="928" bestFit="1" customWidth="1"/>
    <col min="15875" max="15876" width="18" style="928" bestFit="1" customWidth="1"/>
    <col min="15877" max="15877" width="12.6640625" style="928" customWidth="1"/>
    <col min="15878" max="15878" width="18.1640625" style="928" bestFit="1" customWidth="1"/>
    <col min="15879" max="15879" width="9.33203125" style="928"/>
    <col min="15880" max="15880" width="11.5" style="928" bestFit="1" customWidth="1"/>
    <col min="15881" max="16125" width="9.33203125" style="928"/>
    <col min="16126" max="16126" width="14.83203125" style="928" customWidth="1"/>
    <col min="16127" max="16127" width="20.33203125" style="928" customWidth="1"/>
    <col min="16128" max="16128" width="18.6640625" style="928" bestFit="1" customWidth="1"/>
    <col min="16129" max="16129" width="16.33203125" style="928" customWidth="1"/>
    <col min="16130" max="16130" width="22.6640625" style="928" bestFit="1" customWidth="1"/>
    <col min="16131" max="16132" width="18" style="928" bestFit="1" customWidth="1"/>
    <col min="16133" max="16133" width="12.6640625" style="928" customWidth="1"/>
    <col min="16134" max="16134" width="18.1640625" style="928" bestFit="1" customWidth="1"/>
    <col min="16135" max="16135" width="9.33203125" style="928"/>
    <col min="16136" max="16136" width="11.5" style="928" bestFit="1" customWidth="1"/>
    <col min="16137" max="16384" width="9.33203125" style="928"/>
  </cols>
  <sheetData>
    <row r="1" spans="2:6">
      <c r="C1" s="929"/>
      <c r="E1" s="929"/>
      <c r="F1" s="929"/>
    </row>
    <row r="2" spans="2:6" ht="47.25" customHeight="1">
      <c r="B2" s="1876" t="s">
        <v>1133</v>
      </c>
      <c r="C2" s="1876"/>
      <c r="D2" s="1876"/>
      <c r="E2" s="1876"/>
      <c r="F2" s="930"/>
    </row>
    <row r="3" spans="2:6" ht="24.75" customHeight="1">
      <c r="B3" s="1877" t="s">
        <v>1134</v>
      </c>
      <c r="C3" s="1877"/>
      <c r="D3" s="1877"/>
      <c r="E3" s="1877"/>
      <c r="F3" s="930"/>
    </row>
    <row r="4" spans="2:6" ht="16.5" customHeight="1">
      <c r="B4" s="931"/>
      <c r="C4" s="931"/>
      <c r="D4" s="931"/>
      <c r="E4" s="931"/>
    </row>
    <row r="5" spans="2:6" ht="16.5" thickBot="1">
      <c r="B5" s="932"/>
      <c r="C5" s="932"/>
      <c r="D5" s="932"/>
      <c r="E5" s="933" t="s">
        <v>1135</v>
      </c>
    </row>
    <row r="6" spans="2:6" ht="36.75" customHeight="1">
      <c r="B6" s="1878" t="s">
        <v>1136</v>
      </c>
      <c r="C6" s="1880" t="s">
        <v>1137</v>
      </c>
      <c r="D6" s="1881"/>
      <c r="E6" s="1882"/>
    </row>
    <row r="7" spans="2:6" ht="29.25" customHeight="1" thickBot="1">
      <c r="B7" s="1879"/>
      <c r="C7" s="934" t="s">
        <v>1138</v>
      </c>
      <c r="D7" s="935" t="s">
        <v>1139</v>
      </c>
      <c r="E7" s="936" t="s">
        <v>688</v>
      </c>
    </row>
    <row r="8" spans="2:6" ht="22.5" customHeight="1">
      <c r="B8" s="937" t="s">
        <v>571</v>
      </c>
      <c r="C8" s="938">
        <v>120749368</v>
      </c>
      <c r="D8" s="939">
        <v>53000000</v>
      </c>
      <c r="E8" s="940">
        <f t="shared" ref="E8:E14" si="0">SUM(C8:D8)</f>
        <v>173749368</v>
      </c>
    </row>
    <row r="9" spans="2:6" ht="22.5" customHeight="1">
      <c r="B9" s="937" t="s">
        <v>1140</v>
      </c>
      <c r="C9" s="938">
        <v>120749366</v>
      </c>
      <c r="D9" s="939">
        <f>(C14-C8)*(0.0625+0.0185)</f>
        <v>43605613.629000001</v>
      </c>
      <c r="E9" s="940">
        <f t="shared" si="0"/>
        <v>164354979.62900001</v>
      </c>
    </row>
    <row r="10" spans="2:6" ht="22.5" customHeight="1">
      <c r="B10" s="937" t="s">
        <v>1141</v>
      </c>
      <c r="C10" s="938">
        <v>120749364</v>
      </c>
      <c r="D10" s="939">
        <f>(C14-C9-C8)*(0.0625+0.0185)</f>
        <v>33824914.983000003</v>
      </c>
      <c r="E10" s="940">
        <f t="shared" si="0"/>
        <v>154574278.98300001</v>
      </c>
    </row>
    <row r="11" spans="2:6" ht="22.5" customHeight="1">
      <c r="B11" s="937" t="s">
        <v>1142</v>
      </c>
      <c r="C11" s="938">
        <v>120749363</v>
      </c>
      <c r="D11" s="939">
        <f>(C14-C10-C9-C8)*(0.0625+0.0185)</f>
        <v>24044216.499000002</v>
      </c>
      <c r="E11" s="940">
        <f t="shared" si="0"/>
        <v>144793579.49900001</v>
      </c>
    </row>
    <row r="12" spans="2:6" ht="22.5" customHeight="1">
      <c r="B12" s="937" t="s">
        <v>1143</v>
      </c>
      <c r="C12" s="938">
        <v>120749364</v>
      </c>
      <c r="D12" s="939">
        <f>(C14-C11-C10-C9-C8)*(0.0625+0.0185)</f>
        <v>14263518.096000001</v>
      </c>
      <c r="E12" s="940">
        <f t="shared" si="0"/>
        <v>135012882.09600002</v>
      </c>
    </row>
    <row r="13" spans="2:6" ht="22.5" customHeight="1" thickBot="1">
      <c r="B13" s="941" t="s">
        <v>1144</v>
      </c>
      <c r="C13" s="942">
        <f>55343458-6</f>
        <v>55343452</v>
      </c>
      <c r="D13" s="943">
        <f>(C14-C12-C11-C10-C9-C8)*(0.0625+0.0185)</f>
        <v>4482819.6119999997</v>
      </c>
      <c r="E13" s="944">
        <f t="shared" si="0"/>
        <v>59826271.612000003</v>
      </c>
    </row>
    <row r="14" spans="2:6" s="950" customFormat="1" ht="53.25" customHeight="1" thickBot="1">
      <c r="B14" s="945" t="s">
        <v>1235</v>
      </c>
      <c r="C14" s="946">
        <f>SUM(C8:C13)</f>
        <v>659090277</v>
      </c>
      <c r="D14" s="947">
        <f>SUM(D8:D13)</f>
        <v>173221082.81900001</v>
      </c>
      <c r="E14" s="948">
        <f t="shared" si="0"/>
        <v>832311359.81900001</v>
      </c>
      <c r="F14" s="949"/>
    </row>
    <row r="15" spans="2:6">
      <c r="C15" s="951"/>
      <c r="D15" s="952"/>
      <c r="E15" s="951"/>
    </row>
    <row r="16" spans="2:6">
      <c r="C16" s="952"/>
      <c r="D16" s="953"/>
      <c r="E16" s="951"/>
    </row>
    <row r="17" spans="3:5">
      <c r="C17" s="952"/>
      <c r="D17" s="954"/>
      <c r="E17" s="954"/>
    </row>
    <row r="18" spans="3:5">
      <c r="C18" s="954"/>
      <c r="D18" s="954"/>
      <c r="E18" s="954"/>
    </row>
    <row r="21" spans="3:5">
      <c r="C21" s="955"/>
      <c r="D21" s="951"/>
    </row>
    <row r="22" spans="3:5">
      <c r="C22" s="955"/>
      <c r="D22" s="951"/>
    </row>
  </sheetData>
  <mergeCells count="4">
    <mergeCell ref="B2:E2"/>
    <mergeCell ref="B3:E3"/>
    <mergeCell ref="B6:B7"/>
    <mergeCell ref="C6:E6"/>
  </mergeCells>
  <printOptions horizontalCentered="1" verticalCentered="1"/>
  <pageMargins left="0.9055118110236221" right="0.9055118110236221" top="0.74803149606299213" bottom="0.74803149606299213" header="0.31496062992125984" footer="0.31496062992125984"/>
  <pageSetup paperSize="9" scale="95" orientation="portrait" r:id="rId1"/>
  <headerFooter>
    <oddHeader xml:space="preserve">&amp;R&amp;"Calibri,Félkövér"&amp;11  &amp;"-,Félkövér"&amp;12 30. melléklet a …../2026. (…….) önkormányzati rendelethez&amp;10
 &amp;"Arial,Félkövér"&amp;8
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B0D1-A48B-465B-9F74-6F5EE4D4E4C8}">
  <dimension ref="A1:BE63"/>
  <sheetViews>
    <sheetView zoomScale="50" zoomScaleNormal="50" zoomScaleSheetLayoutView="50" workbookViewId="0">
      <pane xSplit="1" ySplit="8" topLeftCell="AK48" activePane="bottomRight" state="frozen"/>
      <selection activeCell="B2" sqref="B2:F2"/>
      <selection pane="topRight" activeCell="B2" sqref="B2:F2"/>
      <selection pane="bottomLeft" activeCell="B2" sqref="B2:F2"/>
      <selection pane="bottomRight" activeCell="B2" sqref="B2:F2"/>
    </sheetView>
  </sheetViews>
  <sheetFormatPr defaultRowHeight="26.45" customHeight="1"/>
  <cols>
    <col min="1" max="1" width="211.6640625" style="1023" customWidth="1"/>
    <col min="2" max="18" width="47.33203125" style="1081" customWidth="1"/>
    <col min="19" max="19" width="53" style="1081" customWidth="1"/>
    <col min="20" max="20" width="52.83203125" style="1081" customWidth="1"/>
    <col min="21" max="21" width="53" style="1081" customWidth="1"/>
    <col min="22" max="22" width="203.33203125" style="1083" customWidth="1"/>
    <col min="23" max="37" width="47.33203125" style="1081" customWidth="1"/>
    <col min="38" max="38" width="43.6640625" style="1081" customWidth="1"/>
    <col min="39" max="39" width="205.33203125" style="1083" customWidth="1"/>
    <col min="40" max="45" width="60.83203125" style="1023" customWidth="1"/>
    <col min="46" max="49" width="60.83203125" style="1082" customWidth="1"/>
    <col min="50" max="51" width="60.83203125" style="1081" customWidth="1"/>
    <col min="52" max="256" width="9.33203125" style="1023"/>
    <col min="257" max="257" width="193.33203125" style="1023" customWidth="1"/>
    <col min="258" max="258" width="47.1640625" style="1023" customWidth="1"/>
    <col min="259" max="259" width="47.33203125" style="1023" customWidth="1"/>
    <col min="260" max="260" width="47.1640625" style="1023" customWidth="1"/>
    <col min="261" max="261" width="43.6640625" style="1023" customWidth="1"/>
    <col min="262" max="263" width="47.33203125" style="1023" customWidth="1"/>
    <col min="264" max="264" width="47.1640625" style="1023" customWidth="1"/>
    <col min="265" max="265" width="43.6640625" style="1023" customWidth="1"/>
    <col min="266" max="267" width="47.33203125" style="1023" customWidth="1"/>
    <col min="268" max="268" width="47.1640625" style="1023" customWidth="1"/>
    <col min="269" max="269" width="43.6640625" style="1023" customWidth="1"/>
    <col min="270" max="271" width="45" style="1023" customWidth="1"/>
    <col min="272" max="272" width="44.83203125" style="1023" customWidth="1"/>
    <col min="273" max="273" width="45" style="1023" customWidth="1"/>
    <col min="274" max="275" width="47.33203125" style="1023" customWidth="1"/>
    <col min="276" max="276" width="47.1640625" style="1023" customWidth="1"/>
    <col min="277" max="277" width="43.6640625" style="1023" customWidth="1"/>
    <col min="278" max="278" width="193.33203125" style="1023" customWidth="1"/>
    <col min="279" max="281" width="47.33203125" style="1023" customWidth="1"/>
    <col min="282" max="282" width="43.6640625" style="1023" customWidth="1"/>
    <col min="283" max="285" width="47.33203125" style="1023" customWidth="1"/>
    <col min="286" max="286" width="44" style="1023" customWidth="1"/>
    <col min="287" max="289" width="47.33203125" style="1023" customWidth="1"/>
    <col min="290" max="290" width="43.6640625" style="1023" customWidth="1"/>
    <col min="291" max="293" width="47.33203125" style="1023" customWidth="1"/>
    <col min="294" max="294" width="43.6640625" style="1023" customWidth="1"/>
    <col min="295" max="295" width="193.33203125" style="1023" customWidth="1"/>
    <col min="296" max="298" width="47.33203125" style="1023" customWidth="1"/>
    <col min="299" max="299" width="43.6640625" style="1023" customWidth="1"/>
    <col min="300" max="307" width="56" style="1023" customWidth="1"/>
    <col min="308" max="512" width="9.33203125" style="1023"/>
    <col min="513" max="513" width="193.33203125" style="1023" customWidth="1"/>
    <col min="514" max="514" width="47.1640625" style="1023" customWidth="1"/>
    <col min="515" max="515" width="47.33203125" style="1023" customWidth="1"/>
    <col min="516" max="516" width="47.1640625" style="1023" customWidth="1"/>
    <col min="517" max="517" width="43.6640625" style="1023" customWidth="1"/>
    <col min="518" max="519" width="47.33203125" style="1023" customWidth="1"/>
    <col min="520" max="520" width="47.1640625" style="1023" customWidth="1"/>
    <col min="521" max="521" width="43.6640625" style="1023" customWidth="1"/>
    <col min="522" max="523" width="47.33203125" style="1023" customWidth="1"/>
    <col min="524" max="524" width="47.1640625" style="1023" customWidth="1"/>
    <col min="525" max="525" width="43.6640625" style="1023" customWidth="1"/>
    <col min="526" max="527" width="45" style="1023" customWidth="1"/>
    <col min="528" max="528" width="44.83203125" style="1023" customWidth="1"/>
    <col min="529" max="529" width="45" style="1023" customWidth="1"/>
    <col min="530" max="531" width="47.33203125" style="1023" customWidth="1"/>
    <col min="532" max="532" width="47.1640625" style="1023" customWidth="1"/>
    <col min="533" max="533" width="43.6640625" style="1023" customWidth="1"/>
    <col min="534" max="534" width="193.33203125" style="1023" customWidth="1"/>
    <col min="535" max="537" width="47.33203125" style="1023" customWidth="1"/>
    <col min="538" max="538" width="43.6640625" style="1023" customWidth="1"/>
    <col min="539" max="541" width="47.33203125" style="1023" customWidth="1"/>
    <col min="542" max="542" width="44" style="1023" customWidth="1"/>
    <col min="543" max="545" width="47.33203125" style="1023" customWidth="1"/>
    <col min="546" max="546" width="43.6640625" style="1023" customWidth="1"/>
    <col min="547" max="549" width="47.33203125" style="1023" customWidth="1"/>
    <col min="550" max="550" width="43.6640625" style="1023" customWidth="1"/>
    <col min="551" max="551" width="193.33203125" style="1023" customWidth="1"/>
    <col min="552" max="554" width="47.33203125" style="1023" customWidth="1"/>
    <col min="555" max="555" width="43.6640625" style="1023" customWidth="1"/>
    <col min="556" max="563" width="56" style="1023" customWidth="1"/>
    <col min="564" max="768" width="9.33203125" style="1023"/>
    <col min="769" max="769" width="193.33203125" style="1023" customWidth="1"/>
    <col min="770" max="770" width="47.1640625" style="1023" customWidth="1"/>
    <col min="771" max="771" width="47.33203125" style="1023" customWidth="1"/>
    <col min="772" max="772" width="47.1640625" style="1023" customWidth="1"/>
    <col min="773" max="773" width="43.6640625" style="1023" customWidth="1"/>
    <col min="774" max="775" width="47.33203125" style="1023" customWidth="1"/>
    <col min="776" max="776" width="47.1640625" style="1023" customWidth="1"/>
    <col min="777" max="777" width="43.6640625" style="1023" customWidth="1"/>
    <col min="778" max="779" width="47.33203125" style="1023" customWidth="1"/>
    <col min="780" max="780" width="47.1640625" style="1023" customWidth="1"/>
    <col min="781" max="781" width="43.6640625" style="1023" customWidth="1"/>
    <col min="782" max="783" width="45" style="1023" customWidth="1"/>
    <col min="784" max="784" width="44.83203125" style="1023" customWidth="1"/>
    <col min="785" max="785" width="45" style="1023" customWidth="1"/>
    <col min="786" max="787" width="47.33203125" style="1023" customWidth="1"/>
    <col min="788" max="788" width="47.1640625" style="1023" customWidth="1"/>
    <col min="789" max="789" width="43.6640625" style="1023" customWidth="1"/>
    <col min="790" max="790" width="193.33203125" style="1023" customWidth="1"/>
    <col min="791" max="793" width="47.33203125" style="1023" customWidth="1"/>
    <col min="794" max="794" width="43.6640625" style="1023" customWidth="1"/>
    <col min="795" max="797" width="47.33203125" style="1023" customWidth="1"/>
    <col min="798" max="798" width="44" style="1023" customWidth="1"/>
    <col min="799" max="801" width="47.33203125" style="1023" customWidth="1"/>
    <col min="802" max="802" width="43.6640625" style="1023" customWidth="1"/>
    <col min="803" max="805" width="47.33203125" style="1023" customWidth="1"/>
    <col min="806" max="806" width="43.6640625" style="1023" customWidth="1"/>
    <col min="807" max="807" width="193.33203125" style="1023" customWidth="1"/>
    <col min="808" max="810" width="47.33203125" style="1023" customWidth="1"/>
    <col min="811" max="811" width="43.6640625" style="1023" customWidth="1"/>
    <col min="812" max="819" width="56" style="1023" customWidth="1"/>
    <col min="820" max="1024" width="9.33203125" style="1023"/>
    <col min="1025" max="1025" width="193.33203125" style="1023" customWidth="1"/>
    <col min="1026" max="1026" width="47.1640625" style="1023" customWidth="1"/>
    <col min="1027" max="1027" width="47.33203125" style="1023" customWidth="1"/>
    <col min="1028" max="1028" width="47.1640625" style="1023" customWidth="1"/>
    <col min="1029" max="1029" width="43.6640625" style="1023" customWidth="1"/>
    <col min="1030" max="1031" width="47.33203125" style="1023" customWidth="1"/>
    <col min="1032" max="1032" width="47.1640625" style="1023" customWidth="1"/>
    <col min="1033" max="1033" width="43.6640625" style="1023" customWidth="1"/>
    <col min="1034" max="1035" width="47.33203125" style="1023" customWidth="1"/>
    <col min="1036" max="1036" width="47.1640625" style="1023" customWidth="1"/>
    <col min="1037" max="1037" width="43.6640625" style="1023" customWidth="1"/>
    <col min="1038" max="1039" width="45" style="1023" customWidth="1"/>
    <col min="1040" max="1040" width="44.83203125" style="1023" customWidth="1"/>
    <col min="1041" max="1041" width="45" style="1023" customWidth="1"/>
    <col min="1042" max="1043" width="47.33203125" style="1023" customWidth="1"/>
    <col min="1044" max="1044" width="47.1640625" style="1023" customWidth="1"/>
    <col min="1045" max="1045" width="43.6640625" style="1023" customWidth="1"/>
    <col min="1046" max="1046" width="193.33203125" style="1023" customWidth="1"/>
    <col min="1047" max="1049" width="47.33203125" style="1023" customWidth="1"/>
    <col min="1050" max="1050" width="43.6640625" style="1023" customWidth="1"/>
    <col min="1051" max="1053" width="47.33203125" style="1023" customWidth="1"/>
    <col min="1054" max="1054" width="44" style="1023" customWidth="1"/>
    <col min="1055" max="1057" width="47.33203125" style="1023" customWidth="1"/>
    <col min="1058" max="1058" width="43.6640625" style="1023" customWidth="1"/>
    <col min="1059" max="1061" width="47.33203125" style="1023" customWidth="1"/>
    <col min="1062" max="1062" width="43.6640625" style="1023" customWidth="1"/>
    <col min="1063" max="1063" width="193.33203125" style="1023" customWidth="1"/>
    <col min="1064" max="1066" width="47.33203125" style="1023" customWidth="1"/>
    <col min="1067" max="1067" width="43.6640625" style="1023" customWidth="1"/>
    <col min="1068" max="1075" width="56" style="1023" customWidth="1"/>
    <col min="1076" max="1280" width="9.33203125" style="1023"/>
    <col min="1281" max="1281" width="193.33203125" style="1023" customWidth="1"/>
    <col min="1282" max="1282" width="47.1640625" style="1023" customWidth="1"/>
    <col min="1283" max="1283" width="47.33203125" style="1023" customWidth="1"/>
    <col min="1284" max="1284" width="47.1640625" style="1023" customWidth="1"/>
    <col min="1285" max="1285" width="43.6640625" style="1023" customWidth="1"/>
    <col min="1286" max="1287" width="47.33203125" style="1023" customWidth="1"/>
    <col min="1288" max="1288" width="47.1640625" style="1023" customWidth="1"/>
    <col min="1289" max="1289" width="43.6640625" style="1023" customWidth="1"/>
    <col min="1290" max="1291" width="47.33203125" style="1023" customWidth="1"/>
    <col min="1292" max="1292" width="47.1640625" style="1023" customWidth="1"/>
    <col min="1293" max="1293" width="43.6640625" style="1023" customWidth="1"/>
    <col min="1294" max="1295" width="45" style="1023" customWidth="1"/>
    <col min="1296" max="1296" width="44.83203125" style="1023" customWidth="1"/>
    <col min="1297" max="1297" width="45" style="1023" customWidth="1"/>
    <col min="1298" max="1299" width="47.33203125" style="1023" customWidth="1"/>
    <col min="1300" max="1300" width="47.1640625" style="1023" customWidth="1"/>
    <col min="1301" max="1301" width="43.6640625" style="1023" customWidth="1"/>
    <col min="1302" max="1302" width="193.33203125" style="1023" customWidth="1"/>
    <col min="1303" max="1305" width="47.33203125" style="1023" customWidth="1"/>
    <col min="1306" max="1306" width="43.6640625" style="1023" customWidth="1"/>
    <col min="1307" max="1309" width="47.33203125" style="1023" customWidth="1"/>
    <col min="1310" max="1310" width="44" style="1023" customWidth="1"/>
    <col min="1311" max="1313" width="47.33203125" style="1023" customWidth="1"/>
    <col min="1314" max="1314" width="43.6640625" style="1023" customWidth="1"/>
    <col min="1315" max="1317" width="47.33203125" style="1023" customWidth="1"/>
    <col min="1318" max="1318" width="43.6640625" style="1023" customWidth="1"/>
    <col min="1319" max="1319" width="193.33203125" style="1023" customWidth="1"/>
    <col min="1320" max="1322" width="47.33203125" style="1023" customWidth="1"/>
    <col min="1323" max="1323" width="43.6640625" style="1023" customWidth="1"/>
    <col min="1324" max="1331" width="56" style="1023" customWidth="1"/>
    <col min="1332" max="1536" width="9.33203125" style="1023"/>
    <col min="1537" max="1537" width="193.33203125" style="1023" customWidth="1"/>
    <col min="1538" max="1538" width="47.1640625" style="1023" customWidth="1"/>
    <col min="1539" max="1539" width="47.33203125" style="1023" customWidth="1"/>
    <col min="1540" max="1540" width="47.1640625" style="1023" customWidth="1"/>
    <col min="1541" max="1541" width="43.6640625" style="1023" customWidth="1"/>
    <col min="1542" max="1543" width="47.33203125" style="1023" customWidth="1"/>
    <col min="1544" max="1544" width="47.1640625" style="1023" customWidth="1"/>
    <col min="1545" max="1545" width="43.6640625" style="1023" customWidth="1"/>
    <col min="1546" max="1547" width="47.33203125" style="1023" customWidth="1"/>
    <col min="1548" max="1548" width="47.1640625" style="1023" customWidth="1"/>
    <col min="1549" max="1549" width="43.6640625" style="1023" customWidth="1"/>
    <col min="1550" max="1551" width="45" style="1023" customWidth="1"/>
    <col min="1552" max="1552" width="44.83203125" style="1023" customWidth="1"/>
    <col min="1553" max="1553" width="45" style="1023" customWidth="1"/>
    <col min="1554" max="1555" width="47.33203125" style="1023" customWidth="1"/>
    <col min="1556" max="1556" width="47.1640625" style="1023" customWidth="1"/>
    <col min="1557" max="1557" width="43.6640625" style="1023" customWidth="1"/>
    <col min="1558" max="1558" width="193.33203125" style="1023" customWidth="1"/>
    <col min="1559" max="1561" width="47.33203125" style="1023" customWidth="1"/>
    <col min="1562" max="1562" width="43.6640625" style="1023" customWidth="1"/>
    <col min="1563" max="1565" width="47.33203125" style="1023" customWidth="1"/>
    <col min="1566" max="1566" width="44" style="1023" customWidth="1"/>
    <col min="1567" max="1569" width="47.33203125" style="1023" customWidth="1"/>
    <col min="1570" max="1570" width="43.6640625" style="1023" customWidth="1"/>
    <col min="1571" max="1573" width="47.33203125" style="1023" customWidth="1"/>
    <col min="1574" max="1574" width="43.6640625" style="1023" customWidth="1"/>
    <col min="1575" max="1575" width="193.33203125" style="1023" customWidth="1"/>
    <col min="1576" max="1578" width="47.33203125" style="1023" customWidth="1"/>
    <col min="1579" max="1579" width="43.6640625" style="1023" customWidth="1"/>
    <col min="1580" max="1587" width="56" style="1023" customWidth="1"/>
    <col min="1588" max="1792" width="9.33203125" style="1023"/>
    <col min="1793" max="1793" width="193.33203125" style="1023" customWidth="1"/>
    <col min="1794" max="1794" width="47.1640625" style="1023" customWidth="1"/>
    <col min="1795" max="1795" width="47.33203125" style="1023" customWidth="1"/>
    <col min="1796" max="1796" width="47.1640625" style="1023" customWidth="1"/>
    <col min="1797" max="1797" width="43.6640625" style="1023" customWidth="1"/>
    <col min="1798" max="1799" width="47.33203125" style="1023" customWidth="1"/>
    <col min="1800" max="1800" width="47.1640625" style="1023" customWidth="1"/>
    <col min="1801" max="1801" width="43.6640625" style="1023" customWidth="1"/>
    <col min="1802" max="1803" width="47.33203125" style="1023" customWidth="1"/>
    <col min="1804" max="1804" width="47.1640625" style="1023" customWidth="1"/>
    <col min="1805" max="1805" width="43.6640625" style="1023" customWidth="1"/>
    <col min="1806" max="1807" width="45" style="1023" customWidth="1"/>
    <col min="1808" max="1808" width="44.83203125" style="1023" customWidth="1"/>
    <col min="1809" max="1809" width="45" style="1023" customWidth="1"/>
    <col min="1810" max="1811" width="47.33203125" style="1023" customWidth="1"/>
    <col min="1812" max="1812" width="47.1640625" style="1023" customWidth="1"/>
    <col min="1813" max="1813" width="43.6640625" style="1023" customWidth="1"/>
    <col min="1814" max="1814" width="193.33203125" style="1023" customWidth="1"/>
    <col min="1815" max="1817" width="47.33203125" style="1023" customWidth="1"/>
    <col min="1818" max="1818" width="43.6640625" style="1023" customWidth="1"/>
    <col min="1819" max="1821" width="47.33203125" style="1023" customWidth="1"/>
    <col min="1822" max="1822" width="44" style="1023" customWidth="1"/>
    <col min="1823" max="1825" width="47.33203125" style="1023" customWidth="1"/>
    <col min="1826" max="1826" width="43.6640625" style="1023" customWidth="1"/>
    <col min="1827" max="1829" width="47.33203125" style="1023" customWidth="1"/>
    <col min="1830" max="1830" width="43.6640625" style="1023" customWidth="1"/>
    <col min="1831" max="1831" width="193.33203125" style="1023" customWidth="1"/>
    <col min="1832" max="1834" width="47.33203125" style="1023" customWidth="1"/>
    <col min="1835" max="1835" width="43.6640625" style="1023" customWidth="1"/>
    <col min="1836" max="1843" width="56" style="1023" customWidth="1"/>
    <col min="1844" max="2048" width="9.33203125" style="1023"/>
    <col min="2049" max="2049" width="193.33203125" style="1023" customWidth="1"/>
    <col min="2050" max="2050" width="47.1640625" style="1023" customWidth="1"/>
    <col min="2051" max="2051" width="47.33203125" style="1023" customWidth="1"/>
    <col min="2052" max="2052" width="47.1640625" style="1023" customWidth="1"/>
    <col min="2053" max="2053" width="43.6640625" style="1023" customWidth="1"/>
    <col min="2054" max="2055" width="47.33203125" style="1023" customWidth="1"/>
    <col min="2056" max="2056" width="47.1640625" style="1023" customWidth="1"/>
    <col min="2057" max="2057" width="43.6640625" style="1023" customWidth="1"/>
    <col min="2058" max="2059" width="47.33203125" style="1023" customWidth="1"/>
    <col min="2060" max="2060" width="47.1640625" style="1023" customWidth="1"/>
    <col min="2061" max="2061" width="43.6640625" style="1023" customWidth="1"/>
    <col min="2062" max="2063" width="45" style="1023" customWidth="1"/>
    <col min="2064" max="2064" width="44.83203125" style="1023" customWidth="1"/>
    <col min="2065" max="2065" width="45" style="1023" customWidth="1"/>
    <col min="2066" max="2067" width="47.33203125" style="1023" customWidth="1"/>
    <col min="2068" max="2068" width="47.1640625" style="1023" customWidth="1"/>
    <col min="2069" max="2069" width="43.6640625" style="1023" customWidth="1"/>
    <col min="2070" max="2070" width="193.33203125" style="1023" customWidth="1"/>
    <col min="2071" max="2073" width="47.33203125" style="1023" customWidth="1"/>
    <col min="2074" max="2074" width="43.6640625" style="1023" customWidth="1"/>
    <col min="2075" max="2077" width="47.33203125" style="1023" customWidth="1"/>
    <col min="2078" max="2078" width="44" style="1023" customWidth="1"/>
    <col min="2079" max="2081" width="47.33203125" style="1023" customWidth="1"/>
    <col min="2082" max="2082" width="43.6640625" style="1023" customWidth="1"/>
    <col min="2083" max="2085" width="47.33203125" style="1023" customWidth="1"/>
    <col min="2086" max="2086" width="43.6640625" style="1023" customWidth="1"/>
    <col min="2087" max="2087" width="193.33203125" style="1023" customWidth="1"/>
    <col min="2088" max="2090" width="47.33203125" style="1023" customWidth="1"/>
    <col min="2091" max="2091" width="43.6640625" style="1023" customWidth="1"/>
    <col min="2092" max="2099" width="56" style="1023" customWidth="1"/>
    <col min="2100" max="2304" width="9.33203125" style="1023"/>
    <col min="2305" max="2305" width="193.33203125" style="1023" customWidth="1"/>
    <col min="2306" max="2306" width="47.1640625" style="1023" customWidth="1"/>
    <col min="2307" max="2307" width="47.33203125" style="1023" customWidth="1"/>
    <col min="2308" max="2308" width="47.1640625" style="1023" customWidth="1"/>
    <col min="2309" max="2309" width="43.6640625" style="1023" customWidth="1"/>
    <col min="2310" max="2311" width="47.33203125" style="1023" customWidth="1"/>
    <col min="2312" max="2312" width="47.1640625" style="1023" customWidth="1"/>
    <col min="2313" max="2313" width="43.6640625" style="1023" customWidth="1"/>
    <col min="2314" max="2315" width="47.33203125" style="1023" customWidth="1"/>
    <col min="2316" max="2316" width="47.1640625" style="1023" customWidth="1"/>
    <col min="2317" max="2317" width="43.6640625" style="1023" customWidth="1"/>
    <col min="2318" max="2319" width="45" style="1023" customWidth="1"/>
    <col min="2320" max="2320" width="44.83203125" style="1023" customWidth="1"/>
    <col min="2321" max="2321" width="45" style="1023" customWidth="1"/>
    <col min="2322" max="2323" width="47.33203125" style="1023" customWidth="1"/>
    <col min="2324" max="2324" width="47.1640625" style="1023" customWidth="1"/>
    <col min="2325" max="2325" width="43.6640625" style="1023" customWidth="1"/>
    <col min="2326" max="2326" width="193.33203125" style="1023" customWidth="1"/>
    <col min="2327" max="2329" width="47.33203125" style="1023" customWidth="1"/>
    <col min="2330" max="2330" width="43.6640625" style="1023" customWidth="1"/>
    <col min="2331" max="2333" width="47.33203125" style="1023" customWidth="1"/>
    <col min="2334" max="2334" width="44" style="1023" customWidth="1"/>
    <col min="2335" max="2337" width="47.33203125" style="1023" customWidth="1"/>
    <col min="2338" max="2338" width="43.6640625" style="1023" customWidth="1"/>
    <col min="2339" max="2341" width="47.33203125" style="1023" customWidth="1"/>
    <col min="2342" max="2342" width="43.6640625" style="1023" customWidth="1"/>
    <col min="2343" max="2343" width="193.33203125" style="1023" customWidth="1"/>
    <col min="2344" max="2346" width="47.33203125" style="1023" customWidth="1"/>
    <col min="2347" max="2347" width="43.6640625" style="1023" customWidth="1"/>
    <col min="2348" max="2355" width="56" style="1023" customWidth="1"/>
    <col min="2356" max="2560" width="9.33203125" style="1023"/>
    <col min="2561" max="2561" width="193.33203125" style="1023" customWidth="1"/>
    <col min="2562" max="2562" width="47.1640625" style="1023" customWidth="1"/>
    <col min="2563" max="2563" width="47.33203125" style="1023" customWidth="1"/>
    <col min="2564" max="2564" width="47.1640625" style="1023" customWidth="1"/>
    <col min="2565" max="2565" width="43.6640625" style="1023" customWidth="1"/>
    <col min="2566" max="2567" width="47.33203125" style="1023" customWidth="1"/>
    <col min="2568" max="2568" width="47.1640625" style="1023" customWidth="1"/>
    <col min="2569" max="2569" width="43.6640625" style="1023" customWidth="1"/>
    <col min="2570" max="2571" width="47.33203125" style="1023" customWidth="1"/>
    <col min="2572" max="2572" width="47.1640625" style="1023" customWidth="1"/>
    <col min="2573" max="2573" width="43.6640625" style="1023" customWidth="1"/>
    <col min="2574" max="2575" width="45" style="1023" customWidth="1"/>
    <col min="2576" max="2576" width="44.83203125" style="1023" customWidth="1"/>
    <col min="2577" max="2577" width="45" style="1023" customWidth="1"/>
    <col min="2578" max="2579" width="47.33203125" style="1023" customWidth="1"/>
    <col min="2580" max="2580" width="47.1640625" style="1023" customWidth="1"/>
    <col min="2581" max="2581" width="43.6640625" style="1023" customWidth="1"/>
    <col min="2582" max="2582" width="193.33203125" style="1023" customWidth="1"/>
    <col min="2583" max="2585" width="47.33203125" style="1023" customWidth="1"/>
    <col min="2586" max="2586" width="43.6640625" style="1023" customWidth="1"/>
    <col min="2587" max="2589" width="47.33203125" style="1023" customWidth="1"/>
    <col min="2590" max="2590" width="44" style="1023" customWidth="1"/>
    <col min="2591" max="2593" width="47.33203125" style="1023" customWidth="1"/>
    <col min="2594" max="2594" width="43.6640625" style="1023" customWidth="1"/>
    <col min="2595" max="2597" width="47.33203125" style="1023" customWidth="1"/>
    <col min="2598" max="2598" width="43.6640625" style="1023" customWidth="1"/>
    <col min="2599" max="2599" width="193.33203125" style="1023" customWidth="1"/>
    <col min="2600" max="2602" width="47.33203125" style="1023" customWidth="1"/>
    <col min="2603" max="2603" width="43.6640625" style="1023" customWidth="1"/>
    <col min="2604" max="2611" width="56" style="1023" customWidth="1"/>
    <col min="2612" max="2816" width="9.33203125" style="1023"/>
    <col min="2817" max="2817" width="193.33203125" style="1023" customWidth="1"/>
    <col min="2818" max="2818" width="47.1640625" style="1023" customWidth="1"/>
    <col min="2819" max="2819" width="47.33203125" style="1023" customWidth="1"/>
    <col min="2820" max="2820" width="47.1640625" style="1023" customWidth="1"/>
    <col min="2821" max="2821" width="43.6640625" style="1023" customWidth="1"/>
    <col min="2822" max="2823" width="47.33203125" style="1023" customWidth="1"/>
    <col min="2824" max="2824" width="47.1640625" style="1023" customWidth="1"/>
    <col min="2825" max="2825" width="43.6640625" style="1023" customWidth="1"/>
    <col min="2826" max="2827" width="47.33203125" style="1023" customWidth="1"/>
    <col min="2828" max="2828" width="47.1640625" style="1023" customWidth="1"/>
    <col min="2829" max="2829" width="43.6640625" style="1023" customWidth="1"/>
    <col min="2830" max="2831" width="45" style="1023" customWidth="1"/>
    <col min="2832" max="2832" width="44.83203125" style="1023" customWidth="1"/>
    <col min="2833" max="2833" width="45" style="1023" customWidth="1"/>
    <col min="2834" max="2835" width="47.33203125" style="1023" customWidth="1"/>
    <col min="2836" max="2836" width="47.1640625" style="1023" customWidth="1"/>
    <col min="2837" max="2837" width="43.6640625" style="1023" customWidth="1"/>
    <col min="2838" max="2838" width="193.33203125" style="1023" customWidth="1"/>
    <col min="2839" max="2841" width="47.33203125" style="1023" customWidth="1"/>
    <col min="2842" max="2842" width="43.6640625" style="1023" customWidth="1"/>
    <col min="2843" max="2845" width="47.33203125" style="1023" customWidth="1"/>
    <col min="2846" max="2846" width="44" style="1023" customWidth="1"/>
    <col min="2847" max="2849" width="47.33203125" style="1023" customWidth="1"/>
    <col min="2850" max="2850" width="43.6640625" style="1023" customWidth="1"/>
    <col min="2851" max="2853" width="47.33203125" style="1023" customWidth="1"/>
    <col min="2854" max="2854" width="43.6640625" style="1023" customWidth="1"/>
    <col min="2855" max="2855" width="193.33203125" style="1023" customWidth="1"/>
    <col min="2856" max="2858" width="47.33203125" style="1023" customWidth="1"/>
    <col min="2859" max="2859" width="43.6640625" style="1023" customWidth="1"/>
    <col min="2860" max="2867" width="56" style="1023" customWidth="1"/>
    <col min="2868" max="3072" width="9.33203125" style="1023"/>
    <col min="3073" max="3073" width="193.33203125" style="1023" customWidth="1"/>
    <col min="3074" max="3074" width="47.1640625" style="1023" customWidth="1"/>
    <col min="3075" max="3075" width="47.33203125" style="1023" customWidth="1"/>
    <col min="3076" max="3076" width="47.1640625" style="1023" customWidth="1"/>
    <col min="3077" max="3077" width="43.6640625" style="1023" customWidth="1"/>
    <col min="3078" max="3079" width="47.33203125" style="1023" customWidth="1"/>
    <col min="3080" max="3080" width="47.1640625" style="1023" customWidth="1"/>
    <col min="3081" max="3081" width="43.6640625" style="1023" customWidth="1"/>
    <col min="3082" max="3083" width="47.33203125" style="1023" customWidth="1"/>
    <col min="3084" max="3084" width="47.1640625" style="1023" customWidth="1"/>
    <col min="3085" max="3085" width="43.6640625" style="1023" customWidth="1"/>
    <col min="3086" max="3087" width="45" style="1023" customWidth="1"/>
    <col min="3088" max="3088" width="44.83203125" style="1023" customWidth="1"/>
    <col min="3089" max="3089" width="45" style="1023" customWidth="1"/>
    <col min="3090" max="3091" width="47.33203125" style="1023" customWidth="1"/>
    <col min="3092" max="3092" width="47.1640625" style="1023" customWidth="1"/>
    <col min="3093" max="3093" width="43.6640625" style="1023" customWidth="1"/>
    <col min="3094" max="3094" width="193.33203125" style="1023" customWidth="1"/>
    <col min="3095" max="3097" width="47.33203125" style="1023" customWidth="1"/>
    <col min="3098" max="3098" width="43.6640625" style="1023" customWidth="1"/>
    <col min="3099" max="3101" width="47.33203125" style="1023" customWidth="1"/>
    <col min="3102" max="3102" width="44" style="1023" customWidth="1"/>
    <col min="3103" max="3105" width="47.33203125" style="1023" customWidth="1"/>
    <col min="3106" max="3106" width="43.6640625" style="1023" customWidth="1"/>
    <col min="3107" max="3109" width="47.33203125" style="1023" customWidth="1"/>
    <col min="3110" max="3110" width="43.6640625" style="1023" customWidth="1"/>
    <col min="3111" max="3111" width="193.33203125" style="1023" customWidth="1"/>
    <col min="3112" max="3114" width="47.33203125" style="1023" customWidth="1"/>
    <col min="3115" max="3115" width="43.6640625" style="1023" customWidth="1"/>
    <col min="3116" max="3123" width="56" style="1023" customWidth="1"/>
    <col min="3124" max="3328" width="9.33203125" style="1023"/>
    <col min="3329" max="3329" width="193.33203125" style="1023" customWidth="1"/>
    <col min="3330" max="3330" width="47.1640625" style="1023" customWidth="1"/>
    <col min="3331" max="3331" width="47.33203125" style="1023" customWidth="1"/>
    <col min="3332" max="3332" width="47.1640625" style="1023" customWidth="1"/>
    <col min="3333" max="3333" width="43.6640625" style="1023" customWidth="1"/>
    <col min="3334" max="3335" width="47.33203125" style="1023" customWidth="1"/>
    <col min="3336" max="3336" width="47.1640625" style="1023" customWidth="1"/>
    <col min="3337" max="3337" width="43.6640625" style="1023" customWidth="1"/>
    <col min="3338" max="3339" width="47.33203125" style="1023" customWidth="1"/>
    <col min="3340" max="3340" width="47.1640625" style="1023" customWidth="1"/>
    <col min="3341" max="3341" width="43.6640625" style="1023" customWidth="1"/>
    <col min="3342" max="3343" width="45" style="1023" customWidth="1"/>
    <col min="3344" max="3344" width="44.83203125" style="1023" customWidth="1"/>
    <col min="3345" max="3345" width="45" style="1023" customWidth="1"/>
    <col min="3346" max="3347" width="47.33203125" style="1023" customWidth="1"/>
    <col min="3348" max="3348" width="47.1640625" style="1023" customWidth="1"/>
    <col min="3349" max="3349" width="43.6640625" style="1023" customWidth="1"/>
    <col min="3350" max="3350" width="193.33203125" style="1023" customWidth="1"/>
    <col min="3351" max="3353" width="47.33203125" style="1023" customWidth="1"/>
    <col min="3354" max="3354" width="43.6640625" style="1023" customWidth="1"/>
    <col min="3355" max="3357" width="47.33203125" style="1023" customWidth="1"/>
    <col min="3358" max="3358" width="44" style="1023" customWidth="1"/>
    <col min="3359" max="3361" width="47.33203125" style="1023" customWidth="1"/>
    <col min="3362" max="3362" width="43.6640625" style="1023" customWidth="1"/>
    <col min="3363" max="3365" width="47.33203125" style="1023" customWidth="1"/>
    <col min="3366" max="3366" width="43.6640625" style="1023" customWidth="1"/>
    <col min="3367" max="3367" width="193.33203125" style="1023" customWidth="1"/>
    <col min="3368" max="3370" width="47.33203125" style="1023" customWidth="1"/>
    <col min="3371" max="3371" width="43.6640625" style="1023" customWidth="1"/>
    <col min="3372" max="3379" width="56" style="1023" customWidth="1"/>
    <col min="3380" max="3584" width="9.33203125" style="1023"/>
    <col min="3585" max="3585" width="193.33203125" style="1023" customWidth="1"/>
    <col min="3586" max="3586" width="47.1640625" style="1023" customWidth="1"/>
    <col min="3587" max="3587" width="47.33203125" style="1023" customWidth="1"/>
    <col min="3588" max="3588" width="47.1640625" style="1023" customWidth="1"/>
    <col min="3589" max="3589" width="43.6640625" style="1023" customWidth="1"/>
    <col min="3590" max="3591" width="47.33203125" style="1023" customWidth="1"/>
    <col min="3592" max="3592" width="47.1640625" style="1023" customWidth="1"/>
    <col min="3593" max="3593" width="43.6640625" style="1023" customWidth="1"/>
    <col min="3594" max="3595" width="47.33203125" style="1023" customWidth="1"/>
    <col min="3596" max="3596" width="47.1640625" style="1023" customWidth="1"/>
    <col min="3597" max="3597" width="43.6640625" style="1023" customWidth="1"/>
    <col min="3598" max="3599" width="45" style="1023" customWidth="1"/>
    <col min="3600" max="3600" width="44.83203125" style="1023" customWidth="1"/>
    <col min="3601" max="3601" width="45" style="1023" customWidth="1"/>
    <col min="3602" max="3603" width="47.33203125" style="1023" customWidth="1"/>
    <col min="3604" max="3604" width="47.1640625" style="1023" customWidth="1"/>
    <col min="3605" max="3605" width="43.6640625" style="1023" customWidth="1"/>
    <col min="3606" max="3606" width="193.33203125" style="1023" customWidth="1"/>
    <col min="3607" max="3609" width="47.33203125" style="1023" customWidth="1"/>
    <col min="3610" max="3610" width="43.6640625" style="1023" customWidth="1"/>
    <col min="3611" max="3613" width="47.33203125" style="1023" customWidth="1"/>
    <col min="3614" max="3614" width="44" style="1023" customWidth="1"/>
    <col min="3615" max="3617" width="47.33203125" style="1023" customWidth="1"/>
    <col min="3618" max="3618" width="43.6640625" style="1023" customWidth="1"/>
    <col min="3619" max="3621" width="47.33203125" style="1023" customWidth="1"/>
    <col min="3622" max="3622" width="43.6640625" style="1023" customWidth="1"/>
    <col min="3623" max="3623" width="193.33203125" style="1023" customWidth="1"/>
    <col min="3624" max="3626" width="47.33203125" style="1023" customWidth="1"/>
    <col min="3627" max="3627" width="43.6640625" style="1023" customWidth="1"/>
    <col min="3628" max="3635" width="56" style="1023" customWidth="1"/>
    <col min="3636" max="3840" width="9.33203125" style="1023"/>
    <col min="3841" max="3841" width="193.33203125" style="1023" customWidth="1"/>
    <col min="3842" max="3842" width="47.1640625" style="1023" customWidth="1"/>
    <col min="3843" max="3843" width="47.33203125" style="1023" customWidth="1"/>
    <col min="3844" max="3844" width="47.1640625" style="1023" customWidth="1"/>
    <col min="3845" max="3845" width="43.6640625" style="1023" customWidth="1"/>
    <col min="3846" max="3847" width="47.33203125" style="1023" customWidth="1"/>
    <col min="3848" max="3848" width="47.1640625" style="1023" customWidth="1"/>
    <col min="3849" max="3849" width="43.6640625" style="1023" customWidth="1"/>
    <col min="3850" max="3851" width="47.33203125" style="1023" customWidth="1"/>
    <col min="3852" max="3852" width="47.1640625" style="1023" customWidth="1"/>
    <col min="3853" max="3853" width="43.6640625" style="1023" customWidth="1"/>
    <col min="3854" max="3855" width="45" style="1023" customWidth="1"/>
    <col min="3856" max="3856" width="44.83203125" style="1023" customWidth="1"/>
    <col min="3857" max="3857" width="45" style="1023" customWidth="1"/>
    <col min="3858" max="3859" width="47.33203125" style="1023" customWidth="1"/>
    <col min="3860" max="3860" width="47.1640625" style="1023" customWidth="1"/>
    <col min="3861" max="3861" width="43.6640625" style="1023" customWidth="1"/>
    <col min="3862" max="3862" width="193.33203125" style="1023" customWidth="1"/>
    <col min="3863" max="3865" width="47.33203125" style="1023" customWidth="1"/>
    <col min="3866" max="3866" width="43.6640625" style="1023" customWidth="1"/>
    <col min="3867" max="3869" width="47.33203125" style="1023" customWidth="1"/>
    <col min="3870" max="3870" width="44" style="1023" customWidth="1"/>
    <col min="3871" max="3873" width="47.33203125" style="1023" customWidth="1"/>
    <col min="3874" max="3874" width="43.6640625" style="1023" customWidth="1"/>
    <col min="3875" max="3877" width="47.33203125" style="1023" customWidth="1"/>
    <col min="3878" max="3878" width="43.6640625" style="1023" customWidth="1"/>
    <col min="3879" max="3879" width="193.33203125" style="1023" customWidth="1"/>
    <col min="3880" max="3882" width="47.33203125" style="1023" customWidth="1"/>
    <col min="3883" max="3883" width="43.6640625" style="1023" customWidth="1"/>
    <col min="3884" max="3891" width="56" style="1023" customWidth="1"/>
    <col min="3892" max="4096" width="9.33203125" style="1023"/>
    <col min="4097" max="4097" width="193.33203125" style="1023" customWidth="1"/>
    <col min="4098" max="4098" width="47.1640625" style="1023" customWidth="1"/>
    <col min="4099" max="4099" width="47.33203125" style="1023" customWidth="1"/>
    <col min="4100" max="4100" width="47.1640625" style="1023" customWidth="1"/>
    <col min="4101" max="4101" width="43.6640625" style="1023" customWidth="1"/>
    <col min="4102" max="4103" width="47.33203125" style="1023" customWidth="1"/>
    <col min="4104" max="4104" width="47.1640625" style="1023" customWidth="1"/>
    <col min="4105" max="4105" width="43.6640625" style="1023" customWidth="1"/>
    <col min="4106" max="4107" width="47.33203125" style="1023" customWidth="1"/>
    <col min="4108" max="4108" width="47.1640625" style="1023" customWidth="1"/>
    <col min="4109" max="4109" width="43.6640625" style="1023" customWidth="1"/>
    <col min="4110" max="4111" width="45" style="1023" customWidth="1"/>
    <col min="4112" max="4112" width="44.83203125" style="1023" customWidth="1"/>
    <col min="4113" max="4113" width="45" style="1023" customWidth="1"/>
    <col min="4114" max="4115" width="47.33203125" style="1023" customWidth="1"/>
    <col min="4116" max="4116" width="47.1640625" style="1023" customWidth="1"/>
    <col min="4117" max="4117" width="43.6640625" style="1023" customWidth="1"/>
    <col min="4118" max="4118" width="193.33203125" style="1023" customWidth="1"/>
    <col min="4119" max="4121" width="47.33203125" style="1023" customWidth="1"/>
    <col min="4122" max="4122" width="43.6640625" style="1023" customWidth="1"/>
    <col min="4123" max="4125" width="47.33203125" style="1023" customWidth="1"/>
    <col min="4126" max="4126" width="44" style="1023" customWidth="1"/>
    <col min="4127" max="4129" width="47.33203125" style="1023" customWidth="1"/>
    <col min="4130" max="4130" width="43.6640625" style="1023" customWidth="1"/>
    <col min="4131" max="4133" width="47.33203125" style="1023" customWidth="1"/>
    <col min="4134" max="4134" width="43.6640625" style="1023" customWidth="1"/>
    <col min="4135" max="4135" width="193.33203125" style="1023" customWidth="1"/>
    <col min="4136" max="4138" width="47.33203125" style="1023" customWidth="1"/>
    <col min="4139" max="4139" width="43.6640625" style="1023" customWidth="1"/>
    <col min="4140" max="4147" width="56" style="1023" customWidth="1"/>
    <col min="4148" max="4352" width="9.33203125" style="1023"/>
    <col min="4353" max="4353" width="193.33203125" style="1023" customWidth="1"/>
    <col min="4354" max="4354" width="47.1640625" style="1023" customWidth="1"/>
    <col min="4355" max="4355" width="47.33203125" style="1023" customWidth="1"/>
    <col min="4356" max="4356" width="47.1640625" style="1023" customWidth="1"/>
    <col min="4357" max="4357" width="43.6640625" style="1023" customWidth="1"/>
    <col min="4358" max="4359" width="47.33203125" style="1023" customWidth="1"/>
    <col min="4360" max="4360" width="47.1640625" style="1023" customWidth="1"/>
    <col min="4361" max="4361" width="43.6640625" style="1023" customWidth="1"/>
    <col min="4362" max="4363" width="47.33203125" style="1023" customWidth="1"/>
    <col min="4364" max="4364" width="47.1640625" style="1023" customWidth="1"/>
    <col min="4365" max="4365" width="43.6640625" style="1023" customWidth="1"/>
    <col min="4366" max="4367" width="45" style="1023" customWidth="1"/>
    <col min="4368" max="4368" width="44.83203125" style="1023" customWidth="1"/>
    <col min="4369" max="4369" width="45" style="1023" customWidth="1"/>
    <col min="4370" max="4371" width="47.33203125" style="1023" customWidth="1"/>
    <col min="4372" max="4372" width="47.1640625" style="1023" customWidth="1"/>
    <col min="4373" max="4373" width="43.6640625" style="1023" customWidth="1"/>
    <col min="4374" max="4374" width="193.33203125" style="1023" customWidth="1"/>
    <col min="4375" max="4377" width="47.33203125" style="1023" customWidth="1"/>
    <col min="4378" max="4378" width="43.6640625" style="1023" customWidth="1"/>
    <col min="4379" max="4381" width="47.33203125" style="1023" customWidth="1"/>
    <col min="4382" max="4382" width="44" style="1023" customWidth="1"/>
    <col min="4383" max="4385" width="47.33203125" style="1023" customWidth="1"/>
    <col min="4386" max="4386" width="43.6640625" style="1023" customWidth="1"/>
    <col min="4387" max="4389" width="47.33203125" style="1023" customWidth="1"/>
    <col min="4390" max="4390" width="43.6640625" style="1023" customWidth="1"/>
    <col min="4391" max="4391" width="193.33203125" style="1023" customWidth="1"/>
    <col min="4392" max="4394" width="47.33203125" style="1023" customWidth="1"/>
    <col min="4395" max="4395" width="43.6640625" style="1023" customWidth="1"/>
    <col min="4396" max="4403" width="56" style="1023" customWidth="1"/>
    <col min="4404" max="4608" width="9.33203125" style="1023"/>
    <col min="4609" max="4609" width="193.33203125" style="1023" customWidth="1"/>
    <col min="4610" max="4610" width="47.1640625" style="1023" customWidth="1"/>
    <col min="4611" max="4611" width="47.33203125" style="1023" customWidth="1"/>
    <col min="4612" max="4612" width="47.1640625" style="1023" customWidth="1"/>
    <col min="4613" max="4613" width="43.6640625" style="1023" customWidth="1"/>
    <col min="4614" max="4615" width="47.33203125" style="1023" customWidth="1"/>
    <col min="4616" max="4616" width="47.1640625" style="1023" customWidth="1"/>
    <col min="4617" max="4617" width="43.6640625" style="1023" customWidth="1"/>
    <col min="4618" max="4619" width="47.33203125" style="1023" customWidth="1"/>
    <col min="4620" max="4620" width="47.1640625" style="1023" customWidth="1"/>
    <col min="4621" max="4621" width="43.6640625" style="1023" customWidth="1"/>
    <col min="4622" max="4623" width="45" style="1023" customWidth="1"/>
    <col min="4624" max="4624" width="44.83203125" style="1023" customWidth="1"/>
    <col min="4625" max="4625" width="45" style="1023" customWidth="1"/>
    <col min="4626" max="4627" width="47.33203125" style="1023" customWidth="1"/>
    <col min="4628" max="4628" width="47.1640625" style="1023" customWidth="1"/>
    <col min="4629" max="4629" width="43.6640625" style="1023" customWidth="1"/>
    <col min="4630" max="4630" width="193.33203125" style="1023" customWidth="1"/>
    <col min="4631" max="4633" width="47.33203125" style="1023" customWidth="1"/>
    <col min="4634" max="4634" width="43.6640625" style="1023" customWidth="1"/>
    <col min="4635" max="4637" width="47.33203125" style="1023" customWidth="1"/>
    <col min="4638" max="4638" width="44" style="1023" customWidth="1"/>
    <col min="4639" max="4641" width="47.33203125" style="1023" customWidth="1"/>
    <col min="4642" max="4642" width="43.6640625" style="1023" customWidth="1"/>
    <col min="4643" max="4645" width="47.33203125" style="1023" customWidth="1"/>
    <col min="4646" max="4646" width="43.6640625" style="1023" customWidth="1"/>
    <col min="4647" max="4647" width="193.33203125" style="1023" customWidth="1"/>
    <col min="4648" max="4650" width="47.33203125" style="1023" customWidth="1"/>
    <col min="4651" max="4651" width="43.6640625" style="1023" customWidth="1"/>
    <col min="4652" max="4659" width="56" style="1023" customWidth="1"/>
    <col min="4660" max="4864" width="9.33203125" style="1023"/>
    <col min="4865" max="4865" width="193.33203125" style="1023" customWidth="1"/>
    <col min="4866" max="4866" width="47.1640625" style="1023" customWidth="1"/>
    <col min="4867" max="4867" width="47.33203125" style="1023" customWidth="1"/>
    <col min="4868" max="4868" width="47.1640625" style="1023" customWidth="1"/>
    <col min="4869" max="4869" width="43.6640625" style="1023" customWidth="1"/>
    <col min="4870" max="4871" width="47.33203125" style="1023" customWidth="1"/>
    <col min="4872" max="4872" width="47.1640625" style="1023" customWidth="1"/>
    <col min="4873" max="4873" width="43.6640625" style="1023" customWidth="1"/>
    <col min="4874" max="4875" width="47.33203125" style="1023" customWidth="1"/>
    <col min="4876" max="4876" width="47.1640625" style="1023" customWidth="1"/>
    <col min="4877" max="4877" width="43.6640625" style="1023" customWidth="1"/>
    <col min="4878" max="4879" width="45" style="1023" customWidth="1"/>
    <col min="4880" max="4880" width="44.83203125" style="1023" customWidth="1"/>
    <col min="4881" max="4881" width="45" style="1023" customWidth="1"/>
    <col min="4882" max="4883" width="47.33203125" style="1023" customWidth="1"/>
    <col min="4884" max="4884" width="47.1640625" style="1023" customWidth="1"/>
    <col min="4885" max="4885" width="43.6640625" style="1023" customWidth="1"/>
    <col min="4886" max="4886" width="193.33203125" style="1023" customWidth="1"/>
    <col min="4887" max="4889" width="47.33203125" style="1023" customWidth="1"/>
    <col min="4890" max="4890" width="43.6640625" style="1023" customWidth="1"/>
    <col min="4891" max="4893" width="47.33203125" style="1023" customWidth="1"/>
    <col min="4894" max="4894" width="44" style="1023" customWidth="1"/>
    <col min="4895" max="4897" width="47.33203125" style="1023" customWidth="1"/>
    <col min="4898" max="4898" width="43.6640625" style="1023" customWidth="1"/>
    <col min="4899" max="4901" width="47.33203125" style="1023" customWidth="1"/>
    <col min="4902" max="4902" width="43.6640625" style="1023" customWidth="1"/>
    <col min="4903" max="4903" width="193.33203125" style="1023" customWidth="1"/>
    <col min="4904" max="4906" width="47.33203125" style="1023" customWidth="1"/>
    <col min="4907" max="4907" width="43.6640625" style="1023" customWidth="1"/>
    <col min="4908" max="4915" width="56" style="1023" customWidth="1"/>
    <col min="4916" max="5120" width="9.33203125" style="1023"/>
    <col min="5121" max="5121" width="193.33203125" style="1023" customWidth="1"/>
    <col min="5122" max="5122" width="47.1640625" style="1023" customWidth="1"/>
    <col min="5123" max="5123" width="47.33203125" style="1023" customWidth="1"/>
    <col min="5124" max="5124" width="47.1640625" style="1023" customWidth="1"/>
    <col min="5125" max="5125" width="43.6640625" style="1023" customWidth="1"/>
    <col min="5126" max="5127" width="47.33203125" style="1023" customWidth="1"/>
    <col min="5128" max="5128" width="47.1640625" style="1023" customWidth="1"/>
    <col min="5129" max="5129" width="43.6640625" style="1023" customWidth="1"/>
    <col min="5130" max="5131" width="47.33203125" style="1023" customWidth="1"/>
    <col min="5132" max="5132" width="47.1640625" style="1023" customWidth="1"/>
    <col min="5133" max="5133" width="43.6640625" style="1023" customWidth="1"/>
    <col min="5134" max="5135" width="45" style="1023" customWidth="1"/>
    <col min="5136" max="5136" width="44.83203125" style="1023" customWidth="1"/>
    <col min="5137" max="5137" width="45" style="1023" customWidth="1"/>
    <col min="5138" max="5139" width="47.33203125" style="1023" customWidth="1"/>
    <col min="5140" max="5140" width="47.1640625" style="1023" customWidth="1"/>
    <col min="5141" max="5141" width="43.6640625" style="1023" customWidth="1"/>
    <col min="5142" max="5142" width="193.33203125" style="1023" customWidth="1"/>
    <col min="5143" max="5145" width="47.33203125" style="1023" customWidth="1"/>
    <col min="5146" max="5146" width="43.6640625" style="1023" customWidth="1"/>
    <col min="5147" max="5149" width="47.33203125" style="1023" customWidth="1"/>
    <col min="5150" max="5150" width="44" style="1023" customWidth="1"/>
    <col min="5151" max="5153" width="47.33203125" style="1023" customWidth="1"/>
    <col min="5154" max="5154" width="43.6640625" style="1023" customWidth="1"/>
    <col min="5155" max="5157" width="47.33203125" style="1023" customWidth="1"/>
    <col min="5158" max="5158" width="43.6640625" style="1023" customWidth="1"/>
    <col min="5159" max="5159" width="193.33203125" style="1023" customWidth="1"/>
    <col min="5160" max="5162" width="47.33203125" style="1023" customWidth="1"/>
    <col min="5163" max="5163" width="43.6640625" style="1023" customWidth="1"/>
    <col min="5164" max="5171" width="56" style="1023" customWidth="1"/>
    <col min="5172" max="5376" width="9.33203125" style="1023"/>
    <col min="5377" max="5377" width="193.33203125" style="1023" customWidth="1"/>
    <col min="5378" max="5378" width="47.1640625" style="1023" customWidth="1"/>
    <col min="5379" max="5379" width="47.33203125" style="1023" customWidth="1"/>
    <col min="5380" max="5380" width="47.1640625" style="1023" customWidth="1"/>
    <col min="5381" max="5381" width="43.6640625" style="1023" customWidth="1"/>
    <col min="5382" max="5383" width="47.33203125" style="1023" customWidth="1"/>
    <col min="5384" max="5384" width="47.1640625" style="1023" customWidth="1"/>
    <col min="5385" max="5385" width="43.6640625" style="1023" customWidth="1"/>
    <col min="5386" max="5387" width="47.33203125" style="1023" customWidth="1"/>
    <col min="5388" max="5388" width="47.1640625" style="1023" customWidth="1"/>
    <col min="5389" max="5389" width="43.6640625" style="1023" customWidth="1"/>
    <col min="5390" max="5391" width="45" style="1023" customWidth="1"/>
    <col min="5392" max="5392" width="44.83203125" style="1023" customWidth="1"/>
    <col min="5393" max="5393" width="45" style="1023" customWidth="1"/>
    <col min="5394" max="5395" width="47.33203125" style="1023" customWidth="1"/>
    <col min="5396" max="5396" width="47.1640625" style="1023" customWidth="1"/>
    <col min="5397" max="5397" width="43.6640625" style="1023" customWidth="1"/>
    <col min="5398" max="5398" width="193.33203125" style="1023" customWidth="1"/>
    <col min="5399" max="5401" width="47.33203125" style="1023" customWidth="1"/>
    <col min="5402" max="5402" width="43.6640625" style="1023" customWidth="1"/>
    <col min="5403" max="5405" width="47.33203125" style="1023" customWidth="1"/>
    <col min="5406" max="5406" width="44" style="1023" customWidth="1"/>
    <col min="5407" max="5409" width="47.33203125" style="1023" customWidth="1"/>
    <col min="5410" max="5410" width="43.6640625" style="1023" customWidth="1"/>
    <col min="5411" max="5413" width="47.33203125" style="1023" customWidth="1"/>
    <col min="5414" max="5414" width="43.6640625" style="1023" customWidth="1"/>
    <col min="5415" max="5415" width="193.33203125" style="1023" customWidth="1"/>
    <col min="5416" max="5418" width="47.33203125" style="1023" customWidth="1"/>
    <col min="5419" max="5419" width="43.6640625" style="1023" customWidth="1"/>
    <col min="5420" max="5427" width="56" style="1023" customWidth="1"/>
    <col min="5428" max="5632" width="9.33203125" style="1023"/>
    <col min="5633" max="5633" width="193.33203125" style="1023" customWidth="1"/>
    <col min="5634" max="5634" width="47.1640625" style="1023" customWidth="1"/>
    <col min="5635" max="5635" width="47.33203125" style="1023" customWidth="1"/>
    <col min="5636" max="5636" width="47.1640625" style="1023" customWidth="1"/>
    <col min="5637" max="5637" width="43.6640625" style="1023" customWidth="1"/>
    <col min="5638" max="5639" width="47.33203125" style="1023" customWidth="1"/>
    <col min="5640" max="5640" width="47.1640625" style="1023" customWidth="1"/>
    <col min="5641" max="5641" width="43.6640625" style="1023" customWidth="1"/>
    <col min="5642" max="5643" width="47.33203125" style="1023" customWidth="1"/>
    <col min="5644" max="5644" width="47.1640625" style="1023" customWidth="1"/>
    <col min="5645" max="5645" width="43.6640625" style="1023" customWidth="1"/>
    <col min="5646" max="5647" width="45" style="1023" customWidth="1"/>
    <col min="5648" max="5648" width="44.83203125" style="1023" customWidth="1"/>
    <col min="5649" max="5649" width="45" style="1023" customWidth="1"/>
    <col min="5650" max="5651" width="47.33203125" style="1023" customWidth="1"/>
    <col min="5652" max="5652" width="47.1640625" style="1023" customWidth="1"/>
    <col min="5653" max="5653" width="43.6640625" style="1023" customWidth="1"/>
    <col min="5654" max="5654" width="193.33203125" style="1023" customWidth="1"/>
    <col min="5655" max="5657" width="47.33203125" style="1023" customWidth="1"/>
    <col min="5658" max="5658" width="43.6640625" style="1023" customWidth="1"/>
    <col min="5659" max="5661" width="47.33203125" style="1023" customWidth="1"/>
    <col min="5662" max="5662" width="44" style="1023" customWidth="1"/>
    <col min="5663" max="5665" width="47.33203125" style="1023" customWidth="1"/>
    <col min="5666" max="5666" width="43.6640625" style="1023" customWidth="1"/>
    <col min="5667" max="5669" width="47.33203125" style="1023" customWidth="1"/>
    <col min="5670" max="5670" width="43.6640625" style="1023" customWidth="1"/>
    <col min="5671" max="5671" width="193.33203125" style="1023" customWidth="1"/>
    <col min="5672" max="5674" width="47.33203125" style="1023" customWidth="1"/>
    <col min="5675" max="5675" width="43.6640625" style="1023" customWidth="1"/>
    <col min="5676" max="5683" width="56" style="1023" customWidth="1"/>
    <col min="5684" max="5888" width="9.33203125" style="1023"/>
    <col min="5889" max="5889" width="193.33203125" style="1023" customWidth="1"/>
    <col min="5890" max="5890" width="47.1640625" style="1023" customWidth="1"/>
    <col min="5891" max="5891" width="47.33203125" style="1023" customWidth="1"/>
    <col min="5892" max="5892" width="47.1640625" style="1023" customWidth="1"/>
    <col min="5893" max="5893" width="43.6640625" style="1023" customWidth="1"/>
    <col min="5894" max="5895" width="47.33203125" style="1023" customWidth="1"/>
    <col min="5896" max="5896" width="47.1640625" style="1023" customWidth="1"/>
    <col min="5897" max="5897" width="43.6640625" style="1023" customWidth="1"/>
    <col min="5898" max="5899" width="47.33203125" style="1023" customWidth="1"/>
    <col min="5900" max="5900" width="47.1640625" style="1023" customWidth="1"/>
    <col min="5901" max="5901" width="43.6640625" style="1023" customWidth="1"/>
    <col min="5902" max="5903" width="45" style="1023" customWidth="1"/>
    <col min="5904" max="5904" width="44.83203125" style="1023" customWidth="1"/>
    <col min="5905" max="5905" width="45" style="1023" customWidth="1"/>
    <col min="5906" max="5907" width="47.33203125" style="1023" customWidth="1"/>
    <col min="5908" max="5908" width="47.1640625" style="1023" customWidth="1"/>
    <col min="5909" max="5909" width="43.6640625" style="1023" customWidth="1"/>
    <col min="5910" max="5910" width="193.33203125" style="1023" customWidth="1"/>
    <col min="5911" max="5913" width="47.33203125" style="1023" customWidth="1"/>
    <col min="5914" max="5914" width="43.6640625" style="1023" customWidth="1"/>
    <col min="5915" max="5917" width="47.33203125" style="1023" customWidth="1"/>
    <col min="5918" max="5918" width="44" style="1023" customWidth="1"/>
    <col min="5919" max="5921" width="47.33203125" style="1023" customWidth="1"/>
    <col min="5922" max="5922" width="43.6640625" style="1023" customWidth="1"/>
    <col min="5923" max="5925" width="47.33203125" style="1023" customWidth="1"/>
    <col min="5926" max="5926" width="43.6640625" style="1023" customWidth="1"/>
    <col min="5927" max="5927" width="193.33203125" style="1023" customWidth="1"/>
    <col min="5928" max="5930" width="47.33203125" style="1023" customWidth="1"/>
    <col min="5931" max="5931" width="43.6640625" style="1023" customWidth="1"/>
    <col min="5932" max="5939" width="56" style="1023" customWidth="1"/>
    <col min="5940" max="6144" width="9.33203125" style="1023"/>
    <col min="6145" max="6145" width="193.33203125" style="1023" customWidth="1"/>
    <col min="6146" max="6146" width="47.1640625" style="1023" customWidth="1"/>
    <col min="6147" max="6147" width="47.33203125" style="1023" customWidth="1"/>
    <col min="6148" max="6148" width="47.1640625" style="1023" customWidth="1"/>
    <col min="6149" max="6149" width="43.6640625" style="1023" customWidth="1"/>
    <col min="6150" max="6151" width="47.33203125" style="1023" customWidth="1"/>
    <col min="6152" max="6152" width="47.1640625" style="1023" customWidth="1"/>
    <col min="6153" max="6153" width="43.6640625" style="1023" customWidth="1"/>
    <col min="6154" max="6155" width="47.33203125" style="1023" customWidth="1"/>
    <col min="6156" max="6156" width="47.1640625" style="1023" customWidth="1"/>
    <col min="6157" max="6157" width="43.6640625" style="1023" customWidth="1"/>
    <col min="6158" max="6159" width="45" style="1023" customWidth="1"/>
    <col min="6160" max="6160" width="44.83203125" style="1023" customWidth="1"/>
    <col min="6161" max="6161" width="45" style="1023" customWidth="1"/>
    <col min="6162" max="6163" width="47.33203125" style="1023" customWidth="1"/>
    <col min="6164" max="6164" width="47.1640625" style="1023" customWidth="1"/>
    <col min="6165" max="6165" width="43.6640625" style="1023" customWidth="1"/>
    <col min="6166" max="6166" width="193.33203125" style="1023" customWidth="1"/>
    <col min="6167" max="6169" width="47.33203125" style="1023" customWidth="1"/>
    <col min="6170" max="6170" width="43.6640625" style="1023" customWidth="1"/>
    <col min="6171" max="6173" width="47.33203125" style="1023" customWidth="1"/>
    <col min="6174" max="6174" width="44" style="1023" customWidth="1"/>
    <col min="6175" max="6177" width="47.33203125" style="1023" customWidth="1"/>
    <col min="6178" max="6178" width="43.6640625" style="1023" customWidth="1"/>
    <col min="6179" max="6181" width="47.33203125" style="1023" customWidth="1"/>
    <col min="6182" max="6182" width="43.6640625" style="1023" customWidth="1"/>
    <col min="6183" max="6183" width="193.33203125" style="1023" customWidth="1"/>
    <col min="6184" max="6186" width="47.33203125" style="1023" customWidth="1"/>
    <col min="6187" max="6187" width="43.6640625" style="1023" customWidth="1"/>
    <col min="6188" max="6195" width="56" style="1023" customWidth="1"/>
    <col min="6196" max="6400" width="9.33203125" style="1023"/>
    <col min="6401" max="6401" width="193.33203125" style="1023" customWidth="1"/>
    <col min="6402" max="6402" width="47.1640625" style="1023" customWidth="1"/>
    <col min="6403" max="6403" width="47.33203125" style="1023" customWidth="1"/>
    <col min="6404" max="6404" width="47.1640625" style="1023" customWidth="1"/>
    <col min="6405" max="6405" width="43.6640625" style="1023" customWidth="1"/>
    <col min="6406" max="6407" width="47.33203125" style="1023" customWidth="1"/>
    <col min="6408" max="6408" width="47.1640625" style="1023" customWidth="1"/>
    <col min="6409" max="6409" width="43.6640625" style="1023" customWidth="1"/>
    <col min="6410" max="6411" width="47.33203125" style="1023" customWidth="1"/>
    <col min="6412" max="6412" width="47.1640625" style="1023" customWidth="1"/>
    <col min="6413" max="6413" width="43.6640625" style="1023" customWidth="1"/>
    <col min="6414" max="6415" width="45" style="1023" customWidth="1"/>
    <col min="6416" max="6416" width="44.83203125" style="1023" customWidth="1"/>
    <col min="6417" max="6417" width="45" style="1023" customWidth="1"/>
    <col min="6418" max="6419" width="47.33203125" style="1023" customWidth="1"/>
    <col min="6420" max="6420" width="47.1640625" style="1023" customWidth="1"/>
    <col min="6421" max="6421" width="43.6640625" style="1023" customWidth="1"/>
    <col min="6422" max="6422" width="193.33203125" style="1023" customWidth="1"/>
    <col min="6423" max="6425" width="47.33203125" style="1023" customWidth="1"/>
    <col min="6426" max="6426" width="43.6640625" style="1023" customWidth="1"/>
    <col min="6427" max="6429" width="47.33203125" style="1023" customWidth="1"/>
    <col min="6430" max="6430" width="44" style="1023" customWidth="1"/>
    <col min="6431" max="6433" width="47.33203125" style="1023" customWidth="1"/>
    <col min="6434" max="6434" width="43.6640625" style="1023" customWidth="1"/>
    <col min="6435" max="6437" width="47.33203125" style="1023" customWidth="1"/>
    <col min="6438" max="6438" width="43.6640625" style="1023" customWidth="1"/>
    <col min="6439" max="6439" width="193.33203125" style="1023" customWidth="1"/>
    <col min="6440" max="6442" width="47.33203125" style="1023" customWidth="1"/>
    <col min="6443" max="6443" width="43.6640625" style="1023" customWidth="1"/>
    <col min="6444" max="6451" width="56" style="1023" customWidth="1"/>
    <col min="6452" max="6656" width="9.33203125" style="1023"/>
    <col min="6657" max="6657" width="193.33203125" style="1023" customWidth="1"/>
    <col min="6658" max="6658" width="47.1640625" style="1023" customWidth="1"/>
    <col min="6659" max="6659" width="47.33203125" style="1023" customWidth="1"/>
    <col min="6660" max="6660" width="47.1640625" style="1023" customWidth="1"/>
    <col min="6661" max="6661" width="43.6640625" style="1023" customWidth="1"/>
    <col min="6662" max="6663" width="47.33203125" style="1023" customWidth="1"/>
    <col min="6664" max="6664" width="47.1640625" style="1023" customWidth="1"/>
    <col min="6665" max="6665" width="43.6640625" style="1023" customWidth="1"/>
    <col min="6666" max="6667" width="47.33203125" style="1023" customWidth="1"/>
    <col min="6668" max="6668" width="47.1640625" style="1023" customWidth="1"/>
    <col min="6669" max="6669" width="43.6640625" style="1023" customWidth="1"/>
    <col min="6670" max="6671" width="45" style="1023" customWidth="1"/>
    <col min="6672" max="6672" width="44.83203125" style="1023" customWidth="1"/>
    <col min="6673" max="6673" width="45" style="1023" customWidth="1"/>
    <col min="6674" max="6675" width="47.33203125" style="1023" customWidth="1"/>
    <col min="6676" max="6676" width="47.1640625" style="1023" customWidth="1"/>
    <col min="6677" max="6677" width="43.6640625" style="1023" customWidth="1"/>
    <col min="6678" max="6678" width="193.33203125" style="1023" customWidth="1"/>
    <col min="6679" max="6681" width="47.33203125" style="1023" customWidth="1"/>
    <col min="6682" max="6682" width="43.6640625" style="1023" customWidth="1"/>
    <col min="6683" max="6685" width="47.33203125" style="1023" customWidth="1"/>
    <col min="6686" max="6686" width="44" style="1023" customWidth="1"/>
    <col min="6687" max="6689" width="47.33203125" style="1023" customWidth="1"/>
    <col min="6690" max="6690" width="43.6640625" style="1023" customWidth="1"/>
    <col min="6691" max="6693" width="47.33203125" style="1023" customWidth="1"/>
    <col min="6694" max="6694" width="43.6640625" style="1023" customWidth="1"/>
    <col min="6695" max="6695" width="193.33203125" style="1023" customWidth="1"/>
    <col min="6696" max="6698" width="47.33203125" style="1023" customWidth="1"/>
    <col min="6699" max="6699" width="43.6640625" style="1023" customWidth="1"/>
    <col min="6700" max="6707" width="56" style="1023" customWidth="1"/>
    <col min="6708" max="6912" width="9.33203125" style="1023"/>
    <col min="6913" max="6913" width="193.33203125" style="1023" customWidth="1"/>
    <col min="6914" max="6914" width="47.1640625" style="1023" customWidth="1"/>
    <col min="6915" max="6915" width="47.33203125" style="1023" customWidth="1"/>
    <col min="6916" max="6916" width="47.1640625" style="1023" customWidth="1"/>
    <col min="6917" max="6917" width="43.6640625" style="1023" customWidth="1"/>
    <col min="6918" max="6919" width="47.33203125" style="1023" customWidth="1"/>
    <col min="6920" max="6920" width="47.1640625" style="1023" customWidth="1"/>
    <col min="6921" max="6921" width="43.6640625" style="1023" customWidth="1"/>
    <col min="6922" max="6923" width="47.33203125" style="1023" customWidth="1"/>
    <col min="6924" max="6924" width="47.1640625" style="1023" customWidth="1"/>
    <col min="6925" max="6925" width="43.6640625" style="1023" customWidth="1"/>
    <col min="6926" max="6927" width="45" style="1023" customWidth="1"/>
    <col min="6928" max="6928" width="44.83203125" style="1023" customWidth="1"/>
    <col min="6929" max="6929" width="45" style="1023" customWidth="1"/>
    <col min="6930" max="6931" width="47.33203125" style="1023" customWidth="1"/>
    <col min="6932" max="6932" width="47.1640625" style="1023" customWidth="1"/>
    <col min="6933" max="6933" width="43.6640625" style="1023" customWidth="1"/>
    <col min="6934" max="6934" width="193.33203125" style="1023" customWidth="1"/>
    <col min="6935" max="6937" width="47.33203125" style="1023" customWidth="1"/>
    <col min="6938" max="6938" width="43.6640625" style="1023" customWidth="1"/>
    <col min="6939" max="6941" width="47.33203125" style="1023" customWidth="1"/>
    <col min="6942" max="6942" width="44" style="1023" customWidth="1"/>
    <col min="6943" max="6945" width="47.33203125" style="1023" customWidth="1"/>
    <col min="6946" max="6946" width="43.6640625" style="1023" customWidth="1"/>
    <col min="6947" max="6949" width="47.33203125" style="1023" customWidth="1"/>
    <col min="6950" max="6950" width="43.6640625" style="1023" customWidth="1"/>
    <col min="6951" max="6951" width="193.33203125" style="1023" customWidth="1"/>
    <col min="6952" max="6954" width="47.33203125" style="1023" customWidth="1"/>
    <col min="6955" max="6955" width="43.6640625" style="1023" customWidth="1"/>
    <col min="6956" max="6963" width="56" style="1023" customWidth="1"/>
    <col min="6964" max="7168" width="9.33203125" style="1023"/>
    <col min="7169" max="7169" width="193.33203125" style="1023" customWidth="1"/>
    <col min="7170" max="7170" width="47.1640625" style="1023" customWidth="1"/>
    <col min="7171" max="7171" width="47.33203125" style="1023" customWidth="1"/>
    <col min="7172" max="7172" width="47.1640625" style="1023" customWidth="1"/>
    <col min="7173" max="7173" width="43.6640625" style="1023" customWidth="1"/>
    <col min="7174" max="7175" width="47.33203125" style="1023" customWidth="1"/>
    <col min="7176" max="7176" width="47.1640625" style="1023" customWidth="1"/>
    <col min="7177" max="7177" width="43.6640625" style="1023" customWidth="1"/>
    <col min="7178" max="7179" width="47.33203125" style="1023" customWidth="1"/>
    <col min="7180" max="7180" width="47.1640625" style="1023" customWidth="1"/>
    <col min="7181" max="7181" width="43.6640625" style="1023" customWidth="1"/>
    <col min="7182" max="7183" width="45" style="1023" customWidth="1"/>
    <col min="7184" max="7184" width="44.83203125" style="1023" customWidth="1"/>
    <col min="7185" max="7185" width="45" style="1023" customWidth="1"/>
    <col min="7186" max="7187" width="47.33203125" style="1023" customWidth="1"/>
    <col min="7188" max="7188" width="47.1640625" style="1023" customWidth="1"/>
    <col min="7189" max="7189" width="43.6640625" style="1023" customWidth="1"/>
    <col min="7190" max="7190" width="193.33203125" style="1023" customWidth="1"/>
    <col min="7191" max="7193" width="47.33203125" style="1023" customWidth="1"/>
    <col min="7194" max="7194" width="43.6640625" style="1023" customWidth="1"/>
    <col min="7195" max="7197" width="47.33203125" style="1023" customWidth="1"/>
    <col min="7198" max="7198" width="44" style="1023" customWidth="1"/>
    <col min="7199" max="7201" width="47.33203125" style="1023" customWidth="1"/>
    <col min="7202" max="7202" width="43.6640625" style="1023" customWidth="1"/>
    <col min="7203" max="7205" width="47.33203125" style="1023" customWidth="1"/>
    <col min="7206" max="7206" width="43.6640625" style="1023" customWidth="1"/>
    <col min="7207" max="7207" width="193.33203125" style="1023" customWidth="1"/>
    <col min="7208" max="7210" width="47.33203125" style="1023" customWidth="1"/>
    <col min="7211" max="7211" width="43.6640625" style="1023" customWidth="1"/>
    <col min="7212" max="7219" width="56" style="1023" customWidth="1"/>
    <col min="7220" max="7424" width="9.33203125" style="1023"/>
    <col min="7425" max="7425" width="193.33203125" style="1023" customWidth="1"/>
    <col min="7426" max="7426" width="47.1640625" style="1023" customWidth="1"/>
    <col min="7427" max="7427" width="47.33203125" style="1023" customWidth="1"/>
    <col min="7428" max="7428" width="47.1640625" style="1023" customWidth="1"/>
    <col min="7429" max="7429" width="43.6640625" style="1023" customWidth="1"/>
    <col min="7430" max="7431" width="47.33203125" style="1023" customWidth="1"/>
    <col min="7432" max="7432" width="47.1640625" style="1023" customWidth="1"/>
    <col min="7433" max="7433" width="43.6640625" style="1023" customWidth="1"/>
    <col min="7434" max="7435" width="47.33203125" style="1023" customWidth="1"/>
    <col min="7436" max="7436" width="47.1640625" style="1023" customWidth="1"/>
    <col min="7437" max="7437" width="43.6640625" style="1023" customWidth="1"/>
    <col min="7438" max="7439" width="45" style="1023" customWidth="1"/>
    <col min="7440" max="7440" width="44.83203125" style="1023" customWidth="1"/>
    <col min="7441" max="7441" width="45" style="1023" customWidth="1"/>
    <col min="7442" max="7443" width="47.33203125" style="1023" customWidth="1"/>
    <col min="7444" max="7444" width="47.1640625" style="1023" customWidth="1"/>
    <col min="7445" max="7445" width="43.6640625" style="1023" customWidth="1"/>
    <col min="7446" max="7446" width="193.33203125" style="1023" customWidth="1"/>
    <col min="7447" max="7449" width="47.33203125" style="1023" customWidth="1"/>
    <col min="7450" max="7450" width="43.6640625" style="1023" customWidth="1"/>
    <col min="7451" max="7453" width="47.33203125" style="1023" customWidth="1"/>
    <col min="7454" max="7454" width="44" style="1023" customWidth="1"/>
    <col min="7455" max="7457" width="47.33203125" style="1023" customWidth="1"/>
    <col min="7458" max="7458" width="43.6640625" style="1023" customWidth="1"/>
    <col min="7459" max="7461" width="47.33203125" style="1023" customWidth="1"/>
    <col min="7462" max="7462" width="43.6640625" style="1023" customWidth="1"/>
    <col min="7463" max="7463" width="193.33203125" style="1023" customWidth="1"/>
    <col min="7464" max="7466" width="47.33203125" style="1023" customWidth="1"/>
    <col min="7467" max="7467" width="43.6640625" style="1023" customWidth="1"/>
    <col min="7468" max="7475" width="56" style="1023" customWidth="1"/>
    <col min="7476" max="7680" width="9.33203125" style="1023"/>
    <col min="7681" max="7681" width="193.33203125" style="1023" customWidth="1"/>
    <col min="7682" max="7682" width="47.1640625" style="1023" customWidth="1"/>
    <col min="7683" max="7683" width="47.33203125" style="1023" customWidth="1"/>
    <col min="7684" max="7684" width="47.1640625" style="1023" customWidth="1"/>
    <col min="7685" max="7685" width="43.6640625" style="1023" customWidth="1"/>
    <col min="7686" max="7687" width="47.33203125" style="1023" customWidth="1"/>
    <col min="7688" max="7688" width="47.1640625" style="1023" customWidth="1"/>
    <col min="7689" max="7689" width="43.6640625" style="1023" customWidth="1"/>
    <col min="7690" max="7691" width="47.33203125" style="1023" customWidth="1"/>
    <col min="7692" max="7692" width="47.1640625" style="1023" customWidth="1"/>
    <col min="7693" max="7693" width="43.6640625" style="1023" customWidth="1"/>
    <col min="7694" max="7695" width="45" style="1023" customWidth="1"/>
    <col min="7696" max="7696" width="44.83203125" style="1023" customWidth="1"/>
    <col min="7697" max="7697" width="45" style="1023" customWidth="1"/>
    <col min="7698" max="7699" width="47.33203125" style="1023" customWidth="1"/>
    <col min="7700" max="7700" width="47.1640625" style="1023" customWidth="1"/>
    <col min="7701" max="7701" width="43.6640625" style="1023" customWidth="1"/>
    <col min="7702" max="7702" width="193.33203125" style="1023" customWidth="1"/>
    <col min="7703" max="7705" width="47.33203125" style="1023" customWidth="1"/>
    <col min="7706" max="7706" width="43.6640625" style="1023" customWidth="1"/>
    <col min="7707" max="7709" width="47.33203125" style="1023" customWidth="1"/>
    <col min="7710" max="7710" width="44" style="1023" customWidth="1"/>
    <col min="7711" max="7713" width="47.33203125" style="1023" customWidth="1"/>
    <col min="7714" max="7714" width="43.6640625" style="1023" customWidth="1"/>
    <col min="7715" max="7717" width="47.33203125" style="1023" customWidth="1"/>
    <col min="7718" max="7718" width="43.6640625" style="1023" customWidth="1"/>
    <col min="7719" max="7719" width="193.33203125" style="1023" customWidth="1"/>
    <col min="7720" max="7722" width="47.33203125" style="1023" customWidth="1"/>
    <col min="7723" max="7723" width="43.6640625" style="1023" customWidth="1"/>
    <col min="7724" max="7731" width="56" style="1023" customWidth="1"/>
    <col min="7732" max="7936" width="9.33203125" style="1023"/>
    <col min="7937" max="7937" width="193.33203125" style="1023" customWidth="1"/>
    <col min="7938" max="7938" width="47.1640625" style="1023" customWidth="1"/>
    <col min="7939" max="7939" width="47.33203125" style="1023" customWidth="1"/>
    <col min="7940" max="7940" width="47.1640625" style="1023" customWidth="1"/>
    <col min="7941" max="7941" width="43.6640625" style="1023" customWidth="1"/>
    <col min="7942" max="7943" width="47.33203125" style="1023" customWidth="1"/>
    <col min="7944" max="7944" width="47.1640625" style="1023" customWidth="1"/>
    <col min="7945" max="7945" width="43.6640625" style="1023" customWidth="1"/>
    <col min="7946" max="7947" width="47.33203125" style="1023" customWidth="1"/>
    <col min="7948" max="7948" width="47.1640625" style="1023" customWidth="1"/>
    <col min="7949" max="7949" width="43.6640625" style="1023" customWidth="1"/>
    <col min="7950" max="7951" width="45" style="1023" customWidth="1"/>
    <col min="7952" max="7952" width="44.83203125" style="1023" customWidth="1"/>
    <col min="7953" max="7953" width="45" style="1023" customWidth="1"/>
    <col min="7954" max="7955" width="47.33203125" style="1023" customWidth="1"/>
    <col min="7956" max="7956" width="47.1640625" style="1023" customWidth="1"/>
    <col min="7957" max="7957" width="43.6640625" style="1023" customWidth="1"/>
    <col min="7958" max="7958" width="193.33203125" style="1023" customWidth="1"/>
    <col min="7959" max="7961" width="47.33203125" style="1023" customWidth="1"/>
    <col min="7962" max="7962" width="43.6640625" style="1023" customWidth="1"/>
    <col min="7963" max="7965" width="47.33203125" style="1023" customWidth="1"/>
    <col min="7966" max="7966" width="44" style="1023" customWidth="1"/>
    <col min="7967" max="7969" width="47.33203125" style="1023" customWidth="1"/>
    <col min="7970" max="7970" width="43.6640625" style="1023" customWidth="1"/>
    <col min="7971" max="7973" width="47.33203125" style="1023" customWidth="1"/>
    <col min="7974" max="7974" width="43.6640625" style="1023" customWidth="1"/>
    <col min="7975" max="7975" width="193.33203125" style="1023" customWidth="1"/>
    <col min="7976" max="7978" width="47.33203125" style="1023" customWidth="1"/>
    <col min="7979" max="7979" width="43.6640625" style="1023" customWidth="1"/>
    <col min="7980" max="7987" width="56" style="1023" customWidth="1"/>
    <col min="7988" max="8192" width="9.33203125" style="1023"/>
    <col min="8193" max="8193" width="193.33203125" style="1023" customWidth="1"/>
    <col min="8194" max="8194" width="47.1640625" style="1023" customWidth="1"/>
    <col min="8195" max="8195" width="47.33203125" style="1023" customWidth="1"/>
    <col min="8196" max="8196" width="47.1640625" style="1023" customWidth="1"/>
    <col min="8197" max="8197" width="43.6640625" style="1023" customWidth="1"/>
    <col min="8198" max="8199" width="47.33203125" style="1023" customWidth="1"/>
    <col min="8200" max="8200" width="47.1640625" style="1023" customWidth="1"/>
    <col min="8201" max="8201" width="43.6640625" style="1023" customWidth="1"/>
    <col min="8202" max="8203" width="47.33203125" style="1023" customWidth="1"/>
    <col min="8204" max="8204" width="47.1640625" style="1023" customWidth="1"/>
    <col min="8205" max="8205" width="43.6640625" style="1023" customWidth="1"/>
    <col min="8206" max="8207" width="45" style="1023" customWidth="1"/>
    <col min="8208" max="8208" width="44.83203125" style="1023" customWidth="1"/>
    <col min="8209" max="8209" width="45" style="1023" customWidth="1"/>
    <col min="8210" max="8211" width="47.33203125" style="1023" customWidth="1"/>
    <col min="8212" max="8212" width="47.1640625" style="1023" customWidth="1"/>
    <col min="8213" max="8213" width="43.6640625" style="1023" customWidth="1"/>
    <col min="8214" max="8214" width="193.33203125" style="1023" customWidth="1"/>
    <col min="8215" max="8217" width="47.33203125" style="1023" customWidth="1"/>
    <col min="8218" max="8218" width="43.6640625" style="1023" customWidth="1"/>
    <col min="8219" max="8221" width="47.33203125" style="1023" customWidth="1"/>
    <col min="8222" max="8222" width="44" style="1023" customWidth="1"/>
    <col min="8223" max="8225" width="47.33203125" style="1023" customWidth="1"/>
    <col min="8226" max="8226" width="43.6640625" style="1023" customWidth="1"/>
    <col min="8227" max="8229" width="47.33203125" style="1023" customWidth="1"/>
    <col min="8230" max="8230" width="43.6640625" style="1023" customWidth="1"/>
    <col min="8231" max="8231" width="193.33203125" style="1023" customWidth="1"/>
    <col min="8232" max="8234" width="47.33203125" style="1023" customWidth="1"/>
    <col min="8235" max="8235" width="43.6640625" style="1023" customWidth="1"/>
    <col min="8236" max="8243" width="56" style="1023" customWidth="1"/>
    <col min="8244" max="8448" width="9.33203125" style="1023"/>
    <col min="8449" max="8449" width="193.33203125" style="1023" customWidth="1"/>
    <col min="8450" max="8450" width="47.1640625" style="1023" customWidth="1"/>
    <col min="8451" max="8451" width="47.33203125" style="1023" customWidth="1"/>
    <col min="8452" max="8452" width="47.1640625" style="1023" customWidth="1"/>
    <col min="8453" max="8453" width="43.6640625" style="1023" customWidth="1"/>
    <col min="8454" max="8455" width="47.33203125" style="1023" customWidth="1"/>
    <col min="8456" max="8456" width="47.1640625" style="1023" customWidth="1"/>
    <col min="8457" max="8457" width="43.6640625" style="1023" customWidth="1"/>
    <col min="8458" max="8459" width="47.33203125" style="1023" customWidth="1"/>
    <col min="8460" max="8460" width="47.1640625" style="1023" customWidth="1"/>
    <col min="8461" max="8461" width="43.6640625" style="1023" customWidth="1"/>
    <col min="8462" max="8463" width="45" style="1023" customWidth="1"/>
    <col min="8464" max="8464" width="44.83203125" style="1023" customWidth="1"/>
    <col min="8465" max="8465" width="45" style="1023" customWidth="1"/>
    <col min="8466" max="8467" width="47.33203125" style="1023" customWidth="1"/>
    <col min="8468" max="8468" width="47.1640625" style="1023" customWidth="1"/>
    <col min="8469" max="8469" width="43.6640625" style="1023" customWidth="1"/>
    <col min="8470" max="8470" width="193.33203125" style="1023" customWidth="1"/>
    <col min="8471" max="8473" width="47.33203125" style="1023" customWidth="1"/>
    <col min="8474" max="8474" width="43.6640625" style="1023" customWidth="1"/>
    <col min="8475" max="8477" width="47.33203125" style="1023" customWidth="1"/>
    <col min="8478" max="8478" width="44" style="1023" customWidth="1"/>
    <col min="8479" max="8481" width="47.33203125" style="1023" customWidth="1"/>
    <col min="8482" max="8482" width="43.6640625" style="1023" customWidth="1"/>
    <col min="8483" max="8485" width="47.33203125" style="1023" customWidth="1"/>
    <col min="8486" max="8486" width="43.6640625" style="1023" customWidth="1"/>
    <col min="8487" max="8487" width="193.33203125" style="1023" customWidth="1"/>
    <col min="8488" max="8490" width="47.33203125" style="1023" customWidth="1"/>
    <col min="8491" max="8491" width="43.6640625" style="1023" customWidth="1"/>
    <col min="8492" max="8499" width="56" style="1023" customWidth="1"/>
    <col min="8500" max="8704" width="9.33203125" style="1023"/>
    <col min="8705" max="8705" width="193.33203125" style="1023" customWidth="1"/>
    <col min="8706" max="8706" width="47.1640625" style="1023" customWidth="1"/>
    <col min="8707" max="8707" width="47.33203125" style="1023" customWidth="1"/>
    <col min="8708" max="8708" width="47.1640625" style="1023" customWidth="1"/>
    <col min="8709" max="8709" width="43.6640625" style="1023" customWidth="1"/>
    <col min="8710" max="8711" width="47.33203125" style="1023" customWidth="1"/>
    <col min="8712" max="8712" width="47.1640625" style="1023" customWidth="1"/>
    <col min="8713" max="8713" width="43.6640625" style="1023" customWidth="1"/>
    <col min="8714" max="8715" width="47.33203125" style="1023" customWidth="1"/>
    <col min="8716" max="8716" width="47.1640625" style="1023" customWidth="1"/>
    <col min="8717" max="8717" width="43.6640625" style="1023" customWidth="1"/>
    <col min="8718" max="8719" width="45" style="1023" customWidth="1"/>
    <col min="8720" max="8720" width="44.83203125" style="1023" customWidth="1"/>
    <col min="8721" max="8721" width="45" style="1023" customWidth="1"/>
    <col min="8722" max="8723" width="47.33203125" style="1023" customWidth="1"/>
    <col min="8724" max="8724" width="47.1640625" style="1023" customWidth="1"/>
    <col min="8725" max="8725" width="43.6640625" style="1023" customWidth="1"/>
    <col min="8726" max="8726" width="193.33203125" style="1023" customWidth="1"/>
    <col min="8727" max="8729" width="47.33203125" style="1023" customWidth="1"/>
    <col min="8730" max="8730" width="43.6640625" style="1023" customWidth="1"/>
    <col min="8731" max="8733" width="47.33203125" style="1023" customWidth="1"/>
    <col min="8734" max="8734" width="44" style="1023" customWidth="1"/>
    <col min="8735" max="8737" width="47.33203125" style="1023" customWidth="1"/>
    <col min="8738" max="8738" width="43.6640625" style="1023" customWidth="1"/>
    <col min="8739" max="8741" width="47.33203125" style="1023" customWidth="1"/>
    <col min="8742" max="8742" width="43.6640625" style="1023" customWidth="1"/>
    <col min="8743" max="8743" width="193.33203125" style="1023" customWidth="1"/>
    <col min="8744" max="8746" width="47.33203125" style="1023" customWidth="1"/>
    <col min="8747" max="8747" width="43.6640625" style="1023" customWidth="1"/>
    <col min="8748" max="8755" width="56" style="1023" customWidth="1"/>
    <col min="8756" max="8960" width="9.33203125" style="1023"/>
    <col min="8961" max="8961" width="193.33203125" style="1023" customWidth="1"/>
    <col min="8962" max="8962" width="47.1640625" style="1023" customWidth="1"/>
    <col min="8963" max="8963" width="47.33203125" style="1023" customWidth="1"/>
    <col min="8964" max="8964" width="47.1640625" style="1023" customWidth="1"/>
    <col min="8965" max="8965" width="43.6640625" style="1023" customWidth="1"/>
    <col min="8966" max="8967" width="47.33203125" style="1023" customWidth="1"/>
    <col min="8968" max="8968" width="47.1640625" style="1023" customWidth="1"/>
    <col min="8969" max="8969" width="43.6640625" style="1023" customWidth="1"/>
    <col min="8970" max="8971" width="47.33203125" style="1023" customWidth="1"/>
    <col min="8972" max="8972" width="47.1640625" style="1023" customWidth="1"/>
    <col min="8973" max="8973" width="43.6640625" style="1023" customWidth="1"/>
    <col min="8974" max="8975" width="45" style="1023" customWidth="1"/>
    <col min="8976" max="8976" width="44.83203125" style="1023" customWidth="1"/>
    <col min="8977" max="8977" width="45" style="1023" customWidth="1"/>
    <col min="8978" max="8979" width="47.33203125" style="1023" customWidth="1"/>
    <col min="8980" max="8980" width="47.1640625" style="1023" customWidth="1"/>
    <col min="8981" max="8981" width="43.6640625" style="1023" customWidth="1"/>
    <col min="8982" max="8982" width="193.33203125" style="1023" customWidth="1"/>
    <col min="8983" max="8985" width="47.33203125" style="1023" customWidth="1"/>
    <col min="8986" max="8986" width="43.6640625" style="1023" customWidth="1"/>
    <col min="8987" max="8989" width="47.33203125" style="1023" customWidth="1"/>
    <col min="8990" max="8990" width="44" style="1023" customWidth="1"/>
    <col min="8991" max="8993" width="47.33203125" style="1023" customWidth="1"/>
    <col min="8994" max="8994" width="43.6640625" style="1023" customWidth="1"/>
    <col min="8995" max="8997" width="47.33203125" style="1023" customWidth="1"/>
    <col min="8998" max="8998" width="43.6640625" style="1023" customWidth="1"/>
    <col min="8999" max="8999" width="193.33203125" style="1023" customWidth="1"/>
    <col min="9000" max="9002" width="47.33203125" style="1023" customWidth="1"/>
    <col min="9003" max="9003" width="43.6640625" style="1023" customWidth="1"/>
    <col min="9004" max="9011" width="56" style="1023" customWidth="1"/>
    <col min="9012" max="9216" width="9.33203125" style="1023"/>
    <col min="9217" max="9217" width="193.33203125" style="1023" customWidth="1"/>
    <col min="9218" max="9218" width="47.1640625" style="1023" customWidth="1"/>
    <col min="9219" max="9219" width="47.33203125" style="1023" customWidth="1"/>
    <col min="9220" max="9220" width="47.1640625" style="1023" customWidth="1"/>
    <col min="9221" max="9221" width="43.6640625" style="1023" customWidth="1"/>
    <col min="9222" max="9223" width="47.33203125" style="1023" customWidth="1"/>
    <col min="9224" max="9224" width="47.1640625" style="1023" customWidth="1"/>
    <col min="9225" max="9225" width="43.6640625" style="1023" customWidth="1"/>
    <col min="9226" max="9227" width="47.33203125" style="1023" customWidth="1"/>
    <col min="9228" max="9228" width="47.1640625" style="1023" customWidth="1"/>
    <col min="9229" max="9229" width="43.6640625" style="1023" customWidth="1"/>
    <col min="9230" max="9231" width="45" style="1023" customWidth="1"/>
    <col min="9232" max="9232" width="44.83203125" style="1023" customWidth="1"/>
    <col min="9233" max="9233" width="45" style="1023" customWidth="1"/>
    <col min="9234" max="9235" width="47.33203125" style="1023" customWidth="1"/>
    <col min="9236" max="9236" width="47.1640625" style="1023" customWidth="1"/>
    <col min="9237" max="9237" width="43.6640625" style="1023" customWidth="1"/>
    <col min="9238" max="9238" width="193.33203125" style="1023" customWidth="1"/>
    <col min="9239" max="9241" width="47.33203125" style="1023" customWidth="1"/>
    <col min="9242" max="9242" width="43.6640625" style="1023" customWidth="1"/>
    <col min="9243" max="9245" width="47.33203125" style="1023" customWidth="1"/>
    <col min="9246" max="9246" width="44" style="1023" customWidth="1"/>
    <col min="9247" max="9249" width="47.33203125" style="1023" customWidth="1"/>
    <col min="9250" max="9250" width="43.6640625" style="1023" customWidth="1"/>
    <col min="9251" max="9253" width="47.33203125" style="1023" customWidth="1"/>
    <col min="9254" max="9254" width="43.6640625" style="1023" customWidth="1"/>
    <col min="9255" max="9255" width="193.33203125" style="1023" customWidth="1"/>
    <col min="9256" max="9258" width="47.33203125" style="1023" customWidth="1"/>
    <col min="9259" max="9259" width="43.6640625" style="1023" customWidth="1"/>
    <col min="9260" max="9267" width="56" style="1023" customWidth="1"/>
    <col min="9268" max="9472" width="9.33203125" style="1023"/>
    <col min="9473" max="9473" width="193.33203125" style="1023" customWidth="1"/>
    <col min="9474" max="9474" width="47.1640625" style="1023" customWidth="1"/>
    <col min="9475" max="9475" width="47.33203125" style="1023" customWidth="1"/>
    <col min="9476" max="9476" width="47.1640625" style="1023" customWidth="1"/>
    <col min="9477" max="9477" width="43.6640625" style="1023" customWidth="1"/>
    <col min="9478" max="9479" width="47.33203125" style="1023" customWidth="1"/>
    <col min="9480" max="9480" width="47.1640625" style="1023" customWidth="1"/>
    <col min="9481" max="9481" width="43.6640625" style="1023" customWidth="1"/>
    <col min="9482" max="9483" width="47.33203125" style="1023" customWidth="1"/>
    <col min="9484" max="9484" width="47.1640625" style="1023" customWidth="1"/>
    <col min="9485" max="9485" width="43.6640625" style="1023" customWidth="1"/>
    <col min="9486" max="9487" width="45" style="1023" customWidth="1"/>
    <col min="9488" max="9488" width="44.83203125" style="1023" customWidth="1"/>
    <col min="9489" max="9489" width="45" style="1023" customWidth="1"/>
    <col min="9490" max="9491" width="47.33203125" style="1023" customWidth="1"/>
    <col min="9492" max="9492" width="47.1640625" style="1023" customWidth="1"/>
    <col min="9493" max="9493" width="43.6640625" style="1023" customWidth="1"/>
    <col min="9494" max="9494" width="193.33203125" style="1023" customWidth="1"/>
    <col min="9495" max="9497" width="47.33203125" style="1023" customWidth="1"/>
    <col min="9498" max="9498" width="43.6640625" style="1023" customWidth="1"/>
    <col min="9499" max="9501" width="47.33203125" style="1023" customWidth="1"/>
    <col min="9502" max="9502" width="44" style="1023" customWidth="1"/>
    <col min="9503" max="9505" width="47.33203125" style="1023" customWidth="1"/>
    <col min="9506" max="9506" width="43.6640625" style="1023" customWidth="1"/>
    <col min="9507" max="9509" width="47.33203125" style="1023" customWidth="1"/>
    <col min="9510" max="9510" width="43.6640625" style="1023" customWidth="1"/>
    <col min="9511" max="9511" width="193.33203125" style="1023" customWidth="1"/>
    <col min="9512" max="9514" width="47.33203125" style="1023" customWidth="1"/>
    <col min="9515" max="9515" width="43.6640625" style="1023" customWidth="1"/>
    <col min="9516" max="9523" width="56" style="1023" customWidth="1"/>
    <col min="9524" max="9728" width="9.33203125" style="1023"/>
    <col min="9729" max="9729" width="193.33203125" style="1023" customWidth="1"/>
    <col min="9730" max="9730" width="47.1640625" style="1023" customWidth="1"/>
    <col min="9731" max="9731" width="47.33203125" style="1023" customWidth="1"/>
    <col min="9732" max="9732" width="47.1640625" style="1023" customWidth="1"/>
    <col min="9733" max="9733" width="43.6640625" style="1023" customWidth="1"/>
    <col min="9734" max="9735" width="47.33203125" style="1023" customWidth="1"/>
    <col min="9736" max="9736" width="47.1640625" style="1023" customWidth="1"/>
    <col min="9737" max="9737" width="43.6640625" style="1023" customWidth="1"/>
    <col min="9738" max="9739" width="47.33203125" style="1023" customWidth="1"/>
    <col min="9740" max="9740" width="47.1640625" style="1023" customWidth="1"/>
    <col min="9741" max="9741" width="43.6640625" style="1023" customWidth="1"/>
    <col min="9742" max="9743" width="45" style="1023" customWidth="1"/>
    <col min="9744" max="9744" width="44.83203125" style="1023" customWidth="1"/>
    <col min="9745" max="9745" width="45" style="1023" customWidth="1"/>
    <col min="9746" max="9747" width="47.33203125" style="1023" customWidth="1"/>
    <col min="9748" max="9748" width="47.1640625" style="1023" customWidth="1"/>
    <col min="9749" max="9749" width="43.6640625" style="1023" customWidth="1"/>
    <col min="9750" max="9750" width="193.33203125" style="1023" customWidth="1"/>
    <col min="9751" max="9753" width="47.33203125" style="1023" customWidth="1"/>
    <col min="9754" max="9754" width="43.6640625" style="1023" customWidth="1"/>
    <col min="9755" max="9757" width="47.33203125" style="1023" customWidth="1"/>
    <col min="9758" max="9758" width="44" style="1023" customWidth="1"/>
    <col min="9759" max="9761" width="47.33203125" style="1023" customWidth="1"/>
    <col min="9762" max="9762" width="43.6640625" style="1023" customWidth="1"/>
    <col min="9763" max="9765" width="47.33203125" style="1023" customWidth="1"/>
    <col min="9766" max="9766" width="43.6640625" style="1023" customWidth="1"/>
    <col min="9767" max="9767" width="193.33203125" style="1023" customWidth="1"/>
    <col min="9768" max="9770" width="47.33203125" style="1023" customWidth="1"/>
    <col min="9771" max="9771" width="43.6640625" style="1023" customWidth="1"/>
    <col min="9772" max="9779" width="56" style="1023" customWidth="1"/>
    <col min="9780" max="9984" width="9.33203125" style="1023"/>
    <col min="9985" max="9985" width="193.33203125" style="1023" customWidth="1"/>
    <col min="9986" max="9986" width="47.1640625" style="1023" customWidth="1"/>
    <col min="9987" max="9987" width="47.33203125" style="1023" customWidth="1"/>
    <col min="9988" max="9988" width="47.1640625" style="1023" customWidth="1"/>
    <col min="9989" max="9989" width="43.6640625" style="1023" customWidth="1"/>
    <col min="9990" max="9991" width="47.33203125" style="1023" customWidth="1"/>
    <col min="9992" max="9992" width="47.1640625" style="1023" customWidth="1"/>
    <col min="9993" max="9993" width="43.6640625" style="1023" customWidth="1"/>
    <col min="9994" max="9995" width="47.33203125" style="1023" customWidth="1"/>
    <col min="9996" max="9996" width="47.1640625" style="1023" customWidth="1"/>
    <col min="9997" max="9997" width="43.6640625" style="1023" customWidth="1"/>
    <col min="9998" max="9999" width="45" style="1023" customWidth="1"/>
    <col min="10000" max="10000" width="44.83203125" style="1023" customWidth="1"/>
    <col min="10001" max="10001" width="45" style="1023" customWidth="1"/>
    <col min="10002" max="10003" width="47.33203125" style="1023" customWidth="1"/>
    <col min="10004" max="10004" width="47.1640625" style="1023" customWidth="1"/>
    <col min="10005" max="10005" width="43.6640625" style="1023" customWidth="1"/>
    <col min="10006" max="10006" width="193.33203125" style="1023" customWidth="1"/>
    <col min="10007" max="10009" width="47.33203125" style="1023" customWidth="1"/>
    <col min="10010" max="10010" width="43.6640625" style="1023" customWidth="1"/>
    <col min="10011" max="10013" width="47.33203125" style="1023" customWidth="1"/>
    <col min="10014" max="10014" width="44" style="1023" customWidth="1"/>
    <col min="10015" max="10017" width="47.33203125" style="1023" customWidth="1"/>
    <col min="10018" max="10018" width="43.6640625" style="1023" customWidth="1"/>
    <col min="10019" max="10021" width="47.33203125" style="1023" customWidth="1"/>
    <col min="10022" max="10022" width="43.6640625" style="1023" customWidth="1"/>
    <col min="10023" max="10023" width="193.33203125" style="1023" customWidth="1"/>
    <col min="10024" max="10026" width="47.33203125" style="1023" customWidth="1"/>
    <col min="10027" max="10027" width="43.6640625" style="1023" customWidth="1"/>
    <col min="10028" max="10035" width="56" style="1023" customWidth="1"/>
    <col min="10036" max="10240" width="9.33203125" style="1023"/>
    <col min="10241" max="10241" width="193.33203125" style="1023" customWidth="1"/>
    <col min="10242" max="10242" width="47.1640625" style="1023" customWidth="1"/>
    <col min="10243" max="10243" width="47.33203125" style="1023" customWidth="1"/>
    <col min="10244" max="10244" width="47.1640625" style="1023" customWidth="1"/>
    <col min="10245" max="10245" width="43.6640625" style="1023" customWidth="1"/>
    <col min="10246" max="10247" width="47.33203125" style="1023" customWidth="1"/>
    <col min="10248" max="10248" width="47.1640625" style="1023" customWidth="1"/>
    <col min="10249" max="10249" width="43.6640625" style="1023" customWidth="1"/>
    <col min="10250" max="10251" width="47.33203125" style="1023" customWidth="1"/>
    <col min="10252" max="10252" width="47.1640625" style="1023" customWidth="1"/>
    <col min="10253" max="10253" width="43.6640625" style="1023" customWidth="1"/>
    <col min="10254" max="10255" width="45" style="1023" customWidth="1"/>
    <col min="10256" max="10256" width="44.83203125" style="1023" customWidth="1"/>
    <col min="10257" max="10257" width="45" style="1023" customWidth="1"/>
    <col min="10258" max="10259" width="47.33203125" style="1023" customWidth="1"/>
    <col min="10260" max="10260" width="47.1640625" style="1023" customWidth="1"/>
    <col min="10261" max="10261" width="43.6640625" style="1023" customWidth="1"/>
    <col min="10262" max="10262" width="193.33203125" style="1023" customWidth="1"/>
    <col min="10263" max="10265" width="47.33203125" style="1023" customWidth="1"/>
    <col min="10266" max="10266" width="43.6640625" style="1023" customWidth="1"/>
    <col min="10267" max="10269" width="47.33203125" style="1023" customWidth="1"/>
    <col min="10270" max="10270" width="44" style="1023" customWidth="1"/>
    <col min="10271" max="10273" width="47.33203125" style="1023" customWidth="1"/>
    <col min="10274" max="10274" width="43.6640625" style="1023" customWidth="1"/>
    <col min="10275" max="10277" width="47.33203125" style="1023" customWidth="1"/>
    <col min="10278" max="10278" width="43.6640625" style="1023" customWidth="1"/>
    <col min="10279" max="10279" width="193.33203125" style="1023" customWidth="1"/>
    <col min="10280" max="10282" width="47.33203125" style="1023" customWidth="1"/>
    <col min="10283" max="10283" width="43.6640625" style="1023" customWidth="1"/>
    <col min="10284" max="10291" width="56" style="1023" customWidth="1"/>
    <col min="10292" max="10496" width="9.33203125" style="1023"/>
    <col min="10497" max="10497" width="193.33203125" style="1023" customWidth="1"/>
    <col min="10498" max="10498" width="47.1640625" style="1023" customWidth="1"/>
    <col min="10499" max="10499" width="47.33203125" style="1023" customWidth="1"/>
    <col min="10500" max="10500" width="47.1640625" style="1023" customWidth="1"/>
    <col min="10501" max="10501" width="43.6640625" style="1023" customWidth="1"/>
    <col min="10502" max="10503" width="47.33203125" style="1023" customWidth="1"/>
    <col min="10504" max="10504" width="47.1640625" style="1023" customWidth="1"/>
    <col min="10505" max="10505" width="43.6640625" style="1023" customWidth="1"/>
    <col min="10506" max="10507" width="47.33203125" style="1023" customWidth="1"/>
    <col min="10508" max="10508" width="47.1640625" style="1023" customWidth="1"/>
    <col min="10509" max="10509" width="43.6640625" style="1023" customWidth="1"/>
    <col min="10510" max="10511" width="45" style="1023" customWidth="1"/>
    <col min="10512" max="10512" width="44.83203125" style="1023" customWidth="1"/>
    <col min="10513" max="10513" width="45" style="1023" customWidth="1"/>
    <col min="10514" max="10515" width="47.33203125" style="1023" customWidth="1"/>
    <col min="10516" max="10516" width="47.1640625" style="1023" customWidth="1"/>
    <col min="10517" max="10517" width="43.6640625" style="1023" customWidth="1"/>
    <col min="10518" max="10518" width="193.33203125" style="1023" customWidth="1"/>
    <col min="10519" max="10521" width="47.33203125" style="1023" customWidth="1"/>
    <col min="10522" max="10522" width="43.6640625" style="1023" customWidth="1"/>
    <col min="10523" max="10525" width="47.33203125" style="1023" customWidth="1"/>
    <col min="10526" max="10526" width="44" style="1023" customWidth="1"/>
    <col min="10527" max="10529" width="47.33203125" style="1023" customWidth="1"/>
    <col min="10530" max="10530" width="43.6640625" style="1023" customWidth="1"/>
    <col min="10531" max="10533" width="47.33203125" style="1023" customWidth="1"/>
    <col min="10534" max="10534" width="43.6640625" style="1023" customWidth="1"/>
    <col min="10535" max="10535" width="193.33203125" style="1023" customWidth="1"/>
    <col min="10536" max="10538" width="47.33203125" style="1023" customWidth="1"/>
    <col min="10539" max="10539" width="43.6640625" style="1023" customWidth="1"/>
    <col min="10540" max="10547" width="56" style="1023" customWidth="1"/>
    <col min="10548" max="10752" width="9.33203125" style="1023"/>
    <col min="10753" max="10753" width="193.33203125" style="1023" customWidth="1"/>
    <col min="10754" max="10754" width="47.1640625" style="1023" customWidth="1"/>
    <col min="10755" max="10755" width="47.33203125" style="1023" customWidth="1"/>
    <col min="10756" max="10756" width="47.1640625" style="1023" customWidth="1"/>
    <col min="10757" max="10757" width="43.6640625" style="1023" customWidth="1"/>
    <col min="10758" max="10759" width="47.33203125" style="1023" customWidth="1"/>
    <col min="10760" max="10760" width="47.1640625" style="1023" customWidth="1"/>
    <col min="10761" max="10761" width="43.6640625" style="1023" customWidth="1"/>
    <col min="10762" max="10763" width="47.33203125" style="1023" customWidth="1"/>
    <col min="10764" max="10764" width="47.1640625" style="1023" customWidth="1"/>
    <col min="10765" max="10765" width="43.6640625" style="1023" customWidth="1"/>
    <col min="10766" max="10767" width="45" style="1023" customWidth="1"/>
    <col min="10768" max="10768" width="44.83203125" style="1023" customWidth="1"/>
    <col min="10769" max="10769" width="45" style="1023" customWidth="1"/>
    <col min="10770" max="10771" width="47.33203125" style="1023" customWidth="1"/>
    <col min="10772" max="10772" width="47.1640625" style="1023" customWidth="1"/>
    <col min="10773" max="10773" width="43.6640625" style="1023" customWidth="1"/>
    <col min="10774" max="10774" width="193.33203125" style="1023" customWidth="1"/>
    <col min="10775" max="10777" width="47.33203125" style="1023" customWidth="1"/>
    <col min="10778" max="10778" width="43.6640625" style="1023" customWidth="1"/>
    <col min="10779" max="10781" width="47.33203125" style="1023" customWidth="1"/>
    <col min="10782" max="10782" width="44" style="1023" customWidth="1"/>
    <col min="10783" max="10785" width="47.33203125" style="1023" customWidth="1"/>
    <col min="10786" max="10786" width="43.6640625" style="1023" customWidth="1"/>
    <col min="10787" max="10789" width="47.33203125" style="1023" customWidth="1"/>
    <col min="10790" max="10790" width="43.6640625" style="1023" customWidth="1"/>
    <col min="10791" max="10791" width="193.33203125" style="1023" customWidth="1"/>
    <col min="10792" max="10794" width="47.33203125" style="1023" customWidth="1"/>
    <col min="10795" max="10795" width="43.6640625" style="1023" customWidth="1"/>
    <col min="10796" max="10803" width="56" style="1023" customWidth="1"/>
    <col min="10804" max="11008" width="9.33203125" style="1023"/>
    <col min="11009" max="11009" width="193.33203125" style="1023" customWidth="1"/>
    <col min="11010" max="11010" width="47.1640625" style="1023" customWidth="1"/>
    <col min="11011" max="11011" width="47.33203125" style="1023" customWidth="1"/>
    <col min="11012" max="11012" width="47.1640625" style="1023" customWidth="1"/>
    <col min="11013" max="11013" width="43.6640625" style="1023" customWidth="1"/>
    <col min="11014" max="11015" width="47.33203125" style="1023" customWidth="1"/>
    <col min="11016" max="11016" width="47.1640625" style="1023" customWidth="1"/>
    <col min="11017" max="11017" width="43.6640625" style="1023" customWidth="1"/>
    <col min="11018" max="11019" width="47.33203125" style="1023" customWidth="1"/>
    <col min="11020" max="11020" width="47.1640625" style="1023" customWidth="1"/>
    <col min="11021" max="11021" width="43.6640625" style="1023" customWidth="1"/>
    <col min="11022" max="11023" width="45" style="1023" customWidth="1"/>
    <col min="11024" max="11024" width="44.83203125" style="1023" customWidth="1"/>
    <col min="11025" max="11025" width="45" style="1023" customWidth="1"/>
    <col min="11026" max="11027" width="47.33203125" style="1023" customWidth="1"/>
    <col min="11028" max="11028" width="47.1640625" style="1023" customWidth="1"/>
    <col min="11029" max="11029" width="43.6640625" style="1023" customWidth="1"/>
    <col min="11030" max="11030" width="193.33203125" style="1023" customWidth="1"/>
    <col min="11031" max="11033" width="47.33203125" style="1023" customWidth="1"/>
    <col min="11034" max="11034" width="43.6640625" style="1023" customWidth="1"/>
    <col min="11035" max="11037" width="47.33203125" style="1023" customWidth="1"/>
    <col min="11038" max="11038" width="44" style="1023" customWidth="1"/>
    <col min="11039" max="11041" width="47.33203125" style="1023" customWidth="1"/>
    <col min="11042" max="11042" width="43.6640625" style="1023" customWidth="1"/>
    <col min="11043" max="11045" width="47.33203125" style="1023" customWidth="1"/>
    <col min="11046" max="11046" width="43.6640625" style="1023" customWidth="1"/>
    <col min="11047" max="11047" width="193.33203125" style="1023" customWidth="1"/>
    <col min="11048" max="11050" width="47.33203125" style="1023" customWidth="1"/>
    <col min="11051" max="11051" width="43.6640625" style="1023" customWidth="1"/>
    <col min="11052" max="11059" width="56" style="1023" customWidth="1"/>
    <col min="11060" max="11264" width="9.33203125" style="1023"/>
    <col min="11265" max="11265" width="193.33203125" style="1023" customWidth="1"/>
    <col min="11266" max="11266" width="47.1640625" style="1023" customWidth="1"/>
    <col min="11267" max="11267" width="47.33203125" style="1023" customWidth="1"/>
    <col min="11268" max="11268" width="47.1640625" style="1023" customWidth="1"/>
    <col min="11269" max="11269" width="43.6640625" style="1023" customWidth="1"/>
    <col min="11270" max="11271" width="47.33203125" style="1023" customWidth="1"/>
    <col min="11272" max="11272" width="47.1640625" style="1023" customWidth="1"/>
    <col min="11273" max="11273" width="43.6640625" style="1023" customWidth="1"/>
    <col min="11274" max="11275" width="47.33203125" style="1023" customWidth="1"/>
    <col min="11276" max="11276" width="47.1640625" style="1023" customWidth="1"/>
    <col min="11277" max="11277" width="43.6640625" style="1023" customWidth="1"/>
    <col min="11278" max="11279" width="45" style="1023" customWidth="1"/>
    <col min="11280" max="11280" width="44.83203125" style="1023" customWidth="1"/>
    <col min="11281" max="11281" width="45" style="1023" customWidth="1"/>
    <col min="11282" max="11283" width="47.33203125" style="1023" customWidth="1"/>
    <col min="11284" max="11284" width="47.1640625" style="1023" customWidth="1"/>
    <col min="11285" max="11285" width="43.6640625" style="1023" customWidth="1"/>
    <col min="11286" max="11286" width="193.33203125" style="1023" customWidth="1"/>
    <col min="11287" max="11289" width="47.33203125" style="1023" customWidth="1"/>
    <col min="11290" max="11290" width="43.6640625" style="1023" customWidth="1"/>
    <col min="11291" max="11293" width="47.33203125" style="1023" customWidth="1"/>
    <col min="11294" max="11294" width="44" style="1023" customWidth="1"/>
    <col min="11295" max="11297" width="47.33203125" style="1023" customWidth="1"/>
    <col min="11298" max="11298" width="43.6640625" style="1023" customWidth="1"/>
    <col min="11299" max="11301" width="47.33203125" style="1023" customWidth="1"/>
    <col min="11302" max="11302" width="43.6640625" style="1023" customWidth="1"/>
    <col min="11303" max="11303" width="193.33203125" style="1023" customWidth="1"/>
    <col min="11304" max="11306" width="47.33203125" style="1023" customWidth="1"/>
    <col min="11307" max="11307" width="43.6640625" style="1023" customWidth="1"/>
    <col min="11308" max="11315" width="56" style="1023" customWidth="1"/>
    <col min="11316" max="11520" width="9.33203125" style="1023"/>
    <col min="11521" max="11521" width="193.33203125" style="1023" customWidth="1"/>
    <col min="11522" max="11522" width="47.1640625" style="1023" customWidth="1"/>
    <col min="11523" max="11523" width="47.33203125" style="1023" customWidth="1"/>
    <col min="11524" max="11524" width="47.1640625" style="1023" customWidth="1"/>
    <col min="11525" max="11525" width="43.6640625" style="1023" customWidth="1"/>
    <col min="11526" max="11527" width="47.33203125" style="1023" customWidth="1"/>
    <col min="11528" max="11528" width="47.1640625" style="1023" customWidth="1"/>
    <col min="11529" max="11529" width="43.6640625" style="1023" customWidth="1"/>
    <col min="11530" max="11531" width="47.33203125" style="1023" customWidth="1"/>
    <col min="11532" max="11532" width="47.1640625" style="1023" customWidth="1"/>
    <col min="11533" max="11533" width="43.6640625" style="1023" customWidth="1"/>
    <col min="11534" max="11535" width="45" style="1023" customWidth="1"/>
    <col min="11536" max="11536" width="44.83203125" style="1023" customWidth="1"/>
    <col min="11537" max="11537" width="45" style="1023" customWidth="1"/>
    <col min="11538" max="11539" width="47.33203125" style="1023" customWidth="1"/>
    <col min="11540" max="11540" width="47.1640625" style="1023" customWidth="1"/>
    <col min="11541" max="11541" width="43.6640625" style="1023" customWidth="1"/>
    <col min="11542" max="11542" width="193.33203125" style="1023" customWidth="1"/>
    <col min="11543" max="11545" width="47.33203125" style="1023" customWidth="1"/>
    <col min="11546" max="11546" width="43.6640625" style="1023" customWidth="1"/>
    <col min="11547" max="11549" width="47.33203125" style="1023" customWidth="1"/>
    <col min="11550" max="11550" width="44" style="1023" customWidth="1"/>
    <col min="11551" max="11553" width="47.33203125" style="1023" customWidth="1"/>
    <col min="11554" max="11554" width="43.6640625" style="1023" customWidth="1"/>
    <col min="11555" max="11557" width="47.33203125" style="1023" customWidth="1"/>
    <col min="11558" max="11558" width="43.6640625" style="1023" customWidth="1"/>
    <col min="11559" max="11559" width="193.33203125" style="1023" customWidth="1"/>
    <col min="11560" max="11562" width="47.33203125" style="1023" customWidth="1"/>
    <col min="11563" max="11563" width="43.6640625" style="1023" customWidth="1"/>
    <col min="11564" max="11571" width="56" style="1023" customWidth="1"/>
    <col min="11572" max="11776" width="9.33203125" style="1023"/>
    <col min="11777" max="11777" width="193.33203125" style="1023" customWidth="1"/>
    <col min="11778" max="11778" width="47.1640625" style="1023" customWidth="1"/>
    <col min="11779" max="11779" width="47.33203125" style="1023" customWidth="1"/>
    <col min="11780" max="11780" width="47.1640625" style="1023" customWidth="1"/>
    <col min="11781" max="11781" width="43.6640625" style="1023" customWidth="1"/>
    <col min="11782" max="11783" width="47.33203125" style="1023" customWidth="1"/>
    <col min="11784" max="11784" width="47.1640625" style="1023" customWidth="1"/>
    <col min="11785" max="11785" width="43.6640625" style="1023" customWidth="1"/>
    <col min="11786" max="11787" width="47.33203125" style="1023" customWidth="1"/>
    <col min="11788" max="11788" width="47.1640625" style="1023" customWidth="1"/>
    <col min="11789" max="11789" width="43.6640625" style="1023" customWidth="1"/>
    <col min="11790" max="11791" width="45" style="1023" customWidth="1"/>
    <col min="11792" max="11792" width="44.83203125" style="1023" customWidth="1"/>
    <col min="11793" max="11793" width="45" style="1023" customWidth="1"/>
    <col min="11794" max="11795" width="47.33203125" style="1023" customWidth="1"/>
    <col min="11796" max="11796" width="47.1640625" style="1023" customWidth="1"/>
    <col min="11797" max="11797" width="43.6640625" style="1023" customWidth="1"/>
    <col min="11798" max="11798" width="193.33203125" style="1023" customWidth="1"/>
    <col min="11799" max="11801" width="47.33203125" style="1023" customWidth="1"/>
    <col min="11802" max="11802" width="43.6640625" style="1023" customWidth="1"/>
    <col min="11803" max="11805" width="47.33203125" style="1023" customWidth="1"/>
    <col min="11806" max="11806" width="44" style="1023" customWidth="1"/>
    <col min="11807" max="11809" width="47.33203125" style="1023" customWidth="1"/>
    <col min="11810" max="11810" width="43.6640625" style="1023" customWidth="1"/>
    <col min="11811" max="11813" width="47.33203125" style="1023" customWidth="1"/>
    <col min="11814" max="11814" width="43.6640625" style="1023" customWidth="1"/>
    <col min="11815" max="11815" width="193.33203125" style="1023" customWidth="1"/>
    <col min="11816" max="11818" width="47.33203125" style="1023" customWidth="1"/>
    <col min="11819" max="11819" width="43.6640625" style="1023" customWidth="1"/>
    <col min="11820" max="11827" width="56" style="1023" customWidth="1"/>
    <col min="11828" max="12032" width="9.33203125" style="1023"/>
    <col min="12033" max="12033" width="193.33203125" style="1023" customWidth="1"/>
    <col min="12034" max="12034" width="47.1640625" style="1023" customWidth="1"/>
    <col min="12035" max="12035" width="47.33203125" style="1023" customWidth="1"/>
    <col min="12036" max="12036" width="47.1640625" style="1023" customWidth="1"/>
    <col min="12037" max="12037" width="43.6640625" style="1023" customWidth="1"/>
    <col min="12038" max="12039" width="47.33203125" style="1023" customWidth="1"/>
    <col min="12040" max="12040" width="47.1640625" style="1023" customWidth="1"/>
    <col min="12041" max="12041" width="43.6640625" style="1023" customWidth="1"/>
    <col min="12042" max="12043" width="47.33203125" style="1023" customWidth="1"/>
    <col min="12044" max="12044" width="47.1640625" style="1023" customWidth="1"/>
    <col min="12045" max="12045" width="43.6640625" style="1023" customWidth="1"/>
    <col min="12046" max="12047" width="45" style="1023" customWidth="1"/>
    <col min="12048" max="12048" width="44.83203125" style="1023" customWidth="1"/>
    <col min="12049" max="12049" width="45" style="1023" customWidth="1"/>
    <col min="12050" max="12051" width="47.33203125" style="1023" customWidth="1"/>
    <col min="12052" max="12052" width="47.1640625" style="1023" customWidth="1"/>
    <col min="12053" max="12053" width="43.6640625" style="1023" customWidth="1"/>
    <col min="12054" max="12054" width="193.33203125" style="1023" customWidth="1"/>
    <col min="12055" max="12057" width="47.33203125" style="1023" customWidth="1"/>
    <col min="12058" max="12058" width="43.6640625" style="1023" customWidth="1"/>
    <col min="12059" max="12061" width="47.33203125" style="1023" customWidth="1"/>
    <col min="12062" max="12062" width="44" style="1023" customWidth="1"/>
    <col min="12063" max="12065" width="47.33203125" style="1023" customWidth="1"/>
    <col min="12066" max="12066" width="43.6640625" style="1023" customWidth="1"/>
    <col min="12067" max="12069" width="47.33203125" style="1023" customWidth="1"/>
    <col min="12070" max="12070" width="43.6640625" style="1023" customWidth="1"/>
    <col min="12071" max="12071" width="193.33203125" style="1023" customWidth="1"/>
    <col min="12072" max="12074" width="47.33203125" style="1023" customWidth="1"/>
    <col min="12075" max="12075" width="43.6640625" style="1023" customWidth="1"/>
    <col min="12076" max="12083" width="56" style="1023" customWidth="1"/>
    <col min="12084" max="12288" width="9.33203125" style="1023"/>
    <col min="12289" max="12289" width="193.33203125" style="1023" customWidth="1"/>
    <col min="12290" max="12290" width="47.1640625" style="1023" customWidth="1"/>
    <col min="12291" max="12291" width="47.33203125" style="1023" customWidth="1"/>
    <col min="12292" max="12292" width="47.1640625" style="1023" customWidth="1"/>
    <col min="12293" max="12293" width="43.6640625" style="1023" customWidth="1"/>
    <col min="12294" max="12295" width="47.33203125" style="1023" customWidth="1"/>
    <col min="12296" max="12296" width="47.1640625" style="1023" customWidth="1"/>
    <col min="12297" max="12297" width="43.6640625" style="1023" customWidth="1"/>
    <col min="12298" max="12299" width="47.33203125" style="1023" customWidth="1"/>
    <col min="12300" max="12300" width="47.1640625" style="1023" customWidth="1"/>
    <col min="12301" max="12301" width="43.6640625" style="1023" customWidth="1"/>
    <col min="12302" max="12303" width="45" style="1023" customWidth="1"/>
    <col min="12304" max="12304" width="44.83203125" style="1023" customWidth="1"/>
    <col min="12305" max="12305" width="45" style="1023" customWidth="1"/>
    <col min="12306" max="12307" width="47.33203125" style="1023" customWidth="1"/>
    <col min="12308" max="12308" width="47.1640625" style="1023" customWidth="1"/>
    <col min="12309" max="12309" width="43.6640625" style="1023" customWidth="1"/>
    <col min="12310" max="12310" width="193.33203125" style="1023" customWidth="1"/>
    <col min="12311" max="12313" width="47.33203125" style="1023" customWidth="1"/>
    <col min="12314" max="12314" width="43.6640625" style="1023" customWidth="1"/>
    <col min="12315" max="12317" width="47.33203125" style="1023" customWidth="1"/>
    <col min="12318" max="12318" width="44" style="1023" customWidth="1"/>
    <col min="12319" max="12321" width="47.33203125" style="1023" customWidth="1"/>
    <col min="12322" max="12322" width="43.6640625" style="1023" customWidth="1"/>
    <col min="12323" max="12325" width="47.33203125" style="1023" customWidth="1"/>
    <col min="12326" max="12326" width="43.6640625" style="1023" customWidth="1"/>
    <col min="12327" max="12327" width="193.33203125" style="1023" customWidth="1"/>
    <col min="12328" max="12330" width="47.33203125" style="1023" customWidth="1"/>
    <col min="12331" max="12331" width="43.6640625" style="1023" customWidth="1"/>
    <col min="12332" max="12339" width="56" style="1023" customWidth="1"/>
    <col min="12340" max="12544" width="9.33203125" style="1023"/>
    <col min="12545" max="12545" width="193.33203125" style="1023" customWidth="1"/>
    <col min="12546" max="12546" width="47.1640625" style="1023" customWidth="1"/>
    <col min="12547" max="12547" width="47.33203125" style="1023" customWidth="1"/>
    <col min="12548" max="12548" width="47.1640625" style="1023" customWidth="1"/>
    <col min="12549" max="12549" width="43.6640625" style="1023" customWidth="1"/>
    <col min="12550" max="12551" width="47.33203125" style="1023" customWidth="1"/>
    <col min="12552" max="12552" width="47.1640625" style="1023" customWidth="1"/>
    <col min="12553" max="12553" width="43.6640625" style="1023" customWidth="1"/>
    <col min="12554" max="12555" width="47.33203125" style="1023" customWidth="1"/>
    <col min="12556" max="12556" width="47.1640625" style="1023" customWidth="1"/>
    <col min="12557" max="12557" width="43.6640625" style="1023" customWidth="1"/>
    <col min="12558" max="12559" width="45" style="1023" customWidth="1"/>
    <col min="12560" max="12560" width="44.83203125" style="1023" customWidth="1"/>
    <col min="12561" max="12561" width="45" style="1023" customWidth="1"/>
    <col min="12562" max="12563" width="47.33203125" style="1023" customWidth="1"/>
    <col min="12564" max="12564" width="47.1640625" style="1023" customWidth="1"/>
    <col min="12565" max="12565" width="43.6640625" style="1023" customWidth="1"/>
    <col min="12566" max="12566" width="193.33203125" style="1023" customWidth="1"/>
    <col min="12567" max="12569" width="47.33203125" style="1023" customWidth="1"/>
    <col min="12570" max="12570" width="43.6640625" style="1023" customWidth="1"/>
    <col min="12571" max="12573" width="47.33203125" style="1023" customWidth="1"/>
    <col min="12574" max="12574" width="44" style="1023" customWidth="1"/>
    <col min="12575" max="12577" width="47.33203125" style="1023" customWidth="1"/>
    <col min="12578" max="12578" width="43.6640625" style="1023" customWidth="1"/>
    <col min="12579" max="12581" width="47.33203125" style="1023" customWidth="1"/>
    <col min="12582" max="12582" width="43.6640625" style="1023" customWidth="1"/>
    <col min="12583" max="12583" width="193.33203125" style="1023" customWidth="1"/>
    <col min="12584" max="12586" width="47.33203125" style="1023" customWidth="1"/>
    <col min="12587" max="12587" width="43.6640625" style="1023" customWidth="1"/>
    <col min="12588" max="12595" width="56" style="1023" customWidth="1"/>
    <col min="12596" max="12800" width="9.33203125" style="1023"/>
    <col min="12801" max="12801" width="193.33203125" style="1023" customWidth="1"/>
    <col min="12802" max="12802" width="47.1640625" style="1023" customWidth="1"/>
    <col min="12803" max="12803" width="47.33203125" style="1023" customWidth="1"/>
    <col min="12804" max="12804" width="47.1640625" style="1023" customWidth="1"/>
    <col min="12805" max="12805" width="43.6640625" style="1023" customWidth="1"/>
    <col min="12806" max="12807" width="47.33203125" style="1023" customWidth="1"/>
    <col min="12808" max="12808" width="47.1640625" style="1023" customWidth="1"/>
    <col min="12809" max="12809" width="43.6640625" style="1023" customWidth="1"/>
    <col min="12810" max="12811" width="47.33203125" style="1023" customWidth="1"/>
    <col min="12812" max="12812" width="47.1640625" style="1023" customWidth="1"/>
    <col min="12813" max="12813" width="43.6640625" style="1023" customWidth="1"/>
    <col min="12814" max="12815" width="45" style="1023" customWidth="1"/>
    <col min="12816" max="12816" width="44.83203125" style="1023" customWidth="1"/>
    <col min="12817" max="12817" width="45" style="1023" customWidth="1"/>
    <col min="12818" max="12819" width="47.33203125" style="1023" customWidth="1"/>
    <col min="12820" max="12820" width="47.1640625" style="1023" customWidth="1"/>
    <col min="12821" max="12821" width="43.6640625" style="1023" customWidth="1"/>
    <col min="12822" max="12822" width="193.33203125" style="1023" customWidth="1"/>
    <col min="12823" max="12825" width="47.33203125" style="1023" customWidth="1"/>
    <col min="12826" max="12826" width="43.6640625" style="1023" customWidth="1"/>
    <col min="12827" max="12829" width="47.33203125" style="1023" customWidth="1"/>
    <col min="12830" max="12830" width="44" style="1023" customWidth="1"/>
    <col min="12831" max="12833" width="47.33203125" style="1023" customWidth="1"/>
    <col min="12834" max="12834" width="43.6640625" style="1023" customWidth="1"/>
    <col min="12835" max="12837" width="47.33203125" style="1023" customWidth="1"/>
    <col min="12838" max="12838" width="43.6640625" style="1023" customWidth="1"/>
    <col min="12839" max="12839" width="193.33203125" style="1023" customWidth="1"/>
    <col min="12840" max="12842" width="47.33203125" style="1023" customWidth="1"/>
    <col min="12843" max="12843" width="43.6640625" style="1023" customWidth="1"/>
    <col min="12844" max="12851" width="56" style="1023" customWidth="1"/>
    <col min="12852" max="13056" width="9.33203125" style="1023"/>
    <col min="13057" max="13057" width="193.33203125" style="1023" customWidth="1"/>
    <col min="13058" max="13058" width="47.1640625" style="1023" customWidth="1"/>
    <col min="13059" max="13059" width="47.33203125" style="1023" customWidth="1"/>
    <col min="13060" max="13060" width="47.1640625" style="1023" customWidth="1"/>
    <col min="13061" max="13061" width="43.6640625" style="1023" customWidth="1"/>
    <col min="13062" max="13063" width="47.33203125" style="1023" customWidth="1"/>
    <col min="13064" max="13064" width="47.1640625" style="1023" customWidth="1"/>
    <col min="13065" max="13065" width="43.6640625" style="1023" customWidth="1"/>
    <col min="13066" max="13067" width="47.33203125" style="1023" customWidth="1"/>
    <col min="13068" max="13068" width="47.1640625" style="1023" customWidth="1"/>
    <col min="13069" max="13069" width="43.6640625" style="1023" customWidth="1"/>
    <col min="13070" max="13071" width="45" style="1023" customWidth="1"/>
    <col min="13072" max="13072" width="44.83203125" style="1023" customWidth="1"/>
    <col min="13073" max="13073" width="45" style="1023" customWidth="1"/>
    <col min="13074" max="13075" width="47.33203125" style="1023" customWidth="1"/>
    <col min="13076" max="13076" width="47.1640625" style="1023" customWidth="1"/>
    <col min="13077" max="13077" width="43.6640625" style="1023" customWidth="1"/>
    <col min="13078" max="13078" width="193.33203125" style="1023" customWidth="1"/>
    <col min="13079" max="13081" width="47.33203125" style="1023" customWidth="1"/>
    <col min="13082" max="13082" width="43.6640625" style="1023" customWidth="1"/>
    <col min="13083" max="13085" width="47.33203125" style="1023" customWidth="1"/>
    <col min="13086" max="13086" width="44" style="1023" customWidth="1"/>
    <col min="13087" max="13089" width="47.33203125" style="1023" customWidth="1"/>
    <col min="13090" max="13090" width="43.6640625" style="1023" customWidth="1"/>
    <col min="13091" max="13093" width="47.33203125" style="1023" customWidth="1"/>
    <col min="13094" max="13094" width="43.6640625" style="1023" customWidth="1"/>
    <col min="13095" max="13095" width="193.33203125" style="1023" customWidth="1"/>
    <col min="13096" max="13098" width="47.33203125" style="1023" customWidth="1"/>
    <col min="13099" max="13099" width="43.6640625" style="1023" customWidth="1"/>
    <col min="13100" max="13107" width="56" style="1023" customWidth="1"/>
    <col min="13108" max="13312" width="9.33203125" style="1023"/>
    <col min="13313" max="13313" width="193.33203125" style="1023" customWidth="1"/>
    <col min="13314" max="13314" width="47.1640625" style="1023" customWidth="1"/>
    <col min="13315" max="13315" width="47.33203125" style="1023" customWidth="1"/>
    <col min="13316" max="13316" width="47.1640625" style="1023" customWidth="1"/>
    <col min="13317" max="13317" width="43.6640625" style="1023" customWidth="1"/>
    <col min="13318" max="13319" width="47.33203125" style="1023" customWidth="1"/>
    <col min="13320" max="13320" width="47.1640625" style="1023" customWidth="1"/>
    <col min="13321" max="13321" width="43.6640625" style="1023" customWidth="1"/>
    <col min="13322" max="13323" width="47.33203125" style="1023" customWidth="1"/>
    <col min="13324" max="13324" width="47.1640625" style="1023" customWidth="1"/>
    <col min="13325" max="13325" width="43.6640625" style="1023" customWidth="1"/>
    <col min="13326" max="13327" width="45" style="1023" customWidth="1"/>
    <col min="13328" max="13328" width="44.83203125" style="1023" customWidth="1"/>
    <col min="13329" max="13329" width="45" style="1023" customWidth="1"/>
    <col min="13330" max="13331" width="47.33203125" style="1023" customWidth="1"/>
    <col min="13332" max="13332" width="47.1640625" style="1023" customWidth="1"/>
    <col min="13333" max="13333" width="43.6640625" style="1023" customWidth="1"/>
    <col min="13334" max="13334" width="193.33203125" style="1023" customWidth="1"/>
    <col min="13335" max="13337" width="47.33203125" style="1023" customWidth="1"/>
    <col min="13338" max="13338" width="43.6640625" style="1023" customWidth="1"/>
    <col min="13339" max="13341" width="47.33203125" style="1023" customWidth="1"/>
    <col min="13342" max="13342" width="44" style="1023" customWidth="1"/>
    <col min="13343" max="13345" width="47.33203125" style="1023" customWidth="1"/>
    <col min="13346" max="13346" width="43.6640625" style="1023" customWidth="1"/>
    <col min="13347" max="13349" width="47.33203125" style="1023" customWidth="1"/>
    <col min="13350" max="13350" width="43.6640625" style="1023" customWidth="1"/>
    <col min="13351" max="13351" width="193.33203125" style="1023" customWidth="1"/>
    <col min="13352" max="13354" width="47.33203125" style="1023" customWidth="1"/>
    <col min="13355" max="13355" width="43.6640625" style="1023" customWidth="1"/>
    <col min="13356" max="13363" width="56" style="1023" customWidth="1"/>
    <col min="13364" max="13568" width="9.33203125" style="1023"/>
    <col min="13569" max="13569" width="193.33203125" style="1023" customWidth="1"/>
    <col min="13570" max="13570" width="47.1640625" style="1023" customWidth="1"/>
    <col min="13571" max="13571" width="47.33203125" style="1023" customWidth="1"/>
    <col min="13572" max="13572" width="47.1640625" style="1023" customWidth="1"/>
    <col min="13573" max="13573" width="43.6640625" style="1023" customWidth="1"/>
    <col min="13574" max="13575" width="47.33203125" style="1023" customWidth="1"/>
    <col min="13576" max="13576" width="47.1640625" style="1023" customWidth="1"/>
    <col min="13577" max="13577" width="43.6640625" style="1023" customWidth="1"/>
    <col min="13578" max="13579" width="47.33203125" style="1023" customWidth="1"/>
    <col min="13580" max="13580" width="47.1640625" style="1023" customWidth="1"/>
    <col min="13581" max="13581" width="43.6640625" style="1023" customWidth="1"/>
    <col min="13582" max="13583" width="45" style="1023" customWidth="1"/>
    <col min="13584" max="13584" width="44.83203125" style="1023" customWidth="1"/>
    <col min="13585" max="13585" width="45" style="1023" customWidth="1"/>
    <col min="13586" max="13587" width="47.33203125" style="1023" customWidth="1"/>
    <col min="13588" max="13588" width="47.1640625" style="1023" customWidth="1"/>
    <col min="13589" max="13589" width="43.6640625" style="1023" customWidth="1"/>
    <col min="13590" max="13590" width="193.33203125" style="1023" customWidth="1"/>
    <col min="13591" max="13593" width="47.33203125" style="1023" customWidth="1"/>
    <col min="13594" max="13594" width="43.6640625" style="1023" customWidth="1"/>
    <col min="13595" max="13597" width="47.33203125" style="1023" customWidth="1"/>
    <col min="13598" max="13598" width="44" style="1023" customWidth="1"/>
    <col min="13599" max="13601" width="47.33203125" style="1023" customWidth="1"/>
    <col min="13602" max="13602" width="43.6640625" style="1023" customWidth="1"/>
    <col min="13603" max="13605" width="47.33203125" style="1023" customWidth="1"/>
    <col min="13606" max="13606" width="43.6640625" style="1023" customWidth="1"/>
    <col min="13607" max="13607" width="193.33203125" style="1023" customWidth="1"/>
    <col min="13608" max="13610" width="47.33203125" style="1023" customWidth="1"/>
    <col min="13611" max="13611" width="43.6640625" style="1023" customWidth="1"/>
    <col min="13612" max="13619" width="56" style="1023" customWidth="1"/>
    <col min="13620" max="13824" width="9.33203125" style="1023"/>
    <col min="13825" max="13825" width="193.33203125" style="1023" customWidth="1"/>
    <col min="13826" max="13826" width="47.1640625" style="1023" customWidth="1"/>
    <col min="13827" max="13827" width="47.33203125" style="1023" customWidth="1"/>
    <col min="13828" max="13828" width="47.1640625" style="1023" customWidth="1"/>
    <col min="13829" max="13829" width="43.6640625" style="1023" customWidth="1"/>
    <col min="13830" max="13831" width="47.33203125" style="1023" customWidth="1"/>
    <col min="13832" max="13832" width="47.1640625" style="1023" customWidth="1"/>
    <col min="13833" max="13833" width="43.6640625" style="1023" customWidth="1"/>
    <col min="13834" max="13835" width="47.33203125" style="1023" customWidth="1"/>
    <col min="13836" max="13836" width="47.1640625" style="1023" customWidth="1"/>
    <col min="13837" max="13837" width="43.6640625" style="1023" customWidth="1"/>
    <col min="13838" max="13839" width="45" style="1023" customWidth="1"/>
    <col min="13840" max="13840" width="44.83203125" style="1023" customWidth="1"/>
    <col min="13841" max="13841" width="45" style="1023" customWidth="1"/>
    <col min="13842" max="13843" width="47.33203125" style="1023" customWidth="1"/>
    <col min="13844" max="13844" width="47.1640625" style="1023" customWidth="1"/>
    <col min="13845" max="13845" width="43.6640625" style="1023" customWidth="1"/>
    <col min="13846" max="13846" width="193.33203125" style="1023" customWidth="1"/>
    <col min="13847" max="13849" width="47.33203125" style="1023" customWidth="1"/>
    <col min="13850" max="13850" width="43.6640625" style="1023" customWidth="1"/>
    <col min="13851" max="13853" width="47.33203125" style="1023" customWidth="1"/>
    <col min="13854" max="13854" width="44" style="1023" customWidth="1"/>
    <col min="13855" max="13857" width="47.33203125" style="1023" customWidth="1"/>
    <col min="13858" max="13858" width="43.6640625" style="1023" customWidth="1"/>
    <col min="13859" max="13861" width="47.33203125" style="1023" customWidth="1"/>
    <col min="13862" max="13862" width="43.6640625" style="1023" customWidth="1"/>
    <col min="13863" max="13863" width="193.33203125" style="1023" customWidth="1"/>
    <col min="13864" max="13866" width="47.33203125" style="1023" customWidth="1"/>
    <col min="13867" max="13867" width="43.6640625" style="1023" customWidth="1"/>
    <col min="13868" max="13875" width="56" style="1023" customWidth="1"/>
    <col min="13876" max="14080" width="9.33203125" style="1023"/>
    <col min="14081" max="14081" width="193.33203125" style="1023" customWidth="1"/>
    <col min="14082" max="14082" width="47.1640625" style="1023" customWidth="1"/>
    <col min="14083" max="14083" width="47.33203125" style="1023" customWidth="1"/>
    <col min="14084" max="14084" width="47.1640625" style="1023" customWidth="1"/>
    <col min="14085" max="14085" width="43.6640625" style="1023" customWidth="1"/>
    <col min="14086" max="14087" width="47.33203125" style="1023" customWidth="1"/>
    <col min="14088" max="14088" width="47.1640625" style="1023" customWidth="1"/>
    <col min="14089" max="14089" width="43.6640625" style="1023" customWidth="1"/>
    <col min="14090" max="14091" width="47.33203125" style="1023" customWidth="1"/>
    <col min="14092" max="14092" width="47.1640625" style="1023" customWidth="1"/>
    <col min="14093" max="14093" width="43.6640625" style="1023" customWidth="1"/>
    <col min="14094" max="14095" width="45" style="1023" customWidth="1"/>
    <col min="14096" max="14096" width="44.83203125" style="1023" customWidth="1"/>
    <col min="14097" max="14097" width="45" style="1023" customWidth="1"/>
    <col min="14098" max="14099" width="47.33203125" style="1023" customWidth="1"/>
    <col min="14100" max="14100" width="47.1640625" style="1023" customWidth="1"/>
    <col min="14101" max="14101" width="43.6640625" style="1023" customWidth="1"/>
    <col min="14102" max="14102" width="193.33203125" style="1023" customWidth="1"/>
    <col min="14103" max="14105" width="47.33203125" style="1023" customWidth="1"/>
    <col min="14106" max="14106" width="43.6640625" style="1023" customWidth="1"/>
    <col min="14107" max="14109" width="47.33203125" style="1023" customWidth="1"/>
    <col min="14110" max="14110" width="44" style="1023" customWidth="1"/>
    <col min="14111" max="14113" width="47.33203125" style="1023" customWidth="1"/>
    <col min="14114" max="14114" width="43.6640625" style="1023" customWidth="1"/>
    <col min="14115" max="14117" width="47.33203125" style="1023" customWidth="1"/>
    <col min="14118" max="14118" width="43.6640625" style="1023" customWidth="1"/>
    <col min="14119" max="14119" width="193.33203125" style="1023" customWidth="1"/>
    <col min="14120" max="14122" width="47.33203125" style="1023" customWidth="1"/>
    <col min="14123" max="14123" width="43.6640625" style="1023" customWidth="1"/>
    <col min="14124" max="14131" width="56" style="1023" customWidth="1"/>
    <col min="14132" max="14336" width="9.33203125" style="1023"/>
    <col min="14337" max="14337" width="193.33203125" style="1023" customWidth="1"/>
    <col min="14338" max="14338" width="47.1640625" style="1023" customWidth="1"/>
    <col min="14339" max="14339" width="47.33203125" style="1023" customWidth="1"/>
    <col min="14340" max="14340" width="47.1640625" style="1023" customWidth="1"/>
    <col min="14341" max="14341" width="43.6640625" style="1023" customWidth="1"/>
    <col min="14342" max="14343" width="47.33203125" style="1023" customWidth="1"/>
    <col min="14344" max="14344" width="47.1640625" style="1023" customWidth="1"/>
    <col min="14345" max="14345" width="43.6640625" style="1023" customWidth="1"/>
    <col min="14346" max="14347" width="47.33203125" style="1023" customWidth="1"/>
    <col min="14348" max="14348" width="47.1640625" style="1023" customWidth="1"/>
    <col min="14349" max="14349" width="43.6640625" style="1023" customWidth="1"/>
    <col min="14350" max="14351" width="45" style="1023" customWidth="1"/>
    <col min="14352" max="14352" width="44.83203125" style="1023" customWidth="1"/>
    <col min="14353" max="14353" width="45" style="1023" customWidth="1"/>
    <col min="14354" max="14355" width="47.33203125" style="1023" customWidth="1"/>
    <col min="14356" max="14356" width="47.1640625" style="1023" customWidth="1"/>
    <col min="14357" max="14357" width="43.6640625" style="1023" customWidth="1"/>
    <col min="14358" max="14358" width="193.33203125" style="1023" customWidth="1"/>
    <col min="14359" max="14361" width="47.33203125" style="1023" customWidth="1"/>
    <col min="14362" max="14362" width="43.6640625" style="1023" customWidth="1"/>
    <col min="14363" max="14365" width="47.33203125" style="1023" customWidth="1"/>
    <col min="14366" max="14366" width="44" style="1023" customWidth="1"/>
    <col min="14367" max="14369" width="47.33203125" style="1023" customWidth="1"/>
    <col min="14370" max="14370" width="43.6640625" style="1023" customWidth="1"/>
    <col min="14371" max="14373" width="47.33203125" style="1023" customWidth="1"/>
    <col min="14374" max="14374" width="43.6640625" style="1023" customWidth="1"/>
    <col min="14375" max="14375" width="193.33203125" style="1023" customWidth="1"/>
    <col min="14376" max="14378" width="47.33203125" style="1023" customWidth="1"/>
    <col min="14379" max="14379" width="43.6640625" style="1023" customWidth="1"/>
    <col min="14380" max="14387" width="56" style="1023" customWidth="1"/>
    <col min="14388" max="14592" width="9.33203125" style="1023"/>
    <col min="14593" max="14593" width="193.33203125" style="1023" customWidth="1"/>
    <col min="14594" max="14594" width="47.1640625" style="1023" customWidth="1"/>
    <col min="14595" max="14595" width="47.33203125" style="1023" customWidth="1"/>
    <col min="14596" max="14596" width="47.1640625" style="1023" customWidth="1"/>
    <col min="14597" max="14597" width="43.6640625" style="1023" customWidth="1"/>
    <col min="14598" max="14599" width="47.33203125" style="1023" customWidth="1"/>
    <col min="14600" max="14600" width="47.1640625" style="1023" customWidth="1"/>
    <col min="14601" max="14601" width="43.6640625" style="1023" customWidth="1"/>
    <col min="14602" max="14603" width="47.33203125" style="1023" customWidth="1"/>
    <col min="14604" max="14604" width="47.1640625" style="1023" customWidth="1"/>
    <col min="14605" max="14605" width="43.6640625" style="1023" customWidth="1"/>
    <col min="14606" max="14607" width="45" style="1023" customWidth="1"/>
    <col min="14608" max="14608" width="44.83203125" style="1023" customWidth="1"/>
    <col min="14609" max="14609" width="45" style="1023" customWidth="1"/>
    <col min="14610" max="14611" width="47.33203125" style="1023" customWidth="1"/>
    <col min="14612" max="14612" width="47.1640625" style="1023" customWidth="1"/>
    <col min="14613" max="14613" width="43.6640625" style="1023" customWidth="1"/>
    <col min="14614" max="14614" width="193.33203125" style="1023" customWidth="1"/>
    <col min="14615" max="14617" width="47.33203125" style="1023" customWidth="1"/>
    <col min="14618" max="14618" width="43.6640625" style="1023" customWidth="1"/>
    <col min="14619" max="14621" width="47.33203125" style="1023" customWidth="1"/>
    <col min="14622" max="14622" width="44" style="1023" customWidth="1"/>
    <col min="14623" max="14625" width="47.33203125" style="1023" customWidth="1"/>
    <col min="14626" max="14626" width="43.6640625" style="1023" customWidth="1"/>
    <col min="14627" max="14629" width="47.33203125" style="1023" customWidth="1"/>
    <col min="14630" max="14630" width="43.6640625" style="1023" customWidth="1"/>
    <col min="14631" max="14631" width="193.33203125" style="1023" customWidth="1"/>
    <col min="14632" max="14634" width="47.33203125" style="1023" customWidth="1"/>
    <col min="14635" max="14635" width="43.6640625" style="1023" customWidth="1"/>
    <col min="14636" max="14643" width="56" style="1023" customWidth="1"/>
    <col min="14644" max="14848" width="9.33203125" style="1023"/>
    <col min="14849" max="14849" width="193.33203125" style="1023" customWidth="1"/>
    <col min="14850" max="14850" width="47.1640625" style="1023" customWidth="1"/>
    <col min="14851" max="14851" width="47.33203125" style="1023" customWidth="1"/>
    <col min="14852" max="14852" width="47.1640625" style="1023" customWidth="1"/>
    <col min="14853" max="14853" width="43.6640625" style="1023" customWidth="1"/>
    <col min="14854" max="14855" width="47.33203125" style="1023" customWidth="1"/>
    <col min="14856" max="14856" width="47.1640625" style="1023" customWidth="1"/>
    <col min="14857" max="14857" width="43.6640625" style="1023" customWidth="1"/>
    <col min="14858" max="14859" width="47.33203125" style="1023" customWidth="1"/>
    <col min="14860" max="14860" width="47.1640625" style="1023" customWidth="1"/>
    <col min="14861" max="14861" width="43.6640625" style="1023" customWidth="1"/>
    <col min="14862" max="14863" width="45" style="1023" customWidth="1"/>
    <col min="14864" max="14864" width="44.83203125" style="1023" customWidth="1"/>
    <col min="14865" max="14865" width="45" style="1023" customWidth="1"/>
    <col min="14866" max="14867" width="47.33203125" style="1023" customWidth="1"/>
    <col min="14868" max="14868" width="47.1640625" style="1023" customWidth="1"/>
    <col min="14869" max="14869" width="43.6640625" style="1023" customWidth="1"/>
    <col min="14870" max="14870" width="193.33203125" style="1023" customWidth="1"/>
    <col min="14871" max="14873" width="47.33203125" style="1023" customWidth="1"/>
    <col min="14874" max="14874" width="43.6640625" style="1023" customWidth="1"/>
    <col min="14875" max="14877" width="47.33203125" style="1023" customWidth="1"/>
    <col min="14878" max="14878" width="44" style="1023" customWidth="1"/>
    <col min="14879" max="14881" width="47.33203125" style="1023" customWidth="1"/>
    <col min="14882" max="14882" width="43.6640625" style="1023" customWidth="1"/>
    <col min="14883" max="14885" width="47.33203125" style="1023" customWidth="1"/>
    <col min="14886" max="14886" width="43.6640625" style="1023" customWidth="1"/>
    <col min="14887" max="14887" width="193.33203125" style="1023" customWidth="1"/>
    <col min="14888" max="14890" width="47.33203125" style="1023" customWidth="1"/>
    <col min="14891" max="14891" width="43.6640625" style="1023" customWidth="1"/>
    <col min="14892" max="14899" width="56" style="1023" customWidth="1"/>
    <col min="14900" max="15104" width="9.33203125" style="1023"/>
    <col min="15105" max="15105" width="193.33203125" style="1023" customWidth="1"/>
    <col min="15106" max="15106" width="47.1640625" style="1023" customWidth="1"/>
    <col min="15107" max="15107" width="47.33203125" style="1023" customWidth="1"/>
    <col min="15108" max="15108" width="47.1640625" style="1023" customWidth="1"/>
    <col min="15109" max="15109" width="43.6640625" style="1023" customWidth="1"/>
    <col min="15110" max="15111" width="47.33203125" style="1023" customWidth="1"/>
    <col min="15112" max="15112" width="47.1640625" style="1023" customWidth="1"/>
    <col min="15113" max="15113" width="43.6640625" style="1023" customWidth="1"/>
    <col min="15114" max="15115" width="47.33203125" style="1023" customWidth="1"/>
    <col min="15116" max="15116" width="47.1640625" style="1023" customWidth="1"/>
    <col min="15117" max="15117" width="43.6640625" style="1023" customWidth="1"/>
    <col min="15118" max="15119" width="45" style="1023" customWidth="1"/>
    <col min="15120" max="15120" width="44.83203125" style="1023" customWidth="1"/>
    <col min="15121" max="15121" width="45" style="1023" customWidth="1"/>
    <col min="15122" max="15123" width="47.33203125" style="1023" customWidth="1"/>
    <col min="15124" max="15124" width="47.1640625" style="1023" customWidth="1"/>
    <col min="15125" max="15125" width="43.6640625" style="1023" customWidth="1"/>
    <col min="15126" max="15126" width="193.33203125" style="1023" customWidth="1"/>
    <col min="15127" max="15129" width="47.33203125" style="1023" customWidth="1"/>
    <col min="15130" max="15130" width="43.6640625" style="1023" customWidth="1"/>
    <col min="15131" max="15133" width="47.33203125" style="1023" customWidth="1"/>
    <col min="15134" max="15134" width="44" style="1023" customWidth="1"/>
    <col min="15135" max="15137" width="47.33203125" style="1023" customWidth="1"/>
    <col min="15138" max="15138" width="43.6640625" style="1023" customWidth="1"/>
    <col min="15139" max="15141" width="47.33203125" style="1023" customWidth="1"/>
    <col min="15142" max="15142" width="43.6640625" style="1023" customWidth="1"/>
    <col min="15143" max="15143" width="193.33203125" style="1023" customWidth="1"/>
    <col min="15144" max="15146" width="47.33203125" style="1023" customWidth="1"/>
    <col min="15147" max="15147" width="43.6640625" style="1023" customWidth="1"/>
    <col min="15148" max="15155" width="56" style="1023" customWidth="1"/>
    <col min="15156" max="15360" width="9.33203125" style="1023"/>
    <col min="15361" max="15361" width="193.33203125" style="1023" customWidth="1"/>
    <col min="15362" max="15362" width="47.1640625" style="1023" customWidth="1"/>
    <col min="15363" max="15363" width="47.33203125" style="1023" customWidth="1"/>
    <col min="15364" max="15364" width="47.1640625" style="1023" customWidth="1"/>
    <col min="15365" max="15365" width="43.6640625" style="1023" customWidth="1"/>
    <col min="15366" max="15367" width="47.33203125" style="1023" customWidth="1"/>
    <col min="15368" max="15368" width="47.1640625" style="1023" customWidth="1"/>
    <col min="15369" max="15369" width="43.6640625" style="1023" customWidth="1"/>
    <col min="15370" max="15371" width="47.33203125" style="1023" customWidth="1"/>
    <col min="15372" max="15372" width="47.1640625" style="1023" customWidth="1"/>
    <col min="15373" max="15373" width="43.6640625" style="1023" customWidth="1"/>
    <col min="15374" max="15375" width="45" style="1023" customWidth="1"/>
    <col min="15376" max="15376" width="44.83203125" style="1023" customWidth="1"/>
    <col min="15377" max="15377" width="45" style="1023" customWidth="1"/>
    <col min="15378" max="15379" width="47.33203125" style="1023" customWidth="1"/>
    <col min="15380" max="15380" width="47.1640625" style="1023" customWidth="1"/>
    <col min="15381" max="15381" width="43.6640625" style="1023" customWidth="1"/>
    <col min="15382" max="15382" width="193.33203125" style="1023" customWidth="1"/>
    <col min="15383" max="15385" width="47.33203125" style="1023" customWidth="1"/>
    <col min="15386" max="15386" width="43.6640625" style="1023" customWidth="1"/>
    <col min="15387" max="15389" width="47.33203125" style="1023" customWidth="1"/>
    <col min="15390" max="15390" width="44" style="1023" customWidth="1"/>
    <col min="15391" max="15393" width="47.33203125" style="1023" customWidth="1"/>
    <col min="15394" max="15394" width="43.6640625" style="1023" customWidth="1"/>
    <col min="15395" max="15397" width="47.33203125" style="1023" customWidth="1"/>
    <col min="15398" max="15398" width="43.6640625" style="1023" customWidth="1"/>
    <col min="15399" max="15399" width="193.33203125" style="1023" customWidth="1"/>
    <col min="15400" max="15402" width="47.33203125" style="1023" customWidth="1"/>
    <col min="15403" max="15403" width="43.6640625" style="1023" customWidth="1"/>
    <col min="15404" max="15411" width="56" style="1023" customWidth="1"/>
    <col min="15412" max="15616" width="9.33203125" style="1023"/>
    <col min="15617" max="15617" width="193.33203125" style="1023" customWidth="1"/>
    <col min="15618" max="15618" width="47.1640625" style="1023" customWidth="1"/>
    <col min="15619" max="15619" width="47.33203125" style="1023" customWidth="1"/>
    <col min="15620" max="15620" width="47.1640625" style="1023" customWidth="1"/>
    <col min="15621" max="15621" width="43.6640625" style="1023" customWidth="1"/>
    <col min="15622" max="15623" width="47.33203125" style="1023" customWidth="1"/>
    <col min="15624" max="15624" width="47.1640625" style="1023" customWidth="1"/>
    <col min="15625" max="15625" width="43.6640625" style="1023" customWidth="1"/>
    <col min="15626" max="15627" width="47.33203125" style="1023" customWidth="1"/>
    <col min="15628" max="15628" width="47.1640625" style="1023" customWidth="1"/>
    <col min="15629" max="15629" width="43.6640625" style="1023" customWidth="1"/>
    <col min="15630" max="15631" width="45" style="1023" customWidth="1"/>
    <col min="15632" max="15632" width="44.83203125" style="1023" customWidth="1"/>
    <col min="15633" max="15633" width="45" style="1023" customWidth="1"/>
    <col min="15634" max="15635" width="47.33203125" style="1023" customWidth="1"/>
    <col min="15636" max="15636" width="47.1640625" style="1023" customWidth="1"/>
    <col min="15637" max="15637" width="43.6640625" style="1023" customWidth="1"/>
    <col min="15638" max="15638" width="193.33203125" style="1023" customWidth="1"/>
    <col min="15639" max="15641" width="47.33203125" style="1023" customWidth="1"/>
    <col min="15642" max="15642" width="43.6640625" style="1023" customWidth="1"/>
    <col min="15643" max="15645" width="47.33203125" style="1023" customWidth="1"/>
    <col min="15646" max="15646" width="44" style="1023" customWidth="1"/>
    <col min="15647" max="15649" width="47.33203125" style="1023" customWidth="1"/>
    <col min="15650" max="15650" width="43.6640625" style="1023" customWidth="1"/>
    <col min="15651" max="15653" width="47.33203125" style="1023" customWidth="1"/>
    <col min="15654" max="15654" width="43.6640625" style="1023" customWidth="1"/>
    <col min="15655" max="15655" width="193.33203125" style="1023" customWidth="1"/>
    <col min="15656" max="15658" width="47.33203125" style="1023" customWidth="1"/>
    <col min="15659" max="15659" width="43.6640625" style="1023" customWidth="1"/>
    <col min="15660" max="15667" width="56" style="1023" customWidth="1"/>
    <col min="15668" max="15872" width="9.33203125" style="1023"/>
    <col min="15873" max="15873" width="193.33203125" style="1023" customWidth="1"/>
    <col min="15874" max="15874" width="47.1640625" style="1023" customWidth="1"/>
    <col min="15875" max="15875" width="47.33203125" style="1023" customWidth="1"/>
    <col min="15876" max="15876" width="47.1640625" style="1023" customWidth="1"/>
    <col min="15877" max="15877" width="43.6640625" style="1023" customWidth="1"/>
    <col min="15878" max="15879" width="47.33203125" style="1023" customWidth="1"/>
    <col min="15880" max="15880" width="47.1640625" style="1023" customWidth="1"/>
    <col min="15881" max="15881" width="43.6640625" style="1023" customWidth="1"/>
    <col min="15882" max="15883" width="47.33203125" style="1023" customWidth="1"/>
    <col min="15884" max="15884" width="47.1640625" style="1023" customWidth="1"/>
    <col min="15885" max="15885" width="43.6640625" style="1023" customWidth="1"/>
    <col min="15886" max="15887" width="45" style="1023" customWidth="1"/>
    <col min="15888" max="15888" width="44.83203125" style="1023" customWidth="1"/>
    <col min="15889" max="15889" width="45" style="1023" customWidth="1"/>
    <col min="15890" max="15891" width="47.33203125" style="1023" customWidth="1"/>
    <col min="15892" max="15892" width="47.1640625" style="1023" customWidth="1"/>
    <col min="15893" max="15893" width="43.6640625" style="1023" customWidth="1"/>
    <col min="15894" max="15894" width="193.33203125" style="1023" customWidth="1"/>
    <col min="15895" max="15897" width="47.33203125" style="1023" customWidth="1"/>
    <col min="15898" max="15898" width="43.6640625" style="1023" customWidth="1"/>
    <col min="15899" max="15901" width="47.33203125" style="1023" customWidth="1"/>
    <col min="15902" max="15902" width="44" style="1023" customWidth="1"/>
    <col min="15903" max="15905" width="47.33203125" style="1023" customWidth="1"/>
    <col min="15906" max="15906" width="43.6640625" style="1023" customWidth="1"/>
    <col min="15907" max="15909" width="47.33203125" style="1023" customWidth="1"/>
    <col min="15910" max="15910" width="43.6640625" style="1023" customWidth="1"/>
    <col min="15911" max="15911" width="193.33203125" style="1023" customWidth="1"/>
    <col min="15912" max="15914" width="47.33203125" style="1023" customWidth="1"/>
    <col min="15915" max="15915" width="43.6640625" style="1023" customWidth="1"/>
    <col min="15916" max="15923" width="56" style="1023" customWidth="1"/>
    <col min="15924" max="16128" width="9.33203125" style="1023"/>
    <col min="16129" max="16129" width="193.33203125" style="1023" customWidth="1"/>
    <col min="16130" max="16130" width="47.1640625" style="1023" customWidth="1"/>
    <col min="16131" max="16131" width="47.33203125" style="1023" customWidth="1"/>
    <col min="16132" max="16132" width="47.1640625" style="1023" customWidth="1"/>
    <col min="16133" max="16133" width="43.6640625" style="1023" customWidth="1"/>
    <col min="16134" max="16135" width="47.33203125" style="1023" customWidth="1"/>
    <col min="16136" max="16136" width="47.1640625" style="1023" customWidth="1"/>
    <col min="16137" max="16137" width="43.6640625" style="1023" customWidth="1"/>
    <col min="16138" max="16139" width="47.33203125" style="1023" customWidth="1"/>
    <col min="16140" max="16140" width="47.1640625" style="1023" customWidth="1"/>
    <col min="16141" max="16141" width="43.6640625" style="1023" customWidth="1"/>
    <col min="16142" max="16143" width="45" style="1023" customWidth="1"/>
    <col min="16144" max="16144" width="44.83203125" style="1023" customWidth="1"/>
    <col min="16145" max="16145" width="45" style="1023" customWidth="1"/>
    <col min="16146" max="16147" width="47.33203125" style="1023" customWidth="1"/>
    <col min="16148" max="16148" width="47.1640625" style="1023" customWidth="1"/>
    <col min="16149" max="16149" width="43.6640625" style="1023" customWidth="1"/>
    <col min="16150" max="16150" width="193.33203125" style="1023" customWidth="1"/>
    <col min="16151" max="16153" width="47.33203125" style="1023" customWidth="1"/>
    <col min="16154" max="16154" width="43.6640625" style="1023" customWidth="1"/>
    <col min="16155" max="16157" width="47.33203125" style="1023" customWidth="1"/>
    <col min="16158" max="16158" width="44" style="1023" customWidth="1"/>
    <col min="16159" max="16161" width="47.33203125" style="1023" customWidth="1"/>
    <col min="16162" max="16162" width="43.6640625" style="1023" customWidth="1"/>
    <col min="16163" max="16165" width="47.33203125" style="1023" customWidth="1"/>
    <col min="16166" max="16166" width="43.6640625" style="1023" customWidth="1"/>
    <col min="16167" max="16167" width="193.33203125" style="1023" customWidth="1"/>
    <col min="16168" max="16170" width="47.33203125" style="1023" customWidth="1"/>
    <col min="16171" max="16171" width="43.6640625" style="1023" customWidth="1"/>
    <col min="16172" max="16179" width="56" style="1023" customWidth="1"/>
    <col min="16180" max="16384" width="9.33203125" style="1023"/>
  </cols>
  <sheetData>
    <row r="1" spans="1:57" ht="51.75" customHeight="1">
      <c r="A1" s="1019"/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20"/>
      <c r="T1" s="1020"/>
      <c r="U1" s="1020"/>
      <c r="V1" s="1021"/>
      <c r="W1" s="1020"/>
      <c r="X1" s="1020"/>
      <c r="Y1" s="1020"/>
      <c r="Z1" s="1020"/>
      <c r="AA1" s="1020"/>
      <c r="AB1" s="1020"/>
      <c r="AC1" s="1020"/>
      <c r="AD1" s="1020"/>
      <c r="AE1" s="1020"/>
      <c r="AF1" s="1020"/>
      <c r="AG1" s="1020"/>
      <c r="AH1" s="1020"/>
      <c r="AI1" s="1020"/>
      <c r="AJ1" s="1020"/>
      <c r="AK1" s="1020"/>
      <c r="AL1" s="1020"/>
      <c r="AM1" s="1021"/>
      <c r="AN1" s="1019"/>
      <c r="AO1" s="1019"/>
      <c r="AP1" s="1019"/>
      <c r="AQ1" s="1019"/>
      <c r="AR1" s="1019"/>
      <c r="AS1" s="1019"/>
      <c r="AT1" s="1022"/>
      <c r="AU1" s="1022"/>
      <c r="AV1" s="1022"/>
      <c r="AW1" s="1022"/>
      <c r="AX1" s="1020"/>
      <c r="AY1" s="1020"/>
      <c r="AZ1" s="1019"/>
      <c r="BA1" s="1019"/>
      <c r="BB1" s="1019"/>
      <c r="BC1" s="1019"/>
      <c r="BD1" s="1019"/>
      <c r="BE1" s="1019"/>
    </row>
    <row r="2" spans="1:57" ht="51.75" customHeight="1">
      <c r="A2" s="1019"/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  <c r="N2" s="1020"/>
      <c r="O2" s="1020"/>
      <c r="P2" s="1020"/>
      <c r="Q2" s="1020"/>
      <c r="R2" s="1020"/>
      <c r="S2" s="1020"/>
      <c r="T2" s="1020"/>
      <c r="U2" s="1020"/>
      <c r="V2" s="1021"/>
      <c r="W2" s="1020"/>
      <c r="X2" s="1020"/>
      <c r="Y2" s="1020"/>
      <c r="Z2" s="1020"/>
      <c r="AA2" s="1020"/>
      <c r="AB2" s="1020"/>
      <c r="AC2" s="1020"/>
      <c r="AD2" s="1020"/>
      <c r="AE2" s="1020"/>
      <c r="AF2" s="1020"/>
      <c r="AG2" s="1020"/>
      <c r="AH2" s="1020"/>
      <c r="AI2" s="1020"/>
      <c r="AJ2" s="1020"/>
      <c r="AK2" s="1020"/>
      <c r="AL2" s="1020"/>
      <c r="AM2" s="1021"/>
      <c r="AN2" s="1934"/>
      <c r="AO2" s="1934"/>
      <c r="AP2" s="1934"/>
      <c r="AQ2" s="1934"/>
      <c r="AR2" s="1019"/>
      <c r="AS2" s="1019"/>
      <c r="AT2" s="1022"/>
      <c r="AU2" s="1022"/>
      <c r="AV2" s="1022"/>
      <c r="AW2" s="1022"/>
      <c r="AX2" s="1020"/>
      <c r="AY2" s="1020"/>
      <c r="AZ2" s="1019"/>
      <c r="BA2" s="1019"/>
      <c r="BB2" s="1019"/>
      <c r="BC2" s="1019"/>
      <c r="BD2" s="1019"/>
      <c r="BE2" s="1019"/>
    </row>
    <row r="3" spans="1:57" s="1025" customFormat="1" ht="54" customHeight="1">
      <c r="A3" s="1935" t="s">
        <v>626</v>
      </c>
      <c r="B3" s="1935"/>
      <c r="C3" s="1935"/>
      <c r="D3" s="1935"/>
      <c r="E3" s="1935"/>
      <c r="F3" s="1935"/>
      <c r="G3" s="1935"/>
      <c r="H3" s="1935"/>
      <c r="I3" s="1935"/>
      <c r="J3" s="1935"/>
      <c r="K3" s="1935"/>
      <c r="L3" s="1935"/>
      <c r="M3" s="1935"/>
      <c r="N3" s="1935"/>
      <c r="O3" s="1935"/>
      <c r="P3" s="1935"/>
      <c r="Q3" s="1935"/>
      <c r="R3" s="1935"/>
      <c r="S3" s="1935"/>
      <c r="T3" s="1935"/>
      <c r="U3" s="1935"/>
      <c r="V3" s="1933" t="s">
        <v>626</v>
      </c>
      <c r="W3" s="1933"/>
      <c r="X3" s="1933"/>
      <c r="Y3" s="1933"/>
      <c r="Z3" s="1933"/>
      <c r="AA3" s="1933"/>
      <c r="AB3" s="1933"/>
      <c r="AC3" s="1933"/>
      <c r="AD3" s="1933"/>
      <c r="AE3" s="1933"/>
      <c r="AF3" s="1933"/>
      <c r="AG3" s="1933"/>
      <c r="AH3" s="1933"/>
      <c r="AI3" s="1933"/>
      <c r="AJ3" s="1933"/>
      <c r="AK3" s="1933"/>
      <c r="AL3" s="1933"/>
      <c r="AM3" s="1933" t="s">
        <v>626</v>
      </c>
      <c r="AN3" s="1933"/>
      <c r="AO3" s="1933"/>
      <c r="AP3" s="1933"/>
      <c r="AQ3" s="1933"/>
      <c r="AR3" s="1933"/>
      <c r="AS3" s="1933"/>
      <c r="AT3" s="1933"/>
      <c r="AU3" s="1933"/>
      <c r="AV3" s="1933"/>
      <c r="AW3" s="1933"/>
      <c r="AX3" s="1933"/>
      <c r="AY3" s="1933"/>
      <c r="AZ3" s="1933"/>
      <c r="BA3" s="1933"/>
      <c r="BB3" s="1933"/>
      <c r="BC3" s="1933"/>
      <c r="BD3" s="1933"/>
      <c r="BE3" s="1933"/>
    </row>
    <row r="4" spans="1:57" s="1025" customFormat="1" ht="54" customHeight="1">
      <c r="A4" s="1932" t="s">
        <v>1156</v>
      </c>
      <c r="B4" s="1932"/>
      <c r="C4" s="1932"/>
      <c r="D4" s="1932"/>
      <c r="E4" s="1932"/>
      <c r="F4" s="1932"/>
      <c r="G4" s="1932"/>
      <c r="H4" s="1932"/>
      <c r="I4" s="1932"/>
      <c r="J4" s="1932"/>
      <c r="K4" s="1932"/>
      <c r="L4" s="1932"/>
      <c r="M4" s="1932"/>
      <c r="N4" s="1932"/>
      <c r="O4" s="1932"/>
      <c r="P4" s="1932"/>
      <c r="Q4" s="1932"/>
      <c r="R4" s="1932"/>
      <c r="S4" s="1932"/>
      <c r="T4" s="1932"/>
      <c r="U4" s="1932"/>
      <c r="V4" s="1933" t="s">
        <v>1156</v>
      </c>
      <c r="W4" s="1933"/>
      <c r="X4" s="1933"/>
      <c r="Y4" s="1933"/>
      <c r="Z4" s="1933"/>
      <c r="AA4" s="1933"/>
      <c r="AB4" s="1933"/>
      <c r="AC4" s="1933"/>
      <c r="AD4" s="1933"/>
      <c r="AE4" s="1933"/>
      <c r="AF4" s="1933"/>
      <c r="AG4" s="1933"/>
      <c r="AH4" s="1933"/>
      <c r="AI4" s="1933"/>
      <c r="AJ4" s="1933"/>
      <c r="AK4" s="1933"/>
      <c r="AL4" s="1933"/>
      <c r="AM4" s="1933" t="s">
        <v>1156</v>
      </c>
      <c r="AN4" s="1933"/>
      <c r="AO4" s="1933"/>
      <c r="AP4" s="1933"/>
      <c r="AQ4" s="1933"/>
      <c r="AR4" s="1933"/>
      <c r="AS4" s="1933"/>
      <c r="AT4" s="1933"/>
      <c r="AU4" s="1933"/>
      <c r="AV4" s="1933"/>
      <c r="AW4" s="1933"/>
      <c r="AX4" s="1933"/>
      <c r="AY4" s="1933"/>
      <c r="AZ4" s="1933"/>
      <c r="BA4" s="1933"/>
      <c r="BB4" s="1933"/>
      <c r="BC4" s="1933"/>
      <c r="BD4" s="1933"/>
      <c r="BE4" s="1933"/>
    </row>
    <row r="5" spans="1:57" ht="62.25" customHeight="1" thickBot="1">
      <c r="A5" s="1019"/>
      <c r="B5" s="1020"/>
      <c r="C5" s="1020"/>
      <c r="D5" s="1020"/>
      <c r="E5" s="1020"/>
      <c r="F5" s="1020"/>
      <c r="G5" s="1020"/>
      <c r="H5" s="1020"/>
      <c r="I5" s="1020"/>
      <c r="J5" s="1020"/>
      <c r="K5" s="1020"/>
      <c r="L5" s="1020"/>
      <c r="M5" s="1020"/>
      <c r="N5" s="1020"/>
      <c r="O5" s="1020"/>
      <c r="P5" s="1020"/>
      <c r="Q5" s="1020"/>
      <c r="R5" s="1020"/>
      <c r="S5" s="1020"/>
      <c r="T5" s="1020"/>
      <c r="U5" s="1020"/>
      <c r="V5" s="1021"/>
      <c r="W5" s="1020"/>
      <c r="X5" s="1020"/>
      <c r="Y5" s="1020"/>
      <c r="Z5" s="1020"/>
      <c r="AA5" s="1020"/>
      <c r="AB5" s="1020"/>
      <c r="AC5" s="1020"/>
      <c r="AD5" s="1020"/>
      <c r="AE5" s="1020"/>
      <c r="AF5" s="1020"/>
      <c r="AG5" s="1020"/>
      <c r="AH5" s="1020"/>
      <c r="AI5" s="1020"/>
      <c r="AJ5" s="1020"/>
      <c r="AK5" s="1020"/>
      <c r="AL5" s="1020"/>
      <c r="AM5" s="1021"/>
      <c r="AN5" s="1019"/>
      <c r="AO5" s="1019"/>
      <c r="AP5" s="1019"/>
      <c r="AQ5" s="1019"/>
      <c r="AR5" s="1019"/>
      <c r="AS5" s="1019"/>
      <c r="AT5" s="1022"/>
      <c r="AU5" s="1022"/>
      <c r="AV5" s="1022"/>
      <c r="AW5" s="1022"/>
      <c r="AX5" s="1020"/>
      <c r="AY5" s="1020"/>
      <c r="AZ5" s="1019"/>
      <c r="BA5" s="1019"/>
      <c r="BB5" s="1019"/>
      <c r="BC5" s="1019"/>
      <c r="BD5" s="1019"/>
      <c r="BE5" s="1019"/>
    </row>
    <row r="6" spans="1:57" s="1257" customFormat="1" ht="54.75" customHeight="1">
      <c r="A6" s="1255"/>
      <c r="B6" s="1920" t="s">
        <v>1157</v>
      </c>
      <c r="C6" s="1921"/>
      <c r="D6" s="1921"/>
      <c r="E6" s="1922"/>
      <c r="F6" s="1926" t="s">
        <v>641</v>
      </c>
      <c r="G6" s="1927"/>
      <c r="H6" s="1927"/>
      <c r="I6" s="1928"/>
      <c r="J6" s="1920" t="s">
        <v>1158</v>
      </c>
      <c r="K6" s="1921"/>
      <c r="L6" s="1921"/>
      <c r="M6" s="1922"/>
      <c r="N6" s="1920" t="s">
        <v>71</v>
      </c>
      <c r="O6" s="1921"/>
      <c r="P6" s="1921"/>
      <c r="Q6" s="1922"/>
      <c r="R6" s="1926" t="s">
        <v>654</v>
      </c>
      <c r="S6" s="1927"/>
      <c r="T6" s="1927"/>
      <c r="U6" s="1928"/>
      <c r="V6" s="1255"/>
      <c r="W6" s="1920" t="s">
        <v>130</v>
      </c>
      <c r="X6" s="1921"/>
      <c r="Y6" s="1921"/>
      <c r="Z6" s="1922"/>
      <c r="AA6" s="1926" t="s">
        <v>125</v>
      </c>
      <c r="AB6" s="1927"/>
      <c r="AC6" s="1927"/>
      <c r="AD6" s="1928"/>
      <c r="AE6" s="1920" t="s">
        <v>662</v>
      </c>
      <c r="AF6" s="1921"/>
      <c r="AG6" s="1921"/>
      <c r="AH6" s="1922"/>
      <c r="AI6" s="1926" t="s">
        <v>665</v>
      </c>
      <c r="AJ6" s="1927"/>
      <c r="AK6" s="1927"/>
      <c r="AL6" s="1928"/>
      <c r="AM6" s="1255"/>
      <c r="AN6" s="1926" t="s">
        <v>1159</v>
      </c>
      <c r="AO6" s="1927"/>
      <c r="AP6" s="1927"/>
      <c r="AQ6" s="1928"/>
      <c r="AR6" s="1926" t="s">
        <v>1160</v>
      </c>
      <c r="AS6" s="1927"/>
      <c r="AT6" s="1927"/>
      <c r="AU6" s="1928"/>
      <c r="AV6" s="1920" t="s">
        <v>1161</v>
      </c>
      <c r="AW6" s="1921"/>
      <c r="AX6" s="1921"/>
      <c r="AY6" s="1922"/>
      <c r="AZ6" s="1256"/>
      <c r="BA6" s="1256"/>
      <c r="BB6" s="1256"/>
      <c r="BC6" s="1256"/>
      <c r="BD6" s="1256"/>
      <c r="BE6" s="1256"/>
    </row>
    <row r="7" spans="1:57" s="1260" customFormat="1" ht="54.75" customHeight="1" thickBot="1">
      <c r="A7" s="1258" t="s">
        <v>1162</v>
      </c>
      <c r="B7" s="1923"/>
      <c r="C7" s="1924"/>
      <c r="D7" s="1924"/>
      <c r="E7" s="1925"/>
      <c r="F7" s="1929"/>
      <c r="G7" s="1930"/>
      <c r="H7" s="1930"/>
      <c r="I7" s="1931"/>
      <c r="J7" s="1923"/>
      <c r="K7" s="1924"/>
      <c r="L7" s="1924"/>
      <c r="M7" s="1925"/>
      <c r="N7" s="1923"/>
      <c r="O7" s="1924"/>
      <c r="P7" s="1924"/>
      <c r="Q7" s="1925"/>
      <c r="R7" s="1929"/>
      <c r="S7" s="1930"/>
      <c r="T7" s="1930"/>
      <c r="U7" s="1931"/>
      <c r="V7" s="1258" t="s">
        <v>1162</v>
      </c>
      <c r="W7" s="1923"/>
      <c r="X7" s="1924"/>
      <c r="Y7" s="1924"/>
      <c r="Z7" s="1925"/>
      <c r="AA7" s="1929"/>
      <c r="AB7" s="1930"/>
      <c r="AC7" s="1930"/>
      <c r="AD7" s="1931"/>
      <c r="AE7" s="1923"/>
      <c r="AF7" s="1924"/>
      <c r="AG7" s="1924"/>
      <c r="AH7" s="1925"/>
      <c r="AI7" s="1929"/>
      <c r="AJ7" s="1930"/>
      <c r="AK7" s="1930"/>
      <c r="AL7" s="1931"/>
      <c r="AM7" s="1258" t="s">
        <v>1162</v>
      </c>
      <c r="AN7" s="1929"/>
      <c r="AO7" s="1930"/>
      <c r="AP7" s="1930"/>
      <c r="AQ7" s="1931"/>
      <c r="AR7" s="1929"/>
      <c r="AS7" s="1930"/>
      <c r="AT7" s="1930"/>
      <c r="AU7" s="1931"/>
      <c r="AV7" s="1923"/>
      <c r="AW7" s="1924"/>
      <c r="AX7" s="1924"/>
      <c r="AY7" s="1925"/>
      <c r="AZ7" s="1259"/>
      <c r="BA7" s="1259"/>
      <c r="BB7" s="1259"/>
      <c r="BC7" s="1259"/>
      <c r="BD7" s="1259"/>
      <c r="BE7" s="1259"/>
    </row>
    <row r="8" spans="1:57" s="1257" customFormat="1" ht="141.75" customHeight="1" thickBot="1">
      <c r="A8" s="1261">
        <v>2025</v>
      </c>
      <c r="B8" s="1262" t="s">
        <v>1163</v>
      </c>
      <c r="C8" s="1262" t="s">
        <v>1164</v>
      </c>
      <c r="D8" s="1262" t="s">
        <v>77</v>
      </c>
      <c r="E8" s="1262" t="s">
        <v>1165</v>
      </c>
      <c r="F8" s="1262" t="s">
        <v>1163</v>
      </c>
      <c r="G8" s="1262" t="s">
        <v>1164</v>
      </c>
      <c r="H8" s="1262" t="s">
        <v>77</v>
      </c>
      <c r="I8" s="1262" t="s">
        <v>1165</v>
      </c>
      <c r="J8" s="1262" t="s">
        <v>1163</v>
      </c>
      <c r="K8" s="1262" t="s">
        <v>1164</v>
      </c>
      <c r="L8" s="1262" t="s">
        <v>77</v>
      </c>
      <c r="M8" s="1262" t="s">
        <v>1165</v>
      </c>
      <c r="N8" s="1262" t="s">
        <v>1163</v>
      </c>
      <c r="O8" s="1262" t="s">
        <v>1164</v>
      </c>
      <c r="P8" s="1262" t="s">
        <v>77</v>
      </c>
      <c r="Q8" s="1262" t="s">
        <v>1165</v>
      </c>
      <c r="R8" s="1262" t="s">
        <v>1163</v>
      </c>
      <c r="S8" s="1262" t="s">
        <v>1164</v>
      </c>
      <c r="T8" s="1262" t="s">
        <v>77</v>
      </c>
      <c r="U8" s="1262" t="s">
        <v>1165</v>
      </c>
      <c r="V8" s="1263">
        <v>2025</v>
      </c>
      <c r="W8" s="1262" t="s">
        <v>1163</v>
      </c>
      <c r="X8" s="1262" t="s">
        <v>1164</v>
      </c>
      <c r="Y8" s="1262" t="s">
        <v>77</v>
      </c>
      <c r="Z8" s="1262" t="s">
        <v>1165</v>
      </c>
      <c r="AA8" s="1262" t="s">
        <v>1163</v>
      </c>
      <c r="AB8" s="1262" t="s">
        <v>1164</v>
      </c>
      <c r="AC8" s="1262" t="s">
        <v>77</v>
      </c>
      <c r="AD8" s="1262" t="s">
        <v>1165</v>
      </c>
      <c r="AE8" s="1262" t="s">
        <v>1163</v>
      </c>
      <c r="AF8" s="1262" t="s">
        <v>1164</v>
      </c>
      <c r="AG8" s="1262" t="s">
        <v>77</v>
      </c>
      <c r="AH8" s="1262" t="s">
        <v>1165</v>
      </c>
      <c r="AI8" s="1262" t="s">
        <v>1163</v>
      </c>
      <c r="AJ8" s="1262" t="s">
        <v>1164</v>
      </c>
      <c r="AK8" s="1262" t="s">
        <v>77</v>
      </c>
      <c r="AL8" s="1262" t="s">
        <v>1165</v>
      </c>
      <c r="AM8" s="1263">
        <v>2025</v>
      </c>
      <c r="AN8" s="1262" t="s">
        <v>1163</v>
      </c>
      <c r="AO8" s="1262" t="s">
        <v>1164</v>
      </c>
      <c r="AP8" s="1262" t="s">
        <v>77</v>
      </c>
      <c r="AQ8" s="1262" t="s">
        <v>1165</v>
      </c>
      <c r="AR8" s="1262" t="s">
        <v>1163</v>
      </c>
      <c r="AS8" s="1262" t="s">
        <v>1164</v>
      </c>
      <c r="AT8" s="1262" t="s">
        <v>77</v>
      </c>
      <c r="AU8" s="1262" t="s">
        <v>1165</v>
      </c>
      <c r="AV8" s="1262" t="s">
        <v>1163</v>
      </c>
      <c r="AW8" s="1262" t="s">
        <v>1164</v>
      </c>
      <c r="AX8" s="1262" t="s">
        <v>77</v>
      </c>
      <c r="AY8" s="1262" t="s">
        <v>1165</v>
      </c>
      <c r="AZ8" s="1256"/>
      <c r="BA8" s="1256"/>
      <c r="BB8" s="1256"/>
      <c r="BC8" s="1256"/>
      <c r="BD8" s="1256"/>
      <c r="BE8" s="1256"/>
    </row>
    <row r="9" spans="1:57" s="1268" customFormat="1" ht="45.75" customHeight="1">
      <c r="A9" s="1264" t="s">
        <v>1166</v>
      </c>
      <c r="B9" s="1265"/>
      <c r="C9" s="1265"/>
      <c r="D9" s="1265"/>
      <c r="E9" s="1265"/>
      <c r="F9" s="1265"/>
      <c r="G9" s="1265"/>
      <c r="H9" s="1265"/>
      <c r="I9" s="1265"/>
      <c r="J9" s="1265"/>
      <c r="K9" s="1265"/>
      <c r="L9" s="1265"/>
      <c r="M9" s="1265"/>
      <c r="N9" s="1265"/>
      <c r="O9" s="1265"/>
      <c r="P9" s="1265"/>
      <c r="Q9" s="1265"/>
      <c r="R9" s="1265"/>
      <c r="S9" s="1265"/>
      <c r="T9" s="1265"/>
      <c r="U9" s="1265"/>
      <c r="V9" s="1264" t="s">
        <v>1166</v>
      </c>
      <c r="W9" s="1265"/>
      <c r="X9" s="1265"/>
      <c r="Y9" s="1265"/>
      <c r="Z9" s="1265"/>
      <c r="AA9" s="1265"/>
      <c r="AB9" s="1265"/>
      <c r="AC9" s="1265"/>
      <c r="AD9" s="1265"/>
      <c r="AE9" s="1265"/>
      <c r="AF9" s="1265"/>
      <c r="AG9" s="1265"/>
      <c r="AH9" s="1265"/>
      <c r="AI9" s="1265"/>
      <c r="AJ9" s="1265"/>
      <c r="AK9" s="1265"/>
      <c r="AL9" s="1265"/>
      <c r="AM9" s="1264" t="s">
        <v>1166</v>
      </c>
      <c r="AN9" s="1264"/>
      <c r="AO9" s="1264"/>
      <c r="AP9" s="1264"/>
      <c r="AQ9" s="1264"/>
      <c r="AR9" s="1264"/>
      <c r="AS9" s="1264"/>
      <c r="AT9" s="1266"/>
      <c r="AU9" s="1266"/>
      <c r="AV9" s="1266"/>
      <c r="AW9" s="1266"/>
      <c r="AX9" s="1265"/>
      <c r="AY9" s="1265"/>
      <c r="AZ9" s="1267"/>
      <c r="BA9" s="1267"/>
      <c r="BB9" s="1267"/>
      <c r="BC9" s="1267"/>
      <c r="BD9" s="1267"/>
      <c r="BE9" s="1267"/>
    </row>
    <row r="10" spans="1:57" s="1268" customFormat="1" ht="57" customHeight="1">
      <c r="A10" s="1269" t="s">
        <v>1167</v>
      </c>
      <c r="B10" s="1270">
        <f>[4]int.bevételek2025!B9</f>
        <v>1712</v>
      </c>
      <c r="C10" s="1270">
        <f>'[5]int.bevételek RM IV'!D10</f>
        <v>3971</v>
      </c>
      <c r="D10" s="1270">
        <v>3970</v>
      </c>
      <c r="E10" s="1271">
        <f t="shared" ref="E10:E30" si="0">D10/C10</f>
        <v>0.99974817426340967</v>
      </c>
      <c r="F10" s="1270">
        <f>[4]int.bevételek2025!C9</f>
        <v>0</v>
      </c>
      <c r="G10" s="1270">
        <f>'[5]int.bevételek RM IV'!G10</f>
        <v>0</v>
      </c>
      <c r="H10" s="1270"/>
      <c r="I10" s="1271"/>
      <c r="J10" s="1270">
        <f>[4]int.bevételek2025!D9</f>
        <v>0</v>
      </c>
      <c r="K10" s="1270">
        <f>'[5]int.bevételek RM IV'!J10</f>
        <v>0</v>
      </c>
      <c r="L10" s="1270"/>
      <c r="M10" s="1271"/>
      <c r="N10" s="1270">
        <f>[4]int.bevételek2025!E9</f>
        <v>0</v>
      </c>
      <c r="O10" s="1270">
        <f>'[5]int.bevételek RM IV'!M10</f>
        <v>0</v>
      </c>
      <c r="P10" s="1270"/>
      <c r="Q10" s="1271"/>
      <c r="R10" s="1272">
        <f>B10+F10+J10+N10</f>
        <v>1712</v>
      </c>
      <c r="S10" s="1272">
        <f>C10+G10+K10+O10</f>
        <v>3971</v>
      </c>
      <c r="T10" s="1272">
        <f>D10+H10+L10+P10</f>
        <v>3970</v>
      </c>
      <c r="U10" s="1273">
        <f t="shared" ref="U10:U30" si="1">T10/S10</f>
        <v>0.99974817426340967</v>
      </c>
      <c r="V10" s="1269" t="s">
        <v>1167</v>
      </c>
      <c r="W10" s="1270">
        <f>[4]int.bevételek2025!H9</f>
        <v>0</v>
      </c>
      <c r="X10" s="1270">
        <f>'[5]int.bevételek RM IV'!T10</f>
        <v>0</v>
      </c>
      <c r="Y10" s="1270"/>
      <c r="Z10" s="1271"/>
      <c r="AA10" s="1270">
        <f>[4]int.bevételek2025!I9</f>
        <v>0</v>
      </c>
      <c r="AB10" s="1270">
        <f>'[5]int.bevételek RM IV'!W10</f>
        <v>0</v>
      </c>
      <c r="AC10" s="1270"/>
      <c r="AD10" s="1271"/>
      <c r="AE10" s="1270">
        <f>[4]int.bevételek2025!J9</f>
        <v>0</v>
      </c>
      <c r="AF10" s="1270">
        <f>'[5]int.bevételek RM IV'!Z10</f>
        <v>0</v>
      </c>
      <c r="AG10" s="1270"/>
      <c r="AH10" s="1271"/>
      <c r="AI10" s="1272">
        <f t="shared" ref="AI10:AK27" si="2">W10+AA10+AE10</f>
        <v>0</v>
      </c>
      <c r="AJ10" s="1272">
        <f t="shared" si="2"/>
        <v>0</v>
      </c>
      <c r="AK10" s="1272">
        <f t="shared" si="2"/>
        <v>0</v>
      </c>
      <c r="AL10" s="1273"/>
      <c r="AM10" s="1269" t="s">
        <v>1167</v>
      </c>
      <c r="AN10" s="1270"/>
      <c r="AO10" s="1270">
        <f>'[5]int.bevételek RM IV'!AJ10</f>
        <v>2312</v>
      </c>
      <c r="AP10" s="1270">
        <v>2312</v>
      </c>
      <c r="AQ10" s="1271">
        <f t="shared" ref="AQ10:AQ30" si="3">AP10/AO10</f>
        <v>1</v>
      </c>
      <c r="AR10" s="1272">
        <f>[4]int.bevételek2025!N9</f>
        <v>274286</v>
      </c>
      <c r="AS10" s="1272">
        <f>'[5]int.bevételek RM IV'!AM10</f>
        <v>279949</v>
      </c>
      <c r="AT10" s="1272">
        <v>269360</v>
      </c>
      <c r="AU10" s="1273">
        <f t="shared" ref="AU10:AU30" si="4">AT10/AS10</f>
        <v>0.96217525334971732</v>
      </c>
      <c r="AV10" s="1272">
        <f t="shared" ref="AV10:AX27" si="5">R10+AI10+AN10+AR10</f>
        <v>275998</v>
      </c>
      <c r="AW10" s="1272">
        <f t="shared" si="5"/>
        <v>286232</v>
      </c>
      <c r="AX10" s="1272">
        <f t="shared" si="5"/>
        <v>275642</v>
      </c>
      <c r="AY10" s="1273">
        <f t="shared" ref="AY10:AY30" si="6">AX10/AW10</f>
        <v>0.96300204030297099</v>
      </c>
      <c r="AZ10" s="1267"/>
      <c r="BA10" s="1267"/>
      <c r="BB10" s="1267"/>
      <c r="BC10" s="1267"/>
      <c r="BD10" s="1267"/>
      <c r="BE10" s="1267"/>
    </row>
    <row r="11" spans="1:57" s="1268" customFormat="1" ht="57" customHeight="1">
      <c r="A11" s="1269" t="s">
        <v>1168</v>
      </c>
      <c r="B11" s="1270">
        <f>[4]int.bevételek2025!B10</f>
        <v>736</v>
      </c>
      <c r="C11" s="1270">
        <f>'[5]int.bevételek RM IV'!D11</f>
        <v>1695</v>
      </c>
      <c r="D11" s="1270">
        <v>1695</v>
      </c>
      <c r="E11" s="1271">
        <f t="shared" si="0"/>
        <v>1</v>
      </c>
      <c r="F11" s="1270">
        <f>[4]int.bevételek2025!C10</f>
        <v>0</v>
      </c>
      <c r="G11" s="1270">
        <f>'[5]int.bevételek RM IV'!G11</f>
        <v>0</v>
      </c>
      <c r="H11" s="1270"/>
      <c r="I11" s="1271"/>
      <c r="J11" s="1270">
        <f>[4]int.bevételek2025!D10</f>
        <v>0</v>
      </c>
      <c r="K11" s="1270">
        <f>'[5]int.bevételek RM IV'!J11</f>
        <v>0</v>
      </c>
      <c r="L11" s="1270"/>
      <c r="M11" s="1271"/>
      <c r="N11" s="1270">
        <f>[4]int.bevételek2025!E10</f>
        <v>0</v>
      </c>
      <c r="O11" s="1270">
        <f>'[5]int.bevételek RM IV'!M11</f>
        <v>0</v>
      </c>
      <c r="P11" s="1270"/>
      <c r="Q11" s="1271"/>
      <c r="R11" s="1272">
        <f t="shared" ref="R11:T27" si="7">B11+F11+J11+N11</f>
        <v>736</v>
      </c>
      <c r="S11" s="1272">
        <f t="shared" si="7"/>
        <v>1695</v>
      </c>
      <c r="T11" s="1272">
        <f t="shared" si="7"/>
        <v>1695</v>
      </c>
      <c r="U11" s="1273">
        <f t="shared" si="1"/>
        <v>1</v>
      </c>
      <c r="V11" s="1269" t="s">
        <v>1168</v>
      </c>
      <c r="W11" s="1270">
        <f>[4]int.bevételek2025!H10</f>
        <v>0</v>
      </c>
      <c r="X11" s="1270">
        <f>'[5]int.bevételek RM IV'!T11</f>
        <v>0</v>
      </c>
      <c r="Y11" s="1270"/>
      <c r="Z11" s="1271"/>
      <c r="AA11" s="1270">
        <f>[4]int.bevételek2025!I10</f>
        <v>0</v>
      </c>
      <c r="AB11" s="1270">
        <f>'[5]int.bevételek RM IV'!W11</f>
        <v>0</v>
      </c>
      <c r="AC11" s="1270"/>
      <c r="AD11" s="1271"/>
      <c r="AE11" s="1270">
        <f>[4]int.bevételek2025!J10</f>
        <v>0</v>
      </c>
      <c r="AF11" s="1270">
        <f>'[5]int.bevételek RM IV'!Z11</f>
        <v>0</v>
      </c>
      <c r="AG11" s="1270"/>
      <c r="AH11" s="1271"/>
      <c r="AI11" s="1272">
        <f t="shared" si="2"/>
        <v>0</v>
      </c>
      <c r="AJ11" s="1272">
        <f t="shared" si="2"/>
        <v>0</v>
      </c>
      <c r="AK11" s="1272">
        <f t="shared" si="2"/>
        <v>0</v>
      </c>
      <c r="AL11" s="1273"/>
      <c r="AM11" s="1269" t="s">
        <v>1168</v>
      </c>
      <c r="AN11" s="1270"/>
      <c r="AO11" s="1270">
        <f>'[5]int.bevételek RM IV'!AJ11</f>
        <v>2747</v>
      </c>
      <c r="AP11" s="1270">
        <v>2747</v>
      </c>
      <c r="AQ11" s="1271">
        <f t="shared" si="3"/>
        <v>1</v>
      </c>
      <c r="AR11" s="1272">
        <f>[4]int.bevételek2025!N10</f>
        <v>187998</v>
      </c>
      <c r="AS11" s="1272">
        <f>'[5]int.bevételek RM IV'!AM11</f>
        <v>191309</v>
      </c>
      <c r="AT11" s="1272">
        <v>185053</v>
      </c>
      <c r="AU11" s="1273">
        <f t="shared" si="4"/>
        <v>0.96729897704760359</v>
      </c>
      <c r="AV11" s="1272">
        <f t="shared" si="5"/>
        <v>188734</v>
      </c>
      <c r="AW11" s="1272">
        <f t="shared" si="5"/>
        <v>195751</v>
      </c>
      <c r="AX11" s="1272">
        <f t="shared" si="5"/>
        <v>189495</v>
      </c>
      <c r="AY11" s="1273">
        <f t="shared" si="6"/>
        <v>0.96804103171886735</v>
      </c>
      <c r="AZ11" s="1267"/>
      <c r="BA11" s="1267"/>
      <c r="BB11" s="1267"/>
      <c r="BC11" s="1267"/>
      <c r="BD11" s="1267"/>
      <c r="BE11" s="1267"/>
    </row>
    <row r="12" spans="1:57" s="1268" customFormat="1" ht="57" customHeight="1">
      <c r="A12" s="1269" t="s">
        <v>1169</v>
      </c>
      <c r="B12" s="1270">
        <f>[4]int.bevételek2025!B11</f>
        <v>1320</v>
      </c>
      <c r="C12" s="1270">
        <f>'[5]int.bevételek RM IV'!D12</f>
        <v>2046</v>
      </c>
      <c r="D12" s="1270">
        <v>2045</v>
      </c>
      <c r="E12" s="1271">
        <f t="shared" si="0"/>
        <v>0.99951124144672532</v>
      </c>
      <c r="F12" s="1270">
        <f>[4]int.bevételek2025!C11</f>
        <v>0</v>
      </c>
      <c r="G12" s="1270">
        <f>'[5]int.bevételek RM IV'!G12</f>
        <v>200</v>
      </c>
      <c r="H12" s="1270">
        <v>200</v>
      </c>
      <c r="I12" s="1271">
        <f>H12/G12</f>
        <v>1</v>
      </c>
      <c r="J12" s="1270">
        <f>[4]int.bevételek2025!D11</f>
        <v>0</v>
      </c>
      <c r="K12" s="1270">
        <f>'[5]int.bevételek RM IV'!J12</f>
        <v>0</v>
      </c>
      <c r="L12" s="1270"/>
      <c r="M12" s="1271"/>
      <c r="N12" s="1270">
        <f>[4]int.bevételek2025!E11</f>
        <v>0</v>
      </c>
      <c r="O12" s="1270">
        <f>'[5]int.bevételek RM IV'!M12</f>
        <v>0</v>
      </c>
      <c r="P12" s="1270"/>
      <c r="Q12" s="1271"/>
      <c r="R12" s="1272">
        <f t="shared" si="7"/>
        <v>1320</v>
      </c>
      <c r="S12" s="1272">
        <f t="shared" si="7"/>
        <v>2246</v>
      </c>
      <c r="T12" s="1272">
        <f t="shared" si="7"/>
        <v>2245</v>
      </c>
      <c r="U12" s="1273">
        <f t="shared" si="1"/>
        <v>0.99955476402493326</v>
      </c>
      <c r="V12" s="1269" t="s">
        <v>1169</v>
      </c>
      <c r="W12" s="1270">
        <f>[4]int.bevételek2025!H11</f>
        <v>0</v>
      </c>
      <c r="X12" s="1270">
        <f>'[5]int.bevételek RM IV'!T12</f>
        <v>0</v>
      </c>
      <c r="Y12" s="1270"/>
      <c r="Z12" s="1271"/>
      <c r="AA12" s="1270">
        <f>[4]int.bevételek2025!I11</f>
        <v>0</v>
      </c>
      <c r="AB12" s="1270">
        <f>'[5]int.bevételek RM IV'!W12</f>
        <v>0</v>
      </c>
      <c r="AC12" s="1270"/>
      <c r="AD12" s="1271"/>
      <c r="AE12" s="1270">
        <f>[4]int.bevételek2025!J11</f>
        <v>0</v>
      </c>
      <c r="AF12" s="1270">
        <f>'[5]int.bevételek RM IV'!Z12</f>
        <v>0</v>
      </c>
      <c r="AG12" s="1270"/>
      <c r="AH12" s="1271"/>
      <c r="AI12" s="1272">
        <f t="shared" si="2"/>
        <v>0</v>
      </c>
      <c r="AJ12" s="1272">
        <f t="shared" si="2"/>
        <v>0</v>
      </c>
      <c r="AK12" s="1272">
        <f t="shared" si="2"/>
        <v>0</v>
      </c>
      <c r="AL12" s="1273"/>
      <c r="AM12" s="1269" t="s">
        <v>1169</v>
      </c>
      <c r="AN12" s="1270"/>
      <c r="AO12" s="1270">
        <f>'[5]int.bevételek RM IV'!AJ12</f>
        <v>2786</v>
      </c>
      <c r="AP12" s="1270">
        <v>2786</v>
      </c>
      <c r="AQ12" s="1271">
        <f t="shared" si="3"/>
        <v>1</v>
      </c>
      <c r="AR12" s="1272">
        <f>[4]int.bevételek2025!N11</f>
        <v>198404</v>
      </c>
      <c r="AS12" s="1272">
        <f>'[5]int.bevételek RM IV'!AM12</f>
        <v>205007</v>
      </c>
      <c r="AT12" s="1272">
        <v>199734</v>
      </c>
      <c r="AU12" s="1273">
        <f t="shared" si="4"/>
        <v>0.97427892706102714</v>
      </c>
      <c r="AV12" s="1272">
        <f t="shared" si="5"/>
        <v>199724</v>
      </c>
      <c r="AW12" s="1272">
        <f t="shared" si="5"/>
        <v>210039</v>
      </c>
      <c r="AX12" s="1272">
        <f t="shared" si="5"/>
        <v>204765</v>
      </c>
      <c r="AY12" s="1273">
        <f t="shared" si="6"/>
        <v>0.97489037750132124</v>
      </c>
      <c r="AZ12" s="1267"/>
      <c r="BA12" s="1267"/>
      <c r="BB12" s="1267"/>
      <c r="BC12" s="1267"/>
      <c r="BD12" s="1267"/>
      <c r="BE12" s="1267"/>
    </row>
    <row r="13" spans="1:57" s="1268" customFormat="1" ht="57" customHeight="1">
      <c r="A13" s="1269" t="s">
        <v>1170</v>
      </c>
      <c r="B13" s="1270">
        <f>[4]int.bevételek2025!B12</f>
        <v>1224</v>
      </c>
      <c r="C13" s="1270">
        <f>'[5]int.bevételek RM IV'!D13</f>
        <v>1510</v>
      </c>
      <c r="D13" s="1270">
        <v>1509</v>
      </c>
      <c r="E13" s="1271">
        <f t="shared" si="0"/>
        <v>0.99933774834437084</v>
      </c>
      <c r="F13" s="1270">
        <f>[4]int.bevételek2025!C12</f>
        <v>0</v>
      </c>
      <c r="G13" s="1270">
        <f>'[5]int.bevételek RM IV'!G13</f>
        <v>0</v>
      </c>
      <c r="H13" s="1270"/>
      <c r="I13" s="1271"/>
      <c r="J13" s="1270">
        <f>[4]int.bevételek2025!D12</f>
        <v>0</v>
      </c>
      <c r="K13" s="1270">
        <f>'[5]int.bevételek RM IV'!J13</f>
        <v>1726</v>
      </c>
      <c r="L13" s="1270">
        <v>1726</v>
      </c>
      <c r="M13" s="1271">
        <f>L13/K13</f>
        <v>1</v>
      </c>
      <c r="N13" s="1270">
        <f>[4]int.bevételek2025!E12</f>
        <v>0</v>
      </c>
      <c r="O13" s="1270">
        <f>'[5]int.bevételek RM IV'!M13</f>
        <v>0</v>
      </c>
      <c r="P13" s="1270"/>
      <c r="Q13" s="1271"/>
      <c r="R13" s="1272">
        <f t="shared" si="7"/>
        <v>1224</v>
      </c>
      <c r="S13" s="1272">
        <f t="shared" si="7"/>
        <v>3236</v>
      </c>
      <c r="T13" s="1272">
        <f t="shared" si="7"/>
        <v>3235</v>
      </c>
      <c r="U13" s="1273">
        <f t="shared" si="1"/>
        <v>0.99969097651421512</v>
      </c>
      <c r="V13" s="1269" t="s">
        <v>1170</v>
      </c>
      <c r="W13" s="1270">
        <f>[4]int.bevételek2025!H12</f>
        <v>0</v>
      </c>
      <c r="X13" s="1270">
        <f>'[5]int.bevételek RM IV'!T13</f>
        <v>0</v>
      </c>
      <c r="Y13" s="1270"/>
      <c r="Z13" s="1271"/>
      <c r="AA13" s="1270">
        <f>[4]int.bevételek2025!I12</f>
        <v>0</v>
      </c>
      <c r="AB13" s="1270">
        <f>'[5]int.bevételek RM IV'!W13</f>
        <v>0</v>
      </c>
      <c r="AC13" s="1270"/>
      <c r="AD13" s="1271"/>
      <c r="AE13" s="1270">
        <f>[4]int.bevételek2025!J12</f>
        <v>0</v>
      </c>
      <c r="AF13" s="1270">
        <f>'[5]int.bevételek RM IV'!Z13</f>
        <v>774</v>
      </c>
      <c r="AG13" s="1270">
        <v>774</v>
      </c>
      <c r="AH13" s="1271">
        <f>AG13/AF13</f>
        <v>1</v>
      </c>
      <c r="AI13" s="1272">
        <f t="shared" si="2"/>
        <v>0</v>
      </c>
      <c r="AJ13" s="1272">
        <f t="shared" si="2"/>
        <v>774</v>
      </c>
      <c r="AK13" s="1272">
        <f t="shared" si="2"/>
        <v>774</v>
      </c>
      <c r="AL13" s="1273">
        <f>AK13/AJ13</f>
        <v>1</v>
      </c>
      <c r="AM13" s="1269" t="s">
        <v>1170</v>
      </c>
      <c r="AN13" s="1270"/>
      <c r="AO13" s="1270">
        <f>'[5]int.bevételek RM IV'!AJ13</f>
        <v>2178</v>
      </c>
      <c r="AP13" s="1270">
        <v>2178</v>
      </c>
      <c r="AQ13" s="1271">
        <f t="shared" si="3"/>
        <v>1</v>
      </c>
      <c r="AR13" s="1272">
        <f>[4]int.bevételek2025!N12</f>
        <v>239897</v>
      </c>
      <c r="AS13" s="1272">
        <f>'[5]int.bevételek RM IV'!AM13</f>
        <v>244864</v>
      </c>
      <c r="AT13" s="1272">
        <v>235131</v>
      </c>
      <c r="AU13" s="1273">
        <f t="shared" si="4"/>
        <v>0.96025140486147409</v>
      </c>
      <c r="AV13" s="1272">
        <f t="shared" si="5"/>
        <v>241121</v>
      </c>
      <c r="AW13" s="1272">
        <f t="shared" si="5"/>
        <v>251052</v>
      </c>
      <c r="AX13" s="1272">
        <f t="shared" si="5"/>
        <v>241318</v>
      </c>
      <c r="AY13" s="1273">
        <f t="shared" si="6"/>
        <v>0.96122715612701748</v>
      </c>
      <c r="AZ13" s="1267"/>
      <c r="BA13" s="1267"/>
      <c r="BB13" s="1267"/>
      <c r="BC13" s="1267"/>
      <c r="BD13" s="1267"/>
      <c r="BE13" s="1267"/>
    </row>
    <row r="14" spans="1:57" s="1268" customFormat="1" ht="57" customHeight="1">
      <c r="A14" s="1269" t="s">
        <v>1171</v>
      </c>
      <c r="B14" s="1270">
        <f>[4]int.bevételek2025!B13</f>
        <v>1016</v>
      </c>
      <c r="C14" s="1270">
        <f>'[5]int.bevételek RM IV'!D14</f>
        <v>1833</v>
      </c>
      <c r="D14" s="1270">
        <v>1831</v>
      </c>
      <c r="E14" s="1271">
        <f t="shared" si="0"/>
        <v>0.99890889252591375</v>
      </c>
      <c r="F14" s="1270">
        <f>[4]int.bevételek2025!C13</f>
        <v>0</v>
      </c>
      <c r="G14" s="1270">
        <f>'[5]int.bevételek RM IV'!G14</f>
        <v>0</v>
      </c>
      <c r="H14" s="1270"/>
      <c r="I14" s="1271"/>
      <c r="J14" s="1270">
        <f>[4]int.bevételek2025!D13</f>
        <v>0</v>
      </c>
      <c r="K14" s="1270">
        <f>'[5]int.bevételek RM IV'!J14</f>
        <v>0</v>
      </c>
      <c r="L14" s="1270"/>
      <c r="M14" s="1271"/>
      <c r="N14" s="1270">
        <f>[4]int.bevételek2025!E13</f>
        <v>0</v>
      </c>
      <c r="O14" s="1270">
        <f>'[5]int.bevételek RM IV'!M14</f>
        <v>0</v>
      </c>
      <c r="P14" s="1270"/>
      <c r="Q14" s="1271"/>
      <c r="R14" s="1272">
        <f t="shared" si="7"/>
        <v>1016</v>
      </c>
      <c r="S14" s="1272">
        <f t="shared" si="7"/>
        <v>1833</v>
      </c>
      <c r="T14" s="1272">
        <f t="shared" si="7"/>
        <v>1831</v>
      </c>
      <c r="U14" s="1273">
        <f t="shared" si="1"/>
        <v>0.99890889252591375</v>
      </c>
      <c r="V14" s="1269" t="s">
        <v>1171</v>
      </c>
      <c r="W14" s="1270">
        <f>[4]int.bevételek2025!H13</f>
        <v>0</v>
      </c>
      <c r="X14" s="1270">
        <f>'[5]int.bevételek RM IV'!T14</f>
        <v>0</v>
      </c>
      <c r="Y14" s="1270"/>
      <c r="Z14" s="1271"/>
      <c r="AA14" s="1270">
        <f>[4]int.bevételek2025!I13</f>
        <v>0</v>
      </c>
      <c r="AB14" s="1270">
        <f>'[5]int.bevételek RM IV'!W14</f>
        <v>0</v>
      </c>
      <c r="AC14" s="1270"/>
      <c r="AD14" s="1271"/>
      <c r="AE14" s="1270">
        <f>[4]int.bevételek2025!J13</f>
        <v>0</v>
      </c>
      <c r="AF14" s="1270">
        <f>'[5]int.bevételek RM IV'!Z14</f>
        <v>0</v>
      </c>
      <c r="AG14" s="1270"/>
      <c r="AH14" s="1271"/>
      <c r="AI14" s="1272">
        <f t="shared" si="2"/>
        <v>0</v>
      </c>
      <c r="AJ14" s="1272">
        <f t="shared" si="2"/>
        <v>0</v>
      </c>
      <c r="AK14" s="1272">
        <f t="shared" si="2"/>
        <v>0</v>
      </c>
      <c r="AL14" s="1273"/>
      <c r="AM14" s="1269" t="s">
        <v>1171</v>
      </c>
      <c r="AN14" s="1270"/>
      <c r="AO14" s="1270">
        <f>'[5]int.bevételek RM IV'!AJ14</f>
        <v>1134</v>
      </c>
      <c r="AP14" s="1270">
        <v>1134</v>
      </c>
      <c r="AQ14" s="1271">
        <f t="shared" si="3"/>
        <v>1</v>
      </c>
      <c r="AR14" s="1272">
        <f>[4]int.bevételek2025!N13</f>
        <v>227264</v>
      </c>
      <c r="AS14" s="1272">
        <f>'[5]int.bevételek RM IV'!AM14</f>
        <v>232646</v>
      </c>
      <c r="AT14" s="1272">
        <v>227793</v>
      </c>
      <c r="AU14" s="1273">
        <f t="shared" si="4"/>
        <v>0.97913998091521026</v>
      </c>
      <c r="AV14" s="1272">
        <f t="shared" si="5"/>
        <v>228280</v>
      </c>
      <c r="AW14" s="1272">
        <f t="shared" si="5"/>
        <v>235613</v>
      </c>
      <c r="AX14" s="1272">
        <f t="shared" si="5"/>
        <v>230758</v>
      </c>
      <c r="AY14" s="1273">
        <f t="shared" si="6"/>
        <v>0.97939417604291779</v>
      </c>
      <c r="AZ14" s="1267"/>
      <c r="BA14" s="1267"/>
      <c r="BB14" s="1267"/>
      <c r="BC14" s="1267"/>
      <c r="BD14" s="1267"/>
      <c r="BE14" s="1267"/>
    </row>
    <row r="15" spans="1:57" s="1268" customFormat="1" ht="57" customHeight="1">
      <c r="A15" s="1269" t="s">
        <v>1172</v>
      </c>
      <c r="B15" s="1270">
        <f>[4]int.bevételek2025!B14</f>
        <v>1304</v>
      </c>
      <c r="C15" s="1270">
        <f>'[5]int.bevételek RM IV'!D15</f>
        <v>2294</v>
      </c>
      <c r="D15" s="1270">
        <v>2293</v>
      </c>
      <c r="E15" s="1271">
        <f t="shared" si="0"/>
        <v>0.99956408020924148</v>
      </c>
      <c r="F15" s="1270">
        <f>[4]int.bevételek2025!C14</f>
        <v>0</v>
      </c>
      <c r="G15" s="1270">
        <f>'[5]int.bevételek RM IV'!G15</f>
        <v>0</v>
      </c>
      <c r="H15" s="1270"/>
      <c r="I15" s="1271"/>
      <c r="J15" s="1270">
        <f>[4]int.bevételek2025!D14</f>
        <v>0</v>
      </c>
      <c r="K15" s="1270">
        <f>'[5]int.bevételek RM IV'!J15</f>
        <v>584</v>
      </c>
      <c r="L15" s="1270">
        <v>584</v>
      </c>
      <c r="M15" s="1271">
        <f>L15/K15</f>
        <v>1</v>
      </c>
      <c r="N15" s="1270">
        <f>[4]int.bevételek2025!E14</f>
        <v>0</v>
      </c>
      <c r="O15" s="1270">
        <f>'[5]int.bevételek RM IV'!M15</f>
        <v>0</v>
      </c>
      <c r="P15" s="1270"/>
      <c r="Q15" s="1271"/>
      <c r="R15" s="1272">
        <f t="shared" si="7"/>
        <v>1304</v>
      </c>
      <c r="S15" s="1272">
        <f t="shared" si="7"/>
        <v>2878</v>
      </c>
      <c r="T15" s="1272">
        <f t="shared" si="7"/>
        <v>2877</v>
      </c>
      <c r="U15" s="1273">
        <f t="shared" si="1"/>
        <v>0.99965253648366925</v>
      </c>
      <c r="V15" s="1269" t="s">
        <v>1172</v>
      </c>
      <c r="W15" s="1270">
        <f>[4]int.bevételek2025!H14</f>
        <v>0</v>
      </c>
      <c r="X15" s="1270">
        <f>'[5]int.bevételek RM IV'!T15</f>
        <v>0</v>
      </c>
      <c r="Y15" s="1270"/>
      <c r="Z15" s="1271"/>
      <c r="AA15" s="1270">
        <f>[4]int.bevételek2025!I14</f>
        <v>0</v>
      </c>
      <c r="AB15" s="1270">
        <f>'[5]int.bevételek RM IV'!W15</f>
        <v>0</v>
      </c>
      <c r="AC15" s="1270"/>
      <c r="AD15" s="1271"/>
      <c r="AE15" s="1270">
        <f>[4]int.bevételek2025!J14</f>
        <v>0</v>
      </c>
      <c r="AF15" s="1270">
        <f>'[5]int.bevételek RM IV'!Z15</f>
        <v>0</v>
      </c>
      <c r="AG15" s="1270"/>
      <c r="AH15" s="1271"/>
      <c r="AI15" s="1272">
        <f t="shared" si="2"/>
        <v>0</v>
      </c>
      <c r="AJ15" s="1272">
        <f t="shared" si="2"/>
        <v>0</v>
      </c>
      <c r="AK15" s="1272">
        <f t="shared" si="2"/>
        <v>0</v>
      </c>
      <c r="AL15" s="1273"/>
      <c r="AM15" s="1269" t="s">
        <v>1172</v>
      </c>
      <c r="AN15" s="1270"/>
      <c r="AO15" s="1270">
        <f>'[5]int.bevételek RM IV'!AJ15</f>
        <v>2103</v>
      </c>
      <c r="AP15" s="1270">
        <v>2103</v>
      </c>
      <c r="AQ15" s="1271">
        <f t="shared" si="3"/>
        <v>1</v>
      </c>
      <c r="AR15" s="1272">
        <f>[4]int.bevételek2025!N14</f>
        <v>205975</v>
      </c>
      <c r="AS15" s="1272">
        <f>'[5]int.bevételek RM IV'!AM15</f>
        <v>211173</v>
      </c>
      <c r="AT15" s="1272">
        <v>197139</v>
      </c>
      <c r="AU15" s="1273">
        <f t="shared" si="4"/>
        <v>0.93354264039436863</v>
      </c>
      <c r="AV15" s="1272">
        <f t="shared" si="5"/>
        <v>207279</v>
      </c>
      <c r="AW15" s="1272">
        <f t="shared" si="5"/>
        <v>216154</v>
      </c>
      <c r="AX15" s="1272">
        <f t="shared" si="5"/>
        <v>202119</v>
      </c>
      <c r="AY15" s="1273">
        <f t="shared" si="6"/>
        <v>0.93506944123171443</v>
      </c>
      <c r="AZ15" s="1267"/>
      <c r="BA15" s="1267"/>
      <c r="BB15" s="1267"/>
      <c r="BC15" s="1267"/>
      <c r="BD15" s="1267"/>
      <c r="BE15" s="1267"/>
    </row>
    <row r="16" spans="1:57" s="1268" customFormat="1" ht="57" customHeight="1">
      <c r="A16" s="1269" t="s">
        <v>1173</v>
      </c>
      <c r="B16" s="1270">
        <f>[4]int.bevételek2025!B15</f>
        <v>1560</v>
      </c>
      <c r="C16" s="1270">
        <f>'[5]int.bevételek RM IV'!D16</f>
        <v>2126</v>
      </c>
      <c r="D16" s="1270">
        <v>2125</v>
      </c>
      <c r="E16" s="1271">
        <f t="shared" si="0"/>
        <v>0.99952963311382881</v>
      </c>
      <c r="F16" s="1270">
        <f>[4]int.bevételek2025!C15</f>
        <v>0</v>
      </c>
      <c r="G16" s="1270">
        <f>'[5]int.bevételek RM IV'!G16</f>
        <v>0</v>
      </c>
      <c r="H16" s="1270"/>
      <c r="I16" s="1271"/>
      <c r="J16" s="1270">
        <f>[4]int.bevételek2025!D15</f>
        <v>0</v>
      </c>
      <c r="K16" s="1270">
        <f>'[5]int.bevételek RM IV'!J16</f>
        <v>0</v>
      </c>
      <c r="L16" s="1270"/>
      <c r="M16" s="1271"/>
      <c r="N16" s="1270">
        <f>[4]int.bevételek2025!E15</f>
        <v>0</v>
      </c>
      <c r="O16" s="1270">
        <f>'[5]int.bevételek RM IV'!M16</f>
        <v>0</v>
      </c>
      <c r="P16" s="1270"/>
      <c r="Q16" s="1271"/>
      <c r="R16" s="1272">
        <f t="shared" si="7"/>
        <v>1560</v>
      </c>
      <c r="S16" s="1272">
        <f t="shared" si="7"/>
        <v>2126</v>
      </c>
      <c r="T16" s="1272">
        <f t="shared" si="7"/>
        <v>2125</v>
      </c>
      <c r="U16" s="1273">
        <f t="shared" si="1"/>
        <v>0.99952963311382881</v>
      </c>
      <c r="V16" s="1269" t="s">
        <v>1173</v>
      </c>
      <c r="W16" s="1270">
        <f>[4]int.bevételek2025!H15</f>
        <v>0</v>
      </c>
      <c r="X16" s="1270">
        <f>'[5]int.bevételek RM IV'!T16</f>
        <v>0</v>
      </c>
      <c r="Y16" s="1270"/>
      <c r="Z16" s="1271"/>
      <c r="AA16" s="1270">
        <f>[4]int.bevételek2025!I15</f>
        <v>0</v>
      </c>
      <c r="AB16" s="1270">
        <f>'[5]int.bevételek RM IV'!W16</f>
        <v>0</v>
      </c>
      <c r="AC16" s="1270"/>
      <c r="AD16" s="1271"/>
      <c r="AE16" s="1270">
        <f>[4]int.bevételek2025!J15</f>
        <v>0</v>
      </c>
      <c r="AF16" s="1270">
        <f>'[5]int.bevételek RM IV'!Z16</f>
        <v>0</v>
      </c>
      <c r="AG16" s="1270"/>
      <c r="AH16" s="1271"/>
      <c r="AI16" s="1272">
        <f t="shared" si="2"/>
        <v>0</v>
      </c>
      <c r="AJ16" s="1272">
        <f t="shared" si="2"/>
        <v>0</v>
      </c>
      <c r="AK16" s="1272">
        <f t="shared" si="2"/>
        <v>0</v>
      </c>
      <c r="AL16" s="1273"/>
      <c r="AM16" s="1269" t="s">
        <v>1173</v>
      </c>
      <c r="AN16" s="1270"/>
      <c r="AO16" s="1270">
        <f>'[5]int.bevételek RM IV'!AJ16</f>
        <v>1185</v>
      </c>
      <c r="AP16" s="1270">
        <v>1185</v>
      </c>
      <c r="AQ16" s="1271">
        <f t="shared" si="3"/>
        <v>1</v>
      </c>
      <c r="AR16" s="1272">
        <f>[4]int.bevételek2025!N15</f>
        <v>156466</v>
      </c>
      <c r="AS16" s="1272">
        <f>'[5]int.bevételek RM IV'!AM16</f>
        <v>159139</v>
      </c>
      <c r="AT16" s="1272">
        <v>152618</v>
      </c>
      <c r="AU16" s="1273">
        <f t="shared" si="4"/>
        <v>0.95902324383086479</v>
      </c>
      <c r="AV16" s="1272">
        <f t="shared" si="5"/>
        <v>158026</v>
      </c>
      <c r="AW16" s="1272">
        <f t="shared" si="5"/>
        <v>162450</v>
      </c>
      <c r="AX16" s="1272">
        <f t="shared" si="5"/>
        <v>155928</v>
      </c>
      <c r="AY16" s="1273">
        <f t="shared" si="6"/>
        <v>0.95985226223453368</v>
      </c>
      <c r="AZ16" s="1267"/>
      <c r="BA16" s="1267"/>
      <c r="BB16" s="1267"/>
      <c r="BC16" s="1267"/>
      <c r="BD16" s="1267"/>
      <c r="BE16" s="1267"/>
    </row>
    <row r="17" spans="1:57" s="1268" customFormat="1" ht="57" customHeight="1">
      <c r="A17" s="1269" t="s">
        <v>1174</v>
      </c>
      <c r="B17" s="1270">
        <f>[4]int.bevételek2025!B16</f>
        <v>1216</v>
      </c>
      <c r="C17" s="1270">
        <f>'[5]int.bevételek RM IV'!D17</f>
        <v>2051</v>
      </c>
      <c r="D17" s="1270">
        <v>2051</v>
      </c>
      <c r="E17" s="1271">
        <f t="shared" si="0"/>
        <v>1</v>
      </c>
      <c r="F17" s="1270">
        <f>[4]int.bevételek2025!C16</f>
        <v>0</v>
      </c>
      <c r="G17" s="1270">
        <f>'[5]int.bevételek RM IV'!G17</f>
        <v>0</v>
      </c>
      <c r="H17" s="1270"/>
      <c r="I17" s="1271"/>
      <c r="J17" s="1270">
        <f>[4]int.bevételek2025!D16</f>
        <v>0</v>
      </c>
      <c r="K17" s="1270">
        <f>'[5]int.bevételek RM IV'!J17</f>
        <v>0</v>
      </c>
      <c r="L17" s="1270"/>
      <c r="M17" s="1271"/>
      <c r="N17" s="1270">
        <f>[4]int.bevételek2025!E16</f>
        <v>0</v>
      </c>
      <c r="O17" s="1270">
        <f>'[5]int.bevételek RM IV'!M17</f>
        <v>0</v>
      </c>
      <c r="P17" s="1270"/>
      <c r="Q17" s="1271"/>
      <c r="R17" s="1272">
        <f t="shared" si="7"/>
        <v>1216</v>
      </c>
      <c r="S17" s="1272">
        <f t="shared" si="7"/>
        <v>2051</v>
      </c>
      <c r="T17" s="1272">
        <f t="shared" si="7"/>
        <v>2051</v>
      </c>
      <c r="U17" s="1273">
        <f t="shared" si="1"/>
        <v>1</v>
      </c>
      <c r="V17" s="1269" t="s">
        <v>1174</v>
      </c>
      <c r="W17" s="1270">
        <f>[4]int.bevételek2025!H16</f>
        <v>0</v>
      </c>
      <c r="X17" s="1270">
        <f>'[5]int.bevételek RM IV'!T17</f>
        <v>0</v>
      </c>
      <c r="Y17" s="1270"/>
      <c r="Z17" s="1271"/>
      <c r="AA17" s="1270">
        <f>[4]int.bevételek2025!I16</f>
        <v>0</v>
      </c>
      <c r="AB17" s="1270">
        <f>'[5]int.bevételek RM IV'!W17</f>
        <v>0</v>
      </c>
      <c r="AC17" s="1270"/>
      <c r="AD17" s="1271"/>
      <c r="AE17" s="1270">
        <f>[4]int.bevételek2025!J16</f>
        <v>0</v>
      </c>
      <c r="AF17" s="1270">
        <f>'[5]int.bevételek RM IV'!Z17</f>
        <v>0</v>
      </c>
      <c r="AG17" s="1270"/>
      <c r="AH17" s="1271"/>
      <c r="AI17" s="1272">
        <f t="shared" si="2"/>
        <v>0</v>
      </c>
      <c r="AJ17" s="1272">
        <f t="shared" si="2"/>
        <v>0</v>
      </c>
      <c r="AK17" s="1272">
        <f t="shared" si="2"/>
        <v>0</v>
      </c>
      <c r="AL17" s="1273"/>
      <c r="AM17" s="1269" t="s">
        <v>1174</v>
      </c>
      <c r="AN17" s="1270"/>
      <c r="AO17" s="1270">
        <f>'[5]int.bevételek RM IV'!AJ17</f>
        <v>2977</v>
      </c>
      <c r="AP17" s="1270">
        <v>2977</v>
      </c>
      <c r="AQ17" s="1271">
        <f t="shared" si="3"/>
        <v>1</v>
      </c>
      <c r="AR17" s="1272">
        <f>[4]int.bevételek2025!N16</f>
        <v>167727</v>
      </c>
      <c r="AS17" s="1272">
        <f>'[5]int.bevételek RM IV'!AM17</f>
        <v>178141</v>
      </c>
      <c r="AT17" s="1272">
        <v>173196</v>
      </c>
      <c r="AU17" s="1273">
        <f t="shared" si="4"/>
        <v>0.97224108992315073</v>
      </c>
      <c r="AV17" s="1272">
        <f t="shared" si="5"/>
        <v>168943</v>
      </c>
      <c r="AW17" s="1272">
        <f t="shared" si="5"/>
        <v>183169</v>
      </c>
      <c r="AX17" s="1272">
        <f t="shared" si="5"/>
        <v>178224</v>
      </c>
      <c r="AY17" s="1273">
        <f t="shared" si="6"/>
        <v>0.97300307366421179</v>
      </c>
      <c r="AZ17" s="1267"/>
      <c r="BA17" s="1267"/>
      <c r="BB17" s="1267"/>
      <c r="BC17" s="1267"/>
      <c r="BD17" s="1267"/>
      <c r="BE17" s="1267"/>
    </row>
    <row r="18" spans="1:57" s="1268" customFormat="1" ht="57" customHeight="1">
      <c r="A18" s="1269" t="s">
        <v>1175</v>
      </c>
      <c r="B18" s="1270">
        <f>[4]int.bevételek2025!B17</f>
        <v>760</v>
      </c>
      <c r="C18" s="1270">
        <f>'[5]int.bevételek RM IV'!D18</f>
        <v>1549</v>
      </c>
      <c r="D18" s="1270">
        <v>1548</v>
      </c>
      <c r="E18" s="1271">
        <f t="shared" si="0"/>
        <v>0.99935442220787607</v>
      </c>
      <c r="F18" s="1270">
        <f>[4]int.bevételek2025!C17</f>
        <v>0</v>
      </c>
      <c r="G18" s="1270">
        <f>'[5]int.bevételek RM IV'!G18</f>
        <v>0</v>
      </c>
      <c r="H18" s="1270"/>
      <c r="I18" s="1271"/>
      <c r="J18" s="1270">
        <f>[4]int.bevételek2025!D17</f>
        <v>0</v>
      </c>
      <c r="K18" s="1270">
        <f>'[5]int.bevételek RM IV'!J18</f>
        <v>500</v>
      </c>
      <c r="L18" s="1270">
        <v>500</v>
      </c>
      <c r="M18" s="1271">
        <f>L18/K18</f>
        <v>1</v>
      </c>
      <c r="N18" s="1270">
        <f>[4]int.bevételek2025!E17</f>
        <v>0</v>
      </c>
      <c r="O18" s="1270">
        <f>'[5]int.bevételek RM IV'!M18</f>
        <v>0</v>
      </c>
      <c r="P18" s="1270"/>
      <c r="Q18" s="1271"/>
      <c r="R18" s="1272">
        <f t="shared" si="7"/>
        <v>760</v>
      </c>
      <c r="S18" s="1272">
        <f t="shared" si="7"/>
        <v>2049</v>
      </c>
      <c r="T18" s="1272">
        <f t="shared" si="7"/>
        <v>2048</v>
      </c>
      <c r="U18" s="1273">
        <f t="shared" si="1"/>
        <v>0.99951195705222062</v>
      </c>
      <c r="V18" s="1269" t="s">
        <v>1175</v>
      </c>
      <c r="W18" s="1270">
        <f>[4]int.bevételek2025!H17</f>
        <v>0</v>
      </c>
      <c r="X18" s="1270">
        <f>'[5]int.bevételek RM IV'!T18</f>
        <v>0</v>
      </c>
      <c r="Y18" s="1270"/>
      <c r="Z18" s="1271"/>
      <c r="AA18" s="1270">
        <f>[4]int.bevételek2025!I17</f>
        <v>0</v>
      </c>
      <c r="AB18" s="1270">
        <f>'[5]int.bevételek RM IV'!W18</f>
        <v>0</v>
      </c>
      <c r="AC18" s="1270"/>
      <c r="AD18" s="1271"/>
      <c r="AE18" s="1270">
        <f>[4]int.bevételek2025!J17</f>
        <v>0</v>
      </c>
      <c r="AF18" s="1270">
        <f>'[5]int.bevételek RM IV'!Z18</f>
        <v>0</v>
      </c>
      <c r="AG18" s="1270"/>
      <c r="AH18" s="1271"/>
      <c r="AI18" s="1272">
        <f t="shared" si="2"/>
        <v>0</v>
      </c>
      <c r="AJ18" s="1272">
        <f t="shared" si="2"/>
        <v>0</v>
      </c>
      <c r="AK18" s="1272">
        <f t="shared" si="2"/>
        <v>0</v>
      </c>
      <c r="AL18" s="1273"/>
      <c r="AM18" s="1269" t="s">
        <v>1175</v>
      </c>
      <c r="AN18" s="1270"/>
      <c r="AO18" s="1270">
        <f>'[5]int.bevételek RM IV'!AJ18</f>
        <v>2819</v>
      </c>
      <c r="AP18" s="1270">
        <v>2819</v>
      </c>
      <c r="AQ18" s="1271">
        <f t="shared" si="3"/>
        <v>1</v>
      </c>
      <c r="AR18" s="1272">
        <f>[4]int.bevételek2025!N17</f>
        <v>230100</v>
      </c>
      <c r="AS18" s="1272">
        <f>'[5]int.bevételek RM IV'!AM18</f>
        <v>230322</v>
      </c>
      <c r="AT18" s="1272">
        <v>219991</v>
      </c>
      <c r="AU18" s="1273">
        <f t="shared" si="4"/>
        <v>0.95514540512847235</v>
      </c>
      <c r="AV18" s="1272">
        <f t="shared" si="5"/>
        <v>230860</v>
      </c>
      <c r="AW18" s="1272">
        <f t="shared" si="5"/>
        <v>235190</v>
      </c>
      <c r="AX18" s="1272">
        <f t="shared" si="5"/>
        <v>224858</v>
      </c>
      <c r="AY18" s="1273">
        <f t="shared" si="6"/>
        <v>0.95606956078064542</v>
      </c>
      <c r="AZ18" s="1267"/>
      <c r="BA18" s="1267"/>
      <c r="BB18" s="1267"/>
      <c r="BC18" s="1267"/>
      <c r="BD18" s="1267"/>
      <c r="BE18" s="1267"/>
    </row>
    <row r="19" spans="1:57" s="1268" customFormat="1" ht="57" customHeight="1">
      <c r="A19" s="1269" t="s">
        <v>1176</v>
      </c>
      <c r="B19" s="1270">
        <f>[4]int.bevételek2025!B18</f>
        <v>2920</v>
      </c>
      <c r="C19" s="1270">
        <f>'[5]int.bevételek RM IV'!D19</f>
        <v>5413</v>
      </c>
      <c r="D19" s="1270">
        <v>5412</v>
      </c>
      <c r="E19" s="1271">
        <f t="shared" si="0"/>
        <v>0.9998152595603178</v>
      </c>
      <c r="F19" s="1270">
        <f>[4]int.bevételek2025!C18</f>
        <v>0</v>
      </c>
      <c r="G19" s="1270">
        <f>'[5]int.bevételek RM IV'!G19</f>
        <v>0</v>
      </c>
      <c r="H19" s="1270"/>
      <c r="I19" s="1271"/>
      <c r="J19" s="1270">
        <f>[4]int.bevételek2025!D18</f>
        <v>0</v>
      </c>
      <c r="K19" s="1270">
        <f>'[5]int.bevételek RM IV'!J19</f>
        <v>0</v>
      </c>
      <c r="L19" s="1270"/>
      <c r="M19" s="1271"/>
      <c r="N19" s="1270">
        <f>[4]int.bevételek2025!E18</f>
        <v>0</v>
      </c>
      <c r="O19" s="1270">
        <f>'[5]int.bevételek RM IV'!M19</f>
        <v>0</v>
      </c>
      <c r="P19" s="1270"/>
      <c r="Q19" s="1271"/>
      <c r="R19" s="1272">
        <f t="shared" si="7"/>
        <v>2920</v>
      </c>
      <c r="S19" s="1272">
        <f t="shared" si="7"/>
        <v>5413</v>
      </c>
      <c r="T19" s="1272">
        <f t="shared" si="7"/>
        <v>5412</v>
      </c>
      <c r="U19" s="1273">
        <f t="shared" si="1"/>
        <v>0.9998152595603178</v>
      </c>
      <c r="V19" s="1269" t="s">
        <v>1176</v>
      </c>
      <c r="W19" s="1270">
        <f>[4]int.bevételek2025!H18</f>
        <v>0</v>
      </c>
      <c r="X19" s="1270">
        <f>'[5]int.bevételek RM IV'!T19</f>
        <v>0</v>
      </c>
      <c r="Y19" s="1270"/>
      <c r="Z19" s="1271"/>
      <c r="AA19" s="1270">
        <f>[4]int.bevételek2025!I18</f>
        <v>0</v>
      </c>
      <c r="AB19" s="1270">
        <f>'[5]int.bevételek RM IV'!W19</f>
        <v>0</v>
      </c>
      <c r="AC19" s="1270"/>
      <c r="AD19" s="1271"/>
      <c r="AE19" s="1270">
        <f>[4]int.bevételek2025!J18</f>
        <v>0</v>
      </c>
      <c r="AF19" s="1270">
        <f>'[5]int.bevételek RM IV'!Z19</f>
        <v>0</v>
      </c>
      <c r="AG19" s="1270"/>
      <c r="AH19" s="1271"/>
      <c r="AI19" s="1272">
        <f t="shared" si="2"/>
        <v>0</v>
      </c>
      <c r="AJ19" s="1272">
        <f t="shared" si="2"/>
        <v>0</v>
      </c>
      <c r="AK19" s="1272">
        <f t="shared" si="2"/>
        <v>0</v>
      </c>
      <c r="AL19" s="1273"/>
      <c r="AM19" s="1269" t="s">
        <v>1176</v>
      </c>
      <c r="AN19" s="1270"/>
      <c r="AO19" s="1270">
        <f>'[5]int.bevételek RM IV'!AJ19</f>
        <v>2377</v>
      </c>
      <c r="AP19" s="1270">
        <v>2377</v>
      </c>
      <c r="AQ19" s="1271">
        <f t="shared" si="3"/>
        <v>1</v>
      </c>
      <c r="AR19" s="1272">
        <f>[4]int.bevételek2025!N18</f>
        <v>285732</v>
      </c>
      <c r="AS19" s="1272">
        <f>'[5]int.bevételek RM IV'!AM19</f>
        <v>290820</v>
      </c>
      <c r="AT19" s="1272">
        <v>284741</v>
      </c>
      <c r="AU19" s="1273">
        <f t="shared" si="4"/>
        <v>0.97909703596726494</v>
      </c>
      <c r="AV19" s="1272">
        <f t="shared" si="5"/>
        <v>288652</v>
      </c>
      <c r="AW19" s="1272">
        <f t="shared" si="5"/>
        <v>298610</v>
      </c>
      <c r="AX19" s="1272">
        <f t="shared" si="5"/>
        <v>292530</v>
      </c>
      <c r="AY19" s="1273">
        <f t="shared" si="6"/>
        <v>0.97963899400555909</v>
      </c>
      <c r="AZ19" s="1267"/>
      <c r="BA19" s="1267"/>
      <c r="BB19" s="1267"/>
      <c r="BC19" s="1267"/>
      <c r="BD19" s="1267"/>
      <c r="BE19" s="1267"/>
    </row>
    <row r="20" spans="1:57" s="1268" customFormat="1" ht="57" customHeight="1">
      <c r="A20" s="1269" t="s">
        <v>1177</v>
      </c>
      <c r="B20" s="1270">
        <f>[4]int.bevételek2025!B19</f>
        <v>680</v>
      </c>
      <c r="C20" s="1270">
        <f>'[5]int.bevételek RM IV'!D20</f>
        <v>922</v>
      </c>
      <c r="D20" s="1270">
        <v>919</v>
      </c>
      <c r="E20" s="1271">
        <f t="shared" si="0"/>
        <v>0.99674620390455526</v>
      </c>
      <c r="F20" s="1270">
        <f>[4]int.bevételek2025!C19</f>
        <v>0</v>
      </c>
      <c r="G20" s="1270">
        <f>'[5]int.bevételek RM IV'!G20</f>
        <v>0</v>
      </c>
      <c r="H20" s="1270"/>
      <c r="I20" s="1271"/>
      <c r="J20" s="1270">
        <f>[4]int.bevételek2025!D19</f>
        <v>0</v>
      </c>
      <c r="K20" s="1270">
        <f>'[5]int.bevételek RM IV'!J20</f>
        <v>0</v>
      </c>
      <c r="L20" s="1270"/>
      <c r="M20" s="1271"/>
      <c r="N20" s="1270">
        <f>[4]int.bevételek2025!E19</f>
        <v>0</v>
      </c>
      <c r="O20" s="1270">
        <f>'[5]int.bevételek RM IV'!M20</f>
        <v>0</v>
      </c>
      <c r="P20" s="1270"/>
      <c r="Q20" s="1271"/>
      <c r="R20" s="1272">
        <f t="shared" si="7"/>
        <v>680</v>
      </c>
      <c r="S20" s="1272">
        <f t="shared" si="7"/>
        <v>922</v>
      </c>
      <c r="T20" s="1272">
        <f t="shared" si="7"/>
        <v>919</v>
      </c>
      <c r="U20" s="1273">
        <f t="shared" si="1"/>
        <v>0.99674620390455526</v>
      </c>
      <c r="V20" s="1269" t="s">
        <v>1177</v>
      </c>
      <c r="W20" s="1270">
        <f>[4]int.bevételek2025!H19</f>
        <v>0</v>
      </c>
      <c r="X20" s="1270">
        <f>'[5]int.bevételek RM IV'!T20</f>
        <v>0</v>
      </c>
      <c r="Y20" s="1270"/>
      <c r="Z20" s="1271"/>
      <c r="AA20" s="1270">
        <f>[4]int.bevételek2025!I19</f>
        <v>0</v>
      </c>
      <c r="AB20" s="1270">
        <f>'[5]int.bevételek RM IV'!W20</f>
        <v>0</v>
      </c>
      <c r="AC20" s="1270"/>
      <c r="AD20" s="1271"/>
      <c r="AE20" s="1270">
        <f>[4]int.bevételek2025!J19</f>
        <v>0</v>
      </c>
      <c r="AF20" s="1270">
        <f>'[5]int.bevételek RM IV'!Z20</f>
        <v>0</v>
      </c>
      <c r="AG20" s="1270"/>
      <c r="AH20" s="1271"/>
      <c r="AI20" s="1272">
        <f t="shared" si="2"/>
        <v>0</v>
      </c>
      <c r="AJ20" s="1272">
        <f t="shared" si="2"/>
        <v>0</v>
      </c>
      <c r="AK20" s="1272">
        <f t="shared" si="2"/>
        <v>0</v>
      </c>
      <c r="AL20" s="1273"/>
      <c r="AM20" s="1269" t="s">
        <v>1177</v>
      </c>
      <c r="AN20" s="1270"/>
      <c r="AO20" s="1270">
        <f>'[5]int.bevételek RM IV'!AJ20</f>
        <v>846</v>
      </c>
      <c r="AP20" s="1270">
        <v>846</v>
      </c>
      <c r="AQ20" s="1271">
        <f t="shared" si="3"/>
        <v>1</v>
      </c>
      <c r="AR20" s="1272">
        <f>[4]int.bevételek2025!N19</f>
        <v>135344</v>
      </c>
      <c r="AS20" s="1272">
        <f>'[5]int.bevételek RM IV'!AM20</f>
        <v>137887</v>
      </c>
      <c r="AT20" s="1272">
        <v>135439</v>
      </c>
      <c r="AU20" s="1273">
        <f t="shared" si="4"/>
        <v>0.98224633214153623</v>
      </c>
      <c r="AV20" s="1272">
        <f t="shared" si="5"/>
        <v>136024</v>
      </c>
      <c r="AW20" s="1272">
        <f t="shared" si="5"/>
        <v>139655</v>
      </c>
      <c r="AX20" s="1272">
        <f t="shared" si="5"/>
        <v>137204</v>
      </c>
      <c r="AY20" s="1273">
        <f t="shared" si="6"/>
        <v>0.98244960796247893</v>
      </c>
      <c r="AZ20" s="1267"/>
      <c r="BA20" s="1267"/>
      <c r="BB20" s="1267"/>
      <c r="BC20" s="1267"/>
      <c r="BD20" s="1267"/>
      <c r="BE20" s="1267"/>
    </row>
    <row r="21" spans="1:57" s="1268" customFormat="1" ht="57" customHeight="1">
      <c r="A21" s="1269" t="s">
        <v>1178</v>
      </c>
      <c r="B21" s="1270">
        <f>[4]int.bevételek2025!B20</f>
        <v>1040</v>
      </c>
      <c r="C21" s="1270">
        <f>'[5]int.bevételek RM IV'!D21</f>
        <v>2532</v>
      </c>
      <c r="D21" s="1270">
        <v>2531</v>
      </c>
      <c r="E21" s="1271">
        <f t="shared" si="0"/>
        <v>0.99960505529225907</v>
      </c>
      <c r="F21" s="1270">
        <f>[4]int.bevételek2025!C20</f>
        <v>0</v>
      </c>
      <c r="G21" s="1270">
        <f>'[5]int.bevételek RM IV'!G21</f>
        <v>0</v>
      </c>
      <c r="H21" s="1270"/>
      <c r="I21" s="1271"/>
      <c r="J21" s="1270">
        <f>[4]int.bevételek2025!D20</f>
        <v>0</v>
      </c>
      <c r="K21" s="1270">
        <f>'[5]int.bevételek RM IV'!J21</f>
        <v>0</v>
      </c>
      <c r="L21" s="1270"/>
      <c r="M21" s="1271"/>
      <c r="N21" s="1270">
        <f>[4]int.bevételek2025!E20</f>
        <v>0</v>
      </c>
      <c r="O21" s="1270">
        <f>'[5]int.bevételek RM IV'!M21</f>
        <v>0</v>
      </c>
      <c r="P21" s="1270"/>
      <c r="Q21" s="1271"/>
      <c r="R21" s="1272">
        <f t="shared" si="7"/>
        <v>1040</v>
      </c>
      <c r="S21" s="1272">
        <f t="shared" si="7"/>
        <v>2532</v>
      </c>
      <c r="T21" s="1272">
        <f t="shared" si="7"/>
        <v>2531</v>
      </c>
      <c r="U21" s="1273">
        <f t="shared" si="1"/>
        <v>0.99960505529225907</v>
      </c>
      <c r="V21" s="1269" t="s">
        <v>1178</v>
      </c>
      <c r="W21" s="1270">
        <f>[4]int.bevételek2025!H20</f>
        <v>0</v>
      </c>
      <c r="X21" s="1270">
        <f>'[5]int.bevételek RM IV'!T21</f>
        <v>0</v>
      </c>
      <c r="Y21" s="1270"/>
      <c r="Z21" s="1271"/>
      <c r="AA21" s="1270">
        <f>[4]int.bevételek2025!I20</f>
        <v>0</v>
      </c>
      <c r="AB21" s="1270">
        <f>'[5]int.bevételek RM IV'!W21</f>
        <v>0</v>
      </c>
      <c r="AC21" s="1270"/>
      <c r="AD21" s="1271"/>
      <c r="AE21" s="1270">
        <f>[4]int.bevételek2025!J20</f>
        <v>0</v>
      </c>
      <c r="AF21" s="1270">
        <f>'[5]int.bevételek RM IV'!Z21</f>
        <v>0</v>
      </c>
      <c r="AG21" s="1270"/>
      <c r="AH21" s="1271"/>
      <c r="AI21" s="1272">
        <f t="shared" si="2"/>
        <v>0</v>
      </c>
      <c r="AJ21" s="1272">
        <f t="shared" si="2"/>
        <v>0</v>
      </c>
      <c r="AK21" s="1272">
        <f t="shared" si="2"/>
        <v>0</v>
      </c>
      <c r="AL21" s="1273"/>
      <c r="AM21" s="1269" t="s">
        <v>1178</v>
      </c>
      <c r="AN21" s="1270"/>
      <c r="AO21" s="1270">
        <f>'[5]int.bevételek RM IV'!AJ21</f>
        <v>1420</v>
      </c>
      <c r="AP21" s="1270">
        <v>1420</v>
      </c>
      <c r="AQ21" s="1271">
        <f t="shared" si="3"/>
        <v>1</v>
      </c>
      <c r="AR21" s="1272">
        <f>[4]int.bevételek2025!N20</f>
        <v>129802</v>
      </c>
      <c r="AS21" s="1272">
        <f>'[5]int.bevételek RM IV'!AM21</f>
        <v>136439</v>
      </c>
      <c r="AT21" s="1272">
        <v>131275</v>
      </c>
      <c r="AU21" s="1273">
        <f t="shared" si="4"/>
        <v>0.96215158422445191</v>
      </c>
      <c r="AV21" s="1272">
        <f t="shared" si="5"/>
        <v>130842</v>
      </c>
      <c r="AW21" s="1272">
        <f t="shared" si="5"/>
        <v>140391</v>
      </c>
      <c r="AX21" s="1272">
        <f t="shared" si="5"/>
        <v>135226</v>
      </c>
      <c r="AY21" s="1273">
        <f t="shared" si="6"/>
        <v>0.96320989237201815</v>
      </c>
      <c r="AZ21" s="1267"/>
      <c r="BA21" s="1267"/>
      <c r="BB21" s="1267"/>
      <c r="BC21" s="1267"/>
      <c r="BD21" s="1267"/>
      <c r="BE21" s="1267"/>
    </row>
    <row r="22" spans="1:57" s="1268" customFormat="1" ht="57" customHeight="1">
      <c r="A22" s="1269" t="s">
        <v>1179</v>
      </c>
      <c r="B22" s="1270">
        <f>[4]int.bevételek2025!B21</f>
        <v>1176</v>
      </c>
      <c r="C22" s="1270">
        <f>'[5]int.bevételek RM IV'!D22</f>
        <v>2931</v>
      </c>
      <c r="D22" s="1270">
        <v>2930</v>
      </c>
      <c r="E22" s="1271">
        <f t="shared" si="0"/>
        <v>0.99965881951552371</v>
      </c>
      <c r="F22" s="1270">
        <f>[4]int.bevételek2025!C21</f>
        <v>0</v>
      </c>
      <c r="G22" s="1270">
        <f>'[5]int.bevételek RM IV'!G22</f>
        <v>0</v>
      </c>
      <c r="H22" s="1270"/>
      <c r="I22" s="1271"/>
      <c r="J22" s="1270">
        <f>[4]int.bevételek2025!D21</f>
        <v>0</v>
      </c>
      <c r="K22" s="1270">
        <f>'[5]int.bevételek RM IV'!J22</f>
        <v>0</v>
      </c>
      <c r="L22" s="1270"/>
      <c r="M22" s="1271"/>
      <c r="N22" s="1270">
        <f>[4]int.bevételek2025!E21</f>
        <v>0</v>
      </c>
      <c r="O22" s="1270">
        <f>'[5]int.bevételek RM IV'!M22</f>
        <v>0</v>
      </c>
      <c r="P22" s="1270"/>
      <c r="Q22" s="1271"/>
      <c r="R22" s="1272">
        <f t="shared" si="7"/>
        <v>1176</v>
      </c>
      <c r="S22" s="1272">
        <f t="shared" si="7"/>
        <v>2931</v>
      </c>
      <c r="T22" s="1272">
        <f t="shared" si="7"/>
        <v>2930</v>
      </c>
      <c r="U22" s="1273">
        <f t="shared" si="1"/>
        <v>0.99965881951552371</v>
      </c>
      <c r="V22" s="1269" t="s">
        <v>1179</v>
      </c>
      <c r="W22" s="1270">
        <f>[4]int.bevételek2025!H21</f>
        <v>0</v>
      </c>
      <c r="X22" s="1270">
        <f>'[5]int.bevételek RM IV'!T22</f>
        <v>0</v>
      </c>
      <c r="Y22" s="1270"/>
      <c r="Z22" s="1271"/>
      <c r="AA22" s="1270">
        <f>[4]int.bevételek2025!I21</f>
        <v>0</v>
      </c>
      <c r="AB22" s="1270">
        <f>'[5]int.bevételek RM IV'!W22</f>
        <v>0</v>
      </c>
      <c r="AC22" s="1270"/>
      <c r="AD22" s="1271"/>
      <c r="AE22" s="1270">
        <f>[4]int.bevételek2025!J21</f>
        <v>0</v>
      </c>
      <c r="AF22" s="1270">
        <f>'[5]int.bevételek RM IV'!Z22</f>
        <v>0</v>
      </c>
      <c r="AG22" s="1270"/>
      <c r="AH22" s="1271"/>
      <c r="AI22" s="1272">
        <f t="shared" si="2"/>
        <v>0</v>
      </c>
      <c r="AJ22" s="1272">
        <f t="shared" si="2"/>
        <v>0</v>
      </c>
      <c r="AK22" s="1272">
        <f t="shared" si="2"/>
        <v>0</v>
      </c>
      <c r="AL22" s="1273"/>
      <c r="AM22" s="1269" t="s">
        <v>1179</v>
      </c>
      <c r="AN22" s="1270"/>
      <c r="AO22" s="1270">
        <f>'[5]int.bevételek RM IV'!AJ22</f>
        <v>1567</v>
      </c>
      <c r="AP22" s="1270">
        <v>1567</v>
      </c>
      <c r="AQ22" s="1271">
        <f t="shared" si="3"/>
        <v>1</v>
      </c>
      <c r="AR22" s="1272">
        <f>[4]int.bevételek2025!N21</f>
        <v>160936</v>
      </c>
      <c r="AS22" s="1272">
        <f>'[5]int.bevételek RM IV'!AM22</f>
        <v>168078</v>
      </c>
      <c r="AT22" s="1272">
        <v>162589</v>
      </c>
      <c r="AU22" s="1273">
        <f t="shared" si="4"/>
        <v>0.96734254334297176</v>
      </c>
      <c r="AV22" s="1272">
        <f t="shared" si="5"/>
        <v>162112</v>
      </c>
      <c r="AW22" s="1272">
        <f t="shared" si="5"/>
        <v>172576</v>
      </c>
      <c r="AX22" s="1272">
        <f t="shared" si="5"/>
        <v>167086</v>
      </c>
      <c r="AY22" s="1273">
        <f t="shared" si="6"/>
        <v>0.96818792879658822</v>
      </c>
      <c r="AZ22" s="1267"/>
      <c r="BA22" s="1267"/>
      <c r="BB22" s="1267"/>
      <c r="BC22" s="1267"/>
      <c r="BD22" s="1267"/>
      <c r="BE22" s="1267"/>
    </row>
    <row r="23" spans="1:57" s="1268" customFormat="1" ht="57" customHeight="1">
      <c r="A23" s="1269" t="s">
        <v>1180</v>
      </c>
      <c r="B23" s="1270">
        <f>[4]int.bevételek2025!B22</f>
        <v>472</v>
      </c>
      <c r="C23" s="1270">
        <f>'[5]int.bevételek RM IV'!D23</f>
        <v>1072</v>
      </c>
      <c r="D23" s="1270">
        <v>1072</v>
      </c>
      <c r="E23" s="1271">
        <f t="shared" si="0"/>
        <v>1</v>
      </c>
      <c r="F23" s="1270">
        <f>[4]int.bevételek2025!C22</f>
        <v>0</v>
      </c>
      <c r="G23" s="1270">
        <f>'[5]int.bevételek RM IV'!G23</f>
        <v>200</v>
      </c>
      <c r="H23" s="1270">
        <v>200</v>
      </c>
      <c r="I23" s="1271">
        <f>H23/G23</f>
        <v>1</v>
      </c>
      <c r="J23" s="1270">
        <f>[4]int.bevételek2025!D22</f>
        <v>0</v>
      </c>
      <c r="K23" s="1270">
        <f>'[5]int.bevételek RM IV'!J23</f>
        <v>0</v>
      </c>
      <c r="L23" s="1270"/>
      <c r="M23" s="1271"/>
      <c r="N23" s="1270">
        <f>[4]int.bevételek2025!E22</f>
        <v>0</v>
      </c>
      <c r="O23" s="1270">
        <f>'[5]int.bevételek RM IV'!M23</f>
        <v>0</v>
      </c>
      <c r="P23" s="1270"/>
      <c r="Q23" s="1271"/>
      <c r="R23" s="1272">
        <f t="shared" si="7"/>
        <v>472</v>
      </c>
      <c r="S23" s="1272">
        <f t="shared" si="7"/>
        <v>1272</v>
      </c>
      <c r="T23" s="1272">
        <f t="shared" si="7"/>
        <v>1272</v>
      </c>
      <c r="U23" s="1273">
        <f t="shared" si="1"/>
        <v>1</v>
      </c>
      <c r="V23" s="1269" t="s">
        <v>1180</v>
      </c>
      <c r="W23" s="1270">
        <f>[4]int.bevételek2025!H22</f>
        <v>0</v>
      </c>
      <c r="X23" s="1270">
        <f>'[5]int.bevételek RM IV'!T23</f>
        <v>0</v>
      </c>
      <c r="Y23" s="1270"/>
      <c r="Z23" s="1271"/>
      <c r="AA23" s="1270">
        <f>[4]int.bevételek2025!I22</f>
        <v>0</v>
      </c>
      <c r="AB23" s="1270">
        <f>'[5]int.bevételek RM IV'!W23</f>
        <v>0</v>
      </c>
      <c r="AC23" s="1270"/>
      <c r="AD23" s="1271"/>
      <c r="AE23" s="1270">
        <f>[4]int.bevételek2025!J22</f>
        <v>0</v>
      </c>
      <c r="AF23" s="1270">
        <f>'[5]int.bevételek RM IV'!Z23</f>
        <v>0</v>
      </c>
      <c r="AG23" s="1270"/>
      <c r="AH23" s="1271"/>
      <c r="AI23" s="1272">
        <f t="shared" si="2"/>
        <v>0</v>
      </c>
      <c r="AJ23" s="1272">
        <f t="shared" si="2"/>
        <v>0</v>
      </c>
      <c r="AK23" s="1272">
        <f t="shared" si="2"/>
        <v>0</v>
      </c>
      <c r="AL23" s="1273"/>
      <c r="AM23" s="1269" t="s">
        <v>1180</v>
      </c>
      <c r="AN23" s="1270"/>
      <c r="AO23" s="1270">
        <f>'[5]int.bevételek RM IV'!AJ23</f>
        <v>2253</v>
      </c>
      <c r="AP23" s="1270">
        <v>2253</v>
      </c>
      <c r="AQ23" s="1271">
        <f t="shared" si="3"/>
        <v>1</v>
      </c>
      <c r="AR23" s="1272">
        <f>[4]int.bevételek2025!N22</f>
        <v>191931</v>
      </c>
      <c r="AS23" s="1272">
        <f>'[5]int.bevételek RM IV'!AM23</f>
        <v>194094</v>
      </c>
      <c r="AT23" s="1272">
        <v>183887</v>
      </c>
      <c r="AU23" s="1273">
        <f t="shared" si="4"/>
        <v>0.94741207868352451</v>
      </c>
      <c r="AV23" s="1272">
        <f t="shared" si="5"/>
        <v>192403</v>
      </c>
      <c r="AW23" s="1272">
        <f t="shared" si="5"/>
        <v>197619</v>
      </c>
      <c r="AX23" s="1272">
        <f t="shared" si="5"/>
        <v>187412</v>
      </c>
      <c r="AY23" s="1273">
        <f t="shared" si="6"/>
        <v>0.94835010803617059</v>
      </c>
      <c r="AZ23" s="1267"/>
      <c r="BA23" s="1267"/>
      <c r="BB23" s="1267"/>
      <c r="BC23" s="1267"/>
      <c r="BD23" s="1267"/>
      <c r="BE23" s="1267"/>
    </row>
    <row r="24" spans="1:57" s="1268" customFormat="1" ht="57" customHeight="1">
      <c r="A24" s="1269" t="s">
        <v>1181</v>
      </c>
      <c r="B24" s="1270">
        <f>[4]int.bevételek2025!B23</f>
        <v>1448</v>
      </c>
      <c r="C24" s="1270">
        <f>'[5]int.bevételek RM IV'!D24</f>
        <v>2629</v>
      </c>
      <c r="D24" s="1270">
        <v>2627</v>
      </c>
      <c r="E24" s="1271">
        <f t="shared" si="0"/>
        <v>0.99923925446938</v>
      </c>
      <c r="F24" s="1270">
        <f>[4]int.bevételek2025!C23</f>
        <v>0</v>
      </c>
      <c r="G24" s="1270">
        <f>'[5]int.bevételek RM IV'!G24</f>
        <v>0</v>
      </c>
      <c r="H24" s="1270"/>
      <c r="I24" s="1271"/>
      <c r="J24" s="1270">
        <f>[4]int.bevételek2025!D23</f>
        <v>0</v>
      </c>
      <c r="K24" s="1270">
        <f>'[5]int.bevételek RM IV'!J24</f>
        <v>191</v>
      </c>
      <c r="L24" s="1270">
        <v>191</v>
      </c>
      <c r="M24" s="1271">
        <f>L24/K24</f>
        <v>1</v>
      </c>
      <c r="N24" s="1270">
        <f>[4]int.bevételek2025!E23</f>
        <v>0</v>
      </c>
      <c r="O24" s="1270">
        <f>'[5]int.bevételek RM IV'!M24</f>
        <v>0</v>
      </c>
      <c r="P24" s="1270"/>
      <c r="Q24" s="1271"/>
      <c r="R24" s="1272">
        <f t="shared" si="7"/>
        <v>1448</v>
      </c>
      <c r="S24" s="1272">
        <f t="shared" si="7"/>
        <v>2820</v>
      </c>
      <c r="T24" s="1272">
        <f t="shared" si="7"/>
        <v>2818</v>
      </c>
      <c r="U24" s="1273">
        <f t="shared" si="1"/>
        <v>0.99929078014184403</v>
      </c>
      <c r="V24" s="1269" t="s">
        <v>1181</v>
      </c>
      <c r="W24" s="1270">
        <f>[4]int.bevételek2025!H23</f>
        <v>0</v>
      </c>
      <c r="X24" s="1270">
        <f>'[5]int.bevételek RM IV'!T24</f>
        <v>0</v>
      </c>
      <c r="Y24" s="1270"/>
      <c r="Z24" s="1271"/>
      <c r="AA24" s="1270">
        <f>[4]int.bevételek2025!I23</f>
        <v>0</v>
      </c>
      <c r="AB24" s="1270">
        <f>'[5]int.bevételek RM IV'!W24</f>
        <v>0</v>
      </c>
      <c r="AC24" s="1270"/>
      <c r="AD24" s="1271"/>
      <c r="AE24" s="1270">
        <f>[4]int.bevételek2025!J23</f>
        <v>0</v>
      </c>
      <c r="AF24" s="1270">
        <f>'[5]int.bevételek RM IV'!Z24</f>
        <v>0</v>
      </c>
      <c r="AG24" s="1270"/>
      <c r="AH24" s="1271"/>
      <c r="AI24" s="1272">
        <f t="shared" si="2"/>
        <v>0</v>
      </c>
      <c r="AJ24" s="1272">
        <f t="shared" si="2"/>
        <v>0</v>
      </c>
      <c r="AK24" s="1272">
        <f t="shared" si="2"/>
        <v>0</v>
      </c>
      <c r="AL24" s="1273"/>
      <c r="AM24" s="1269" t="s">
        <v>1181</v>
      </c>
      <c r="AN24" s="1270"/>
      <c r="AO24" s="1270">
        <f>'[5]int.bevételek RM IV'!AJ24</f>
        <v>2458</v>
      </c>
      <c r="AP24" s="1270">
        <v>2458</v>
      </c>
      <c r="AQ24" s="1271">
        <f t="shared" si="3"/>
        <v>1</v>
      </c>
      <c r="AR24" s="1272">
        <f>[4]int.bevételek2025!N23</f>
        <v>266280</v>
      </c>
      <c r="AS24" s="1272">
        <f>'[5]int.bevételek RM IV'!AM24</f>
        <v>276328</v>
      </c>
      <c r="AT24" s="1272">
        <v>241259</v>
      </c>
      <c r="AU24" s="1273">
        <f t="shared" si="4"/>
        <v>0.87308922729509852</v>
      </c>
      <c r="AV24" s="1272">
        <f t="shared" si="5"/>
        <v>267728</v>
      </c>
      <c r="AW24" s="1272">
        <f t="shared" si="5"/>
        <v>281606</v>
      </c>
      <c r="AX24" s="1272">
        <f t="shared" si="5"/>
        <v>246535</v>
      </c>
      <c r="AY24" s="1273">
        <f t="shared" si="6"/>
        <v>0.87546075012606261</v>
      </c>
      <c r="AZ24" s="1267"/>
      <c r="BA24" s="1267"/>
      <c r="BB24" s="1267"/>
      <c r="BC24" s="1267"/>
      <c r="BD24" s="1267"/>
      <c r="BE24" s="1267"/>
    </row>
    <row r="25" spans="1:57" s="1268" customFormat="1" ht="57" customHeight="1">
      <c r="A25" s="1269" t="s">
        <v>1182</v>
      </c>
      <c r="B25" s="1270">
        <f>[4]int.bevételek2025!B24</f>
        <v>360</v>
      </c>
      <c r="C25" s="1270">
        <f>'[5]int.bevételek RM IV'!D25</f>
        <v>317</v>
      </c>
      <c r="D25" s="1270">
        <v>316</v>
      </c>
      <c r="E25" s="1271">
        <f t="shared" si="0"/>
        <v>0.99684542586750791</v>
      </c>
      <c r="F25" s="1270">
        <f>[4]int.bevételek2025!C24</f>
        <v>0</v>
      </c>
      <c r="G25" s="1270">
        <f>'[5]int.bevételek RM IV'!G25</f>
        <v>0</v>
      </c>
      <c r="H25" s="1270"/>
      <c r="I25" s="1271"/>
      <c r="J25" s="1270">
        <f>[4]int.bevételek2025!D24</f>
        <v>0</v>
      </c>
      <c r="K25" s="1270">
        <f>'[5]int.bevételek RM IV'!J25</f>
        <v>0</v>
      </c>
      <c r="L25" s="1270"/>
      <c r="M25" s="1271"/>
      <c r="N25" s="1270">
        <f>[4]int.bevételek2025!E24</f>
        <v>0</v>
      </c>
      <c r="O25" s="1270">
        <f>'[5]int.bevételek RM IV'!M25</f>
        <v>0</v>
      </c>
      <c r="P25" s="1270"/>
      <c r="Q25" s="1271"/>
      <c r="R25" s="1272">
        <f t="shared" si="7"/>
        <v>360</v>
      </c>
      <c r="S25" s="1272">
        <f t="shared" si="7"/>
        <v>317</v>
      </c>
      <c r="T25" s="1272">
        <f t="shared" si="7"/>
        <v>316</v>
      </c>
      <c r="U25" s="1273">
        <f t="shared" si="1"/>
        <v>0.99684542586750791</v>
      </c>
      <c r="V25" s="1269" t="s">
        <v>1182</v>
      </c>
      <c r="W25" s="1270">
        <f>[4]int.bevételek2025!H24</f>
        <v>0</v>
      </c>
      <c r="X25" s="1270">
        <f>'[5]int.bevételek RM IV'!T25</f>
        <v>0</v>
      </c>
      <c r="Y25" s="1270"/>
      <c r="Z25" s="1271"/>
      <c r="AA25" s="1270">
        <f>[4]int.bevételek2025!I24</f>
        <v>0</v>
      </c>
      <c r="AB25" s="1270">
        <f>'[5]int.bevételek RM IV'!W25</f>
        <v>0</v>
      </c>
      <c r="AC25" s="1270"/>
      <c r="AD25" s="1271"/>
      <c r="AE25" s="1270">
        <f>[4]int.bevételek2025!J24</f>
        <v>0</v>
      </c>
      <c r="AF25" s="1270">
        <f>'[5]int.bevételek RM IV'!Z25</f>
        <v>0</v>
      </c>
      <c r="AG25" s="1270"/>
      <c r="AH25" s="1271"/>
      <c r="AI25" s="1272">
        <f t="shared" si="2"/>
        <v>0</v>
      </c>
      <c r="AJ25" s="1272">
        <f t="shared" si="2"/>
        <v>0</v>
      </c>
      <c r="AK25" s="1272">
        <f t="shared" si="2"/>
        <v>0</v>
      </c>
      <c r="AL25" s="1273"/>
      <c r="AM25" s="1269" t="s">
        <v>1182</v>
      </c>
      <c r="AN25" s="1270"/>
      <c r="AO25" s="1270">
        <f>'[5]int.bevételek RM IV'!AJ25</f>
        <v>2255</v>
      </c>
      <c r="AP25" s="1270">
        <v>2255</v>
      </c>
      <c r="AQ25" s="1271">
        <f t="shared" si="3"/>
        <v>1</v>
      </c>
      <c r="AR25" s="1272">
        <f>[4]int.bevételek2025!N24</f>
        <v>194627</v>
      </c>
      <c r="AS25" s="1272">
        <f>'[5]int.bevételek RM IV'!AM25</f>
        <v>204477</v>
      </c>
      <c r="AT25" s="1272">
        <v>183639</v>
      </c>
      <c r="AU25" s="1273">
        <f t="shared" si="4"/>
        <v>0.89809122786425855</v>
      </c>
      <c r="AV25" s="1272">
        <f t="shared" si="5"/>
        <v>194987</v>
      </c>
      <c r="AW25" s="1272">
        <f t="shared" si="5"/>
        <v>207049</v>
      </c>
      <c r="AX25" s="1272">
        <f t="shared" si="5"/>
        <v>186210</v>
      </c>
      <c r="AY25" s="1273">
        <f t="shared" si="6"/>
        <v>0.89935232722688829</v>
      </c>
      <c r="AZ25" s="1267"/>
      <c r="BA25" s="1267"/>
      <c r="BB25" s="1267"/>
      <c r="BC25" s="1267"/>
      <c r="BD25" s="1267"/>
      <c r="BE25" s="1267"/>
    </row>
    <row r="26" spans="1:57" s="1268" customFormat="1" ht="57" customHeight="1">
      <c r="A26" s="1269" t="s">
        <v>1183</v>
      </c>
      <c r="B26" s="1270">
        <f>[4]int.bevételek2025!B25</f>
        <v>1000</v>
      </c>
      <c r="C26" s="1270">
        <f>'[5]int.bevételek RM IV'!D26</f>
        <v>2452</v>
      </c>
      <c r="D26" s="1270">
        <v>2451</v>
      </c>
      <c r="E26" s="1271">
        <f t="shared" si="0"/>
        <v>0.99959216965742248</v>
      </c>
      <c r="F26" s="1270">
        <f>[4]int.bevételek2025!C25</f>
        <v>0</v>
      </c>
      <c r="G26" s="1270">
        <f>'[5]int.bevételek RM IV'!G26</f>
        <v>0</v>
      </c>
      <c r="H26" s="1274"/>
      <c r="I26" s="1271"/>
      <c r="J26" s="1270">
        <f>[4]int.bevételek2025!D25</f>
        <v>0</v>
      </c>
      <c r="K26" s="1270">
        <f>'[5]int.bevételek RM IV'!J26</f>
        <v>250</v>
      </c>
      <c r="L26" s="1270">
        <v>250</v>
      </c>
      <c r="M26" s="1271">
        <f>L26/K26</f>
        <v>1</v>
      </c>
      <c r="N26" s="1270">
        <f>[4]int.bevételek2025!E25</f>
        <v>0</v>
      </c>
      <c r="O26" s="1270">
        <f>'[5]int.bevételek RM IV'!M26</f>
        <v>0</v>
      </c>
      <c r="P26" s="1270"/>
      <c r="Q26" s="1271"/>
      <c r="R26" s="1272">
        <f t="shared" si="7"/>
        <v>1000</v>
      </c>
      <c r="S26" s="1272">
        <f t="shared" si="7"/>
        <v>2702</v>
      </c>
      <c r="T26" s="1272">
        <f t="shared" si="7"/>
        <v>2701</v>
      </c>
      <c r="U26" s="1273">
        <f t="shared" si="1"/>
        <v>0.99962990377498151</v>
      </c>
      <c r="V26" s="1269" t="s">
        <v>1183</v>
      </c>
      <c r="W26" s="1270">
        <f>[4]int.bevételek2025!H25</f>
        <v>0</v>
      </c>
      <c r="X26" s="1270">
        <f>'[5]int.bevételek RM IV'!T26</f>
        <v>0</v>
      </c>
      <c r="Y26" s="1270"/>
      <c r="Z26" s="1271"/>
      <c r="AA26" s="1270">
        <f>[4]int.bevételek2025!I25</f>
        <v>0</v>
      </c>
      <c r="AB26" s="1270">
        <f>'[5]int.bevételek RM IV'!W26</f>
        <v>0</v>
      </c>
      <c r="AC26" s="1270"/>
      <c r="AD26" s="1271"/>
      <c r="AE26" s="1270">
        <f>[4]int.bevételek2025!J25</f>
        <v>0</v>
      </c>
      <c r="AF26" s="1270">
        <f>'[5]int.bevételek RM IV'!Z26</f>
        <v>0</v>
      </c>
      <c r="AG26" s="1270"/>
      <c r="AH26" s="1271"/>
      <c r="AI26" s="1272">
        <f t="shared" si="2"/>
        <v>0</v>
      </c>
      <c r="AJ26" s="1272">
        <f t="shared" si="2"/>
        <v>0</v>
      </c>
      <c r="AK26" s="1272">
        <f t="shared" si="2"/>
        <v>0</v>
      </c>
      <c r="AL26" s="1273"/>
      <c r="AM26" s="1269" t="s">
        <v>1183</v>
      </c>
      <c r="AN26" s="1270"/>
      <c r="AO26" s="1270">
        <f>'[5]int.bevételek RM IV'!AJ26</f>
        <v>1419</v>
      </c>
      <c r="AP26" s="1270">
        <v>1419</v>
      </c>
      <c r="AQ26" s="1271">
        <f t="shared" si="3"/>
        <v>1</v>
      </c>
      <c r="AR26" s="1272">
        <f>[4]int.bevételek2025!N25</f>
        <v>147733</v>
      </c>
      <c r="AS26" s="1272">
        <f>'[5]int.bevételek RM IV'!AM26</f>
        <v>154619</v>
      </c>
      <c r="AT26" s="1272">
        <v>151201</v>
      </c>
      <c r="AU26" s="1273">
        <f t="shared" si="4"/>
        <v>0.97789404924362466</v>
      </c>
      <c r="AV26" s="1272">
        <f t="shared" si="5"/>
        <v>148733</v>
      </c>
      <c r="AW26" s="1272">
        <f t="shared" si="5"/>
        <v>158740</v>
      </c>
      <c r="AX26" s="1272">
        <f t="shared" si="5"/>
        <v>155321</v>
      </c>
      <c r="AY26" s="1273">
        <f t="shared" si="6"/>
        <v>0.97846163537860653</v>
      </c>
      <c r="AZ26" s="1267"/>
      <c r="BA26" s="1267"/>
      <c r="BB26" s="1267"/>
      <c r="BC26" s="1267"/>
      <c r="BD26" s="1267"/>
      <c r="BE26" s="1267"/>
    </row>
    <row r="27" spans="1:57" s="1268" customFormat="1" ht="57" customHeight="1" thickBot="1">
      <c r="A27" s="1275" t="s">
        <v>1184</v>
      </c>
      <c r="B27" s="1276">
        <f>[4]int.bevételek2025!B26</f>
        <v>840</v>
      </c>
      <c r="C27" s="1270">
        <f>'[5]int.bevételek RM IV'!D27</f>
        <v>930</v>
      </c>
      <c r="D27" s="1276">
        <v>929</v>
      </c>
      <c r="E27" s="1277">
        <f t="shared" si="0"/>
        <v>0.99892473118279568</v>
      </c>
      <c r="F27" s="1276">
        <f>[4]int.bevételek2025!C26</f>
        <v>0</v>
      </c>
      <c r="G27" s="1270">
        <f>'[5]int.bevételek RM IV'!G27</f>
        <v>0</v>
      </c>
      <c r="H27" s="1276"/>
      <c r="I27" s="1277"/>
      <c r="J27" s="1276">
        <f>[4]int.bevételek2025!D26</f>
        <v>0</v>
      </c>
      <c r="K27" s="1270">
        <f>'[5]int.bevételek RM IV'!J27</f>
        <v>0</v>
      </c>
      <c r="L27" s="1276"/>
      <c r="M27" s="1277"/>
      <c r="N27" s="1276">
        <f>[4]int.bevételek2025!E26</f>
        <v>0</v>
      </c>
      <c r="O27" s="1276">
        <f>'[5]int.bevételek RM IV'!M27</f>
        <v>0</v>
      </c>
      <c r="P27" s="1270"/>
      <c r="Q27" s="1277"/>
      <c r="R27" s="1272">
        <f t="shared" si="7"/>
        <v>840</v>
      </c>
      <c r="S27" s="1272">
        <f t="shared" si="7"/>
        <v>930</v>
      </c>
      <c r="T27" s="1272">
        <f t="shared" si="7"/>
        <v>929</v>
      </c>
      <c r="U27" s="1278">
        <f t="shared" si="1"/>
        <v>0.99892473118279568</v>
      </c>
      <c r="V27" s="1275" t="s">
        <v>1184</v>
      </c>
      <c r="W27" s="1276">
        <f>[4]int.bevételek2025!H26</f>
        <v>0</v>
      </c>
      <c r="X27" s="1276">
        <f>'[5]int.bevételek RM IV'!T27</f>
        <v>0</v>
      </c>
      <c r="Y27" s="1276"/>
      <c r="Z27" s="1277"/>
      <c r="AA27" s="1276">
        <f>[4]int.bevételek2025!I26</f>
        <v>0</v>
      </c>
      <c r="AB27" s="1276">
        <f>'[5]int.bevételek RM IV'!W27</f>
        <v>0</v>
      </c>
      <c r="AC27" s="1270"/>
      <c r="AD27" s="1277"/>
      <c r="AE27" s="1276">
        <f>[4]int.bevételek2025!J26</f>
        <v>0</v>
      </c>
      <c r="AF27" s="1276">
        <f>'[5]int.bevételek RM IV'!Z27</f>
        <v>0</v>
      </c>
      <c r="AG27" s="1276"/>
      <c r="AH27" s="1279"/>
      <c r="AI27" s="1272">
        <f t="shared" si="2"/>
        <v>0</v>
      </c>
      <c r="AJ27" s="1272">
        <f t="shared" si="2"/>
        <v>0</v>
      </c>
      <c r="AK27" s="1272">
        <f t="shared" si="2"/>
        <v>0</v>
      </c>
      <c r="AL27" s="1278"/>
      <c r="AM27" s="1275" t="s">
        <v>1184</v>
      </c>
      <c r="AN27" s="1276"/>
      <c r="AO27" s="1270">
        <f>'[5]int.bevételek RM IV'!AJ27</f>
        <v>1808</v>
      </c>
      <c r="AP27" s="1276">
        <v>1808</v>
      </c>
      <c r="AQ27" s="1277">
        <f t="shared" si="3"/>
        <v>1</v>
      </c>
      <c r="AR27" s="1272">
        <f>[4]int.bevételek2025!N26</f>
        <v>119614</v>
      </c>
      <c r="AS27" s="1272">
        <f>'[5]int.bevételek RM IV'!AM27</f>
        <v>121711</v>
      </c>
      <c r="AT27" s="1272">
        <v>110048</v>
      </c>
      <c r="AU27" s="1278">
        <f t="shared" si="4"/>
        <v>0.90417464321219942</v>
      </c>
      <c r="AV27" s="1272">
        <f t="shared" si="5"/>
        <v>120454</v>
      </c>
      <c r="AW27" s="1272">
        <f t="shared" si="5"/>
        <v>124449</v>
      </c>
      <c r="AX27" s="1272">
        <f t="shared" si="5"/>
        <v>112785</v>
      </c>
      <c r="AY27" s="1278">
        <f t="shared" si="6"/>
        <v>0.90627485958103315</v>
      </c>
      <c r="AZ27" s="1267"/>
      <c r="BA27" s="1267"/>
      <c r="BB27" s="1267"/>
      <c r="BC27" s="1267"/>
      <c r="BD27" s="1267"/>
      <c r="BE27" s="1267"/>
    </row>
    <row r="28" spans="1:57" s="1268" customFormat="1" ht="57" customHeight="1" thickBot="1">
      <c r="A28" s="1280" t="s">
        <v>1185</v>
      </c>
      <c r="B28" s="1281">
        <f>SUM(B10:B27)</f>
        <v>20784</v>
      </c>
      <c r="C28" s="1281">
        <f>SUM(C10:C27)</f>
        <v>38273</v>
      </c>
      <c r="D28" s="1281">
        <f>SUM(D10:D27)</f>
        <v>38254</v>
      </c>
      <c r="E28" s="1282">
        <f t="shared" si="0"/>
        <v>0.99950356648289918</v>
      </c>
      <c r="F28" s="1281">
        <f>SUM(F10:F27)</f>
        <v>0</v>
      </c>
      <c r="G28" s="1281">
        <f>SUM(G10:G27)</f>
        <v>400</v>
      </c>
      <c r="H28" s="1281">
        <f>SUM(H10:H27)</f>
        <v>400</v>
      </c>
      <c r="I28" s="1282">
        <f>H28/G28</f>
        <v>1</v>
      </c>
      <c r="J28" s="1281">
        <f>SUM(J10:J27)</f>
        <v>0</v>
      </c>
      <c r="K28" s="1281">
        <f>SUM(K10:K27)</f>
        <v>3251</v>
      </c>
      <c r="L28" s="1281">
        <f>SUM(L10:L27)</f>
        <v>3251</v>
      </c>
      <c r="M28" s="1282">
        <f>L28/K28</f>
        <v>1</v>
      </c>
      <c r="N28" s="1281">
        <f>SUM(N10:N27)</f>
        <v>0</v>
      </c>
      <c r="O28" s="1281">
        <f>SUM(O10:O27)</f>
        <v>0</v>
      </c>
      <c r="P28" s="1281">
        <f>SUM(P10:P27)</f>
        <v>0</v>
      </c>
      <c r="Q28" s="1282"/>
      <c r="R28" s="1281">
        <f>SUM(R10:R27)</f>
        <v>20784</v>
      </c>
      <c r="S28" s="1281">
        <f>SUM(S10:S27)</f>
        <v>41924</v>
      </c>
      <c r="T28" s="1281">
        <f>SUM(T10:T27)</f>
        <v>41905</v>
      </c>
      <c r="U28" s="1282">
        <f t="shared" si="1"/>
        <v>0.999546798969564</v>
      </c>
      <c r="V28" s="1280" t="s">
        <v>1185</v>
      </c>
      <c r="W28" s="1281">
        <f>SUM(W10:W27)</f>
        <v>0</v>
      </c>
      <c r="X28" s="1281">
        <f>SUM(X10:X27)</f>
        <v>0</v>
      </c>
      <c r="Y28" s="1281">
        <f>SUM(Y10:Y27)</f>
        <v>0</v>
      </c>
      <c r="Z28" s="1282"/>
      <c r="AA28" s="1281">
        <f>SUM(AA10:AA27)</f>
        <v>0</v>
      </c>
      <c r="AB28" s="1281">
        <f>SUM(AB10:AB27)</f>
        <v>0</v>
      </c>
      <c r="AC28" s="1281">
        <f>SUM(AC10:AC27)</f>
        <v>0</v>
      </c>
      <c r="AD28" s="1282"/>
      <c r="AE28" s="1281">
        <f>SUM(AE10:AE27)</f>
        <v>0</v>
      </c>
      <c r="AF28" s="1281">
        <f>SUM(AF10:AF27)</f>
        <v>774</v>
      </c>
      <c r="AG28" s="1281">
        <f>SUM(AG10:AG27)</f>
        <v>774</v>
      </c>
      <c r="AH28" s="1282">
        <f>AG28/AF28</f>
        <v>1</v>
      </c>
      <c r="AI28" s="1281">
        <f>SUM(AI10:AI27)</f>
        <v>0</v>
      </c>
      <c r="AJ28" s="1281">
        <f>SUM(AJ10:AJ27)</f>
        <v>774</v>
      </c>
      <c r="AK28" s="1281">
        <f>SUM(AK10:AK27)</f>
        <v>774</v>
      </c>
      <c r="AL28" s="1282">
        <f>AK28/AJ28</f>
        <v>1</v>
      </c>
      <c r="AM28" s="1280" t="s">
        <v>1185</v>
      </c>
      <c r="AN28" s="1281">
        <f>SUM(AN10:AN27)</f>
        <v>0</v>
      </c>
      <c r="AO28" s="1281">
        <f>SUM(AO10:AO27)</f>
        <v>36644</v>
      </c>
      <c r="AP28" s="1281">
        <f>SUM(AP10:AP27)</f>
        <v>36644</v>
      </c>
      <c r="AQ28" s="1282">
        <f t="shared" si="3"/>
        <v>1</v>
      </c>
      <c r="AR28" s="1281">
        <f>SUM(AR10:AR27)</f>
        <v>3520116</v>
      </c>
      <c r="AS28" s="1281">
        <f>SUM(AS10:AS27)</f>
        <v>3617003</v>
      </c>
      <c r="AT28" s="1281">
        <f>SUM(AT10:AT27)</f>
        <v>3444093</v>
      </c>
      <c r="AU28" s="1282">
        <f t="shared" si="4"/>
        <v>0.95219522903353959</v>
      </c>
      <c r="AV28" s="1281">
        <f>SUM(AV10:AV27)</f>
        <v>3540900</v>
      </c>
      <c r="AW28" s="1281">
        <f>SUM(AW10:AW27)</f>
        <v>3696345</v>
      </c>
      <c r="AX28" s="1281">
        <f>SUM(AX10:AX27)</f>
        <v>3523416</v>
      </c>
      <c r="AY28" s="1282">
        <f t="shared" si="6"/>
        <v>0.95321621764202202</v>
      </c>
      <c r="AZ28" s="1267"/>
      <c r="BA28" s="1267"/>
      <c r="BB28" s="1267"/>
      <c r="BC28" s="1267"/>
      <c r="BD28" s="1267"/>
      <c r="BE28" s="1267"/>
    </row>
    <row r="29" spans="1:57" s="1268" customFormat="1" ht="57" customHeight="1" thickBot="1">
      <c r="A29" s="1283" t="s">
        <v>1186</v>
      </c>
      <c r="B29" s="1284">
        <f>[4]int.bevételek2025!B28</f>
        <v>658521</v>
      </c>
      <c r="C29" s="1270">
        <f>'[5]int.bevételek RM IV'!D29</f>
        <v>702373</v>
      </c>
      <c r="D29" s="1284">
        <v>702373</v>
      </c>
      <c r="E29" s="1285">
        <f t="shared" si="0"/>
        <v>1</v>
      </c>
      <c r="F29" s="1284">
        <f>[4]int.bevételek2025!C28</f>
        <v>0</v>
      </c>
      <c r="G29" s="1270">
        <f>'[5]int.bevételek RM IV'!G29</f>
        <v>2292</v>
      </c>
      <c r="H29" s="1284">
        <v>2292</v>
      </c>
      <c r="I29" s="1285">
        <f>H29/G29</f>
        <v>1</v>
      </c>
      <c r="J29" s="1284">
        <f>[4]int.bevételek2025!D28</f>
        <v>0</v>
      </c>
      <c r="K29" s="1270">
        <f>'[5]int.bevételek RM IV'!J29</f>
        <v>0</v>
      </c>
      <c r="L29" s="1284"/>
      <c r="M29" s="1285"/>
      <c r="N29" s="1284">
        <f>[4]int.bevételek2025!E28</f>
        <v>0</v>
      </c>
      <c r="O29" s="1284">
        <f>'[5]int.bevételek RM IV'!M29</f>
        <v>0</v>
      </c>
      <c r="P29" s="1284"/>
      <c r="Q29" s="1285"/>
      <c r="R29" s="1272">
        <f>B29+F29+J29+N29</f>
        <v>658521</v>
      </c>
      <c r="S29" s="1272">
        <f>C29+G29+K29+O29</f>
        <v>704665</v>
      </c>
      <c r="T29" s="1272">
        <f>D29+H29+L29+P29</f>
        <v>704665</v>
      </c>
      <c r="U29" s="1282">
        <f t="shared" si="1"/>
        <v>1</v>
      </c>
      <c r="V29" s="1283" t="s">
        <v>1186</v>
      </c>
      <c r="W29" s="1284">
        <f>[4]int.bevételek2025!H28</f>
        <v>0</v>
      </c>
      <c r="X29" s="1284">
        <f>'[5]int.bevételek RM IV'!T29</f>
        <v>35</v>
      </c>
      <c r="Y29" s="1284">
        <v>35</v>
      </c>
      <c r="Z29" s="1285">
        <f>Y29/X29</f>
        <v>1</v>
      </c>
      <c r="AA29" s="1284">
        <f>[4]int.bevételek2025!I28</f>
        <v>0</v>
      </c>
      <c r="AB29" s="1284">
        <f>'[5]int.bevételek RM IV'!W29</f>
        <v>0</v>
      </c>
      <c r="AC29" s="1284"/>
      <c r="AD29" s="1285"/>
      <c r="AE29" s="1284">
        <f>[4]int.bevételek2025!J28</f>
        <v>0</v>
      </c>
      <c r="AF29" s="1284">
        <f>'[5]int.bevételek RM IV'!Z29</f>
        <v>0</v>
      </c>
      <c r="AG29" s="1284"/>
      <c r="AH29" s="1285"/>
      <c r="AI29" s="1272">
        <f>W29+AA29+AE29</f>
        <v>0</v>
      </c>
      <c r="AJ29" s="1272">
        <f>X29+AB29+AF29</f>
        <v>35</v>
      </c>
      <c r="AK29" s="1272">
        <f>Y29+AC29+AG29</f>
        <v>35</v>
      </c>
      <c r="AL29" s="1282">
        <f>AK29/AJ29</f>
        <v>1</v>
      </c>
      <c r="AM29" s="1283" t="s">
        <v>1186</v>
      </c>
      <c r="AN29" s="1284"/>
      <c r="AO29" s="1270">
        <f>'[5]int.bevételek RM IV'!AJ29</f>
        <v>16061</v>
      </c>
      <c r="AP29" s="1284">
        <v>16061</v>
      </c>
      <c r="AQ29" s="1285">
        <f t="shared" si="3"/>
        <v>1</v>
      </c>
      <c r="AR29" s="1272">
        <f>[4]int.bevételek2025!N28</f>
        <v>1836748</v>
      </c>
      <c r="AS29" s="1272">
        <f>'[5]int.bevételek RM IV'!AM29</f>
        <v>1929815</v>
      </c>
      <c r="AT29" s="1272">
        <v>1861166</v>
      </c>
      <c r="AU29" s="1282">
        <f t="shared" si="4"/>
        <v>0.96442716011638419</v>
      </c>
      <c r="AV29" s="1272">
        <f>R29+AI29+AN29+AR29</f>
        <v>2495269</v>
      </c>
      <c r="AW29" s="1272">
        <f>S29+AJ29+AO29+AS29</f>
        <v>2650576</v>
      </c>
      <c r="AX29" s="1272">
        <f>T29+AK29+AP29+AT29</f>
        <v>2581927</v>
      </c>
      <c r="AY29" s="1282">
        <f t="shared" si="6"/>
        <v>0.97410034649072508</v>
      </c>
      <c r="AZ29" s="1267"/>
      <c r="BA29" s="1267"/>
      <c r="BB29" s="1267"/>
      <c r="BC29" s="1267"/>
      <c r="BD29" s="1267"/>
      <c r="BE29" s="1267"/>
    </row>
    <row r="30" spans="1:57" s="1268" customFormat="1" ht="57" customHeight="1" thickBot="1">
      <c r="A30" s="1280" t="s">
        <v>1187</v>
      </c>
      <c r="B30" s="1281">
        <f>SUM(B28:B29)</f>
        <v>679305</v>
      </c>
      <c r="C30" s="1281">
        <f>SUM(C28:C29)</f>
        <v>740646</v>
      </c>
      <c r="D30" s="1281">
        <f>SUM(D28:D29)</f>
        <v>740627</v>
      </c>
      <c r="E30" s="1286">
        <f t="shared" si="0"/>
        <v>0.99997434671894536</v>
      </c>
      <c r="F30" s="1281">
        <f>SUM(F28:F29)</f>
        <v>0</v>
      </c>
      <c r="G30" s="1281">
        <f>SUM(G28:G29)</f>
        <v>2692</v>
      </c>
      <c r="H30" s="1281">
        <f>SUM(H28:H29)</f>
        <v>2692</v>
      </c>
      <c r="I30" s="1286">
        <f>H30/G30</f>
        <v>1</v>
      </c>
      <c r="J30" s="1281">
        <f>SUM(J28:J29)</f>
        <v>0</v>
      </c>
      <c r="K30" s="1281">
        <f>SUM(K28:K29)</f>
        <v>3251</v>
      </c>
      <c r="L30" s="1281">
        <f>SUM(L28:L29)</f>
        <v>3251</v>
      </c>
      <c r="M30" s="1286">
        <f>L30/K30</f>
        <v>1</v>
      </c>
      <c r="N30" s="1281">
        <f>SUM(N28:N29)</f>
        <v>0</v>
      </c>
      <c r="O30" s="1281">
        <f>SUM(O28:O29)</f>
        <v>0</v>
      </c>
      <c r="P30" s="1281">
        <f>SUM(P28:P29)</f>
        <v>0</v>
      </c>
      <c r="Q30" s="1286"/>
      <c r="R30" s="1281">
        <f>SUM(R28:R29)</f>
        <v>679305</v>
      </c>
      <c r="S30" s="1281">
        <f>SUM(S28:S29)</f>
        <v>746589</v>
      </c>
      <c r="T30" s="1281">
        <f>SUM(T28:T29)</f>
        <v>746570</v>
      </c>
      <c r="U30" s="1286">
        <f t="shared" si="1"/>
        <v>0.99997455092427023</v>
      </c>
      <c r="V30" s="1280" t="s">
        <v>1187</v>
      </c>
      <c r="W30" s="1281">
        <f>SUM(W28:W29)</f>
        <v>0</v>
      </c>
      <c r="X30" s="1281">
        <f>SUM(X28:X29)</f>
        <v>35</v>
      </c>
      <c r="Y30" s="1281">
        <f>SUM(Y28:Y29)</f>
        <v>35</v>
      </c>
      <c r="Z30" s="1286"/>
      <c r="AA30" s="1281">
        <f>SUM(AA28:AA29)</f>
        <v>0</v>
      </c>
      <c r="AB30" s="1281">
        <f>SUM(AB28:AB29)</f>
        <v>0</v>
      </c>
      <c r="AC30" s="1281">
        <f>SUM(AC28:AC29)</f>
        <v>0</v>
      </c>
      <c r="AD30" s="1286"/>
      <c r="AE30" s="1281">
        <f>SUM(AE28:AE29)</f>
        <v>0</v>
      </c>
      <c r="AF30" s="1281">
        <f>SUM(AF28:AF29)</f>
        <v>774</v>
      </c>
      <c r="AG30" s="1281">
        <f>SUM(AG28:AG29)</f>
        <v>774</v>
      </c>
      <c r="AH30" s="1282">
        <f>AG30/AF30</f>
        <v>1</v>
      </c>
      <c r="AI30" s="1281">
        <f>AI28+AI29</f>
        <v>0</v>
      </c>
      <c r="AJ30" s="1281">
        <f>AJ28+AJ29</f>
        <v>809</v>
      </c>
      <c r="AK30" s="1281">
        <f>AK28+AK29</f>
        <v>809</v>
      </c>
      <c r="AL30" s="1286">
        <f>AK30/AJ30</f>
        <v>1</v>
      </c>
      <c r="AM30" s="1280" t="s">
        <v>1187</v>
      </c>
      <c r="AN30" s="1281">
        <f>SUM(AN28:AN29)</f>
        <v>0</v>
      </c>
      <c r="AO30" s="1281">
        <f>SUM(AO28:AO29)</f>
        <v>52705</v>
      </c>
      <c r="AP30" s="1281">
        <f>SUM(AP28:AP29)</f>
        <v>52705</v>
      </c>
      <c r="AQ30" s="1286">
        <f t="shared" si="3"/>
        <v>1</v>
      </c>
      <c r="AR30" s="1281">
        <f>AR28+AR29</f>
        <v>5356864</v>
      </c>
      <c r="AS30" s="1281">
        <f>AS28+AS29</f>
        <v>5546818</v>
      </c>
      <c r="AT30" s="1281">
        <f>AT28+AT29</f>
        <v>5305259</v>
      </c>
      <c r="AU30" s="1286">
        <f t="shared" si="4"/>
        <v>0.95645088769813613</v>
      </c>
      <c r="AV30" s="1281">
        <f>AV28+AV29</f>
        <v>6036169</v>
      </c>
      <c r="AW30" s="1281">
        <f>AW28+AW29</f>
        <v>6346921</v>
      </c>
      <c r="AX30" s="1281">
        <f>AX28+AX29</f>
        <v>6105343</v>
      </c>
      <c r="AY30" s="1286">
        <f t="shared" si="6"/>
        <v>0.9619377647839007</v>
      </c>
      <c r="AZ30" s="1267"/>
      <c r="BA30" s="1267"/>
      <c r="BB30" s="1267"/>
      <c r="BC30" s="1267"/>
      <c r="BD30" s="1267"/>
      <c r="BE30" s="1267"/>
    </row>
    <row r="31" spans="1:57" s="1268" customFormat="1" ht="57" customHeight="1">
      <c r="A31" s="1287" t="s">
        <v>1188</v>
      </c>
      <c r="B31" s="1288"/>
      <c r="C31" s="1288"/>
      <c r="D31" s="1288"/>
      <c r="E31" s="1288"/>
      <c r="F31" s="1288"/>
      <c r="G31" s="1288"/>
      <c r="H31" s="1288"/>
      <c r="I31" s="1288"/>
      <c r="J31" s="1288"/>
      <c r="K31" s="1288"/>
      <c r="L31" s="1288"/>
      <c r="M31" s="1288"/>
      <c r="N31" s="1288"/>
      <c r="O31" s="1288"/>
      <c r="P31" s="1288"/>
      <c r="Q31" s="1288"/>
      <c r="R31" s="1288"/>
      <c r="S31" s="1288"/>
      <c r="T31" s="1288"/>
      <c r="U31" s="1288"/>
      <c r="V31" s="1287" t="s">
        <v>1188</v>
      </c>
      <c r="W31" s="1288"/>
      <c r="X31" s="1288"/>
      <c r="Y31" s="1288"/>
      <c r="Z31" s="1288"/>
      <c r="AA31" s="1288"/>
      <c r="AB31" s="1288"/>
      <c r="AC31" s="1288"/>
      <c r="AD31" s="1288"/>
      <c r="AE31" s="1288"/>
      <c r="AF31" s="1288"/>
      <c r="AG31" s="1288"/>
      <c r="AH31" s="1288"/>
      <c r="AI31" s="1288"/>
      <c r="AJ31" s="1288"/>
      <c r="AK31" s="1288"/>
      <c r="AL31" s="1288"/>
      <c r="AM31" s="1287" t="s">
        <v>1188</v>
      </c>
      <c r="AN31" s="1288"/>
      <c r="AO31" s="1288"/>
      <c r="AP31" s="1288"/>
      <c r="AQ31" s="1288"/>
      <c r="AR31" s="1288"/>
      <c r="AS31" s="1288"/>
      <c r="AT31" s="1288"/>
      <c r="AU31" s="1288"/>
      <c r="AV31" s="1288"/>
      <c r="AW31" s="1288"/>
      <c r="AX31" s="1288"/>
      <c r="AY31" s="1288"/>
      <c r="AZ31" s="1267"/>
      <c r="BA31" s="1267"/>
      <c r="BB31" s="1267"/>
      <c r="BC31" s="1267"/>
      <c r="BD31" s="1267"/>
      <c r="BE31" s="1267"/>
    </row>
    <row r="32" spans="1:57" s="1268" customFormat="1" ht="57" customHeight="1">
      <c r="A32" s="1289" t="s">
        <v>1189</v>
      </c>
      <c r="B32" s="1288"/>
      <c r="C32" s="1288"/>
      <c r="D32" s="1288"/>
      <c r="E32" s="1288"/>
      <c r="F32" s="1288"/>
      <c r="G32" s="1288"/>
      <c r="H32" s="1288"/>
      <c r="I32" s="1288"/>
      <c r="J32" s="1288"/>
      <c r="K32" s="1288"/>
      <c r="L32" s="1288"/>
      <c r="M32" s="1288"/>
      <c r="N32" s="1288"/>
      <c r="O32" s="1288"/>
      <c r="P32" s="1288"/>
      <c r="Q32" s="1288"/>
      <c r="R32" s="1288"/>
      <c r="S32" s="1288"/>
      <c r="T32" s="1288"/>
      <c r="U32" s="1288"/>
      <c r="V32" s="1289" t="s">
        <v>1189</v>
      </c>
      <c r="W32" s="1288"/>
      <c r="X32" s="1288"/>
      <c r="Y32" s="1288"/>
      <c r="Z32" s="1288"/>
      <c r="AA32" s="1288"/>
      <c r="AB32" s="1288"/>
      <c r="AC32" s="1288"/>
      <c r="AD32" s="1288"/>
      <c r="AE32" s="1288"/>
      <c r="AF32" s="1288"/>
      <c r="AG32" s="1288"/>
      <c r="AH32" s="1288"/>
      <c r="AI32" s="1288"/>
      <c r="AJ32" s="1288"/>
      <c r="AK32" s="1288"/>
      <c r="AL32" s="1288"/>
      <c r="AM32" s="1289" t="s">
        <v>1189</v>
      </c>
      <c r="AN32" s="1288"/>
      <c r="AO32" s="1288"/>
      <c r="AP32" s="1288"/>
      <c r="AQ32" s="1288"/>
      <c r="AR32" s="1288"/>
      <c r="AS32" s="1288"/>
      <c r="AT32" s="1288"/>
      <c r="AU32" s="1288"/>
      <c r="AV32" s="1288"/>
      <c r="AW32" s="1288"/>
      <c r="AX32" s="1288"/>
      <c r="AY32" s="1288"/>
      <c r="AZ32" s="1267"/>
      <c r="BA32" s="1267"/>
      <c r="BB32" s="1267"/>
      <c r="BC32" s="1267"/>
      <c r="BD32" s="1267"/>
      <c r="BE32" s="1267"/>
    </row>
    <row r="33" spans="1:57" s="1268" customFormat="1" ht="57" customHeight="1">
      <c r="A33" s="1290" t="s">
        <v>169</v>
      </c>
      <c r="B33" s="1270">
        <f>[4]int.bevételek2025!B32</f>
        <v>28471</v>
      </c>
      <c r="C33" s="1270">
        <f>'[5]int.bevételek RM IV'!D33</f>
        <v>59826</v>
      </c>
      <c r="D33" s="1270">
        <v>59826</v>
      </c>
      <c r="E33" s="1271">
        <f>D33/C33</f>
        <v>1</v>
      </c>
      <c r="F33" s="1270">
        <f>[4]int.bevételek2025!C32</f>
        <v>0</v>
      </c>
      <c r="G33" s="1270">
        <f>'[5]int.bevételek RM IV'!G33</f>
        <v>75455</v>
      </c>
      <c r="H33" s="1270">
        <v>75455</v>
      </c>
      <c r="I33" s="1271">
        <f>H33/G33</f>
        <v>1</v>
      </c>
      <c r="J33" s="1270">
        <f>[4]int.bevételek2025!D32</f>
        <v>0</v>
      </c>
      <c r="K33" s="1270">
        <f>'[5]int.bevételek RM IV'!J33</f>
        <v>3200</v>
      </c>
      <c r="L33" s="1270">
        <v>3200</v>
      </c>
      <c r="M33" s="1291">
        <f>L33/K33</f>
        <v>1</v>
      </c>
      <c r="N33" s="1270">
        <f>[4]int.bevételek2025!E32</f>
        <v>0</v>
      </c>
      <c r="O33" s="1270">
        <f>'[5]int.bevételek RM IV'!M33</f>
        <v>0</v>
      </c>
      <c r="P33" s="1270"/>
      <c r="Q33" s="1271"/>
      <c r="R33" s="1272">
        <f t="shared" ref="R33:T36" si="8">B33+F33+J33+N33</f>
        <v>28471</v>
      </c>
      <c r="S33" s="1272">
        <f t="shared" si="8"/>
        <v>138481</v>
      </c>
      <c r="T33" s="1272">
        <f t="shared" si="8"/>
        <v>138481</v>
      </c>
      <c r="U33" s="1273">
        <f>T33/S33</f>
        <v>1</v>
      </c>
      <c r="V33" s="1290" t="s">
        <v>169</v>
      </c>
      <c r="W33" s="1270">
        <f>[4]int.bevételek2025!H32</f>
        <v>0</v>
      </c>
      <c r="X33" s="1270">
        <f>'[5]int.bevételek RM IV'!T33</f>
        <v>0</v>
      </c>
      <c r="Y33" s="1270"/>
      <c r="Z33" s="1271"/>
      <c r="AA33" s="1270">
        <f>[4]int.bevételek2025!I32</f>
        <v>0</v>
      </c>
      <c r="AB33" s="1270">
        <f>'[5]int.bevételek RM IV'!W33</f>
        <v>0</v>
      </c>
      <c r="AC33" s="1270"/>
      <c r="AD33" s="1271"/>
      <c r="AE33" s="1270">
        <f>[4]int.bevételek2025!J32</f>
        <v>0</v>
      </c>
      <c r="AF33" s="1270">
        <f>'[5]int.bevételek RM IV'!Z33</f>
        <v>0</v>
      </c>
      <c r="AG33" s="1270"/>
      <c r="AH33" s="1271"/>
      <c r="AI33" s="1272">
        <f t="shared" ref="AI33:AK36" si="9">W33+AA33+AE33</f>
        <v>0</v>
      </c>
      <c r="AJ33" s="1272">
        <f t="shared" si="9"/>
        <v>0</v>
      </c>
      <c r="AK33" s="1272">
        <f t="shared" si="9"/>
        <v>0</v>
      </c>
      <c r="AL33" s="1273"/>
      <c r="AM33" s="1290" t="s">
        <v>169</v>
      </c>
      <c r="AN33" s="1270"/>
      <c r="AO33" s="1270">
        <f>'[5]int.bevételek RM IV'!AJ33</f>
        <v>38505</v>
      </c>
      <c r="AP33" s="1270">
        <v>38505</v>
      </c>
      <c r="AQ33" s="1271">
        <f>AP33/AO33</f>
        <v>1</v>
      </c>
      <c r="AR33" s="1272">
        <f>[4]int.bevételek2025!N32</f>
        <v>134055</v>
      </c>
      <c r="AS33" s="1272">
        <f>'[5]int.bevételek RM IV'!AM33</f>
        <v>130007</v>
      </c>
      <c r="AT33" s="1272">
        <v>130007</v>
      </c>
      <c r="AU33" s="1273">
        <f>AT33/AS33</f>
        <v>1</v>
      </c>
      <c r="AV33" s="1272">
        <f t="shared" ref="AV33:AX36" si="10">R33+AI33+AN33+AR33</f>
        <v>162526</v>
      </c>
      <c r="AW33" s="1272">
        <f t="shared" si="10"/>
        <v>306993</v>
      </c>
      <c r="AX33" s="1272">
        <f t="shared" si="10"/>
        <v>306993</v>
      </c>
      <c r="AY33" s="1273">
        <f>AX33/AW33</f>
        <v>1</v>
      </c>
      <c r="AZ33" s="1267"/>
      <c r="BA33" s="1267"/>
      <c r="BB33" s="1267"/>
      <c r="BC33" s="1267"/>
      <c r="BD33" s="1267"/>
      <c r="BE33" s="1267"/>
    </row>
    <row r="34" spans="1:57" s="1268" customFormat="1" ht="57" customHeight="1">
      <c r="A34" s="1292" t="s">
        <v>453</v>
      </c>
      <c r="B34" s="1293">
        <f>[4]int.bevételek2025!B33</f>
        <v>113344</v>
      </c>
      <c r="C34" s="1270">
        <f>'[5]int.bevételek RM IV'!D34</f>
        <v>161176</v>
      </c>
      <c r="D34" s="1293">
        <v>161177</v>
      </c>
      <c r="E34" s="1271">
        <f>D34/C34</f>
        <v>1.0000062043976772</v>
      </c>
      <c r="F34" s="1293">
        <f>[4]int.bevételek2025!C33</f>
        <v>0</v>
      </c>
      <c r="G34" s="1270">
        <f>'[5]int.bevételek RM IV'!G34</f>
        <v>212952</v>
      </c>
      <c r="H34" s="1293">
        <v>212952</v>
      </c>
      <c r="I34" s="1271">
        <f>H34/G34</f>
        <v>1</v>
      </c>
      <c r="J34" s="1293">
        <f>[4]int.bevételek2025!D33</f>
        <v>0</v>
      </c>
      <c r="K34" s="1270">
        <f>'[5]int.bevételek RM IV'!J34</f>
        <v>3743</v>
      </c>
      <c r="L34" s="1293">
        <v>3743</v>
      </c>
      <c r="M34" s="1291">
        <f>L34/K34</f>
        <v>1</v>
      </c>
      <c r="N34" s="1293">
        <f>[4]int.bevételek2025!E33</f>
        <v>0</v>
      </c>
      <c r="O34" s="1293">
        <f>'[5]int.bevételek RM IV'!M34</f>
        <v>0</v>
      </c>
      <c r="P34" s="1270"/>
      <c r="Q34" s="1271"/>
      <c r="R34" s="1272">
        <f t="shared" si="8"/>
        <v>113344</v>
      </c>
      <c r="S34" s="1272">
        <f t="shared" si="8"/>
        <v>377871</v>
      </c>
      <c r="T34" s="1272">
        <f t="shared" si="8"/>
        <v>377872</v>
      </c>
      <c r="U34" s="1273">
        <f>T34/S34</f>
        <v>1.0000026464057841</v>
      </c>
      <c r="V34" s="1292" t="s">
        <v>453</v>
      </c>
      <c r="W34" s="1293">
        <f>[4]int.bevételek2025!H33</f>
        <v>0</v>
      </c>
      <c r="X34" s="1293">
        <f>'[5]int.bevételek RM IV'!T34</f>
        <v>78</v>
      </c>
      <c r="Y34" s="1293">
        <v>79</v>
      </c>
      <c r="Z34" s="1271">
        <f>Y34/X34</f>
        <v>1.0128205128205128</v>
      </c>
      <c r="AA34" s="1293">
        <f>[4]int.bevételek2025!I33</f>
        <v>0</v>
      </c>
      <c r="AB34" s="1293">
        <f>'[5]int.bevételek RM IV'!W34</f>
        <v>31600</v>
      </c>
      <c r="AC34" s="1293">
        <v>31600</v>
      </c>
      <c r="AD34" s="1271">
        <f>AC34/AB34</f>
        <v>1</v>
      </c>
      <c r="AE34" s="1293">
        <f>[4]int.bevételek2025!J33</f>
        <v>0</v>
      </c>
      <c r="AF34" s="1293">
        <f>'[5]int.bevételek RM IV'!Z34</f>
        <v>0</v>
      </c>
      <c r="AG34" s="1293"/>
      <c r="AH34" s="1271"/>
      <c r="AI34" s="1272">
        <f t="shared" si="9"/>
        <v>0</v>
      </c>
      <c r="AJ34" s="1272">
        <f t="shared" si="9"/>
        <v>31678</v>
      </c>
      <c r="AK34" s="1272">
        <f t="shared" si="9"/>
        <v>31679</v>
      </c>
      <c r="AL34" s="1273">
        <f>AK34/AJ34</f>
        <v>1.0000315676494729</v>
      </c>
      <c r="AM34" s="1292" t="s">
        <v>453</v>
      </c>
      <c r="AN34" s="1293"/>
      <c r="AO34" s="1270">
        <f>'[5]int.bevételek RM IV'!AJ34</f>
        <v>211042</v>
      </c>
      <c r="AP34" s="1293">
        <v>211042</v>
      </c>
      <c r="AQ34" s="1271">
        <f>AP34/AO34</f>
        <v>1</v>
      </c>
      <c r="AR34" s="1272">
        <f>[4]int.bevételek2025!N33</f>
        <v>468016</v>
      </c>
      <c r="AS34" s="1272">
        <f>'[5]int.bevételek RM IV'!AM34</f>
        <v>578042</v>
      </c>
      <c r="AT34" s="1272">
        <v>562363</v>
      </c>
      <c r="AU34" s="1273">
        <f>AT34/AS34</f>
        <v>0.97287567339397485</v>
      </c>
      <c r="AV34" s="1272">
        <f t="shared" si="10"/>
        <v>581360</v>
      </c>
      <c r="AW34" s="1272">
        <f t="shared" si="10"/>
        <v>1198633</v>
      </c>
      <c r="AX34" s="1272">
        <f t="shared" si="10"/>
        <v>1182956</v>
      </c>
      <c r="AY34" s="1273">
        <f>AX34/AW34</f>
        <v>0.98692093409742598</v>
      </c>
      <c r="AZ34" s="1267"/>
      <c r="BA34" s="1267"/>
      <c r="BB34" s="1267"/>
      <c r="BC34" s="1267"/>
      <c r="BD34" s="1267"/>
      <c r="BE34" s="1267"/>
    </row>
    <row r="35" spans="1:57" s="1268" customFormat="1" ht="57" customHeight="1">
      <c r="A35" s="1292" t="s">
        <v>351</v>
      </c>
      <c r="B35" s="1293">
        <f>[4]int.bevételek2025!B34</f>
        <v>32900</v>
      </c>
      <c r="C35" s="1270">
        <f>'[5]int.bevételek RM IV'!D35</f>
        <v>38238</v>
      </c>
      <c r="D35" s="1293">
        <v>38238</v>
      </c>
      <c r="E35" s="1271">
        <f>D35/C35</f>
        <v>1</v>
      </c>
      <c r="F35" s="1293">
        <f>[4]int.bevételek2025!C34</f>
        <v>0</v>
      </c>
      <c r="G35" s="1270">
        <f>'[5]int.bevételek RM IV'!G35</f>
        <v>9634</v>
      </c>
      <c r="H35" s="1293">
        <v>9634</v>
      </c>
      <c r="I35" s="1271">
        <f>H35/G35</f>
        <v>1</v>
      </c>
      <c r="J35" s="1293">
        <f>[4]int.bevételek2025!D34</f>
        <v>0</v>
      </c>
      <c r="K35" s="1270">
        <f>'[5]int.bevételek RM IV'!J35</f>
        <v>2800</v>
      </c>
      <c r="L35" s="1293">
        <v>2800</v>
      </c>
      <c r="M35" s="1291">
        <f>L35/K35</f>
        <v>1</v>
      </c>
      <c r="N35" s="1293">
        <f>[4]int.bevételek2025!E34</f>
        <v>0</v>
      </c>
      <c r="O35" s="1293">
        <f>'[5]int.bevételek RM IV'!M35</f>
        <v>0</v>
      </c>
      <c r="P35" s="1270"/>
      <c r="Q35" s="1271"/>
      <c r="R35" s="1272">
        <f t="shared" si="8"/>
        <v>32900</v>
      </c>
      <c r="S35" s="1272">
        <f t="shared" si="8"/>
        <v>50672</v>
      </c>
      <c r="T35" s="1272">
        <f t="shared" si="8"/>
        <v>50672</v>
      </c>
      <c r="U35" s="1273">
        <f>T35/S35</f>
        <v>1</v>
      </c>
      <c r="V35" s="1292" t="s">
        <v>351</v>
      </c>
      <c r="W35" s="1293">
        <f>[4]int.bevételek2025!H34</f>
        <v>0</v>
      </c>
      <c r="X35" s="1293">
        <f>'[5]int.bevételek RM IV'!T35</f>
        <v>0</v>
      </c>
      <c r="Y35" s="1293"/>
      <c r="Z35" s="1294"/>
      <c r="AA35" s="1293">
        <f>[4]int.bevételek2025!I34</f>
        <v>0</v>
      </c>
      <c r="AB35" s="1293">
        <f>'[5]int.bevételek RM IV'!W35</f>
        <v>0</v>
      </c>
      <c r="AC35" s="1293"/>
      <c r="AD35" s="1271"/>
      <c r="AE35" s="1293">
        <f>[4]int.bevételek2025!J34</f>
        <v>0</v>
      </c>
      <c r="AF35" s="1293">
        <f>'[5]int.bevételek RM IV'!Z35</f>
        <v>0</v>
      </c>
      <c r="AG35" s="1293"/>
      <c r="AH35" s="1271"/>
      <c r="AI35" s="1272">
        <f t="shared" si="9"/>
        <v>0</v>
      </c>
      <c r="AJ35" s="1272">
        <f t="shared" si="9"/>
        <v>0</v>
      </c>
      <c r="AK35" s="1272">
        <f t="shared" si="9"/>
        <v>0</v>
      </c>
      <c r="AL35" s="1273"/>
      <c r="AM35" s="1292" t="s">
        <v>351</v>
      </c>
      <c r="AN35" s="1293"/>
      <c r="AO35" s="1270">
        <f>'[5]int.bevételek RM IV'!AJ35</f>
        <v>23795</v>
      </c>
      <c r="AP35" s="1293">
        <v>23795</v>
      </c>
      <c r="AQ35" s="1271">
        <f>AP35/AO35</f>
        <v>1</v>
      </c>
      <c r="AR35" s="1272">
        <f>[4]int.bevételek2025!N34</f>
        <v>291995</v>
      </c>
      <c r="AS35" s="1272">
        <f>'[5]int.bevételek RM IV'!AM35</f>
        <v>483077</v>
      </c>
      <c r="AT35" s="1272">
        <v>483077</v>
      </c>
      <c r="AU35" s="1273">
        <f>AT35/AS35</f>
        <v>1</v>
      </c>
      <c r="AV35" s="1272">
        <f t="shared" si="10"/>
        <v>324895</v>
      </c>
      <c r="AW35" s="1272">
        <f t="shared" si="10"/>
        <v>557544</v>
      </c>
      <c r="AX35" s="1272">
        <f t="shared" si="10"/>
        <v>557544</v>
      </c>
      <c r="AY35" s="1273">
        <f>AX35/AW35</f>
        <v>1</v>
      </c>
      <c r="AZ35" s="1267"/>
      <c r="BA35" s="1267"/>
      <c r="BB35" s="1267"/>
      <c r="BC35" s="1267"/>
      <c r="BD35" s="1267"/>
      <c r="BE35" s="1267"/>
    </row>
    <row r="36" spans="1:57" s="1268" customFormat="1" ht="57" customHeight="1" thickBot="1">
      <c r="A36" s="1295" t="s">
        <v>454</v>
      </c>
      <c r="B36" s="1293">
        <f>[4]int.bevételek2025!B35</f>
        <v>154078</v>
      </c>
      <c r="C36" s="1270">
        <f>'[5]int.bevételek RM IV'!D36</f>
        <v>154078</v>
      </c>
      <c r="D36" s="1293">
        <v>97472</v>
      </c>
      <c r="E36" s="1277">
        <f>D36/C36</f>
        <v>0.63261464972286763</v>
      </c>
      <c r="F36" s="1293">
        <f>[4]int.bevételek2025!C35</f>
        <v>0</v>
      </c>
      <c r="G36" s="1270">
        <f>'[5]int.bevételek RM IV'!G36</f>
        <v>72483</v>
      </c>
      <c r="H36" s="1293">
        <v>72483</v>
      </c>
      <c r="I36" s="1277">
        <f>H36/G36</f>
        <v>1</v>
      </c>
      <c r="J36" s="1293">
        <f>[4]int.bevételek2025!D35</f>
        <v>0</v>
      </c>
      <c r="K36" s="1270">
        <f>'[5]int.bevételek RM IV'!J36</f>
        <v>0</v>
      </c>
      <c r="L36" s="1296"/>
      <c r="M36" s="1277"/>
      <c r="N36" s="1297">
        <f>[4]int.bevételek2025!E35</f>
        <v>0</v>
      </c>
      <c r="O36" s="1297">
        <f>'[5]int.bevételek RM IV'!M36</f>
        <v>0</v>
      </c>
      <c r="P36" s="1270"/>
      <c r="Q36" s="1277"/>
      <c r="R36" s="1272">
        <f t="shared" si="8"/>
        <v>154078</v>
      </c>
      <c r="S36" s="1272">
        <f t="shared" si="8"/>
        <v>226561</v>
      </c>
      <c r="T36" s="1272">
        <f t="shared" si="8"/>
        <v>169955</v>
      </c>
      <c r="U36" s="1278">
        <f>T36/S36</f>
        <v>0.75015117341466542</v>
      </c>
      <c r="V36" s="1295" t="s">
        <v>454</v>
      </c>
      <c r="W36" s="1293">
        <f>[4]int.bevételek2025!H35</f>
        <v>0</v>
      </c>
      <c r="X36" s="1293">
        <f>'[5]int.bevételek RM IV'!T36</f>
        <v>0</v>
      </c>
      <c r="Y36" s="1293"/>
      <c r="Z36" s="1277"/>
      <c r="AA36" s="1293">
        <f>[4]int.bevételek2025!I35</f>
        <v>0</v>
      </c>
      <c r="AB36" s="1293">
        <f>'[5]int.bevételek RM IV'!W36</f>
        <v>5800</v>
      </c>
      <c r="AC36" s="1293">
        <v>5800</v>
      </c>
      <c r="AD36" s="1277">
        <f>AC36/AB36</f>
        <v>1</v>
      </c>
      <c r="AE36" s="1293">
        <f>[4]int.bevételek2025!J35</f>
        <v>0</v>
      </c>
      <c r="AF36" s="1293">
        <f>'[5]int.bevételek RM IV'!Z36</f>
        <v>0</v>
      </c>
      <c r="AG36" s="1293"/>
      <c r="AH36" s="1277"/>
      <c r="AI36" s="1272">
        <f t="shared" si="9"/>
        <v>0</v>
      </c>
      <c r="AJ36" s="1272">
        <f t="shared" si="9"/>
        <v>5800</v>
      </c>
      <c r="AK36" s="1272">
        <f t="shared" si="9"/>
        <v>5800</v>
      </c>
      <c r="AL36" s="1278">
        <f>AK36/AJ36</f>
        <v>1</v>
      </c>
      <c r="AM36" s="1295" t="s">
        <v>454</v>
      </c>
      <c r="AN36" s="1293"/>
      <c r="AO36" s="1270">
        <f>'[5]int.bevételek RM IV'!AJ36</f>
        <v>107927</v>
      </c>
      <c r="AP36" s="1293">
        <v>107927</v>
      </c>
      <c r="AQ36" s="1277">
        <f>AP36/AO36</f>
        <v>1</v>
      </c>
      <c r="AR36" s="1272">
        <f>[4]int.bevételek2025!N35</f>
        <v>602349</v>
      </c>
      <c r="AS36" s="1272">
        <f>'[5]int.bevételek RM IV'!AM36</f>
        <v>704443</v>
      </c>
      <c r="AT36" s="1272">
        <v>704409</v>
      </c>
      <c r="AU36" s="1278">
        <f>AT36/AS36</f>
        <v>0.99995173491680667</v>
      </c>
      <c r="AV36" s="1272">
        <f t="shared" si="10"/>
        <v>756427</v>
      </c>
      <c r="AW36" s="1272">
        <f t="shared" si="10"/>
        <v>1044731</v>
      </c>
      <c r="AX36" s="1272">
        <f t="shared" si="10"/>
        <v>988091</v>
      </c>
      <c r="AY36" s="1278">
        <f>AX36/AW36</f>
        <v>0.94578508726169708</v>
      </c>
      <c r="AZ36" s="1267"/>
      <c r="BA36" s="1267"/>
      <c r="BB36" s="1267"/>
      <c r="BC36" s="1267"/>
      <c r="BD36" s="1267"/>
      <c r="BE36" s="1267"/>
    </row>
    <row r="37" spans="1:57" s="1268" customFormat="1" ht="57" customHeight="1" thickBot="1">
      <c r="A37" s="1298" t="s">
        <v>1190</v>
      </c>
      <c r="B37" s="1281">
        <f>SUM(B33:B36)</f>
        <v>328793</v>
      </c>
      <c r="C37" s="1281">
        <f>SUM(C33:C36)</f>
        <v>413318</v>
      </c>
      <c r="D37" s="1281">
        <f>SUM(D33:D36)</f>
        <v>356713</v>
      </c>
      <c r="E37" s="1282">
        <f>D37/C37</f>
        <v>0.86304733885289298</v>
      </c>
      <c r="F37" s="1281">
        <f>SUM(F33:F36)</f>
        <v>0</v>
      </c>
      <c r="G37" s="1281">
        <f>SUM(G33:G36)</f>
        <v>370524</v>
      </c>
      <c r="H37" s="1281">
        <f>SUM(H33:H36)</f>
        <v>370524</v>
      </c>
      <c r="I37" s="1282">
        <f>H37/G37</f>
        <v>1</v>
      </c>
      <c r="J37" s="1281">
        <f>SUM(J33:J36)</f>
        <v>0</v>
      </c>
      <c r="K37" s="1281">
        <f>SUM(K33:K36)</f>
        <v>9743</v>
      </c>
      <c r="L37" s="1281">
        <f>SUM(L33:L36)</f>
        <v>9743</v>
      </c>
      <c r="M37" s="1282">
        <f>L37/K37</f>
        <v>1</v>
      </c>
      <c r="N37" s="1281">
        <f>SUM(N33:N36)</f>
        <v>0</v>
      </c>
      <c r="O37" s="1281">
        <f>SUM(O33:O36)</f>
        <v>0</v>
      </c>
      <c r="P37" s="1281">
        <f>SUM(P33:P36)</f>
        <v>0</v>
      </c>
      <c r="Q37" s="1282"/>
      <c r="R37" s="1281">
        <f>SUM(R33:R36)</f>
        <v>328793</v>
      </c>
      <c r="S37" s="1281">
        <f>SUM(S33:S36)</f>
        <v>793585</v>
      </c>
      <c r="T37" s="1281">
        <f>SUM(T33:T36)</f>
        <v>736980</v>
      </c>
      <c r="U37" s="1282">
        <f>T37/S37</f>
        <v>0.92867178689113328</v>
      </c>
      <c r="V37" s="1298" t="s">
        <v>1190</v>
      </c>
      <c r="W37" s="1281">
        <f>SUM(W33:W36)</f>
        <v>0</v>
      </c>
      <c r="X37" s="1281">
        <f>SUM(X33:X36)</f>
        <v>78</v>
      </c>
      <c r="Y37" s="1281">
        <f>SUM(Y33:Y36)</f>
        <v>79</v>
      </c>
      <c r="Z37" s="1282">
        <f>Y37/X37</f>
        <v>1.0128205128205128</v>
      </c>
      <c r="AA37" s="1281">
        <f>SUM(AA33:AA36)</f>
        <v>0</v>
      </c>
      <c r="AB37" s="1281">
        <f>SUM(AB33:AB36)</f>
        <v>37400</v>
      </c>
      <c r="AC37" s="1281">
        <f>SUM(AC33:AC36)</f>
        <v>37400</v>
      </c>
      <c r="AD37" s="1282">
        <f>AC37/AB37</f>
        <v>1</v>
      </c>
      <c r="AE37" s="1281">
        <f>SUM(AE33:AE36)</f>
        <v>0</v>
      </c>
      <c r="AF37" s="1281">
        <f>SUM(AF33:AF36)</f>
        <v>0</v>
      </c>
      <c r="AG37" s="1281">
        <f>SUM(AG33:AG36)</f>
        <v>0</v>
      </c>
      <c r="AH37" s="1282"/>
      <c r="AI37" s="1281">
        <f>SUM(AI33:AI36)</f>
        <v>0</v>
      </c>
      <c r="AJ37" s="1281">
        <f>SUM(AJ33:AJ36)</f>
        <v>37478</v>
      </c>
      <c r="AK37" s="1281">
        <f>SUM(AK33:AK36)</f>
        <v>37479</v>
      </c>
      <c r="AL37" s="1282">
        <f>AK37/AJ37</f>
        <v>1.0000266823202946</v>
      </c>
      <c r="AM37" s="1298" t="s">
        <v>1190</v>
      </c>
      <c r="AN37" s="1281">
        <f>SUM(AN33:AN36)</f>
        <v>0</v>
      </c>
      <c r="AO37" s="1281">
        <f>SUM(AO33:AO36)</f>
        <v>381269</v>
      </c>
      <c r="AP37" s="1281">
        <f>SUM(AP33:AP36)</f>
        <v>381269</v>
      </c>
      <c r="AQ37" s="1282">
        <f>AP37/AO37</f>
        <v>1</v>
      </c>
      <c r="AR37" s="1281">
        <f>SUM(AR33:AR36)</f>
        <v>1496415</v>
      </c>
      <c r="AS37" s="1281">
        <f>SUM(AS33:AS36)</f>
        <v>1895569</v>
      </c>
      <c r="AT37" s="1281">
        <f>SUM(AT33:AT36)</f>
        <v>1879856</v>
      </c>
      <c r="AU37" s="1282">
        <f>AT37/AS37</f>
        <v>0.99171066840616195</v>
      </c>
      <c r="AV37" s="1281">
        <f>SUM(AV33:AV36)</f>
        <v>1825208</v>
      </c>
      <c r="AW37" s="1281">
        <f>SUM(AW33:AW36)</f>
        <v>3107901</v>
      </c>
      <c r="AX37" s="1281">
        <f>SUM(AX33:AX36)</f>
        <v>3035584</v>
      </c>
      <c r="AY37" s="1282">
        <f>AX37/AW37</f>
        <v>0.97673124079563667</v>
      </c>
      <c r="AZ37" s="1267"/>
      <c r="BA37" s="1267"/>
      <c r="BB37" s="1267"/>
      <c r="BC37" s="1267"/>
      <c r="BD37" s="1267"/>
      <c r="BE37" s="1267"/>
    </row>
    <row r="38" spans="1:57" s="1268" customFormat="1" ht="57" customHeight="1">
      <c r="A38" s="1299" t="s">
        <v>1191</v>
      </c>
      <c r="B38" s="1265"/>
      <c r="C38" s="1265"/>
      <c r="D38" s="1265"/>
      <c r="E38" s="1265"/>
      <c r="F38" s="1265"/>
      <c r="G38" s="1265"/>
      <c r="H38" s="1265"/>
      <c r="I38" s="1265"/>
      <c r="J38" s="1265"/>
      <c r="K38" s="1265"/>
      <c r="L38" s="1265"/>
      <c r="M38" s="1265"/>
      <c r="N38" s="1265"/>
      <c r="O38" s="1265"/>
      <c r="P38" s="1265"/>
      <c r="Q38" s="1265"/>
      <c r="R38" s="1265"/>
      <c r="S38" s="1265"/>
      <c r="T38" s="1265"/>
      <c r="U38" s="1265"/>
      <c r="V38" s="1299" t="s">
        <v>1191</v>
      </c>
      <c r="W38" s="1265"/>
      <c r="X38" s="1265"/>
      <c r="Y38" s="1265"/>
      <c r="Z38" s="1265"/>
      <c r="AA38" s="1265"/>
      <c r="AB38" s="1265"/>
      <c r="AC38" s="1265"/>
      <c r="AD38" s="1265"/>
      <c r="AE38" s="1265"/>
      <c r="AF38" s="1265"/>
      <c r="AG38" s="1265"/>
      <c r="AH38" s="1265"/>
      <c r="AI38" s="1265"/>
      <c r="AJ38" s="1265"/>
      <c r="AK38" s="1265"/>
      <c r="AL38" s="1265"/>
      <c r="AM38" s="1299" t="s">
        <v>1191</v>
      </c>
      <c r="AN38" s="1265"/>
      <c r="AO38" s="1265"/>
      <c r="AP38" s="1265"/>
      <c r="AQ38" s="1265"/>
      <c r="AR38" s="1265"/>
      <c r="AS38" s="1265"/>
      <c r="AT38" s="1265"/>
      <c r="AU38" s="1265"/>
      <c r="AV38" s="1265"/>
      <c r="AW38" s="1265"/>
      <c r="AX38" s="1265"/>
      <c r="AY38" s="1265"/>
      <c r="AZ38" s="1267"/>
      <c r="BA38" s="1267"/>
      <c r="BB38" s="1267"/>
      <c r="BC38" s="1267"/>
      <c r="BD38" s="1267"/>
      <c r="BE38" s="1267"/>
    </row>
    <row r="39" spans="1:57" s="1260" customFormat="1" ht="57" customHeight="1" thickBot="1">
      <c r="A39" s="1290" t="s">
        <v>415</v>
      </c>
      <c r="B39" s="1270">
        <f>[4]int.bevételek2025!B38</f>
        <v>197479</v>
      </c>
      <c r="C39" s="1270">
        <f>'[5]int.bevételek RM IV'!D39</f>
        <v>259491</v>
      </c>
      <c r="D39" s="1270">
        <v>259491</v>
      </c>
      <c r="E39" s="1300">
        <f>D39/C39</f>
        <v>1</v>
      </c>
      <c r="F39" s="1270">
        <f>[4]int.bevételek2025!C38</f>
        <v>0</v>
      </c>
      <c r="G39" s="1270">
        <f>'[5]int.bevételek RM IV'!G39</f>
        <v>5605</v>
      </c>
      <c r="H39" s="1270">
        <v>5605</v>
      </c>
      <c r="I39" s="1300">
        <f>H39/G39</f>
        <v>1</v>
      </c>
      <c r="J39" s="1270">
        <f>[4]int.bevételek2025!D38</f>
        <v>0</v>
      </c>
      <c r="K39" s="1270">
        <f>'[5]int.bevételek RM IV'!J39</f>
        <v>820</v>
      </c>
      <c r="L39" s="1270">
        <v>820</v>
      </c>
      <c r="M39" s="1300">
        <f>L39/K39</f>
        <v>1</v>
      </c>
      <c r="N39" s="1276">
        <f>[4]int.bevételek2025!E38</f>
        <v>0</v>
      </c>
      <c r="O39" s="1276">
        <f>'[5]int.bevételek RM IV'!M39</f>
        <v>0</v>
      </c>
      <c r="P39" s="1276"/>
      <c r="Q39" s="1300"/>
      <c r="R39" s="1272">
        <f>B39+F39+J39+N39</f>
        <v>197479</v>
      </c>
      <c r="S39" s="1272">
        <f>C39+G39+K39+O39</f>
        <v>265916</v>
      </c>
      <c r="T39" s="1272">
        <f>D39+H39+L39+P39</f>
        <v>265916</v>
      </c>
      <c r="U39" s="1286">
        <f>T39/S39</f>
        <v>1</v>
      </c>
      <c r="V39" s="1290" t="s">
        <v>415</v>
      </c>
      <c r="W39" s="1270">
        <f>[4]int.bevételek2025!H38</f>
        <v>0</v>
      </c>
      <c r="X39" s="1270">
        <f>'[5]int.bevételek RM IV'!T39</f>
        <v>0</v>
      </c>
      <c r="Y39" s="1270"/>
      <c r="Z39" s="1300"/>
      <c r="AA39" s="1270">
        <f>[4]int.bevételek2025!I38</f>
        <v>0</v>
      </c>
      <c r="AB39" s="1270">
        <f>'[5]int.bevételek RM IV'!W39</f>
        <v>0</v>
      </c>
      <c r="AC39" s="1270"/>
      <c r="AD39" s="1300"/>
      <c r="AE39" s="1270">
        <f>[4]int.bevételek2025!J38</f>
        <v>0</v>
      </c>
      <c r="AF39" s="1270">
        <f>'[5]int.bevételek RM IV'!Z39</f>
        <v>0</v>
      </c>
      <c r="AG39" s="1270"/>
      <c r="AH39" s="1300"/>
      <c r="AI39" s="1272">
        <f>W39+AA39+AE39</f>
        <v>0</v>
      </c>
      <c r="AJ39" s="1272">
        <f>X39+AB39+AF39</f>
        <v>0</v>
      </c>
      <c r="AK39" s="1272">
        <f>Y39+AC39+AG39</f>
        <v>0</v>
      </c>
      <c r="AL39" s="1286"/>
      <c r="AM39" s="1290" t="s">
        <v>415</v>
      </c>
      <c r="AN39" s="1270"/>
      <c r="AO39" s="1270">
        <f>'[5]int.bevételek RM IV'!AJ39</f>
        <v>1947</v>
      </c>
      <c r="AP39" s="1270">
        <v>1947</v>
      </c>
      <c r="AQ39" s="1300">
        <f>AP39/AO39</f>
        <v>1</v>
      </c>
      <c r="AR39" s="1272">
        <f>[4]int.bevételek2025!N38</f>
        <v>1520185</v>
      </c>
      <c r="AS39" s="1272">
        <f>'[5]int.bevételek RM IV'!AM39</f>
        <v>1801352</v>
      </c>
      <c r="AT39" s="1272">
        <v>1701416</v>
      </c>
      <c r="AU39" s="1286">
        <f>AT39/AS39</f>
        <v>0.94452167038979606</v>
      </c>
      <c r="AV39" s="1272">
        <f>R39+AI39+AN39+AR39</f>
        <v>1717664</v>
      </c>
      <c r="AW39" s="1272">
        <f>S39+AJ39+AO39+AS39</f>
        <v>2069215</v>
      </c>
      <c r="AX39" s="1272">
        <f>T39+AK39+AP39+AT39</f>
        <v>1969279</v>
      </c>
      <c r="AY39" s="1286">
        <f>AX39/AW39</f>
        <v>0.95170342376215133</v>
      </c>
      <c r="AZ39" s="1259"/>
      <c r="BA39" s="1259"/>
      <c r="BB39" s="1259"/>
      <c r="BC39" s="1259"/>
      <c r="BD39" s="1259"/>
      <c r="BE39" s="1259"/>
    </row>
    <row r="40" spans="1:57" s="1268" customFormat="1" ht="57" customHeight="1">
      <c r="A40" s="1299" t="s">
        <v>1192</v>
      </c>
      <c r="B40" s="1265"/>
      <c r="C40" s="1265"/>
      <c r="D40" s="1265"/>
      <c r="E40" s="1278"/>
      <c r="F40" s="1265"/>
      <c r="G40" s="1265"/>
      <c r="H40" s="1265"/>
      <c r="I40" s="1278"/>
      <c r="J40" s="1265"/>
      <c r="K40" s="1265"/>
      <c r="L40" s="1265"/>
      <c r="M40" s="1278"/>
      <c r="N40" s="1265"/>
      <c r="O40" s="1265"/>
      <c r="P40" s="1265"/>
      <c r="Q40" s="1278"/>
      <c r="R40" s="1265"/>
      <c r="S40" s="1265"/>
      <c r="T40" s="1265"/>
      <c r="U40" s="1278"/>
      <c r="V40" s="1299" t="s">
        <v>1192</v>
      </c>
      <c r="W40" s="1265"/>
      <c r="X40" s="1265"/>
      <c r="Y40" s="1265"/>
      <c r="Z40" s="1278"/>
      <c r="AA40" s="1265"/>
      <c r="AB40" s="1265"/>
      <c r="AC40" s="1265"/>
      <c r="AD40" s="1278"/>
      <c r="AE40" s="1265"/>
      <c r="AF40" s="1265"/>
      <c r="AG40" s="1265"/>
      <c r="AH40" s="1278"/>
      <c r="AI40" s="1265"/>
      <c r="AJ40" s="1265"/>
      <c r="AK40" s="1265"/>
      <c r="AL40" s="1278"/>
      <c r="AM40" s="1299" t="s">
        <v>1192</v>
      </c>
      <c r="AN40" s="1301"/>
      <c r="AO40" s="1301"/>
      <c r="AP40" s="1301"/>
      <c r="AQ40" s="1277"/>
      <c r="AR40" s="1265"/>
      <c r="AS40" s="1265"/>
      <c r="AT40" s="1265"/>
      <c r="AU40" s="1278"/>
      <c r="AV40" s="1265"/>
      <c r="AW40" s="1265"/>
      <c r="AX40" s="1265"/>
      <c r="AY40" s="1278"/>
      <c r="AZ40" s="1267"/>
      <c r="BA40" s="1267"/>
      <c r="BB40" s="1267"/>
      <c r="BC40" s="1267"/>
      <c r="BD40" s="1267"/>
      <c r="BE40" s="1267"/>
    </row>
    <row r="41" spans="1:57" s="1268" customFormat="1" ht="57" customHeight="1" thickBot="1">
      <c r="A41" s="1302" t="s">
        <v>1193</v>
      </c>
      <c r="B41" s="1303">
        <f>[4]int.bevételek2025!B40</f>
        <v>39495</v>
      </c>
      <c r="C41" s="1270">
        <f>'[5]int.bevételek RM IV'!D41</f>
        <v>55289</v>
      </c>
      <c r="D41" s="1303">
        <v>55290</v>
      </c>
      <c r="E41" s="1300">
        <f>D41/C41</f>
        <v>1.0000180867803723</v>
      </c>
      <c r="F41" s="1303">
        <f>[4]int.bevételek2025!C40</f>
        <v>449270</v>
      </c>
      <c r="G41" s="1270">
        <f>'[5]int.bevételek RM IV'!G41</f>
        <v>462785</v>
      </c>
      <c r="H41" s="1303">
        <v>462785</v>
      </c>
      <c r="I41" s="1300">
        <f>H41/G41</f>
        <v>1</v>
      </c>
      <c r="J41" s="1303">
        <f>[4]int.bevételek2025!D40</f>
        <v>0</v>
      </c>
      <c r="K41" s="1270">
        <f>'[5]int.bevételek RM IV'!J41</f>
        <v>0</v>
      </c>
      <c r="L41" s="1303"/>
      <c r="M41" s="1300"/>
      <c r="N41" s="1303">
        <f>[4]int.bevételek2025!E40</f>
        <v>0</v>
      </c>
      <c r="O41" s="1303">
        <f>'[5]int.bevételek RM IV'!M41</f>
        <v>0</v>
      </c>
      <c r="P41" s="1270"/>
      <c r="Q41" s="1300"/>
      <c r="R41" s="1272">
        <f>B41+F41+J41+N41</f>
        <v>488765</v>
      </c>
      <c r="S41" s="1272">
        <f>C41+G41+K41+O41</f>
        <v>518074</v>
      </c>
      <c r="T41" s="1272">
        <f>D41+H41+L41+P41</f>
        <v>518075</v>
      </c>
      <c r="U41" s="1286">
        <f>T41/S41</f>
        <v>1.000001930226184</v>
      </c>
      <c r="V41" s="1304" t="s">
        <v>1193</v>
      </c>
      <c r="W41" s="1303">
        <f>[4]int.bevételek2025!H40</f>
        <v>0</v>
      </c>
      <c r="X41" s="1303">
        <f>'[5]int.bevételek RM IV'!T41</f>
        <v>9</v>
      </c>
      <c r="Y41" s="1303">
        <v>9</v>
      </c>
      <c r="Z41" s="1300">
        <f>Y41/X41</f>
        <v>1</v>
      </c>
      <c r="AA41" s="1303">
        <f>[4]int.bevételek2025!I40</f>
        <v>0</v>
      </c>
      <c r="AB41" s="1303">
        <f>'[5]int.bevételek RM IV'!W41</f>
        <v>6000</v>
      </c>
      <c r="AC41" s="1303">
        <v>6000</v>
      </c>
      <c r="AD41" s="1300">
        <f>AC41/AB41</f>
        <v>1</v>
      </c>
      <c r="AE41" s="1303">
        <f>[4]int.bevételek2025!J40</f>
        <v>0</v>
      </c>
      <c r="AF41" s="1303">
        <f>'[5]int.bevételek RM IV'!Z41</f>
        <v>0</v>
      </c>
      <c r="AG41" s="1303"/>
      <c r="AH41" s="1300"/>
      <c r="AI41" s="1272">
        <f>W41+AA41+AE41</f>
        <v>0</v>
      </c>
      <c r="AJ41" s="1272">
        <f>X41+AB41+AF41</f>
        <v>6009</v>
      </c>
      <c r="AK41" s="1272">
        <f>Y41+AC41+AG41</f>
        <v>6009</v>
      </c>
      <c r="AL41" s="1286">
        <f>AK41/AJ41</f>
        <v>1</v>
      </c>
      <c r="AM41" s="1304" t="s">
        <v>1193</v>
      </c>
      <c r="AN41" s="1303"/>
      <c r="AO41" s="1270">
        <f>'[5]int.bevételek RM IV'!AJ41</f>
        <v>215298</v>
      </c>
      <c r="AP41" s="1303">
        <v>215298</v>
      </c>
      <c r="AQ41" s="1300">
        <f>AP41/AO41</f>
        <v>1</v>
      </c>
      <c r="AR41" s="1272">
        <f>[4]int.bevételek2025!N40</f>
        <v>356057</v>
      </c>
      <c r="AS41" s="1272">
        <f>'[5]int.bevételek RM IV'!AM41</f>
        <v>339672</v>
      </c>
      <c r="AT41" s="1272">
        <v>323686</v>
      </c>
      <c r="AU41" s="1286">
        <f>AT41/AS41</f>
        <v>0.95293695094090769</v>
      </c>
      <c r="AV41" s="1272">
        <f>R41+AI41+AN41+AR41</f>
        <v>844822</v>
      </c>
      <c r="AW41" s="1272">
        <f>S41+AJ41+AO41+AS41</f>
        <v>1079053</v>
      </c>
      <c r="AX41" s="1272">
        <f>T41+AK41+AP41+AT41</f>
        <v>1063068</v>
      </c>
      <c r="AY41" s="1286">
        <f>AX41/AW41</f>
        <v>0.98518608446480382</v>
      </c>
      <c r="AZ41" s="1267"/>
      <c r="BA41" s="1267"/>
      <c r="BB41" s="1267"/>
      <c r="BC41" s="1267"/>
      <c r="BD41" s="1267"/>
      <c r="BE41" s="1267"/>
    </row>
    <row r="42" spans="1:57" s="1268" customFormat="1" ht="57" customHeight="1">
      <c r="A42" s="1299" t="s">
        <v>1194</v>
      </c>
      <c r="B42" s="1265"/>
      <c r="C42" s="1265"/>
      <c r="D42" s="1265"/>
      <c r="E42" s="1278"/>
      <c r="F42" s="1265"/>
      <c r="G42" s="1265"/>
      <c r="H42" s="1265"/>
      <c r="I42" s="1278"/>
      <c r="J42" s="1265"/>
      <c r="K42" s="1265"/>
      <c r="L42" s="1265"/>
      <c r="M42" s="1278"/>
      <c r="N42" s="1265"/>
      <c r="O42" s="1265"/>
      <c r="P42" s="1265"/>
      <c r="Q42" s="1278"/>
      <c r="R42" s="1265"/>
      <c r="S42" s="1265"/>
      <c r="T42" s="1265"/>
      <c r="U42" s="1278"/>
      <c r="V42" s="1299" t="s">
        <v>1194</v>
      </c>
      <c r="W42" s="1265"/>
      <c r="X42" s="1265"/>
      <c r="Y42" s="1265"/>
      <c r="Z42" s="1278"/>
      <c r="AA42" s="1265"/>
      <c r="AB42" s="1265"/>
      <c r="AC42" s="1265"/>
      <c r="AD42" s="1278"/>
      <c r="AE42" s="1265"/>
      <c r="AF42" s="1265"/>
      <c r="AG42" s="1265"/>
      <c r="AH42" s="1278"/>
      <c r="AI42" s="1265"/>
      <c r="AJ42" s="1265"/>
      <c r="AK42" s="1265"/>
      <c r="AL42" s="1278"/>
      <c r="AM42" s="1299" t="s">
        <v>1194</v>
      </c>
      <c r="AN42" s="1301"/>
      <c r="AO42" s="1301"/>
      <c r="AP42" s="1301"/>
      <c r="AQ42" s="1277"/>
      <c r="AR42" s="1265"/>
      <c r="AS42" s="1265"/>
      <c r="AT42" s="1265"/>
      <c r="AU42" s="1278"/>
      <c r="AV42" s="1265"/>
      <c r="AW42" s="1265"/>
      <c r="AX42" s="1265"/>
      <c r="AY42" s="1278"/>
      <c r="AZ42" s="1267"/>
      <c r="BA42" s="1267"/>
      <c r="BB42" s="1267"/>
      <c r="BC42" s="1267"/>
      <c r="BD42" s="1267"/>
      <c r="BE42" s="1267"/>
    </row>
    <row r="43" spans="1:57" s="1268" customFormat="1" ht="57" customHeight="1" thickBot="1">
      <c r="A43" s="1305" t="s">
        <v>468</v>
      </c>
      <c r="B43" s="1276">
        <f>[4]int.bevételek2025!B42</f>
        <v>97148</v>
      </c>
      <c r="C43" s="1270">
        <f>'[5]int.bevételek RM IV'!D43</f>
        <v>95526</v>
      </c>
      <c r="D43" s="1276">
        <v>95505</v>
      </c>
      <c r="E43" s="1271">
        <f>D43/C43</f>
        <v>0.9997801645625275</v>
      </c>
      <c r="F43" s="1276">
        <f>[4]int.bevételek2025!C42</f>
        <v>0</v>
      </c>
      <c r="G43" s="1270">
        <f>'[5]int.bevételek RM IV'!G43</f>
        <v>28959</v>
      </c>
      <c r="H43" s="1276">
        <v>28960</v>
      </c>
      <c r="I43" s="1271">
        <f>H43/G43</f>
        <v>1.000034531579129</v>
      </c>
      <c r="J43" s="1276">
        <f>[4]int.bevételek2025!D42</f>
        <v>0</v>
      </c>
      <c r="K43" s="1270">
        <f>'[5]int.bevételek RM IV'!J43</f>
        <v>0</v>
      </c>
      <c r="L43" s="1270"/>
      <c r="M43" s="1271"/>
      <c r="N43" s="1306">
        <f>[4]int.bevételek2025!E42</f>
        <v>0</v>
      </c>
      <c r="O43" s="1270">
        <f>'[5]int.bevételek RM IV'!M43</f>
        <v>0</v>
      </c>
      <c r="P43" s="1270"/>
      <c r="Q43" s="1271"/>
      <c r="R43" s="1272">
        <f>B43+F43+J43+N43</f>
        <v>97148</v>
      </c>
      <c r="S43" s="1272">
        <f>C43+G43+K43+O43</f>
        <v>124485</v>
      </c>
      <c r="T43" s="1272">
        <f>D43+H43+L43+P43</f>
        <v>124465</v>
      </c>
      <c r="U43" s="1273">
        <f>T43/S43</f>
        <v>0.99983933807286018</v>
      </c>
      <c r="V43" s="1305" t="s">
        <v>468</v>
      </c>
      <c r="W43" s="1276">
        <f>[4]int.bevételek2025!H42</f>
        <v>0</v>
      </c>
      <c r="X43" s="1276">
        <f>'[5]int.bevételek RM IV'!T43</f>
        <v>120</v>
      </c>
      <c r="Y43" s="1276">
        <v>121</v>
      </c>
      <c r="Z43" s="1300">
        <f>Y43/X43</f>
        <v>1.0083333333333333</v>
      </c>
      <c r="AA43" s="1276">
        <f>[4]int.bevételek2025!I42</f>
        <v>0</v>
      </c>
      <c r="AB43" s="1276">
        <f>'[5]int.bevételek RM IV'!W43</f>
        <v>0</v>
      </c>
      <c r="AC43" s="1276"/>
      <c r="AD43" s="1271"/>
      <c r="AE43" s="1276">
        <f>[4]int.bevételek2025!J42</f>
        <v>0</v>
      </c>
      <c r="AF43" s="1276">
        <f>'[5]int.bevételek RM IV'!Z43</f>
        <v>0</v>
      </c>
      <c r="AG43" s="1276"/>
      <c r="AH43" s="1271"/>
      <c r="AI43" s="1272">
        <f>W43+AA43+AE43</f>
        <v>0</v>
      </c>
      <c r="AJ43" s="1272">
        <f>X43+AB43+AF43</f>
        <v>120</v>
      </c>
      <c r="AK43" s="1272">
        <f>Y43+AC43+AG43</f>
        <v>121</v>
      </c>
      <c r="AL43" s="1273">
        <f>AK43/AJ43</f>
        <v>1.0083333333333333</v>
      </c>
      <c r="AM43" s="1305" t="s">
        <v>468</v>
      </c>
      <c r="AN43" s="1276"/>
      <c r="AO43" s="1270">
        <f>'[5]int.bevételek RM IV'!AJ43</f>
        <v>3170</v>
      </c>
      <c r="AP43" s="1276">
        <v>3170</v>
      </c>
      <c r="AQ43" s="1271">
        <f>AP43/AO43</f>
        <v>1</v>
      </c>
      <c r="AR43" s="1272">
        <f>[4]int.bevételek2025!N42</f>
        <v>1883417</v>
      </c>
      <c r="AS43" s="1272">
        <f>'[5]int.bevételek RM IV'!AM43</f>
        <v>1966467</v>
      </c>
      <c r="AT43" s="1272">
        <v>1901314</v>
      </c>
      <c r="AU43" s="1273">
        <f>AT43/AS43</f>
        <v>0.96686799219107156</v>
      </c>
      <c r="AV43" s="1272">
        <f>R43+AI43+AN43+AR43</f>
        <v>1980565</v>
      </c>
      <c r="AW43" s="1272">
        <f>S43+AJ43+AO43+AS43</f>
        <v>2094242</v>
      </c>
      <c r="AX43" s="1272">
        <f>T43+AK43+AP43+AT43</f>
        <v>2029070</v>
      </c>
      <c r="AY43" s="1273">
        <f>AX43/AW43</f>
        <v>0.96888038727138504</v>
      </c>
      <c r="AZ43" s="1267"/>
      <c r="BA43" s="1267"/>
      <c r="BB43" s="1267"/>
      <c r="BC43" s="1267"/>
      <c r="BD43" s="1267"/>
      <c r="BE43" s="1267"/>
    </row>
    <row r="44" spans="1:57" s="1268" customFormat="1" ht="57" customHeight="1">
      <c r="A44" s="1299" t="s">
        <v>1195</v>
      </c>
      <c r="B44" s="1265"/>
      <c r="C44" s="1265"/>
      <c r="D44" s="1265"/>
      <c r="E44" s="1265"/>
      <c r="F44" s="1265"/>
      <c r="G44" s="1265"/>
      <c r="H44" s="1265"/>
      <c r="I44" s="1278"/>
      <c r="J44" s="1265"/>
      <c r="K44" s="1265"/>
      <c r="L44" s="1265"/>
      <c r="M44" s="1265"/>
      <c r="N44" s="1265"/>
      <c r="O44" s="1265"/>
      <c r="P44" s="1265"/>
      <c r="Q44" s="1265"/>
      <c r="R44" s="1265"/>
      <c r="S44" s="1265"/>
      <c r="T44" s="1265"/>
      <c r="U44" s="1265"/>
      <c r="V44" s="1299" t="s">
        <v>1195</v>
      </c>
      <c r="W44" s="1265"/>
      <c r="X44" s="1265"/>
      <c r="Y44" s="1265"/>
      <c r="Z44" s="1278"/>
      <c r="AA44" s="1265"/>
      <c r="AB44" s="1265"/>
      <c r="AC44" s="1265"/>
      <c r="AD44" s="1265"/>
      <c r="AE44" s="1265"/>
      <c r="AF44" s="1265"/>
      <c r="AG44" s="1265"/>
      <c r="AH44" s="1265"/>
      <c r="AI44" s="1265"/>
      <c r="AJ44" s="1265"/>
      <c r="AK44" s="1265"/>
      <c r="AL44" s="1265"/>
      <c r="AM44" s="1299" t="s">
        <v>1195</v>
      </c>
      <c r="AN44" s="1265"/>
      <c r="AO44" s="1265"/>
      <c r="AP44" s="1265"/>
      <c r="AQ44" s="1265"/>
      <c r="AR44" s="1265"/>
      <c r="AS44" s="1265"/>
      <c r="AT44" s="1265"/>
      <c r="AU44" s="1265"/>
      <c r="AV44" s="1265"/>
      <c r="AW44" s="1265"/>
      <c r="AX44" s="1265"/>
      <c r="AY44" s="1265"/>
      <c r="AZ44" s="1267"/>
      <c r="BA44" s="1267"/>
      <c r="BB44" s="1267"/>
      <c r="BC44" s="1267"/>
      <c r="BD44" s="1267"/>
      <c r="BE44" s="1267"/>
    </row>
    <row r="45" spans="1:57" s="1268" customFormat="1" ht="57" customHeight="1">
      <c r="A45" s="1307" t="s">
        <v>470</v>
      </c>
      <c r="B45" s="1270">
        <f>[4]int.bevételek2025!B44</f>
        <v>188823</v>
      </c>
      <c r="C45" s="1270">
        <f>'[5]int.bevételek RM IV'!D45</f>
        <v>191884</v>
      </c>
      <c r="D45" s="1270">
        <v>191884</v>
      </c>
      <c r="E45" s="1271">
        <f>D45/C45</f>
        <v>1</v>
      </c>
      <c r="F45" s="1270">
        <f>[4]int.bevételek2025!C44</f>
        <v>0</v>
      </c>
      <c r="G45" s="1270">
        <f>'[5]int.bevételek RM IV'!G45</f>
        <v>0</v>
      </c>
      <c r="H45" s="1270"/>
      <c r="I45" s="1271"/>
      <c r="J45" s="1270">
        <f>[4]int.bevételek2025!D44</f>
        <v>0</v>
      </c>
      <c r="K45" s="1270">
        <f>'[5]int.bevételek RM IV'!J45</f>
        <v>0</v>
      </c>
      <c r="L45" s="1270"/>
      <c r="M45" s="1271"/>
      <c r="N45" s="1270">
        <f>[4]int.bevételek2025!E44</f>
        <v>0</v>
      </c>
      <c r="O45" s="1270">
        <f>'[5]int.bevételek RM IV'!M45</f>
        <v>0</v>
      </c>
      <c r="P45" s="1270"/>
      <c r="Q45" s="1271"/>
      <c r="R45" s="1272">
        <f t="shared" ref="R45:T46" si="11">B45+F45+J45+N45</f>
        <v>188823</v>
      </c>
      <c r="S45" s="1272">
        <f t="shared" si="11"/>
        <v>191884</v>
      </c>
      <c r="T45" s="1272">
        <f t="shared" si="11"/>
        <v>191884</v>
      </c>
      <c r="U45" s="1273">
        <f>T45/S45</f>
        <v>1</v>
      </c>
      <c r="V45" s="1307" t="s">
        <v>470</v>
      </c>
      <c r="W45" s="1270">
        <f>[4]int.bevételek2025!H44</f>
        <v>0</v>
      </c>
      <c r="X45" s="1270">
        <f>'[5]int.bevételek RM IV'!T45</f>
        <v>0</v>
      </c>
      <c r="Y45" s="1270"/>
      <c r="Z45" s="1271"/>
      <c r="AA45" s="1270">
        <f>[4]int.bevételek2025!I44</f>
        <v>0</v>
      </c>
      <c r="AB45" s="1270">
        <f>'[5]int.bevételek RM IV'!W45</f>
        <v>0</v>
      </c>
      <c r="AC45" s="1270"/>
      <c r="AD45" s="1271"/>
      <c r="AE45" s="1270">
        <f>[4]int.bevételek2025!J44</f>
        <v>0</v>
      </c>
      <c r="AF45" s="1270">
        <f>'[5]int.bevételek RM IV'!Z45</f>
        <v>0</v>
      </c>
      <c r="AG45" s="1270"/>
      <c r="AH45" s="1271"/>
      <c r="AI45" s="1272">
        <f t="shared" ref="AI45:AK46" si="12">W45+AA45+AE45</f>
        <v>0</v>
      </c>
      <c r="AJ45" s="1272">
        <f t="shared" si="12"/>
        <v>0</v>
      </c>
      <c r="AK45" s="1272">
        <f t="shared" si="12"/>
        <v>0</v>
      </c>
      <c r="AL45" s="1273"/>
      <c r="AM45" s="1307" t="s">
        <v>470</v>
      </c>
      <c r="AN45" s="1270"/>
      <c r="AO45" s="1270">
        <f>'[5]int.bevételek RM IV'!AJ45</f>
        <v>24519</v>
      </c>
      <c r="AP45" s="1270">
        <v>24519</v>
      </c>
      <c r="AQ45" s="1271">
        <f>AP45/AO45</f>
        <v>1</v>
      </c>
      <c r="AR45" s="1272">
        <f>[4]int.bevételek2025!N44</f>
        <v>20195</v>
      </c>
      <c r="AS45" s="1272">
        <f>'[5]int.bevételek RM IV'!AM45</f>
        <v>23123</v>
      </c>
      <c r="AT45" s="1272">
        <v>10000</v>
      </c>
      <c r="AU45" s="1273">
        <f>AT45/AS45</f>
        <v>0.43246983522899279</v>
      </c>
      <c r="AV45" s="1272">
        <f t="shared" ref="AV45:AX46" si="13">R45+AI45+AN45+AR45</f>
        <v>209018</v>
      </c>
      <c r="AW45" s="1272">
        <f t="shared" si="13"/>
        <v>239526</v>
      </c>
      <c r="AX45" s="1272">
        <f t="shared" si="13"/>
        <v>226403</v>
      </c>
      <c r="AY45" s="1273">
        <f>AX45/AW45</f>
        <v>0.94521262827417485</v>
      </c>
      <c r="AZ45" s="1267"/>
      <c r="BA45" s="1267"/>
      <c r="BB45" s="1267"/>
      <c r="BC45" s="1267"/>
      <c r="BD45" s="1267"/>
      <c r="BE45" s="1267"/>
    </row>
    <row r="46" spans="1:57" s="1260" customFormat="1" ht="57" customHeight="1" thickBot="1">
      <c r="A46" s="1308" t="s">
        <v>37</v>
      </c>
      <c r="B46" s="1309">
        <f>[4]int.bevételek2025!B45</f>
        <v>17150</v>
      </c>
      <c r="C46" s="1309">
        <f>'[5]int.bevételek RM IV'!D46</f>
        <v>26852</v>
      </c>
      <c r="D46" s="1309">
        <v>26840</v>
      </c>
      <c r="E46" s="1279">
        <f>D46/C46</f>
        <v>0.99955310591389845</v>
      </c>
      <c r="F46" s="1309">
        <f>[4]int.bevételek2025!C45</f>
        <v>0</v>
      </c>
      <c r="G46" s="1309">
        <f>'[5]int.bevételek RM IV'!G46</f>
        <v>4799</v>
      </c>
      <c r="H46" s="1309">
        <v>4799</v>
      </c>
      <c r="I46" s="1279">
        <f>H46/G46</f>
        <v>1</v>
      </c>
      <c r="J46" s="1309">
        <f>[4]int.bevételek2025!D45</f>
        <v>0</v>
      </c>
      <c r="K46" s="1309">
        <f>'[5]int.bevételek RM IV'!J46</f>
        <v>0</v>
      </c>
      <c r="L46" s="1309"/>
      <c r="M46" s="1279"/>
      <c r="N46" s="1309">
        <f>[4]int.bevételek2025!E45</f>
        <v>1850</v>
      </c>
      <c r="O46" s="1309">
        <f>'[5]int.bevételek RM IV'!M46</f>
        <v>1850</v>
      </c>
      <c r="P46" s="1309">
        <v>1174</v>
      </c>
      <c r="Q46" s="1279">
        <f>P46/O46</f>
        <v>0.63459459459459455</v>
      </c>
      <c r="R46" s="1310">
        <f t="shared" si="11"/>
        <v>19000</v>
      </c>
      <c r="S46" s="1310">
        <f t="shared" si="11"/>
        <v>33501</v>
      </c>
      <c r="T46" s="1310">
        <f t="shared" si="11"/>
        <v>32813</v>
      </c>
      <c r="U46" s="1311">
        <f>T46/S46</f>
        <v>0.97946329960299694</v>
      </c>
      <c r="V46" s="1308" t="s">
        <v>37</v>
      </c>
      <c r="W46" s="1309">
        <f>[4]int.bevételek2025!H45</f>
        <v>0</v>
      </c>
      <c r="X46" s="1309">
        <f>'[5]int.bevételek RM IV'!T46</f>
        <v>1580</v>
      </c>
      <c r="Y46" s="1309">
        <v>1580</v>
      </c>
      <c r="Z46" s="1279">
        <f>Y46/X46</f>
        <v>1</v>
      </c>
      <c r="AA46" s="1309">
        <f>[4]int.bevételek2025!I45</f>
        <v>0</v>
      </c>
      <c r="AB46" s="1309">
        <f>'[5]int.bevételek RM IV'!W46</f>
        <v>0</v>
      </c>
      <c r="AC46" s="1309"/>
      <c r="AD46" s="1279"/>
      <c r="AE46" s="1309">
        <f>[4]int.bevételek2025!J45</f>
        <v>0</v>
      </c>
      <c r="AF46" s="1309">
        <f>'[5]int.bevételek RM IV'!Z46</f>
        <v>0</v>
      </c>
      <c r="AG46" s="1309"/>
      <c r="AH46" s="1279"/>
      <c r="AI46" s="1310">
        <f t="shared" si="12"/>
        <v>0</v>
      </c>
      <c r="AJ46" s="1310">
        <f t="shared" si="12"/>
        <v>1580</v>
      </c>
      <c r="AK46" s="1310">
        <f t="shared" si="12"/>
        <v>1580</v>
      </c>
      <c r="AL46" s="1311">
        <f>AK46/AJ46</f>
        <v>1</v>
      </c>
      <c r="AM46" s="1308" t="s">
        <v>37</v>
      </c>
      <c r="AN46" s="1309"/>
      <c r="AO46" s="1309">
        <f>'[5]int.bevételek RM IV'!AJ46</f>
        <v>11268</v>
      </c>
      <c r="AP46" s="1309">
        <v>11268</v>
      </c>
      <c r="AQ46" s="1279">
        <f>AP46/AO46</f>
        <v>1</v>
      </c>
      <c r="AR46" s="1310">
        <f>[4]int.bevételek2025!N45</f>
        <v>3187217</v>
      </c>
      <c r="AS46" s="1310">
        <f>'[5]int.bevételek RM IV'!AM46</f>
        <v>3412770</v>
      </c>
      <c r="AT46" s="1310">
        <v>3176810</v>
      </c>
      <c r="AU46" s="1311">
        <f>AT46/AS46</f>
        <v>0.93085968289688437</v>
      </c>
      <c r="AV46" s="1310">
        <f t="shared" si="13"/>
        <v>3206217</v>
      </c>
      <c r="AW46" s="1310">
        <f t="shared" si="13"/>
        <v>3459119</v>
      </c>
      <c r="AX46" s="1310">
        <f t="shared" si="13"/>
        <v>3222471</v>
      </c>
      <c r="AY46" s="1311">
        <f>AX46/AW46</f>
        <v>0.93158720471888945</v>
      </c>
      <c r="AZ46" s="1259"/>
      <c r="BA46" s="1259"/>
      <c r="BB46" s="1259"/>
      <c r="BC46" s="1259"/>
      <c r="BD46" s="1259"/>
      <c r="BE46" s="1259"/>
    </row>
    <row r="47" spans="1:57" s="1268" customFormat="1" ht="57" customHeight="1" thickBot="1">
      <c r="A47" s="1312" t="s">
        <v>1196</v>
      </c>
      <c r="B47" s="1313">
        <f>SUM(B45:B46)</f>
        <v>205973</v>
      </c>
      <c r="C47" s="1313">
        <f>SUM(C45:C46)</f>
        <v>218736</v>
      </c>
      <c r="D47" s="1313">
        <f>SUM(D45:D46)</f>
        <v>218724</v>
      </c>
      <c r="E47" s="1286">
        <f>D47/C47</f>
        <v>0.999945139346061</v>
      </c>
      <c r="F47" s="1313">
        <f>SUM(F45:F46)</f>
        <v>0</v>
      </c>
      <c r="G47" s="1313">
        <f>SUM(G45:G46)</f>
        <v>4799</v>
      </c>
      <c r="H47" s="1313">
        <f>SUM(H45:H46)</f>
        <v>4799</v>
      </c>
      <c r="I47" s="1286">
        <f>H47/G47</f>
        <v>1</v>
      </c>
      <c r="J47" s="1313">
        <f>SUM(J45:J46)</f>
        <v>0</v>
      </c>
      <c r="K47" s="1313">
        <f>SUM(K45:K46)</f>
        <v>0</v>
      </c>
      <c r="L47" s="1313">
        <f>SUM(L45:L46)</f>
        <v>0</v>
      </c>
      <c r="M47" s="1286"/>
      <c r="N47" s="1313">
        <f>SUM(N45:N46)</f>
        <v>1850</v>
      </c>
      <c r="O47" s="1313">
        <f>SUM(O45:O46)</f>
        <v>1850</v>
      </c>
      <c r="P47" s="1313">
        <f>SUM(P45:P46)</f>
        <v>1174</v>
      </c>
      <c r="Q47" s="1286">
        <f>P47/O47</f>
        <v>0.63459459459459455</v>
      </c>
      <c r="R47" s="1313">
        <f>SUM(R45:R46)</f>
        <v>207823</v>
      </c>
      <c r="S47" s="1313">
        <f>SUM(S45:S46)</f>
        <v>225385</v>
      </c>
      <c r="T47" s="1313">
        <f>SUM(T45:T46)</f>
        <v>224697</v>
      </c>
      <c r="U47" s="1286">
        <f>T47/S47</f>
        <v>0.99694744548217495</v>
      </c>
      <c r="V47" s="1312" t="s">
        <v>1196</v>
      </c>
      <c r="W47" s="1313">
        <f>SUM(W45:W46)</f>
        <v>0</v>
      </c>
      <c r="X47" s="1313">
        <f>SUM(X45:X46)</f>
        <v>1580</v>
      </c>
      <c r="Y47" s="1313">
        <f>SUM(Y45:Y46)</f>
        <v>1580</v>
      </c>
      <c r="Z47" s="1286">
        <f>Y47/X47</f>
        <v>1</v>
      </c>
      <c r="AA47" s="1313">
        <f>SUM(AA45:AA46)</f>
        <v>0</v>
      </c>
      <c r="AB47" s="1313">
        <f>SUM(AB45:AB46)</f>
        <v>0</v>
      </c>
      <c r="AC47" s="1313">
        <f>SUM(AC45:AC46)</f>
        <v>0</v>
      </c>
      <c r="AD47" s="1286"/>
      <c r="AE47" s="1313">
        <f>SUM(AE45:AE46)</f>
        <v>0</v>
      </c>
      <c r="AF47" s="1313">
        <f>SUM(AF45:AF46)</f>
        <v>0</v>
      </c>
      <c r="AG47" s="1313">
        <f>SUM(AG45:AG46)</f>
        <v>0</v>
      </c>
      <c r="AH47" s="1286"/>
      <c r="AI47" s="1313">
        <f>SUM(AI45:AI46)</f>
        <v>0</v>
      </c>
      <c r="AJ47" s="1313">
        <f>SUM(AJ45:AJ46)</f>
        <v>1580</v>
      </c>
      <c r="AK47" s="1313">
        <f>SUM(AK45:AK46)</f>
        <v>1580</v>
      </c>
      <c r="AL47" s="1286">
        <f>AK47/AJ47</f>
        <v>1</v>
      </c>
      <c r="AM47" s="1312" t="s">
        <v>1196</v>
      </c>
      <c r="AN47" s="1313">
        <f>SUM(AN45:AN46)</f>
        <v>0</v>
      </c>
      <c r="AO47" s="1313">
        <f>SUM(AO45:AO46)</f>
        <v>35787</v>
      </c>
      <c r="AP47" s="1313">
        <f>SUM(AP45:AP46)</f>
        <v>35787</v>
      </c>
      <c r="AQ47" s="1286">
        <f>AP47/AO47</f>
        <v>1</v>
      </c>
      <c r="AR47" s="1313">
        <f>SUM(AR45:AR46)</f>
        <v>3207412</v>
      </c>
      <c r="AS47" s="1313">
        <f>SUM(AS45:AS46)</f>
        <v>3435893</v>
      </c>
      <c r="AT47" s="1313">
        <f>SUM(AT45:AT46)</f>
        <v>3186810</v>
      </c>
      <c r="AU47" s="1286">
        <f>AT47/AS47</f>
        <v>0.9275056004363349</v>
      </c>
      <c r="AV47" s="1313">
        <f>SUM(AV45:AV46)</f>
        <v>3415235</v>
      </c>
      <c r="AW47" s="1313">
        <f>SUM(AW45:AW46)</f>
        <v>3698645</v>
      </c>
      <c r="AX47" s="1313">
        <f>SUM(AX45:AX46)</f>
        <v>3448874</v>
      </c>
      <c r="AY47" s="1286">
        <f>AX47/AW47</f>
        <v>0.93246959359441095</v>
      </c>
      <c r="AZ47" s="1267"/>
      <c r="BA47" s="1267"/>
      <c r="BB47" s="1267"/>
      <c r="BC47" s="1267"/>
      <c r="BD47" s="1267"/>
      <c r="BE47" s="1267"/>
    </row>
    <row r="48" spans="1:57" s="1268" customFormat="1" ht="57" customHeight="1" thickBot="1">
      <c r="A48" s="1312" t="s">
        <v>1197</v>
      </c>
      <c r="B48" s="1310">
        <f>B37+B39+B41+B43+B47</f>
        <v>868888</v>
      </c>
      <c r="C48" s="1310">
        <f>C37+C39+C41+C43+C47</f>
        <v>1042360</v>
      </c>
      <c r="D48" s="1310">
        <f>D37+D39+D41+D43+D47</f>
        <v>985723</v>
      </c>
      <c r="E48" s="1282">
        <f>D48/C48</f>
        <v>0.94566464561188068</v>
      </c>
      <c r="F48" s="1310">
        <f>F37+F39+F41+F43+F47</f>
        <v>449270</v>
      </c>
      <c r="G48" s="1310">
        <f>G37+G39+G41+G43+G47</f>
        <v>872672</v>
      </c>
      <c r="H48" s="1310">
        <f>H37+H39+H41+H43+H47</f>
        <v>872673</v>
      </c>
      <c r="I48" s="1282">
        <f>H48/G48</f>
        <v>1.0000011459059073</v>
      </c>
      <c r="J48" s="1310">
        <f>J37+J39+J41+J43+J47</f>
        <v>0</v>
      </c>
      <c r="K48" s="1310">
        <f>K37+K39+K41+K43+K47</f>
        <v>10563</v>
      </c>
      <c r="L48" s="1310">
        <f>L37+L39+L41+L43+L47</f>
        <v>10563</v>
      </c>
      <c r="M48" s="1282">
        <f>L48/K48</f>
        <v>1</v>
      </c>
      <c r="N48" s="1310">
        <f>N37+N39+N41+N43+N47</f>
        <v>1850</v>
      </c>
      <c r="O48" s="1310">
        <f>O37+O39+O41+O43+O47</f>
        <v>1850</v>
      </c>
      <c r="P48" s="1310">
        <f>P37+P39+P41+P43+P47</f>
        <v>1174</v>
      </c>
      <c r="Q48" s="1282">
        <f>P48/O48</f>
        <v>0.63459459459459455</v>
      </c>
      <c r="R48" s="1310">
        <f>R37+R39+R41+R43+R47</f>
        <v>1320008</v>
      </c>
      <c r="S48" s="1310">
        <f>S37+S39+S41+S43+S47</f>
        <v>1927445</v>
      </c>
      <c r="T48" s="1310">
        <f>T37+T39+T41+T43+T47</f>
        <v>1870133</v>
      </c>
      <c r="U48" s="1282">
        <f>T48/S48</f>
        <v>0.97026529939894524</v>
      </c>
      <c r="V48" s="1312" t="s">
        <v>1197</v>
      </c>
      <c r="W48" s="1310">
        <f>W37+W39+W41+W43+W47</f>
        <v>0</v>
      </c>
      <c r="X48" s="1310">
        <f>X37+X39+X41+X43+X47</f>
        <v>1787</v>
      </c>
      <c r="Y48" s="1310">
        <f>Y37+Y39+Y41+Y43+Y47</f>
        <v>1789</v>
      </c>
      <c r="Z48" s="1282">
        <f>Y48/X48</f>
        <v>1.0011191941801902</v>
      </c>
      <c r="AA48" s="1310">
        <f>AA37+AA39+AA41+AA43+AA47</f>
        <v>0</v>
      </c>
      <c r="AB48" s="1310">
        <f>AB37+AB39+AB41+AB43+AB47</f>
        <v>43400</v>
      </c>
      <c r="AC48" s="1310">
        <f>AC37+AC39+AC41+AC43+AC47</f>
        <v>43400</v>
      </c>
      <c r="AD48" s="1282">
        <f>AC48/AB48</f>
        <v>1</v>
      </c>
      <c r="AE48" s="1310">
        <f>AE37+AE39+AE41+AE43+AE47</f>
        <v>0</v>
      </c>
      <c r="AF48" s="1310">
        <f>AF37+AF39+AF41+AF43+AF47</f>
        <v>0</v>
      </c>
      <c r="AG48" s="1310">
        <f>AG37+AG39+AG41+AG43+AG47</f>
        <v>0</v>
      </c>
      <c r="AH48" s="1282"/>
      <c r="AI48" s="1310">
        <f>AI37+AI39+AI41+AI43+AI47</f>
        <v>0</v>
      </c>
      <c r="AJ48" s="1310">
        <f>AJ37+AJ39+AJ41+AJ43+AJ47</f>
        <v>45187</v>
      </c>
      <c r="AK48" s="1310">
        <f>AK37+AK39+AK41+AK43+AK47</f>
        <v>45189</v>
      </c>
      <c r="AL48" s="1282">
        <f>AK48/AJ48</f>
        <v>1.0000442605174054</v>
      </c>
      <c r="AM48" s="1312" t="s">
        <v>1197</v>
      </c>
      <c r="AN48" s="1310">
        <f>AN37+AN39+AN41+AN43+AN47</f>
        <v>0</v>
      </c>
      <c r="AO48" s="1310">
        <f>AO37+AO39+AO41+AO43+AO47</f>
        <v>637471</v>
      </c>
      <c r="AP48" s="1310">
        <f>AP37+AP39+AP41+AP43+AP47</f>
        <v>637471</v>
      </c>
      <c r="AQ48" s="1282">
        <f>AP48/AO48</f>
        <v>1</v>
      </c>
      <c r="AR48" s="1310">
        <f>AR37+AR39+AR41+AR43+AR47</f>
        <v>8463486</v>
      </c>
      <c r="AS48" s="1310">
        <f>AS37+AS39+AS41+AS43+AS47</f>
        <v>9438953</v>
      </c>
      <c r="AT48" s="1310">
        <f>AT37+AT39+AT41+AT43+AT47</f>
        <v>8993082</v>
      </c>
      <c r="AU48" s="1282">
        <f>AT48/AS48</f>
        <v>0.95276266340133275</v>
      </c>
      <c r="AV48" s="1310">
        <f>AV37+AV39+AV41+AV43+AV47</f>
        <v>9783494</v>
      </c>
      <c r="AW48" s="1310">
        <f>AW37+AW39+AW41+AW43+AW47</f>
        <v>12049056</v>
      </c>
      <c r="AX48" s="1310">
        <f>AX37+AX39+AX41+AX43+AX47</f>
        <v>11545875</v>
      </c>
      <c r="AY48" s="1282">
        <f>AX48/AW48</f>
        <v>0.95823896909434236</v>
      </c>
      <c r="AZ48" s="1267"/>
      <c r="BA48" s="1267"/>
      <c r="BB48" s="1267"/>
      <c r="BC48" s="1267"/>
      <c r="BD48" s="1267"/>
      <c r="BE48" s="1267"/>
    </row>
    <row r="49" spans="1:57" s="1268" customFormat="1" ht="57" customHeight="1" thickBot="1">
      <c r="A49" s="1298" t="s">
        <v>1198</v>
      </c>
      <c r="B49" s="1281">
        <f>B30+B48</f>
        <v>1548193</v>
      </c>
      <c r="C49" s="1281">
        <f>C30+C48</f>
        <v>1783006</v>
      </c>
      <c r="D49" s="1281">
        <f>D30+D48</f>
        <v>1726350</v>
      </c>
      <c r="E49" s="1273">
        <f>D49/C49</f>
        <v>0.96822444792670359</v>
      </c>
      <c r="F49" s="1281">
        <f>F30+F48</f>
        <v>449270</v>
      </c>
      <c r="G49" s="1281">
        <f>G30+G48</f>
        <v>875364</v>
      </c>
      <c r="H49" s="1281">
        <f>H30+H48</f>
        <v>875365</v>
      </c>
      <c r="I49" s="1282">
        <f>H49/G49</f>
        <v>1.000001142381912</v>
      </c>
      <c r="J49" s="1281">
        <f>J30+J48</f>
        <v>0</v>
      </c>
      <c r="K49" s="1281">
        <f>K30+K48</f>
        <v>13814</v>
      </c>
      <c r="L49" s="1281">
        <f>L30+L48</f>
        <v>13814</v>
      </c>
      <c r="M49" s="1282">
        <f>L49/K49</f>
        <v>1</v>
      </c>
      <c r="N49" s="1281">
        <f>N30+N48</f>
        <v>1850</v>
      </c>
      <c r="O49" s="1281">
        <f>O30+O48</f>
        <v>1850</v>
      </c>
      <c r="P49" s="1281">
        <f>P30+P48</f>
        <v>1174</v>
      </c>
      <c r="Q49" s="1282">
        <f>P49/O49</f>
        <v>0.63459459459459455</v>
      </c>
      <c r="R49" s="1281">
        <f>R30+R48</f>
        <v>1999313</v>
      </c>
      <c r="S49" s="1281">
        <f>S30+S48</f>
        <v>2674034</v>
      </c>
      <c r="T49" s="1281">
        <f>T30+T48</f>
        <v>2616703</v>
      </c>
      <c r="U49" s="1282">
        <f>T49/S49</f>
        <v>0.97856010806145322</v>
      </c>
      <c r="V49" s="1314" t="s">
        <v>1198</v>
      </c>
      <c r="W49" s="1281">
        <f>W30+W48</f>
        <v>0</v>
      </c>
      <c r="X49" s="1281">
        <f>X30+X48</f>
        <v>1822</v>
      </c>
      <c r="Y49" s="1281">
        <f>Y30+Y48</f>
        <v>1824</v>
      </c>
      <c r="Z49" s="1282">
        <f>Y49/X49</f>
        <v>1.0010976948408343</v>
      </c>
      <c r="AA49" s="1281">
        <f>AA30+AA48</f>
        <v>0</v>
      </c>
      <c r="AB49" s="1281">
        <f>AB30+AB48</f>
        <v>43400</v>
      </c>
      <c r="AC49" s="1281">
        <f>AC30+AC48</f>
        <v>43400</v>
      </c>
      <c r="AD49" s="1282">
        <f>AC49/AB49</f>
        <v>1</v>
      </c>
      <c r="AE49" s="1281">
        <f>AE30+AE48</f>
        <v>0</v>
      </c>
      <c r="AF49" s="1281">
        <f>AF30+AF48</f>
        <v>774</v>
      </c>
      <c r="AG49" s="1281">
        <f>AG30+AG48</f>
        <v>774</v>
      </c>
      <c r="AH49" s="1282">
        <f>AG49/AF49</f>
        <v>1</v>
      </c>
      <c r="AI49" s="1281">
        <f>AI30+AI48</f>
        <v>0</v>
      </c>
      <c r="AJ49" s="1281">
        <f>AJ30+AJ48</f>
        <v>45996</v>
      </c>
      <c r="AK49" s="1281">
        <f>AK30+AK48</f>
        <v>45998</v>
      </c>
      <c r="AL49" s="1282">
        <f>AK49/AJ49</f>
        <v>1.0000434820419166</v>
      </c>
      <c r="AM49" s="1314" t="s">
        <v>1198</v>
      </c>
      <c r="AN49" s="1281">
        <f>AN30+AN48</f>
        <v>0</v>
      </c>
      <c r="AO49" s="1281">
        <f>AO30+AO48</f>
        <v>690176</v>
      </c>
      <c r="AP49" s="1281">
        <f>AP30+AP48</f>
        <v>690176</v>
      </c>
      <c r="AQ49" s="1282">
        <f>AP49/AO49</f>
        <v>1</v>
      </c>
      <c r="AR49" s="1281">
        <f>AR30+AR48</f>
        <v>13820350</v>
      </c>
      <c r="AS49" s="1281">
        <f>AS30+AS48</f>
        <v>14985771</v>
      </c>
      <c r="AT49" s="1281">
        <f>AT30+AT48</f>
        <v>14298341</v>
      </c>
      <c r="AU49" s="1282">
        <f>AT49/AS49</f>
        <v>0.95412781898242005</v>
      </c>
      <c r="AV49" s="1281">
        <f>AV30+AV48</f>
        <v>15819663</v>
      </c>
      <c r="AW49" s="1281">
        <f>AW30+AW48</f>
        <v>18395977</v>
      </c>
      <c r="AX49" s="1281">
        <f>AX30+AX48</f>
        <v>17651218</v>
      </c>
      <c r="AY49" s="1282">
        <f>AX49/AW49</f>
        <v>0.95951511572339976</v>
      </c>
      <c r="AZ49" s="1267"/>
      <c r="BA49" s="1267"/>
      <c r="BB49" s="1267"/>
      <c r="BC49" s="1267"/>
      <c r="BD49" s="1267"/>
      <c r="BE49" s="1267"/>
    </row>
    <row r="50" spans="1:57" s="1077" customFormat="1" ht="49.5" customHeight="1">
      <c r="A50" s="1073"/>
      <c r="B50" s="1074"/>
      <c r="C50" s="1074"/>
      <c r="D50" s="1074"/>
      <c r="E50" s="1074"/>
      <c r="F50" s="1074"/>
      <c r="G50" s="1074"/>
      <c r="H50" s="1074"/>
      <c r="I50" s="1074"/>
      <c r="J50" s="1074"/>
      <c r="K50" s="1074"/>
      <c r="L50" s="1074"/>
      <c r="M50" s="1074"/>
      <c r="N50" s="1074"/>
      <c r="O50" s="1074"/>
      <c r="P50" s="1074"/>
      <c r="Q50" s="1074"/>
      <c r="R50" s="1074"/>
      <c r="S50" s="1074"/>
      <c r="T50" s="1074"/>
      <c r="U50" s="1074"/>
      <c r="V50" s="1073"/>
      <c r="W50" s="1074"/>
      <c r="X50" s="1074"/>
      <c r="Y50" s="1074"/>
      <c r="Z50" s="1074"/>
      <c r="AA50" s="1074"/>
      <c r="AB50" s="1074"/>
      <c r="AC50" s="1074"/>
      <c r="AD50" s="1074"/>
      <c r="AE50" s="1074"/>
      <c r="AF50" s="1074"/>
      <c r="AG50" s="1074"/>
      <c r="AH50" s="1074"/>
      <c r="AI50" s="1074"/>
      <c r="AJ50" s="1074"/>
      <c r="AK50" s="1074"/>
      <c r="AL50" s="1074"/>
      <c r="AM50" s="1073"/>
      <c r="AN50" s="1073"/>
      <c r="AO50" s="1073"/>
      <c r="AP50" s="1073"/>
      <c r="AQ50" s="1073"/>
      <c r="AR50" s="1073"/>
      <c r="AS50" s="1073"/>
      <c r="AT50" s="1075"/>
      <c r="AU50" s="1075"/>
      <c r="AV50" s="1075"/>
      <c r="AW50" s="1075"/>
      <c r="AX50" s="1076"/>
      <c r="AY50" s="1076"/>
      <c r="AZ50" s="1076"/>
      <c r="BA50" s="1076"/>
      <c r="BB50" s="1076"/>
      <c r="BC50" s="1076"/>
      <c r="BD50" s="1076"/>
      <c r="BE50" s="1076"/>
    </row>
    <row r="51" spans="1:57" s="1077" customFormat="1" ht="47.25" customHeight="1">
      <c r="A51" s="1078"/>
      <c r="B51" s="1074">
        <f>[4]int.bevételek2025!B48</f>
        <v>1548193</v>
      </c>
      <c r="C51" s="1074">
        <f>'[5]int.bevételek RM IV'!$D$49</f>
        <v>1783006</v>
      </c>
      <c r="D51" s="1074"/>
      <c r="E51" s="1074"/>
      <c r="F51" s="1074">
        <f>[4]int.bevételek2025!$C$48</f>
        <v>449270</v>
      </c>
      <c r="G51" s="1074">
        <f>'[5]int.bevételek RM IV'!$G$49</f>
        <v>875364</v>
      </c>
      <c r="H51" s="1074"/>
      <c r="I51" s="1074"/>
      <c r="J51" s="1074">
        <f>[4]int.bevételek2025!$D$48</f>
        <v>0</v>
      </c>
      <c r="K51" s="1074">
        <f>'[5]int.bevételek RM IV'!$J$49</f>
        <v>13814</v>
      </c>
      <c r="L51" s="1074"/>
      <c r="M51" s="1074"/>
      <c r="N51" s="1074">
        <f>[4]int.bevételek2025!$E$48</f>
        <v>1850</v>
      </c>
      <c r="O51" s="1074">
        <f>'[5]int.bevételek RM IV'!$M$49</f>
        <v>1850</v>
      </c>
      <c r="P51" s="1074"/>
      <c r="Q51" s="1074"/>
      <c r="R51" s="1074">
        <f>[4]int.bevételek2025!$F$48</f>
        <v>1999313</v>
      </c>
      <c r="S51" s="1074">
        <f>'[5]int.bevételek RM IV'!$P$49</f>
        <v>2674034</v>
      </c>
      <c r="T51" s="1074">
        <f>D51+H51+L51+P51</f>
        <v>0</v>
      </c>
      <c r="U51" s="1074"/>
      <c r="V51" s="1078"/>
      <c r="W51" s="1074">
        <f>'[6]int.bevételek RM I'!$R$49</f>
        <v>0</v>
      </c>
      <c r="X51" s="1074">
        <f>'[5]int.bevételek RM IV'!$T$49</f>
        <v>1822</v>
      </c>
      <c r="Y51" s="1074"/>
      <c r="Z51" s="1074"/>
      <c r="AA51" s="1074">
        <f>[4]int.bevételek2025!$I$48</f>
        <v>0</v>
      </c>
      <c r="AB51" s="1074">
        <f>'[5]int.bevételek RM IV'!$W$49</f>
        <v>43400</v>
      </c>
      <c r="AC51" s="1074"/>
      <c r="AD51" s="1074"/>
      <c r="AE51" s="1074">
        <f>[4]int.bevételek2025!$J$48</f>
        <v>0</v>
      </c>
      <c r="AF51" s="1074">
        <f>'[5]int.bevételek RM IV'!$Z$49</f>
        <v>774</v>
      </c>
      <c r="AG51" s="1074"/>
      <c r="AH51" s="1074"/>
      <c r="AI51" s="1074">
        <f>[4]int.bevételek2025!$K$48</f>
        <v>0</v>
      </c>
      <c r="AJ51" s="1074">
        <f>'[5]int.bevételek RM IV'!$AC$49</f>
        <v>45996</v>
      </c>
      <c r="AK51" s="1074">
        <f>Y51+AC51+AG51</f>
        <v>0</v>
      </c>
      <c r="AL51" s="1074"/>
      <c r="AM51" s="1078"/>
      <c r="AN51" s="1078"/>
      <c r="AO51" s="1076">
        <f>'[5]int.bevételek RM IV'!$AJ$49</f>
        <v>690176</v>
      </c>
      <c r="AP51" s="1076"/>
      <c r="AQ51" s="1078"/>
      <c r="AR51" s="1076">
        <f>[4]int.bevételek2025!$N$48</f>
        <v>13820350</v>
      </c>
      <c r="AS51" s="1076">
        <f>'[5]int.bevételek RM IV'!$AM$49</f>
        <v>14985771</v>
      </c>
      <c r="AT51" s="1075"/>
      <c r="AU51" s="1075"/>
      <c r="AV51" s="1074">
        <f>[4]int.bevételek2025!$O$48</f>
        <v>15819663</v>
      </c>
      <c r="AW51" s="1074">
        <f>'[5]int.bevételek RM IV'!$AP$49</f>
        <v>18395977</v>
      </c>
      <c r="AX51" s="1074"/>
      <c r="AY51" s="1074"/>
      <c r="AZ51" s="1076"/>
      <c r="BA51" s="1076"/>
      <c r="BB51" s="1076"/>
      <c r="BC51" s="1076"/>
      <c r="BD51" s="1076"/>
      <c r="BE51" s="1076"/>
    </row>
    <row r="52" spans="1:57" s="1077" customFormat="1" ht="47.25" customHeight="1">
      <c r="A52" s="1078"/>
      <c r="B52" s="1074">
        <f>B49-B51</f>
        <v>0</v>
      </c>
      <c r="C52" s="1074">
        <f>C49-C51</f>
        <v>0</v>
      </c>
      <c r="D52" s="1074">
        <f>D49-D51</f>
        <v>1726350</v>
      </c>
      <c r="E52" s="1074"/>
      <c r="F52" s="1074">
        <f>F49-F51</f>
        <v>0</v>
      </c>
      <c r="G52" s="1074">
        <f>G49-G51</f>
        <v>0</v>
      </c>
      <c r="H52" s="1074">
        <f>H49-H51</f>
        <v>875365</v>
      </c>
      <c r="I52" s="1074"/>
      <c r="J52" s="1074">
        <f>J49-J51</f>
        <v>0</v>
      </c>
      <c r="K52" s="1074">
        <f>K49-K51</f>
        <v>0</v>
      </c>
      <c r="L52" s="1074">
        <f>L49-L51</f>
        <v>13814</v>
      </c>
      <c r="M52" s="1074"/>
      <c r="N52" s="1074">
        <f>N49-N51</f>
        <v>0</v>
      </c>
      <c r="O52" s="1074">
        <f>O49-O51</f>
        <v>0</v>
      </c>
      <c r="P52" s="1074">
        <f>P49-P51</f>
        <v>1174</v>
      </c>
      <c r="Q52" s="1074"/>
      <c r="R52" s="1074">
        <f>R49-R51</f>
        <v>0</v>
      </c>
      <c r="S52" s="1074">
        <f>S49-S51</f>
        <v>0</v>
      </c>
      <c r="T52" s="1074">
        <f>T49-T51</f>
        <v>2616703</v>
      </c>
      <c r="U52" s="1074"/>
      <c r="V52" s="1074"/>
      <c r="W52" s="1074">
        <f>W49-W51</f>
        <v>0</v>
      </c>
      <c r="X52" s="1074">
        <f>X49-X51</f>
        <v>0</v>
      </c>
      <c r="Y52" s="1074">
        <f>Y49-Y51</f>
        <v>1824</v>
      </c>
      <c r="Z52" s="1074"/>
      <c r="AA52" s="1074">
        <f>AA49-AA51</f>
        <v>0</v>
      </c>
      <c r="AB52" s="1074">
        <f>AB49-AB51</f>
        <v>0</v>
      </c>
      <c r="AC52" s="1074">
        <f>AC49-AC51</f>
        <v>43400</v>
      </c>
      <c r="AD52" s="1074"/>
      <c r="AE52" s="1074">
        <f>AE49-AE51</f>
        <v>0</v>
      </c>
      <c r="AF52" s="1074">
        <f>AF49-AF51</f>
        <v>0</v>
      </c>
      <c r="AG52" s="1074">
        <f>AG49-AG51</f>
        <v>774</v>
      </c>
      <c r="AH52" s="1074"/>
      <c r="AI52" s="1074">
        <f>AI49-AI51</f>
        <v>0</v>
      </c>
      <c r="AJ52" s="1074">
        <f>AJ49-AJ51</f>
        <v>0</v>
      </c>
      <c r="AK52" s="1074">
        <f>AK49-AK51</f>
        <v>45998</v>
      </c>
      <c r="AL52" s="1074"/>
      <c r="AM52" s="1074"/>
      <c r="AN52" s="1074">
        <f>AN49-AN51</f>
        <v>0</v>
      </c>
      <c r="AO52" s="1074">
        <f>AO49-AO51</f>
        <v>0</v>
      </c>
      <c r="AP52" s="1074">
        <f>AP49-AP51</f>
        <v>690176</v>
      </c>
      <c r="AQ52" s="1074"/>
      <c r="AR52" s="1074">
        <f>AR49-AR51</f>
        <v>0</v>
      </c>
      <c r="AS52" s="1074">
        <f>AS49-AS51</f>
        <v>0</v>
      </c>
      <c r="AT52" s="1074">
        <f>AT49-AT51</f>
        <v>14298341</v>
      </c>
      <c r="AU52" s="1074"/>
      <c r="AV52" s="1074">
        <f>AV49-AV51</f>
        <v>0</v>
      </c>
      <c r="AW52" s="1074">
        <f>AW49-AW51</f>
        <v>0</v>
      </c>
      <c r="AX52" s="1074">
        <f>AX49-AX51</f>
        <v>17651218</v>
      </c>
      <c r="AY52" s="1074"/>
      <c r="AZ52" s="1076"/>
      <c r="BA52" s="1076"/>
      <c r="BB52" s="1076"/>
      <c r="BC52" s="1076"/>
      <c r="BD52" s="1076"/>
      <c r="BE52" s="1076"/>
    </row>
    <row r="53" spans="1:57" ht="26.45" customHeight="1">
      <c r="A53" s="1079"/>
      <c r="B53" s="1020"/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79"/>
      <c r="W53" s="1020"/>
      <c r="X53" s="1020"/>
      <c r="Y53" s="1020"/>
      <c r="Z53" s="1020"/>
      <c r="AA53" s="1020"/>
      <c r="AB53" s="1020"/>
      <c r="AC53" s="1020"/>
      <c r="AD53" s="1020"/>
      <c r="AE53" s="1020"/>
      <c r="AF53" s="1020"/>
      <c r="AG53" s="1020"/>
      <c r="AH53" s="1020"/>
      <c r="AI53" s="1020"/>
      <c r="AJ53" s="1020"/>
      <c r="AK53" s="1020"/>
      <c r="AL53" s="1020"/>
      <c r="AM53" s="1079"/>
      <c r="AN53" s="1079"/>
      <c r="AO53" s="1079"/>
      <c r="AP53" s="1079"/>
      <c r="AQ53" s="1079"/>
      <c r="AR53" s="1079"/>
      <c r="AS53" s="1079"/>
      <c r="AT53" s="1022"/>
      <c r="AU53" s="1022"/>
      <c r="AV53" s="1022"/>
      <c r="AW53" s="1022"/>
      <c r="AX53" s="1020"/>
      <c r="AY53" s="1020"/>
      <c r="AZ53" s="1019"/>
      <c r="BA53" s="1019"/>
      <c r="BB53" s="1019"/>
      <c r="BC53" s="1019"/>
      <c r="BD53" s="1019"/>
      <c r="BE53" s="1019"/>
    </row>
    <row r="54" spans="1:57" ht="26.45" customHeight="1">
      <c r="A54" s="1080"/>
      <c r="V54" s="1080"/>
      <c r="AM54" s="1080"/>
      <c r="AN54" s="1080"/>
      <c r="AO54" s="1080"/>
      <c r="AP54" s="1080"/>
      <c r="AQ54" s="1080"/>
      <c r="AR54" s="1080"/>
      <c r="AS54" s="1080"/>
    </row>
    <row r="55" spans="1:57" ht="26.45" customHeight="1">
      <c r="A55" s="1080"/>
      <c r="V55" s="1080"/>
      <c r="AM55" s="1080"/>
      <c r="AN55" s="1080"/>
      <c r="AO55" s="1080"/>
      <c r="AP55" s="1080"/>
      <c r="AQ55" s="1080"/>
      <c r="AR55" s="1080"/>
      <c r="AS55" s="1080"/>
    </row>
    <row r="56" spans="1:57" ht="26.45" customHeight="1">
      <c r="V56" s="1023"/>
      <c r="AM56" s="1023"/>
    </row>
    <row r="57" spans="1:57" ht="26.45" customHeight="1">
      <c r="V57" s="1023"/>
      <c r="AM57" s="1023"/>
    </row>
    <row r="58" spans="1:57" ht="26.45" customHeight="1">
      <c r="V58" s="1023"/>
      <c r="AM58" s="1023"/>
    </row>
    <row r="59" spans="1:57" ht="26.45" customHeight="1">
      <c r="V59" s="1023"/>
      <c r="AM59" s="1023"/>
    </row>
    <row r="60" spans="1:57" ht="26.45" customHeight="1">
      <c r="V60" s="1023"/>
      <c r="AM60" s="1023"/>
    </row>
    <row r="61" spans="1:57" ht="26.45" customHeight="1">
      <c r="V61" s="1023"/>
      <c r="AM61" s="1023"/>
    </row>
    <row r="62" spans="1:57" ht="26.45" customHeight="1">
      <c r="V62" s="1023"/>
      <c r="AM62" s="1023"/>
    </row>
    <row r="63" spans="1:57" ht="26.45" customHeight="1">
      <c r="V63" s="1023"/>
      <c r="AM63" s="1023"/>
    </row>
  </sheetData>
  <mergeCells count="21">
    <mergeCell ref="A4:U4"/>
    <mergeCell ref="V4:AL4"/>
    <mergeCell ref="AM4:AY4"/>
    <mergeCell ref="AZ4:BE4"/>
    <mergeCell ref="AN2:AQ2"/>
    <mergeCell ref="A3:U3"/>
    <mergeCell ref="V3:AL3"/>
    <mergeCell ref="AM3:AY3"/>
    <mergeCell ref="AZ3:BE3"/>
    <mergeCell ref="AV6:AY7"/>
    <mergeCell ref="B6:E7"/>
    <mergeCell ref="F6:I7"/>
    <mergeCell ref="J6:M7"/>
    <mergeCell ref="N6:Q7"/>
    <mergeCell ref="R6:U7"/>
    <mergeCell ref="W6:Z7"/>
    <mergeCell ref="AA6:AD7"/>
    <mergeCell ref="AE6:AH7"/>
    <mergeCell ref="AI6:AL7"/>
    <mergeCell ref="AN6:AQ7"/>
    <mergeCell ref="AR6:AU7"/>
  </mergeCells>
  <printOptions horizontalCentered="1" verticalCentered="1"/>
  <pageMargins left="0" right="0" top="0" bottom="0" header="0" footer="0"/>
  <pageSetup paperSize="9" scale="15" orientation="landscape" r:id="rId1"/>
  <headerFooter alignWithMargins="0">
    <oddHeader>&amp;R&amp;"-,Normál"&amp;36
 4. melléklet a .../2026.(...) önkormányzati rendelethez</oddHeader>
    <oddFooter xml:space="preserve">&amp;C &amp;R
&amp;36 &amp;10
</oddFooter>
  </headerFooter>
  <colBreaks count="2" manualBreakCount="2">
    <brk id="21" max="48" man="1"/>
    <brk id="38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E317-2D83-4C32-8B09-BDA6609B71EF}">
  <dimension ref="A1:M88"/>
  <sheetViews>
    <sheetView view="pageBreakPreview" topLeftCell="A79" zoomScale="44" zoomScaleNormal="50" zoomScaleSheetLayoutView="44" workbookViewId="0">
      <selection activeCell="A78" sqref="A78:XFD80"/>
    </sheetView>
  </sheetViews>
  <sheetFormatPr defaultColWidth="10.33203125" defaultRowHeight="72" customHeight="1"/>
  <cols>
    <col min="1" max="1" width="196.5" style="1785" customWidth="1"/>
    <col min="2" max="4" width="40.83203125" style="1785" customWidth="1"/>
    <col min="5" max="7" width="40.83203125" style="1786" customWidth="1"/>
    <col min="8" max="8" width="40.83203125" style="1784" customWidth="1"/>
    <col min="9" max="9" width="39.33203125" style="1786" customWidth="1"/>
    <col min="10" max="12" width="10.33203125" style="1784"/>
    <col min="13" max="13" width="30.1640625" style="1784" customWidth="1"/>
    <col min="14" max="16384" width="10.33203125" style="1784"/>
  </cols>
  <sheetData>
    <row r="1" spans="1:9" s="1783" customFormat="1" ht="43.5" customHeight="1">
      <c r="A1" s="1936" t="s">
        <v>1243</v>
      </c>
      <c r="B1" s="1936"/>
      <c r="C1" s="1936"/>
      <c r="D1" s="1936"/>
      <c r="E1" s="1936"/>
      <c r="F1" s="1936"/>
      <c r="G1" s="1936"/>
      <c r="H1" s="1936"/>
      <c r="I1" s="1936"/>
    </row>
    <row r="2" spans="1:9" ht="33" customHeight="1">
      <c r="A2" s="1937" t="s">
        <v>1244</v>
      </c>
      <c r="B2" s="1937"/>
      <c r="C2" s="1937"/>
      <c r="D2" s="1937"/>
      <c r="E2" s="1937"/>
      <c r="F2" s="1937"/>
      <c r="G2" s="1937"/>
      <c r="H2" s="1937"/>
      <c r="I2" s="1937"/>
    </row>
    <row r="3" spans="1:9" ht="33" customHeight="1">
      <c r="A3" s="1791"/>
      <c r="B3" s="1791"/>
      <c r="C3" s="1791"/>
      <c r="D3" s="1791"/>
      <c r="E3" s="1791"/>
      <c r="F3" s="1791"/>
      <c r="G3" s="1784"/>
      <c r="I3" s="1784"/>
    </row>
    <row r="4" spans="1:9" ht="42" customHeight="1" thickBot="1">
      <c r="H4" s="1871" t="s">
        <v>12</v>
      </c>
    </row>
    <row r="5" spans="1:9" s="1783" customFormat="1" ht="123.75" customHeight="1">
      <c r="A5" s="1792" t="s">
        <v>1245</v>
      </c>
      <c r="B5" s="1793" t="s">
        <v>1246</v>
      </c>
      <c r="C5" s="1794" t="s">
        <v>1247</v>
      </c>
      <c r="D5" s="1794" t="s">
        <v>1248</v>
      </c>
      <c r="E5" s="1794" t="s">
        <v>1249</v>
      </c>
      <c r="F5" s="1794" t="s">
        <v>1250</v>
      </c>
      <c r="G5" s="1794" t="s">
        <v>1251</v>
      </c>
      <c r="H5" s="1795" t="s">
        <v>1252</v>
      </c>
      <c r="I5" s="1796" t="s">
        <v>1253</v>
      </c>
    </row>
    <row r="6" spans="1:9" ht="77.25" customHeight="1">
      <c r="A6" s="1797" t="s">
        <v>1254</v>
      </c>
      <c r="B6" s="1798"/>
      <c r="C6" s="1798"/>
      <c r="D6" s="1798"/>
      <c r="E6" s="1798"/>
      <c r="F6" s="1798"/>
      <c r="G6" s="1798"/>
      <c r="H6" s="1798"/>
      <c r="I6" s="1798"/>
    </row>
    <row r="7" spans="1:9" ht="60" customHeight="1">
      <c r="A7" s="1799" t="s">
        <v>1255</v>
      </c>
      <c r="B7" s="1800">
        <v>1066402</v>
      </c>
      <c r="C7" s="1800">
        <v>1066402</v>
      </c>
      <c r="D7" s="1800">
        <v>1118971</v>
      </c>
      <c r="E7" s="1800">
        <v>1118971</v>
      </c>
      <c r="F7" s="1800">
        <v>1118971</v>
      </c>
      <c r="G7" s="1800">
        <v>1118971</v>
      </c>
      <c r="H7" s="1800">
        <v>1118971</v>
      </c>
      <c r="I7" s="1800">
        <f>H7-G7</f>
        <v>0</v>
      </c>
    </row>
    <row r="8" spans="1:9" ht="60" customHeight="1">
      <c r="A8" s="1801" t="s">
        <v>1256</v>
      </c>
      <c r="B8" s="1802">
        <v>83140</v>
      </c>
      <c r="C8" s="1802">
        <v>83153</v>
      </c>
      <c r="D8" s="1802">
        <v>83153</v>
      </c>
      <c r="E8" s="1802">
        <v>83153</v>
      </c>
      <c r="F8" s="1802">
        <v>83153</v>
      </c>
      <c r="G8" s="1802">
        <v>83153</v>
      </c>
      <c r="H8" s="1802">
        <v>83153</v>
      </c>
      <c r="I8" s="1800">
        <f t="shared" ref="I8:I14" si="0">H8-G8</f>
        <v>0</v>
      </c>
    </row>
    <row r="9" spans="1:9" ht="60" customHeight="1">
      <c r="A9" s="1801" t="s">
        <v>1257</v>
      </c>
      <c r="B9" s="1802">
        <v>218067</v>
      </c>
      <c r="C9" s="1802">
        <v>218067</v>
      </c>
      <c r="D9" s="1802">
        <v>218067</v>
      </c>
      <c r="E9" s="1802">
        <v>218067</v>
      </c>
      <c r="F9" s="1802">
        <v>218067</v>
      </c>
      <c r="G9" s="1802">
        <v>218067</v>
      </c>
      <c r="H9" s="1802">
        <v>218067</v>
      </c>
      <c r="I9" s="1800">
        <f t="shared" si="0"/>
        <v>0</v>
      </c>
    </row>
    <row r="10" spans="1:9" ht="60" customHeight="1">
      <c r="A10" s="1801" t="s">
        <v>1258</v>
      </c>
      <c r="B10" s="1803">
        <v>30744</v>
      </c>
      <c r="C10" s="1803">
        <v>100</v>
      </c>
      <c r="D10" s="1803">
        <v>100</v>
      </c>
      <c r="E10" s="1803">
        <v>100</v>
      </c>
      <c r="F10" s="1803">
        <v>100</v>
      </c>
      <c r="G10" s="1803">
        <v>100</v>
      </c>
      <c r="H10" s="1803">
        <v>100</v>
      </c>
      <c r="I10" s="1800">
        <f t="shared" si="0"/>
        <v>0</v>
      </c>
    </row>
    <row r="11" spans="1:9" ht="60" customHeight="1">
      <c r="A11" s="1801" t="s">
        <v>1259</v>
      </c>
      <c r="B11" s="1802">
        <v>130601</v>
      </c>
      <c r="C11" s="1802">
        <v>131036</v>
      </c>
      <c r="D11" s="1802">
        <v>131036</v>
      </c>
      <c r="E11" s="1802">
        <v>131036</v>
      </c>
      <c r="F11" s="1802">
        <v>131036</v>
      </c>
      <c r="G11" s="1802">
        <v>131036</v>
      </c>
      <c r="H11" s="1802">
        <v>131036</v>
      </c>
      <c r="I11" s="1800">
        <f t="shared" si="0"/>
        <v>0</v>
      </c>
    </row>
    <row r="12" spans="1:9" ht="60" customHeight="1">
      <c r="A12" s="1801" t="s">
        <v>1260</v>
      </c>
      <c r="B12" s="1802">
        <v>208944</v>
      </c>
      <c r="C12" s="1802">
        <v>207617</v>
      </c>
      <c r="D12" s="1802">
        <v>207617</v>
      </c>
      <c r="E12" s="1802">
        <v>207617</v>
      </c>
      <c r="F12" s="1802">
        <v>207617</v>
      </c>
      <c r="G12" s="1802">
        <v>207617</v>
      </c>
      <c r="H12" s="1802">
        <v>207617</v>
      </c>
      <c r="I12" s="1800">
        <f t="shared" si="0"/>
        <v>0</v>
      </c>
    </row>
    <row r="13" spans="1:9" ht="60" customHeight="1">
      <c r="A13" s="1801" t="s">
        <v>1261</v>
      </c>
      <c r="B13" s="1802">
        <v>186</v>
      </c>
      <c r="C13" s="1802">
        <v>224</v>
      </c>
      <c r="D13" s="1802">
        <v>224</v>
      </c>
      <c r="E13" s="1802">
        <v>224</v>
      </c>
      <c r="F13" s="1802">
        <v>224</v>
      </c>
      <c r="G13" s="1802">
        <v>224</v>
      </c>
      <c r="H13" s="1802">
        <v>224</v>
      </c>
      <c r="I13" s="1800">
        <f t="shared" si="0"/>
        <v>0</v>
      </c>
    </row>
    <row r="14" spans="1:9" ht="60" customHeight="1" thickBot="1">
      <c r="A14" s="1804" t="s">
        <v>1262</v>
      </c>
      <c r="B14" s="1800"/>
      <c r="C14" s="1802"/>
      <c r="D14" s="1802">
        <v>0</v>
      </c>
      <c r="E14" s="1802">
        <v>0</v>
      </c>
      <c r="F14" s="1802">
        <v>225</v>
      </c>
      <c r="G14" s="1802">
        <v>676</v>
      </c>
      <c r="H14" s="1802">
        <v>676</v>
      </c>
      <c r="I14" s="1800">
        <f t="shared" si="0"/>
        <v>0</v>
      </c>
    </row>
    <row r="15" spans="1:9" s="1787" customFormat="1" ht="89.25" customHeight="1" thickTop="1" thickBot="1">
      <c r="A15" s="1805" t="s">
        <v>1263</v>
      </c>
      <c r="B15" s="1806">
        <f t="shared" ref="B15:D15" si="1">SUM(B6:B14)</f>
        <v>1738084</v>
      </c>
      <c r="C15" s="1806">
        <f t="shared" si="1"/>
        <v>1706599</v>
      </c>
      <c r="D15" s="1806">
        <f t="shared" si="1"/>
        <v>1759168</v>
      </c>
      <c r="E15" s="1806">
        <f>SUM(E6:E14)</f>
        <v>1759168</v>
      </c>
      <c r="F15" s="1806">
        <f>SUM(F6:F14)</f>
        <v>1759393</v>
      </c>
      <c r="G15" s="1806">
        <f t="shared" ref="G15:I15" si="2">SUM(G6:G14)</f>
        <v>1759844</v>
      </c>
      <c r="H15" s="1806">
        <f t="shared" si="2"/>
        <v>1759844</v>
      </c>
      <c r="I15" s="1806">
        <f t="shared" si="2"/>
        <v>0</v>
      </c>
    </row>
    <row r="16" spans="1:9" s="1787" customFormat="1" ht="88.5" customHeight="1" thickTop="1">
      <c r="A16" s="1807" t="s">
        <v>1264</v>
      </c>
      <c r="B16" s="1808"/>
      <c r="C16" s="1808"/>
      <c r="D16" s="1808"/>
      <c r="E16" s="1808"/>
      <c r="F16" s="1808"/>
      <c r="G16" s="1808"/>
      <c r="H16" s="1808"/>
      <c r="I16" s="1808"/>
    </row>
    <row r="17" spans="1:9" ht="60" customHeight="1">
      <c r="A17" s="1809" t="s">
        <v>1265</v>
      </c>
      <c r="B17" s="1810"/>
      <c r="C17" s="1810"/>
      <c r="D17" s="1810"/>
      <c r="E17" s="1810"/>
      <c r="F17" s="1810"/>
      <c r="G17" s="1810"/>
      <c r="H17" s="1810"/>
      <c r="I17" s="1810"/>
    </row>
    <row r="18" spans="1:9" ht="89.25" customHeight="1">
      <c r="A18" s="1811" t="s">
        <v>1266</v>
      </c>
      <c r="B18" s="1800">
        <v>374620</v>
      </c>
      <c r="C18" s="1800">
        <v>373655</v>
      </c>
      <c r="D18" s="1800">
        <v>373655</v>
      </c>
      <c r="E18" s="1800">
        <v>373655</v>
      </c>
      <c r="F18" s="1800">
        <v>374275</v>
      </c>
      <c r="G18" s="1800">
        <v>372207</v>
      </c>
      <c r="H18" s="1800">
        <v>372845</v>
      </c>
      <c r="I18" s="1800">
        <f>H18-G18</f>
        <v>638</v>
      </c>
    </row>
    <row r="19" spans="1:9" ht="89.25" customHeight="1">
      <c r="A19" s="1807" t="s">
        <v>1267</v>
      </c>
      <c r="B19" s="1798"/>
      <c r="C19" s="1798"/>
      <c r="D19" s="1798"/>
      <c r="E19" s="1798"/>
      <c r="F19" s="1798"/>
      <c r="G19" s="1798"/>
      <c r="H19" s="1798"/>
      <c r="I19" s="1798"/>
    </row>
    <row r="20" spans="1:9" ht="60" customHeight="1">
      <c r="A20" s="1812" t="s">
        <v>1268</v>
      </c>
      <c r="B20" s="1800">
        <f>1688632-22276</f>
        <v>1666356</v>
      </c>
      <c r="C20" s="1800">
        <v>2033459</v>
      </c>
      <c r="D20" s="1800">
        <v>2033459</v>
      </c>
      <c r="E20" s="1800">
        <v>2033459</v>
      </c>
      <c r="F20" s="1800">
        <v>2057637</v>
      </c>
      <c r="G20" s="1800">
        <v>2053542</v>
      </c>
      <c r="H20" s="1800">
        <v>2057637</v>
      </c>
      <c r="I20" s="1800">
        <f>H20-G20</f>
        <v>4095</v>
      </c>
    </row>
    <row r="21" spans="1:9" ht="114" customHeight="1">
      <c r="A21" s="1813" t="s">
        <v>1269</v>
      </c>
      <c r="B21" s="1798"/>
      <c r="C21" s="1810"/>
      <c r="D21" s="1810"/>
      <c r="E21" s="1810"/>
      <c r="F21" s="1810"/>
      <c r="G21" s="1810"/>
      <c r="H21" s="1810"/>
      <c r="I21" s="1810"/>
    </row>
    <row r="22" spans="1:9" ht="88.5" customHeight="1">
      <c r="A22" s="1814" t="s">
        <v>1270</v>
      </c>
      <c r="B22" s="1810"/>
      <c r="C22" s="1810"/>
      <c r="D22" s="1810"/>
      <c r="E22" s="1810"/>
      <c r="F22" s="1810"/>
      <c r="G22" s="1810"/>
      <c r="H22" s="1810"/>
      <c r="I22" s="1810"/>
    </row>
    <row r="23" spans="1:9" ht="52.5" customHeight="1">
      <c r="A23" s="1809" t="s">
        <v>1271</v>
      </c>
      <c r="B23" s="1810"/>
      <c r="C23" s="1810"/>
      <c r="D23" s="1810"/>
      <c r="E23" s="1810"/>
      <c r="F23" s="1810"/>
      <c r="G23" s="1810"/>
      <c r="H23" s="1810"/>
      <c r="I23" s="1810"/>
    </row>
    <row r="24" spans="1:9" ht="89.25" customHeight="1">
      <c r="A24" s="1815" t="s">
        <v>1272</v>
      </c>
      <c r="B24" s="1800">
        <v>44753</v>
      </c>
      <c r="C24" s="1800">
        <v>49793</v>
      </c>
      <c r="D24" s="1800">
        <v>49793</v>
      </c>
      <c r="E24" s="1800">
        <v>49793</v>
      </c>
      <c r="F24" s="1800">
        <v>49185</v>
      </c>
      <c r="G24" s="1800">
        <v>51271</v>
      </c>
      <c r="H24" s="1800">
        <v>51619</v>
      </c>
      <c r="I24" s="1800">
        <f>H24-G24</f>
        <v>348</v>
      </c>
    </row>
    <row r="25" spans="1:9" ht="60" customHeight="1">
      <c r="A25" s="1816" t="s">
        <v>1273</v>
      </c>
      <c r="B25" s="1810"/>
      <c r="C25" s="1810">
        <v>48055</v>
      </c>
      <c r="D25" s="1810">
        <v>48055</v>
      </c>
      <c r="E25" s="1810">
        <v>48055</v>
      </c>
      <c r="F25" s="1810">
        <v>47447</v>
      </c>
      <c r="G25" s="1810">
        <v>49316</v>
      </c>
      <c r="H25" s="1810">
        <v>49707</v>
      </c>
      <c r="I25" s="1798">
        <f t="shared" ref="I25:I26" si="3">H25-G25</f>
        <v>391</v>
      </c>
    </row>
    <row r="26" spans="1:9" ht="60" customHeight="1">
      <c r="A26" s="1799" t="s">
        <v>1274</v>
      </c>
      <c r="B26" s="1800"/>
      <c r="C26" s="1800">
        <v>1738</v>
      </c>
      <c r="D26" s="1800">
        <v>1738</v>
      </c>
      <c r="E26" s="1800">
        <v>1738</v>
      </c>
      <c r="F26" s="1800">
        <v>1738</v>
      </c>
      <c r="G26" s="1800">
        <v>1955</v>
      </c>
      <c r="H26" s="1800">
        <v>1912</v>
      </c>
      <c r="I26" s="1800">
        <f t="shared" si="3"/>
        <v>-43</v>
      </c>
    </row>
    <row r="27" spans="1:9" ht="89.25" customHeight="1">
      <c r="A27" s="1799" t="s">
        <v>1275</v>
      </c>
      <c r="B27" s="1800">
        <v>45235</v>
      </c>
      <c r="C27" s="1802">
        <v>51208</v>
      </c>
      <c r="D27" s="1802">
        <v>51208</v>
      </c>
      <c r="E27" s="1802">
        <v>51208</v>
      </c>
      <c r="F27" s="1802">
        <v>50560</v>
      </c>
      <c r="G27" s="1802">
        <v>51532</v>
      </c>
      <c r="H27" s="1802">
        <v>51856</v>
      </c>
      <c r="I27" s="1800">
        <f>H27-G27</f>
        <v>324</v>
      </c>
    </row>
    <row r="28" spans="1:9" ht="60" customHeight="1">
      <c r="A28" s="1813" t="s">
        <v>1276</v>
      </c>
      <c r="B28" s="1810"/>
      <c r="C28" s="1798"/>
      <c r="D28" s="1798"/>
      <c r="E28" s="1798"/>
      <c r="F28" s="1798"/>
      <c r="G28" s="1817"/>
      <c r="H28" s="1817"/>
      <c r="I28" s="1817"/>
    </row>
    <row r="29" spans="1:9" ht="89.25" customHeight="1">
      <c r="A29" s="1818" t="s">
        <v>1277</v>
      </c>
      <c r="B29" s="1800">
        <v>1679</v>
      </c>
      <c r="C29" s="1800">
        <v>3141</v>
      </c>
      <c r="D29" s="1800">
        <v>3141</v>
      </c>
      <c r="E29" s="1800">
        <v>3141</v>
      </c>
      <c r="F29" s="1800">
        <v>3141</v>
      </c>
      <c r="G29" s="1800">
        <v>3141</v>
      </c>
      <c r="H29" s="1800">
        <v>3141</v>
      </c>
      <c r="I29" s="1800">
        <f>H29-G29</f>
        <v>0</v>
      </c>
    </row>
    <row r="30" spans="1:9" ht="60" customHeight="1">
      <c r="A30" s="1804" t="s">
        <v>1273</v>
      </c>
      <c r="B30" s="1810"/>
      <c r="C30" s="1810">
        <v>1047</v>
      </c>
      <c r="D30" s="1810">
        <v>1047</v>
      </c>
      <c r="E30" s="1810">
        <v>1047</v>
      </c>
      <c r="F30" s="1810">
        <v>1047</v>
      </c>
      <c r="G30" s="1810">
        <v>1047</v>
      </c>
      <c r="H30" s="1810">
        <v>1047</v>
      </c>
      <c r="I30" s="1810">
        <f t="shared" ref="I30:I31" si="4">H30-G30</f>
        <v>0</v>
      </c>
    </row>
    <row r="31" spans="1:9" ht="60" customHeight="1">
      <c r="A31" s="1799" t="s">
        <v>1274</v>
      </c>
      <c r="B31" s="1800"/>
      <c r="C31" s="1800">
        <v>2094</v>
      </c>
      <c r="D31" s="1800">
        <v>2094</v>
      </c>
      <c r="E31" s="1800">
        <v>2094</v>
      </c>
      <c r="F31" s="1800">
        <v>2094</v>
      </c>
      <c r="G31" s="1800">
        <v>2094</v>
      </c>
      <c r="H31" s="1800">
        <v>2094</v>
      </c>
      <c r="I31" s="1800">
        <f t="shared" si="4"/>
        <v>0</v>
      </c>
    </row>
    <row r="32" spans="1:9" ht="89.25" customHeight="1">
      <c r="A32" s="1799" t="s">
        <v>1278</v>
      </c>
      <c r="B32" s="1800">
        <v>2922</v>
      </c>
      <c r="C32" s="1802">
        <v>3660</v>
      </c>
      <c r="D32" s="1802">
        <v>3660</v>
      </c>
      <c r="E32" s="1802">
        <v>3660</v>
      </c>
      <c r="F32" s="1802">
        <v>3660</v>
      </c>
      <c r="G32" s="1802">
        <v>3660</v>
      </c>
      <c r="H32" s="1802">
        <v>3660</v>
      </c>
      <c r="I32" s="1800">
        <f>H32-G32</f>
        <v>0</v>
      </c>
    </row>
    <row r="33" spans="1:9" ht="60" customHeight="1">
      <c r="A33" s="1819" t="s">
        <v>1279</v>
      </c>
      <c r="B33" s="1798"/>
      <c r="C33" s="1798"/>
      <c r="D33" s="1798"/>
      <c r="E33" s="1798"/>
      <c r="F33" s="1798"/>
      <c r="G33" s="1798"/>
      <c r="H33" s="1798"/>
      <c r="I33" s="1817"/>
    </row>
    <row r="34" spans="1:9" ht="89.25" customHeight="1">
      <c r="A34" s="1814" t="s">
        <v>1280</v>
      </c>
      <c r="B34" s="1810"/>
      <c r="C34" s="1810"/>
      <c r="D34" s="1810"/>
      <c r="E34" s="1810"/>
      <c r="F34" s="1810"/>
      <c r="G34" s="1810"/>
      <c r="H34" s="1810"/>
      <c r="I34" s="1820"/>
    </row>
    <row r="35" spans="1:9" ht="60" customHeight="1">
      <c r="A35" s="1821" t="s">
        <v>1281</v>
      </c>
      <c r="B35" s="1800">
        <v>11227</v>
      </c>
      <c r="C35" s="1800">
        <v>13904</v>
      </c>
      <c r="D35" s="1800">
        <v>13904</v>
      </c>
      <c r="E35" s="1800">
        <v>13904</v>
      </c>
      <c r="F35" s="1800">
        <v>13904</v>
      </c>
      <c r="G35" s="1800">
        <v>13904</v>
      </c>
      <c r="H35" s="1800">
        <v>13904</v>
      </c>
      <c r="I35" s="1800">
        <f>H35-G35</f>
        <v>0</v>
      </c>
    </row>
    <row r="36" spans="1:9" ht="88.5" customHeight="1">
      <c r="A36" s="1809" t="s">
        <v>1282</v>
      </c>
      <c r="B36" s="1810"/>
      <c r="C36" s="1810"/>
      <c r="D36" s="1810"/>
      <c r="E36" s="1810"/>
      <c r="F36" s="1810"/>
      <c r="G36" s="1810"/>
      <c r="H36" s="1810"/>
      <c r="I36" s="1820"/>
    </row>
    <row r="37" spans="1:9" ht="88.5" customHeight="1">
      <c r="A37" s="1814" t="s">
        <v>1283</v>
      </c>
      <c r="B37" s="1810"/>
      <c r="C37" s="1810"/>
      <c r="D37" s="1810"/>
      <c r="E37" s="1810"/>
      <c r="F37" s="1810"/>
      <c r="G37" s="1810"/>
      <c r="H37" s="1810"/>
      <c r="I37" s="1820"/>
    </row>
    <row r="38" spans="1:9" ht="88.5" customHeight="1">
      <c r="A38" s="1799" t="s">
        <v>1284</v>
      </c>
      <c r="B38" s="1810">
        <v>732252</v>
      </c>
      <c r="C38" s="1800">
        <v>732252</v>
      </c>
      <c r="D38" s="1800">
        <v>732252</v>
      </c>
      <c r="E38" s="1800">
        <v>732252</v>
      </c>
      <c r="F38" s="1800">
        <v>732252</v>
      </c>
      <c r="G38" s="1800">
        <v>731725</v>
      </c>
      <c r="H38" s="1800">
        <v>723296</v>
      </c>
      <c r="I38" s="1800">
        <f t="shared" ref="I38:I40" si="5">H38-G38</f>
        <v>-8429</v>
      </c>
    </row>
    <row r="39" spans="1:9" ht="88.5" customHeight="1" thickBot="1">
      <c r="A39" s="1822" t="s">
        <v>1285</v>
      </c>
      <c r="B39" s="1823">
        <v>57870</v>
      </c>
      <c r="C39" s="1823">
        <v>71029</v>
      </c>
      <c r="D39" s="1823">
        <v>71029</v>
      </c>
      <c r="E39" s="1823">
        <v>71029</v>
      </c>
      <c r="F39" s="1823">
        <v>71659</v>
      </c>
      <c r="G39" s="1823">
        <v>71659</v>
      </c>
      <c r="H39" s="1823">
        <v>87014</v>
      </c>
      <c r="I39" s="1823">
        <f t="shared" si="5"/>
        <v>15355</v>
      </c>
    </row>
    <row r="40" spans="1:9" ht="60" customHeight="1" thickTop="1" thickBot="1">
      <c r="A40" s="1801" t="s">
        <v>1286</v>
      </c>
      <c r="B40" s="1802">
        <v>2770</v>
      </c>
      <c r="C40" s="1802">
        <v>1738</v>
      </c>
      <c r="D40" s="1802">
        <v>1738</v>
      </c>
      <c r="E40" s="1802">
        <v>1738</v>
      </c>
      <c r="F40" s="1802">
        <v>1738</v>
      </c>
      <c r="G40" s="1802">
        <v>1738</v>
      </c>
      <c r="H40" s="1802">
        <v>1738</v>
      </c>
      <c r="I40" s="1802">
        <f t="shared" si="5"/>
        <v>0</v>
      </c>
    </row>
    <row r="41" spans="1:9" ht="87.75" customHeight="1" thickTop="1" thickBot="1">
      <c r="A41" s="1805" t="s">
        <v>1287</v>
      </c>
      <c r="B41" s="1824">
        <f t="shared" ref="B41:I41" si="6">SUM(B16:B40)-B25-B26-B30-B31</f>
        <v>2939684</v>
      </c>
      <c r="C41" s="1824">
        <f t="shared" si="6"/>
        <v>3333839</v>
      </c>
      <c r="D41" s="1824">
        <f t="shared" si="6"/>
        <v>3333839</v>
      </c>
      <c r="E41" s="1824">
        <f t="shared" si="6"/>
        <v>3333839</v>
      </c>
      <c r="F41" s="1824">
        <f t="shared" si="6"/>
        <v>3358011</v>
      </c>
      <c r="G41" s="1824">
        <f t="shared" si="6"/>
        <v>3354379</v>
      </c>
      <c r="H41" s="1825">
        <f t="shared" si="6"/>
        <v>3366710</v>
      </c>
      <c r="I41" s="1824">
        <f t="shared" si="6"/>
        <v>12331</v>
      </c>
    </row>
    <row r="42" spans="1:9" s="1788" customFormat="1" ht="89.25" customHeight="1" thickTop="1">
      <c r="A42" s="1807" t="s">
        <v>1288</v>
      </c>
      <c r="B42" s="1798"/>
      <c r="C42" s="1808"/>
      <c r="D42" s="1808"/>
      <c r="E42" s="1808"/>
      <c r="F42" s="1808"/>
      <c r="G42" s="1808"/>
      <c r="H42" s="1826"/>
      <c r="I42" s="1808"/>
    </row>
    <row r="43" spans="1:9" ht="60" customHeight="1">
      <c r="A43" s="1827" t="s">
        <v>1289</v>
      </c>
      <c r="B43" s="1800"/>
      <c r="C43" s="1800"/>
      <c r="D43" s="1800"/>
      <c r="E43" s="1800"/>
      <c r="F43" s="1800"/>
      <c r="G43" s="1800"/>
      <c r="H43" s="1828"/>
      <c r="I43" s="1800"/>
    </row>
    <row r="44" spans="1:9" ht="60" customHeight="1">
      <c r="A44" s="1801" t="s">
        <v>1290</v>
      </c>
      <c r="B44" s="1802">
        <v>103632</v>
      </c>
      <c r="C44" s="1829">
        <v>103632</v>
      </c>
      <c r="D44" s="1829">
        <v>111579</v>
      </c>
      <c r="E44" s="1829">
        <v>121380</v>
      </c>
      <c r="F44" s="1829">
        <v>121380</v>
      </c>
      <c r="G44" s="1829">
        <v>121380</v>
      </c>
      <c r="H44" s="1828">
        <v>121380</v>
      </c>
      <c r="I44" s="1829">
        <f>H44-G44</f>
        <v>0</v>
      </c>
    </row>
    <row r="45" spans="1:9" ht="60" customHeight="1">
      <c r="A45" s="1801" t="s">
        <v>1291</v>
      </c>
      <c r="B45" s="1802">
        <v>135912</v>
      </c>
      <c r="C45" s="1829">
        <v>142276</v>
      </c>
      <c r="D45" s="1829">
        <v>142276</v>
      </c>
      <c r="E45" s="1829">
        <v>142276</v>
      </c>
      <c r="F45" s="1829">
        <v>142276</v>
      </c>
      <c r="G45" s="1829">
        <v>142276</v>
      </c>
      <c r="H45" s="1828">
        <v>142276</v>
      </c>
      <c r="I45" s="1829">
        <f t="shared" ref="I45:I51" si="7">H45-G45</f>
        <v>0</v>
      </c>
    </row>
    <row r="46" spans="1:9" ht="89.25" customHeight="1">
      <c r="A46" s="1830" t="s">
        <v>1292</v>
      </c>
      <c r="B46" s="1829">
        <v>88330</v>
      </c>
      <c r="C46" s="1829">
        <v>96167</v>
      </c>
      <c r="D46" s="1829">
        <v>96167</v>
      </c>
      <c r="E46" s="1829">
        <v>96167</v>
      </c>
      <c r="F46" s="1829">
        <v>96167</v>
      </c>
      <c r="G46" s="1829">
        <v>96167</v>
      </c>
      <c r="H46" s="1828">
        <v>96166</v>
      </c>
      <c r="I46" s="1829">
        <f t="shared" si="7"/>
        <v>-1</v>
      </c>
    </row>
    <row r="47" spans="1:9" ht="60" customHeight="1">
      <c r="A47" s="1801" t="s">
        <v>1293</v>
      </c>
      <c r="B47" s="1829">
        <v>84775</v>
      </c>
      <c r="C47" s="1829">
        <v>88874</v>
      </c>
      <c r="D47" s="1829">
        <v>88874</v>
      </c>
      <c r="E47" s="1829">
        <v>88874</v>
      </c>
      <c r="F47" s="1829">
        <v>87104</v>
      </c>
      <c r="G47" s="1829">
        <v>87193</v>
      </c>
      <c r="H47" s="1828">
        <v>87458</v>
      </c>
      <c r="I47" s="1829">
        <f t="shared" si="7"/>
        <v>265</v>
      </c>
    </row>
    <row r="48" spans="1:9" ht="60" customHeight="1">
      <c r="A48" s="1831" t="s">
        <v>1294</v>
      </c>
      <c r="B48" s="1829">
        <v>75</v>
      </c>
      <c r="C48" s="1829">
        <v>100</v>
      </c>
      <c r="D48" s="1829">
        <v>100</v>
      </c>
      <c r="E48" s="1829">
        <v>100</v>
      </c>
      <c r="F48" s="1829">
        <v>75</v>
      </c>
      <c r="G48" s="1829">
        <v>75</v>
      </c>
      <c r="H48" s="1828">
        <v>75</v>
      </c>
      <c r="I48" s="1829">
        <f t="shared" si="7"/>
        <v>0</v>
      </c>
    </row>
    <row r="49" spans="1:13" ht="60" customHeight="1">
      <c r="A49" s="1801" t="s">
        <v>1295</v>
      </c>
      <c r="B49" s="1829">
        <v>67480</v>
      </c>
      <c r="C49" s="1829">
        <v>73235</v>
      </c>
      <c r="D49" s="1829">
        <v>73235</v>
      </c>
      <c r="E49" s="1829">
        <v>73235</v>
      </c>
      <c r="F49" s="1829">
        <v>75827</v>
      </c>
      <c r="G49" s="1829">
        <v>71291</v>
      </c>
      <c r="H49" s="1828">
        <v>68699</v>
      </c>
      <c r="I49" s="1829">
        <f t="shared" si="7"/>
        <v>-2592</v>
      </c>
    </row>
    <row r="50" spans="1:13" s="1788" customFormat="1" ht="60" customHeight="1">
      <c r="A50" s="1832" t="s">
        <v>1296</v>
      </c>
      <c r="B50" s="1829">
        <v>54924</v>
      </c>
      <c r="C50" s="1829">
        <v>59243</v>
      </c>
      <c r="D50" s="1829">
        <v>59243</v>
      </c>
      <c r="E50" s="1829">
        <v>59243</v>
      </c>
      <c r="F50" s="1829">
        <v>58125</v>
      </c>
      <c r="G50" s="1829">
        <v>57753</v>
      </c>
      <c r="H50" s="1828">
        <v>58126</v>
      </c>
      <c r="I50" s="1829">
        <f t="shared" si="7"/>
        <v>373</v>
      </c>
    </row>
    <row r="51" spans="1:13" ht="89.25" customHeight="1" thickBot="1">
      <c r="A51" s="1801" t="s">
        <v>1297</v>
      </c>
      <c r="B51" s="1803">
        <v>7775</v>
      </c>
      <c r="C51" s="1803">
        <v>8145</v>
      </c>
      <c r="D51" s="1803">
        <v>8145</v>
      </c>
      <c r="E51" s="1803">
        <v>8145</v>
      </c>
      <c r="F51" s="1803">
        <v>6109</v>
      </c>
      <c r="G51" s="1803">
        <v>7127</v>
      </c>
      <c r="H51" s="1828">
        <v>7127</v>
      </c>
      <c r="I51" s="1829">
        <f t="shared" si="7"/>
        <v>0</v>
      </c>
    </row>
    <row r="52" spans="1:13" ht="57.6" customHeight="1" thickTop="1" thickBot="1">
      <c r="A52" s="1833" t="s">
        <v>1289</v>
      </c>
      <c r="B52" s="1834">
        <f>SUM(B44:B51)</f>
        <v>542903</v>
      </c>
      <c r="C52" s="1834">
        <f>SUM(C44:C51)</f>
        <v>571672</v>
      </c>
      <c r="D52" s="1834">
        <v>579619</v>
      </c>
      <c r="E52" s="1834">
        <f>SUM(E44:E51)</f>
        <v>589420</v>
      </c>
      <c r="F52" s="1834">
        <f>SUM(F44:F51)</f>
        <v>587063</v>
      </c>
      <c r="G52" s="1834">
        <f t="shared" ref="G52:I52" si="8">SUM(G44:G51)</f>
        <v>583262</v>
      </c>
      <c r="H52" s="1835">
        <f t="shared" si="8"/>
        <v>581307</v>
      </c>
      <c r="I52" s="1834">
        <f t="shared" si="8"/>
        <v>-1955</v>
      </c>
    </row>
    <row r="53" spans="1:13" ht="57.6" customHeight="1" thickTop="1">
      <c r="A53" s="1809" t="s">
        <v>1298</v>
      </c>
      <c r="B53" s="1810"/>
      <c r="C53" s="1810"/>
      <c r="D53" s="1810"/>
      <c r="E53" s="1810"/>
      <c r="F53" s="1810"/>
      <c r="G53" s="1810"/>
      <c r="H53" s="1836"/>
      <c r="I53" s="1810"/>
    </row>
    <row r="54" spans="1:13" ht="57" customHeight="1">
      <c r="A54" s="1809" t="s">
        <v>1299</v>
      </c>
      <c r="B54" s="1810"/>
      <c r="C54" s="1810"/>
      <c r="D54" s="1810"/>
      <c r="E54" s="1810"/>
      <c r="F54" s="1810"/>
      <c r="G54" s="1810"/>
      <c r="H54" s="1836"/>
      <c r="I54" s="1810"/>
    </row>
    <row r="55" spans="1:13" ht="88.5" customHeight="1">
      <c r="A55" s="1799" t="s">
        <v>1300</v>
      </c>
      <c r="B55" s="1800">
        <v>513877</v>
      </c>
      <c r="C55" s="1800">
        <v>638414</v>
      </c>
      <c r="D55" s="1800">
        <v>638414</v>
      </c>
      <c r="E55" s="1800">
        <v>638414</v>
      </c>
      <c r="F55" s="1800">
        <v>603404</v>
      </c>
      <c r="G55" s="1800">
        <v>609582</v>
      </c>
      <c r="H55" s="1828">
        <v>607523</v>
      </c>
      <c r="I55" s="1800">
        <f>H55-G55</f>
        <v>-2059</v>
      </c>
    </row>
    <row r="56" spans="1:13" ht="88.5" customHeight="1">
      <c r="A56" s="1801" t="s">
        <v>1301</v>
      </c>
      <c r="B56" s="1800">
        <v>509431</v>
      </c>
      <c r="C56" s="1800">
        <v>596580</v>
      </c>
      <c r="D56" s="1800">
        <v>596580</v>
      </c>
      <c r="E56" s="1800">
        <v>596580</v>
      </c>
      <c r="F56" s="1800">
        <v>606853</v>
      </c>
      <c r="G56" s="1800">
        <v>622263</v>
      </c>
      <c r="H56" s="1828">
        <v>625198</v>
      </c>
      <c r="I56" s="1800">
        <f t="shared" ref="I56:I57" si="9">H56-G56</f>
        <v>2935</v>
      </c>
    </row>
    <row r="57" spans="1:13" ht="57.6" customHeight="1" thickBot="1">
      <c r="A57" s="1837" t="s">
        <v>1302</v>
      </c>
      <c r="B57" s="1800">
        <v>224614</v>
      </c>
      <c r="C57" s="1800">
        <v>259783</v>
      </c>
      <c r="D57" s="1800">
        <v>259783</v>
      </c>
      <c r="E57" s="1800">
        <v>259783</v>
      </c>
      <c r="F57" s="1800">
        <v>250703</v>
      </c>
      <c r="G57" s="1800">
        <v>258889</v>
      </c>
      <c r="H57" s="1828">
        <v>258889</v>
      </c>
      <c r="I57" s="1800">
        <f t="shared" si="9"/>
        <v>0</v>
      </c>
    </row>
    <row r="58" spans="1:13" ht="57" customHeight="1" thickTop="1" thickBot="1">
      <c r="A58" s="1833" t="s">
        <v>1303</v>
      </c>
      <c r="B58" s="1834">
        <f>SUM(B55:B57)</f>
        <v>1247922</v>
      </c>
      <c r="C58" s="1834">
        <f>SUM(C55:C57)</f>
        <v>1494777</v>
      </c>
      <c r="D58" s="1834">
        <v>1494777</v>
      </c>
      <c r="E58" s="1834">
        <f>SUM(E55:E57)</f>
        <v>1494777</v>
      </c>
      <c r="F58" s="1834">
        <f>SUM(F55:F57)</f>
        <v>1460960</v>
      </c>
      <c r="G58" s="1834">
        <f t="shared" ref="G58:I58" si="10">SUM(G55:G57)</f>
        <v>1490734</v>
      </c>
      <c r="H58" s="1835">
        <f t="shared" si="10"/>
        <v>1491610</v>
      </c>
      <c r="I58" s="1834">
        <f t="shared" si="10"/>
        <v>876</v>
      </c>
    </row>
    <row r="59" spans="1:13" ht="134.25" customHeight="1" thickTop="1">
      <c r="A59" s="1838" t="s">
        <v>1304</v>
      </c>
      <c r="B59" s="1839"/>
      <c r="C59" s="1839"/>
      <c r="D59" s="1839"/>
      <c r="E59" s="1839"/>
      <c r="F59" s="1839"/>
      <c r="G59" s="1839"/>
      <c r="H59" s="1840"/>
      <c r="I59" s="1839"/>
    </row>
    <row r="60" spans="1:13" ht="56.25" customHeight="1">
      <c r="A60" s="1799" t="s">
        <v>1305</v>
      </c>
      <c r="B60" s="1800">
        <v>50742</v>
      </c>
      <c r="C60" s="1800">
        <v>62330</v>
      </c>
      <c r="D60" s="1800">
        <v>62330</v>
      </c>
      <c r="E60" s="1800">
        <v>62330</v>
      </c>
      <c r="F60" s="1800">
        <v>31165</v>
      </c>
      <c r="G60" s="1800">
        <v>38956</v>
      </c>
      <c r="H60" s="1828">
        <v>38956</v>
      </c>
      <c r="I60" s="1800">
        <f>H60-G60</f>
        <v>0</v>
      </c>
    </row>
    <row r="61" spans="1:13" ht="56.25" customHeight="1" thickBot="1">
      <c r="A61" s="1801" t="s">
        <v>1306</v>
      </c>
      <c r="B61" s="1800">
        <v>15220</v>
      </c>
      <c r="C61" s="1800">
        <v>16902</v>
      </c>
      <c r="D61" s="1800">
        <v>16902</v>
      </c>
      <c r="E61" s="1800">
        <v>16902</v>
      </c>
      <c r="F61" s="1800">
        <v>16907</v>
      </c>
      <c r="G61" s="1800">
        <v>17560</v>
      </c>
      <c r="H61" s="1828">
        <v>16171</v>
      </c>
      <c r="I61" s="1800">
        <f>H61-G61</f>
        <v>-1389</v>
      </c>
    </row>
    <row r="62" spans="1:13" ht="114.75" customHeight="1" thickTop="1" thickBot="1">
      <c r="A62" s="1838" t="s">
        <v>1307</v>
      </c>
      <c r="B62" s="1834">
        <f>SUM(B60:B61)</f>
        <v>65962</v>
      </c>
      <c r="C62" s="1834">
        <f>SUM(C60:C61)</f>
        <v>79232</v>
      </c>
      <c r="D62" s="1834">
        <v>79232</v>
      </c>
      <c r="E62" s="1834">
        <f>SUM(E60:E61)</f>
        <v>79232</v>
      </c>
      <c r="F62" s="1834">
        <f>SUM(F60:F61)</f>
        <v>48072</v>
      </c>
      <c r="G62" s="1834">
        <f t="shared" ref="G62:I62" si="11">SUM(G60:G61)</f>
        <v>56516</v>
      </c>
      <c r="H62" s="1835">
        <f t="shared" si="11"/>
        <v>55127</v>
      </c>
      <c r="I62" s="1834">
        <f t="shared" si="11"/>
        <v>-1389</v>
      </c>
    </row>
    <row r="63" spans="1:13" ht="88.5" customHeight="1" thickTop="1" thickBot="1">
      <c r="A63" s="1805" t="s">
        <v>1308</v>
      </c>
      <c r="B63" s="1824">
        <f t="shared" ref="B63:I63" si="12">B52+B58+B62</f>
        <v>1856787</v>
      </c>
      <c r="C63" s="1824">
        <f t="shared" si="12"/>
        <v>2145681</v>
      </c>
      <c r="D63" s="1824">
        <f t="shared" si="12"/>
        <v>2153628</v>
      </c>
      <c r="E63" s="1824">
        <f t="shared" si="12"/>
        <v>2163429</v>
      </c>
      <c r="F63" s="1824">
        <f t="shared" si="12"/>
        <v>2096095</v>
      </c>
      <c r="G63" s="1824">
        <f t="shared" si="12"/>
        <v>2130512</v>
      </c>
      <c r="H63" s="1825">
        <f t="shared" si="12"/>
        <v>2128044</v>
      </c>
      <c r="I63" s="1824">
        <f t="shared" si="12"/>
        <v>-2468</v>
      </c>
    </row>
    <row r="64" spans="1:13" ht="88.5" customHeight="1" thickTop="1">
      <c r="A64" s="1809" t="s">
        <v>1309</v>
      </c>
      <c r="B64" s="1810"/>
      <c r="C64" s="1810"/>
      <c r="D64" s="1810"/>
      <c r="E64" s="1810"/>
      <c r="F64" s="1810"/>
      <c r="G64" s="1810"/>
      <c r="H64" s="1840"/>
      <c r="I64" s="1810"/>
      <c r="M64" s="1783"/>
    </row>
    <row r="65" spans="1:9" s="1788" customFormat="1" ht="56.25" customHeight="1">
      <c r="A65" s="1807" t="s">
        <v>1310</v>
      </c>
      <c r="B65" s="1808"/>
      <c r="C65" s="1808"/>
      <c r="D65" s="1808"/>
      <c r="E65" s="1808"/>
      <c r="F65" s="1808"/>
      <c r="G65" s="1808"/>
      <c r="H65" s="1826"/>
      <c r="I65" s="1808"/>
    </row>
    <row r="66" spans="1:9" ht="56.25" customHeight="1">
      <c r="A66" s="1804" t="s">
        <v>1311</v>
      </c>
      <c r="B66" s="1800">
        <v>338977</v>
      </c>
      <c r="C66" s="1800">
        <v>400523</v>
      </c>
      <c r="D66" s="1800">
        <v>400523</v>
      </c>
      <c r="E66" s="1800">
        <v>400523</v>
      </c>
      <c r="F66" s="1800">
        <v>378627</v>
      </c>
      <c r="G66" s="1800">
        <v>370818</v>
      </c>
      <c r="H66" s="1828">
        <v>369523</v>
      </c>
      <c r="I66" s="1800">
        <f>H66-G66</f>
        <v>-1295</v>
      </c>
    </row>
    <row r="67" spans="1:9" ht="56.25" customHeight="1">
      <c r="A67" s="1841" t="s">
        <v>1312</v>
      </c>
      <c r="B67" s="1800">
        <v>473371</v>
      </c>
      <c r="C67" s="1800">
        <v>476813</v>
      </c>
      <c r="D67" s="1800">
        <v>476813</v>
      </c>
      <c r="E67" s="1800">
        <v>476813</v>
      </c>
      <c r="F67" s="1800">
        <v>497482</v>
      </c>
      <c r="G67" s="1800">
        <v>574968</v>
      </c>
      <c r="H67" s="1828">
        <v>574968</v>
      </c>
      <c r="I67" s="1800">
        <f t="shared" ref="I67:I68" si="13">H67-G67</f>
        <v>0</v>
      </c>
    </row>
    <row r="68" spans="1:9" ht="56.25" customHeight="1" thickBot="1">
      <c r="A68" s="1807" t="s">
        <v>1313</v>
      </c>
      <c r="B68" s="1800">
        <v>718</v>
      </c>
      <c r="C68" s="1800">
        <v>729</v>
      </c>
      <c r="D68" s="1800">
        <v>729</v>
      </c>
      <c r="E68" s="1800">
        <v>729</v>
      </c>
      <c r="F68" s="1800">
        <v>737</v>
      </c>
      <c r="G68" s="1800">
        <v>1163</v>
      </c>
      <c r="H68" s="1828">
        <v>1145</v>
      </c>
      <c r="I68" s="1800">
        <f t="shared" si="13"/>
        <v>-18</v>
      </c>
    </row>
    <row r="69" spans="1:9" ht="89.25" customHeight="1" thickTop="1" thickBot="1">
      <c r="A69" s="1842" t="s">
        <v>1314</v>
      </c>
      <c r="B69" s="1824">
        <f t="shared" ref="B69:F69" si="14">SUM(B66:B68)</f>
        <v>813066</v>
      </c>
      <c r="C69" s="1824">
        <f t="shared" si="14"/>
        <v>878065</v>
      </c>
      <c r="D69" s="1824">
        <f t="shared" si="14"/>
        <v>878065</v>
      </c>
      <c r="E69" s="1824">
        <f t="shared" si="14"/>
        <v>878065</v>
      </c>
      <c r="F69" s="1824">
        <f t="shared" si="14"/>
        <v>876846</v>
      </c>
      <c r="G69" s="1824">
        <f>SUM(G65:G68)</f>
        <v>946949</v>
      </c>
      <c r="H69" s="1825">
        <f>SUM(H65:H68)</f>
        <v>945636</v>
      </c>
      <c r="I69" s="1824">
        <f>SUM(I65:I68)</f>
        <v>-1313</v>
      </c>
    </row>
    <row r="70" spans="1:9" ht="88.5" customHeight="1" thickTop="1">
      <c r="A70" s="1838" t="s">
        <v>1315</v>
      </c>
      <c r="B70" s="1839"/>
      <c r="C70" s="1839"/>
      <c r="D70" s="1839"/>
      <c r="E70" s="1839"/>
      <c r="F70" s="1839"/>
      <c r="G70" s="1839"/>
      <c r="H70" s="1840"/>
      <c r="I70" s="1839"/>
    </row>
    <row r="71" spans="1:9" ht="88.5" customHeight="1">
      <c r="A71" s="1799" t="s">
        <v>1316</v>
      </c>
      <c r="B71" s="1800">
        <v>71937</v>
      </c>
      <c r="C71" s="1800">
        <v>71479</v>
      </c>
      <c r="D71" s="1800">
        <v>71479</v>
      </c>
      <c r="E71" s="1800">
        <v>71479</v>
      </c>
      <c r="F71" s="1800">
        <v>71479</v>
      </c>
      <c r="G71" s="1800">
        <v>71480</v>
      </c>
      <c r="H71" s="1828">
        <v>71480</v>
      </c>
      <c r="I71" s="1800">
        <f t="shared" ref="I71:I72" si="15">H71-G71</f>
        <v>0</v>
      </c>
    </row>
    <row r="72" spans="1:9" ht="89.25" customHeight="1" thickBot="1">
      <c r="A72" s="1801" t="s">
        <v>1317</v>
      </c>
      <c r="B72" s="1800">
        <v>142714</v>
      </c>
      <c r="C72" s="1800">
        <v>142713</v>
      </c>
      <c r="D72" s="1800">
        <v>142713</v>
      </c>
      <c r="E72" s="1800">
        <v>142713</v>
      </c>
      <c r="F72" s="1800">
        <v>142713</v>
      </c>
      <c r="G72" s="1800">
        <v>142714</v>
      </c>
      <c r="H72" s="1828">
        <v>142714</v>
      </c>
      <c r="I72" s="1800">
        <f t="shared" si="15"/>
        <v>0</v>
      </c>
    </row>
    <row r="73" spans="1:9" ht="88.5" customHeight="1" thickTop="1" thickBot="1">
      <c r="A73" s="1842" t="s">
        <v>1318</v>
      </c>
      <c r="B73" s="1824">
        <f t="shared" ref="B73:I73" si="16">SUM(B71:B72)</f>
        <v>214651</v>
      </c>
      <c r="C73" s="1824">
        <f t="shared" si="16"/>
        <v>214192</v>
      </c>
      <c r="D73" s="1824">
        <f t="shared" si="16"/>
        <v>214192</v>
      </c>
      <c r="E73" s="1824">
        <f t="shared" si="16"/>
        <v>214192</v>
      </c>
      <c r="F73" s="1824">
        <f t="shared" si="16"/>
        <v>214192</v>
      </c>
      <c r="G73" s="1824">
        <f t="shared" si="16"/>
        <v>214194</v>
      </c>
      <c r="H73" s="1825">
        <f t="shared" si="16"/>
        <v>214194</v>
      </c>
      <c r="I73" s="1824">
        <f t="shared" si="16"/>
        <v>0</v>
      </c>
    </row>
    <row r="74" spans="1:9" ht="88.5" customHeight="1" thickTop="1" thickBot="1">
      <c r="A74" s="1843" t="s">
        <v>1319</v>
      </c>
      <c r="B74" s="1844">
        <f t="shared" ref="B74:I74" si="17">B15+B41+B63+B69+B73</f>
        <v>7562272</v>
      </c>
      <c r="C74" s="1844">
        <f t="shared" si="17"/>
        <v>8278376</v>
      </c>
      <c r="D74" s="1844">
        <f t="shared" si="17"/>
        <v>8338892</v>
      </c>
      <c r="E74" s="1844">
        <f t="shared" si="17"/>
        <v>8348693</v>
      </c>
      <c r="F74" s="1844">
        <f t="shared" si="17"/>
        <v>8304537</v>
      </c>
      <c r="G74" s="1844">
        <f t="shared" si="17"/>
        <v>8405878</v>
      </c>
      <c r="H74" s="1845">
        <f t="shared" si="17"/>
        <v>8414428</v>
      </c>
      <c r="I74" s="1844">
        <f t="shared" si="17"/>
        <v>8550</v>
      </c>
    </row>
    <row r="75" spans="1:9" s="1783" customFormat="1" ht="88.5" customHeight="1">
      <c r="A75" s="1846" t="s">
        <v>1320</v>
      </c>
      <c r="B75" s="1847"/>
      <c r="C75" s="1847"/>
      <c r="D75" s="1847"/>
      <c r="E75" s="1848"/>
      <c r="F75" s="1848"/>
      <c r="G75" s="1848"/>
      <c r="H75" s="1849"/>
      <c r="I75" s="1848"/>
    </row>
    <row r="76" spans="1:9" s="1783" customFormat="1" ht="56.25" customHeight="1">
      <c r="A76" s="1850" t="s">
        <v>1321</v>
      </c>
      <c r="B76" s="1851">
        <v>240166</v>
      </c>
      <c r="C76" s="1851"/>
      <c r="D76" s="1851"/>
      <c r="E76" s="1851">
        <v>105185</v>
      </c>
      <c r="F76" s="1851">
        <v>189533</v>
      </c>
      <c r="G76" s="1851">
        <v>251154</v>
      </c>
      <c r="H76" s="1852">
        <v>251154</v>
      </c>
      <c r="I76" s="1800">
        <f t="shared" ref="I76:I82" si="18">H76-G76</f>
        <v>0</v>
      </c>
    </row>
    <row r="77" spans="1:9" s="1783" customFormat="1" ht="89.25" customHeight="1">
      <c r="A77" s="1853" t="s">
        <v>1322</v>
      </c>
      <c r="B77" s="1854">
        <f>B76</f>
        <v>240166</v>
      </c>
      <c r="C77" s="1854"/>
      <c r="D77" s="1854"/>
      <c r="E77" s="1854">
        <f>E76</f>
        <v>105185</v>
      </c>
      <c r="F77" s="1854">
        <f>F76</f>
        <v>189533</v>
      </c>
      <c r="G77" s="1854">
        <f t="shared" ref="G77:I77" si="19">G76</f>
        <v>251154</v>
      </c>
      <c r="H77" s="1854">
        <f t="shared" si="19"/>
        <v>251154</v>
      </c>
      <c r="I77" s="1854">
        <f t="shared" si="19"/>
        <v>0</v>
      </c>
    </row>
    <row r="78" spans="1:9" ht="56.25" customHeight="1">
      <c r="A78" s="1850" t="s">
        <v>1323</v>
      </c>
      <c r="B78" s="1855">
        <v>230670</v>
      </c>
      <c r="C78" s="1855">
        <v>230670</v>
      </c>
      <c r="D78" s="1855">
        <v>230670</v>
      </c>
      <c r="E78" s="1856">
        <v>230670</v>
      </c>
      <c r="F78" s="1856">
        <v>230670</v>
      </c>
      <c r="G78" s="1856">
        <v>230670</v>
      </c>
      <c r="H78" s="1828">
        <v>230670</v>
      </c>
      <c r="I78" s="1800">
        <f t="shared" si="18"/>
        <v>0</v>
      </c>
    </row>
    <row r="79" spans="1:9" ht="56.25" customHeight="1">
      <c r="A79" s="1850" t="s">
        <v>1324</v>
      </c>
      <c r="B79" s="1856">
        <v>188000</v>
      </c>
      <c r="C79" s="1856">
        <v>188000</v>
      </c>
      <c r="D79" s="1856">
        <v>188000</v>
      </c>
      <c r="E79" s="1856">
        <v>188000</v>
      </c>
      <c r="F79" s="1856">
        <v>188000</v>
      </c>
      <c r="G79" s="1856">
        <v>188000</v>
      </c>
      <c r="H79" s="1828">
        <v>188000</v>
      </c>
      <c r="I79" s="1800">
        <f t="shared" si="18"/>
        <v>0</v>
      </c>
    </row>
    <row r="80" spans="1:9" ht="56.25" customHeight="1">
      <c r="A80" s="1857" t="s">
        <v>1325</v>
      </c>
      <c r="B80" s="1856">
        <v>5712</v>
      </c>
      <c r="C80" s="1856"/>
      <c r="D80" s="1856"/>
      <c r="E80" s="1856"/>
      <c r="F80" s="1856"/>
      <c r="G80" s="1856">
        <v>5539</v>
      </c>
      <c r="H80" s="1828">
        <v>5539</v>
      </c>
      <c r="I80" s="1800">
        <f t="shared" si="18"/>
        <v>0</v>
      </c>
    </row>
    <row r="81" spans="1:9" s="1788" customFormat="1" ht="87.75" customHeight="1">
      <c r="A81" s="1858" t="s">
        <v>1326</v>
      </c>
      <c r="B81" s="1856">
        <v>157338</v>
      </c>
      <c r="C81" s="1856">
        <v>157338</v>
      </c>
      <c r="D81" s="1856">
        <v>157338</v>
      </c>
      <c r="E81" s="1856">
        <v>157338</v>
      </c>
      <c r="F81" s="1856">
        <v>157338</v>
      </c>
      <c r="G81" s="1856">
        <v>157338</v>
      </c>
      <c r="H81" s="1828">
        <v>157338</v>
      </c>
      <c r="I81" s="1800">
        <f t="shared" si="18"/>
        <v>0</v>
      </c>
    </row>
    <row r="82" spans="1:9" s="1788" customFormat="1" ht="56.25" customHeight="1">
      <c r="A82" s="1858" t="s">
        <v>1327</v>
      </c>
      <c r="B82" s="1856">
        <v>318266</v>
      </c>
      <c r="C82" s="1856">
        <v>318266</v>
      </c>
      <c r="D82" s="1856">
        <v>318266</v>
      </c>
      <c r="E82" s="1856">
        <v>318266</v>
      </c>
      <c r="F82" s="1856">
        <v>318266</v>
      </c>
      <c r="G82" s="1856">
        <v>318266</v>
      </c>
      <c r="H82" s="1828">
        <v>318266</v>
      </c>
      <c r="I82" s="1800">
        <f t="shared" si="18"/>
        <v>0</v>
      </c>
    </row>
    <row r="83" spans="1:9" s="1789" customFormat="1" ht="60" customHeight="1">
      <c r="A83" s="1853" t="s">
        <v>1328</v>
      </c>
      <c r="B83" s="1854">
        <f t="shared" ref="B83:F83" si="20">SUM(B78:B82)</f>
        <v>899986</v>
      </c>
      <c r="C83" s="1854">
        <f t="shared" si="20"/>
        <v>894274</v>
      </c>
      <c r="D83" s="1854">
        <f t="shared" si="20"/>
        <v>894274</v>
      </c>
      <c r="E83" s="1854">
        <f t="shared" si="20"/>
        <v>894274</v>
      </c>
      <c r="F83" s="1854">
        <f t="shared" si="20"/>
        <v>894274</v>
      </c>
      <c r="G83" s="1854">
        <f>SUM(G78:G82)</f>
        <v>899813</v>
      </c>
      <c r="H83" s="1859">
        <f>SUM(H78:H82)</f>
        <v>899813</v>
      </c>
      <c r="I83" s="1854">
        <f>SUM(I78:I82)</f>
        <v>0</v>
      </c>
    </row>
    <row r="84" spans="1:9" s="1790" customFormat="1" ht="89.25" customHeight="1">
      <c r="A84" s="1869" t="s">
        <v>333</v>
      </c>
      <c r="B84" s="1856">
        <v>14555</v>
      </c>
      <c r="C84" s="1856"/>
      <c r="D84" s="1856"/>
      <c r="E84" s="1856">
        <v>2420</v>
      </c>
      <c r="F84" s="1856">
        <v>4860</v>
      </c>
      <c r="G84" s="1856">
        <v>7300</v>
      </c>
      <c r="H84" s="1828">
        <v>7300</v>
      </c>
      <c r="I84" s="1856"/>
    </row>
    <row r="85" spans="1:9" s="1790" customFormat="1" ht="87.75" customHeight="1">
      <c r="A85" s="1870" t="s">
        <v>1329</v>
      </c>
      <c r="B85" s="1856">
        <v>63915</v>
      </c>
      <c r="C85" s="1856"/>
      <c r="D85" s="1856"/>
      <c r="E85" s="1856"/>
      <c r="F85" s="1856">
        <v>3137</v>
      </c>
      <c r="G85" s="1856">
        <v>3137</v>
      </c>
      <c r="H85" s="1828">
        <v>3137</v>
      </c>
      <c r="I85" s="1856"/>
    </row>
    <row r="86" spans="1:9" s="1788" customFormat="1" ht="87.75" customHeight="1">
      <c r="A86" s="1860" t="s">
        <v>1330</v>
      </c>
      <c r="B86" s="1861">
        <f>SUM(B84:B85)</f>
        <v>78470</v>
      </c>
      <c r="C86" s="1861">
        <f t="shared" ref="C86:H86" si="21">SUM(C84:C85)</f>
        <v>0</v>
      </c>
      <c r="D86" s="1861">
        <f t="shared" si="21"/>
        <v>0</v>
      </c>
      <c r="E86" s="1861">
        <f t="shared" si="21"/>
        <v>2420</v>
      </c>
      <c r="F86" s="1861">
        <f t="shared" si="21"/>
        <v>7997</v>
      </c>
      <c r="G86" s="1861">
        <f t="shared" si="21"/>
        <v>10437</v>
      </c>
      <c r="H86" s="1862">
        <f t="shared" si="21"/>
        <v>10437</v>
      </c>
      <c r="I86" s="1861"/>
    </row>
    <row r="87" spans="1:9" s="1787" customFormat="1" ht="60" customHeight="1">
      <c r="A87" s="1863" t="s">
        <v>1331</v>
      </c>
      <c r="B87" s="1864">
        <f>B77+B83+B86</f>
        <v>1218622</v>
      </c>
      <c r="C87" s="1864">
        <f t="shared" ref="C87:I87" si="22">C77+C83+C86</f>
        <v>894274</v>
      </c>
      <c r="D87" s="1864">
        <f t="shared" si="22"/>
        <v>894274</v>
      </c>
      <c r="E87" s="1864">
        <f t="shared" si="22"/>
        <v>1001879</v>
      </c>
      <c r="F87" s="1864">
        <f t="shared" si="22"/>
        <v>1091804</v>
      </c>
      <c r="G87" s="1864">
        <f t="shared" si="22"/>
        <v>1161404</v>
      </c>
      <c r="H87" s="1865">
        <f t="shared" si="22"/>
        <v>1161404</v>
      </c>
      <c r="I87" s="1864">
        <f t="shared" si="22"/>
        <v>0</v>
      </c>
    </row>
    <row r="88" spans="1:9" s="1787" customFormat="1" ht="60" customHeight="1" thickBot="1">
      <c r="A88" s="1866" t="s">
        <v>1332</v>
      </c>
      <c r="B88" s="1867">
        <f>B74+B87</f>
        <v>8780894</v>
      </c>
      <c r="C88" s="1867">
        <f t="shared" ref="C88:I88" si="23">C74+C87</f>
        <v>9172650</v>
      </c>
      <c r="D88" s="1867">
        <f t="shared" si="23"/>
        <v>9233166</v>
      </c>
      <c r="E88" s="1867">
        <f t="shared" si="23"/>
        <v>9350572</v>
      </c>
      <c r="F88" s="1867">
        <f t="shared" si="23"/>
        <v>9396341</v>
      </c>
      <c r="G88" s="1867">
        <f t="shared" si="23"/>
        <v>9567282</v>
      </c>
      <c r="H88" s="1868">
        <f t="shared" si="23"/>
        <v>9575832</v>
      </c>
      <c r="I88" s="1867">
        <f t="shared" si="23"/>
        <v>8550</v>
      </c>
    </row>
  </sheetData>
  <mergeCells count="2">
    <mergeCell ref="A1:I1"/>
    <mergeCell ref="A2:I2"/>
  </mergeCells>
  <printOptions horizontalCentered="1" verticalCentered="1"/>
  <pageMargins left="0" right="0" top="0" bottom="0" header="0.31496062992125984" footer="0.31496062992125984"/>
  <pageSetup paperSize="9" scale="22" orientation="portrait" r:id="rId1"/>
  <headerFooter>
    <oddHeader xml:space="preserve">&amp;R&amp;18 &amp;22 &amp;"-,Normál"&amp;26 5. melléklet a ..../2026.(....) önkormányzati rendelethez 
 </oddHeader>
  </headerFooter>
  <rowBreaks count="1" manualBreakCount="1">
    <brk id="4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36BD-00D3-4604-A334-7D360A265F18}">
  <dimension ref="A1:BL57"/>
  <sheetViews>
    <sheetView view="pageBreakPreview" zoomScale="50" zoomScaleNormal="50" zoomScaleSheetLayoutView="50" workbookViewId="0">
      <pane xSplit="1" ySplit="8" topLeftCell="AS47" activePane="bottomRight" state="frozen"/>
      <selection activeCell="B2" sqref="B2:F2"/>
      <selection pane="topRight" activeCell="B2" sqref="B2:F2"/>
      <selection pane="bottomLeft" activeCell="B2" sqref="B2:F2"/>
      <selection pane="bottomRight" activeCell="A2" sqref="A2:M2"/>
    </sheetView>
  </sheetViews>
  <sheetFormatPr defaultRowHeight="26.45" customHeight="1"/>
  <cols>
    <col min="1" max="1" width="185.6640625" style="1123" customWidth="1"/>
    <col min="2" max="13" width="55" style="1124" customWidth="1"/>
    <col min="14" max="14" width="176.6640625" style="1123" customWidth="1"/>
    <col min="15" max="26" width="53" style="1124" customWidth="1"/>
    <col min="27" max="27" width="176.5" style="1125" customWidth="1"/>
    <col min="28" max="31" width="53" style="1123" customWidth="1"/>
    <col min="32" max="35" width="53" style="1126" customWidth="1"/>
    <col min="36" max="39" width="53" style="1123" customWidth="1"/>
    <col min="40" max="40" width="176.5" style="1125" customWidth="1"/>
    <col min="41" max="44" width="63" style="1123" customWidth="1"/>
    <col min="45" max="48" width="63" style="1126" customWidth="1"/>
    <col min="49" max="50" width="45.1640625" style="1126" customWidth="1"/>
    <col min="51" max="51" width="41.1640625" style="1126" customWidth="1"/>
    <col min="52" max="256" width="9.33203125" style="1088"/>
    <col min="257" max="257" width="176.6640625" style="1088" customWidth="1"/>
    <col min="258" max="269" width="55" style="1088" customWidth="1"/>
    <col min="270" max="270" width="176.6640625" style="1088" customWidth="1"/>
    <col min="271" max="282" width="53" style="1088" customWidth="1"/>
    <col min="283" max="283" width="176.5" style="1088" customWidth="1"/>
    <col min="284" max="295" width="53" style="1088" customWidth="1"/>
    <col min="296" max="296" width="176.5" style="1088" customWidth="1"/>
    <col min="297" max="304" width="63" style="1088" customWidth="1"/>
    <col min="305" max="306" width="45.1640625" style="1088" customWidth="1"/>
    <col min="307" max="307" width="41.1640625" style="1088" customWidth="1"/>
    <col min="308" max="512" width="9.33203125" style="1088"/>
    <col min="513" max="513" width="176.6640625" style="1088" customWidth="1"/>
    <col min="514" max="525" width="55" style="1088" customWidth="1"/>
    <col min="526" max="526" width="176.6640625" style="1088" customWidth="1"/>
    <col min="527" max="538" width="53" style="1088" customWidth="1"/>
    <col min="539" max="539" width="176.5" style="1088" customWidth="1"/>
    <col min="540" max="551" width="53" style="1088" customWidth="1"/>
    <col min="552" max="552" width="176.5" style="1088" customWidth="1"/>
    <col min="553" max="560" width="63" style="1088" customWidth="1"/>
    <col min="561" max="562" width="45.1640625" style="1088" customWidth="1"/>
    <col min="563" max="563" width="41.1640625" style="1088" customWidth="1"/>
    <col min="564" max="768" width="9.33203125" style="1088"/>
    <col min="769" max="769" width="176.6640625" style="1088" customWidth="1"/>
    <col min="770" max="781" width="55" style="1088" customWidth="1"/>
    <col min="782" max="782" width="176.6640625" style="1088" customWidth="1"/>
    <col min="783" max="794" width="53" style="1088" customWidth="1"/>
    <col min="795" max="795" width="176.5" style="1088" customWidth="1"/>
    <col min="796" max="807" width="53" style="1088" customWidth="1"/>
    <col min="808" max="808" width="176.5" style="1088" customWidth="1"/>
    <col min="809" max="816" width="63" style="1088" customWidth="1"/>
    <col min="817" max="818" width="45.1640625" style="1088" customWidth="1"/>
    <col min="819" max="819" width="41.1640625" style="1088" customWidth="1"/>
    <col min="820" max="1024" width="9.33203125" style="1088"/>
    <col min="1025" max="1025" width="176.6640625" style="1088" customWidth="1"/>
    <col min="1026" max="1037" width="55" style="1088" customWidth="1"/>
    <col min="1038" max="1038" width="176.6640625" style="1088" customWidth="1"/>
    <col min="1039" max="1050" width="53" style="1088" customWidth="1"/>
    <col min="1051" max="1051" width="176.5" style="1088" customWidth="1"/>
    <col min="1052" max="1063" width="53" style="1088" customWidth="1"/>
    <col min="1064" max="1064" width="176.5" style="1088" customWidth="1"/>
    <col min="1065" max="1072" width="63" style="1088" customWidth="1"/>
    <col min="1073" max="1074" width="45.1640625" style="1088" customWidth="1"/>
    <col min="1075" max="1075" width="41.1640625" style="1088" customWidth="1"/>
    <col min="1076" max="1280" width="9.33203125" style="1088"/>
    <col min="1281" max="1281" width="176.6640625" style="1088" customWidth="1"/>
    <col min="1282" max="1293" width="55" style="1088" customWidth="1"/>
    <col min="1294" max="1294" width="176.6640625" style="1088" customWidth="1"/>
    <col min="1295" max="1306" width="53" style="1088" customWidth="1"/>
    <col min="1307" max="1307" width="176.5" style="1088" customWidth="1"/>
    <col min="1308" max="1319" width="53" style="1088" customWidth="1"/>
    <col min="1320" max="1320" width="176.5" style="1088" customWidth="1"/>
    <col min="1321" max="1328" width="63" style="1088" customWidth="1"/>
    <col min="1329" max="1330" width="45.1640625" style="1088" customWidth="1"/>
    <col min="1331" max="1331" width="41.1640625" style="1088" customWidth="1"/>
    <col min="1332" max="1536" width="9.33203125" style="1088"/>
    <col min="1537" max="1537" width="176.6640625" style="1088" customWidth="1"/>
    <col min="1538" max="1549" width="55" style="1088" customWidth="1"/>
    <col min="1550" max="1550" width="176.6640625" style="1088" customWidth="1"/>
    <col min="1551" max="1562" width="53" style="1088" customWidth="1"/>
    <col min="1563" max="1563" width="176.5" style="1088" customWidth="1"/>
    <col min="1564" max="1575" width="53" style="1088" customWidth="1"/>
    <col min="1576" max="1576" width="176.5" style="1088" customWidth="1"/>
    <col min="1577" max="1584" width="63" style="1088" customWidth="1"/>
    <col min="1585" max="1586" width="45.1640625" style="1088" customWidth="1"/>
    <col min="1587" max="1587" width="41.1640625" style="1088" customWidth="1"/>
    <col min="1588" max="1792" width="9.33203125" style="1088"/>
    <col min="1793" max="1793" width="176.6640625" style="1088" customWidth="1"/>
    <col min="1794" max="1805" width="55" style="1088" customWidth="1"/>
    <col min="1806" max="1806" width="176.6640625" style="1088" customWidth="1"/>
    <col min="1807" max="1818" width="53" style="1088" customWidth="1"/>
    <col min="1819" max="1819" width="176.5" style="1088" customWidth="1"/>
    <col min="1820" max="1831" width="53" style="1088" customWidth="1"/>
    <col min="1832" max="1832" width="176.5" style="1088" customWidth="1"/>
    <col min="1833" max="1840" width="63" style="1088" customWidth="1"/>
    <col min="1841" max="1842" width="45.1640625" style="1088" customWidth="1"/>
    <col min="1843" max="1843" width="41.1640625" style="1088" customWidth="1"/>
    <col min="1844" max="2048" width="9.33203125" style="1088"/>
    <col min="2049" max="2049" width="176.6640625" style="1088" customWidth="1"/>
    <col min="2050" max="2061" width="55" style="1088" customWidth="1"/>
    <col min="2062" max="2062" width="176.6640625" style="1088" customWidth="1"/>
    <col min="2063" max="2074" width="53" style="1088" customWidth="1"/>
    <col min="2075" max="2075" width="176.5" style="1088" customWidth="1"/>
    <col min="2076" max="2087" width="53" style="1088" customWidth="1"/>
    <col min="2088" max="2088" width="176.5" style="1088" customWidth="1"/>
    <col min="2089" max="2096" width="63" style="1088" customWidth="1"/>
    <col min="2097" max="2098" width="45.1640625" style="1088" customWidth="1"/>
    <col min="2099" max="2099" width="41.1640625" style="1088" customWidth="1"/>
    <col min="2100" max="2304" width="9.33203125" style="1088"/>
    <col min="2305" max="2305" width="176.6640625" style="1088" customWidth="1"/>
    <col min="2306" max="2317" width="55" style="1088" customWidth="1"/>
    <col min="2318" max="2318" width="176.6640625" style="1088" customWidth="1"/>
    <col min="2319" max="2330" width="53" style="1088" customWidth="1"/>
    <col min="2331" max="2331" width="176.5" style="1088" customWidth="1"/>
    <col min="2332" max="2343" width="53" style="1088" customWidth="1"/>
    <col min="2344" max="2344" width="176.5" style="1088" customWidth="1"/>
    <col min="2345" max="2352" width="63" style="1088" customWidth="1"/>
    <col min="2353" max="2354" width="45.1640625" style="1088" customWidth="1"/>
    <col min="2355" max="2355" width="41.1640625" style="1088" customWidth="1"/>
    <col min="2356" max="2560" width="9.33203125" style="1088"/>
    <col min="2561" max="2561" width="176.6640625" style="1088" customWidth="1"/>
    <col min="2562" max="2573" width="55" style="1088" customWidth="1"/>
    <col min="2574" max="2574" width="176.6640625" style="1088" customWidth="1"/>
    <col min="2575" max="2586" width="53" style="1088" customWidth="1"/>
    <col min="2587" max="2587" width="176.5" style="1088" customWidth="1"/>
    <col min="2588" max="2599" width="53" style="1088" customWidth="1"/>
    <col min="2600" max="2600" width="176.5" style="1088" customWidth="1"/>
    <col min="2601" max="2608" width="63" style="1088" customWidth="1"/>
    <col min="2609" max="2610" width="45.1640625" style="1088" customWidth="1"/>
    <col min="2611" max="2611" width="41.1640625" style="1088" customWidth="1"/>
    <col min="2612" max="2816" width="9.33203125" style="1088"/>
    <col min="2817" max="2817" width="176.6640625" style="1088" customWidth="1"/>
    <col min="2818" max="2829" width="55" style="1088" customWidth="1"/>
    <col min="2830" max="2830" width="176.6640625" style="1088" customWidth="1"/>
    <col min="2831" max="2842" width="53" style="1088" customWidth="1"/>
    <col min="2843" max="2843" width="176.5" style="1088" customWidth="1"/>
    <col min="2844" max="2855" width="53" style="1088" customWidth="1"/>
    <col min="2856" max="2856" width="176.5" style="1088" customWidth="1"/>
    <col min="2857" max="2864" width="63" style="1088" customWidth="1"/>
    <col min="2865" max="2866" width="45.1640625" style="1088" customWidth="1"/>
    <col min="2867" max="2867" width="41.1640625" style="1088" customWidth="1"/>
    <col min="2868" max="3072" width="9.33203125" style="1088"/>
    <col min="3073" max="3073" width="176.6640625" style="1088" customWidth="1"/>
    <col min="3074" max="3085" width="55" style="1088" customWidth="1"/>
    <col min="3086" max="3086" width="176.6640625" style="1088" customWidth="1"/>
    <col min="3087" max="3098" width="53" style="1088" customWidth="1"/>
    <col min="3099" max="3099" width="176.5" style="1088" customWidth="1"/>
    <col min="3100" max="3111" width="53" style="1088" customWidth="1"/>
    <col min="3112" max="3112" width="176.5" style="1088" customWidth="1"/>
    <col min="3113" max="3120" width="63" style="1088" customWidth="1"/>
    <col min="3121" max="3122" width="45.1640625" style="1088" customWidth="1"/>
    <col min="3123" max="3123" width="41.1640625" style="1088" customWidth="1"/>
    <col min="3124" max="3328" width="9.33203125" style="1088"/>
    <col min="3329" max="3329" width="176.6640625" style="1088" customWidth="1"/>
    <col min="3330" max="3341" width="55" style="1088" customWidth="1"/>
    <col min="3342" max="3342" width="176.6640625" style="1088" customWidth="1"/>
    <col min="3343" max="3354" width="53" style="1088" customWidth="1"/>
    <col min="3355" max="3355" width="176.5" style="1088" customWidth="1"/>
    <col min="3356" max="3367" width="53" style="1088" customWidth="1"/>
    <col min="3368" max="3368" width="176.5" style="1088" customWidth="1"/>
    <col min="3369" max="3376" width="63" style="1088" customWidth="1"/>
    <col min="3377" max="3378" width="45.1640625" style="1088" customWidth="1"/>
    <col min="3379" max="3379" width="41.1640625" style="1088" customWidth="1"/>
    <col min="3380" max="3584" width="9.33203125" style="1088"/>
    <col min="3585" max="3585" width="176.6640625" style="1088" customWidth="1"/>
    <col min="3586" max="3597" width="55" style="1088" customWidth="1"/>
    <col min="3598" max="3598" width="176.6640625" style="1088" customWidth="1"/>
    <col min="3599" max="3610" width="53" style="1088" customWidth="1"/>
    <col min="3611" max="3611" width="176.5" style="1088" customWidth="1"/>
    <col min="3612" max="3623" width="53" style="1088" customWidth="1"/>
    <col min="3624" max="3624" width="176.5" style="1088" customWidth="1"/>
    <col min="3625" max="3632" width="63" style="1088" customWidth="1"/>
    <col min="3633" max="3634" width="45.1640625" style="1088" customWidth="1"/>
    <col min="3635" max="3635" width="41.1640625" style="1088" customWidth="1"/>
    <col min="3636" max="3840" width="9.33203125" style="1088"/>
    <col min="3841" max="3841" width="176.6640625" style="1088" customWidth="1"/>
    <col min="3842" max="3853" width="55" style="1088" customWidth="1"/>
    <col min="3854" max="3854" width="176.6640625" style="1088" customWidth="1"/>
    <col min="3855" max="3866" width="53" style="1088" customWidth="1"/>
    <col min="3867" max="3867" width="176.5" style="1088" customWidth="1"/>
    <col min="3868" max="3879" width="53" style="1088" customWidth="1"/>
    <col min="3880" max="3880" width="176.5" style="1088" customWidth="1"/>
    <col min="3881" max="3888" width="63" style="1088" customWidth="1"/>
    <col min="3889" max="3890" width="45.1640625" style="1088" customWidth="1"/>
    <col min="3891" max="3891" width="41.1640625" style="1088" customWidth="1"/>
    <col min="3892" max="4096" width="9.33203125" style="1088"/>
    <col min="4097" max="4097" width="176.6640625" style="1088" customWidth="1"/>
    <col min="4098" max="4109" width="55" style="1088" customWidth="1"/>
    <col min="4110" max="4110" width="176.6640625" style="1088" customWidth="1"/>
    <col min="4111" max="4122" width="53" style="1088" customWidth="1"/>
    <col min="4123" max="4123" width="176.5" style="1088" customWidth="1"/>
    <col min="4124" max="4135" width="53" style="1088" customWidth="1"/>
    <col min="4136" max="4136" width="176.5" style="1088" customWidth="1"/>
    <col min="4137" max="4144" width="63" style="1088" customWidth="1"/>
    <col min="4145" max="4146" width="45.1640625" style="1088" customWidth="1"/>
    <col min="4147" max="4147" width="41.1640625" style="1088" customWidth="1"/>
    <col min="4148" max="4352" width="9.33203125" style="1088"/>
    <col min="4353" max="4353" width="176.6640625" style="1088" customWidth="1"/>
    <col min="4354" max="4365" width="55" style="1088" customWidth="1"/>
    <col min="4366" max="4366" width="176.6640625" style="1088" customWidth="1"/>
    <col min="4367" max="4378" width="53" style="1088" customWidth="1"/>
    <col min="4379" max="4379" width="176.5" style="1088" customWidth="1"/>
    <col min="4380" max="4391" width="53" style="1088" customWidth="1"/>
    <col min="4392" max="4392" width="176.5" style="1088" customWidth="1"/>
    <col min="4393" max="4400" width="63" style="1088" customWidth="1"/>
    <col min="4401" max="4402" width="45.1640625" style="1088" customWidth="1"/>
    <col min="4403" max="4403" width="41.1640625" style="1088" customWidth="1"/>
    <col min="4404" max="4608" width="9.33203125" style="1088"/>
    <col min="4609" max="4609" width="176.6640625" style="1088" customWidth="1"/>
    <col min="4610" max="4621" width="55" style="1088" customWidth="1"/>
    <col min="4622" max="4622" width="176.6640625" style="1088" customWidth="1"/>
    <col min="4623" max="4634" width="53" style="1088" customWidth="1"/>
    <col min="4635" max="4635" width="176.5" style="1088" customWidth="1"/>
    <col min="4636" max="4647" width="53" style="1088" customWidth="1"/>
    <col min="4648" max="4648" width="176.5" style="1088" customWidth="1"/>
    <col min="4649" max="4656" width="63" style="1088" customWidth="1"/>
    <col min="4657" max="4658" width="45.1640625" style="1088" customWidth="1"/>
    <col min="4659" max="4659" width="41.1640625" style="1088" customWidth="1"/>
    <col min="4660" max="4864" width="9.33203125" style="1088"/>
    <col min="4865" max="4865" width="176.6640625" style="1088" customWidth="1"/>
    <col min="4866" max="4877" width="55" style="1088" customWidth="1"/>
    <col min="4878" max="4878" width="176.6640625" style="1088" customWidth="1"/>
    <col min="4879" max="4890" width="53" style="1088" customWidth="1"/>
    <col min="4891" max="4891" width="176.5" style="1088" customWidth="1"/>
    <col min="4892" max="4903" width="53" style="1088" customWidth="1"/>
    <col min="4904" max="4904" width="176.5" style="1088" customWidth="1"/>
    <col min="4905" max="4912" width="63" style="1088" customWidth="1"/>
    <col min="4913" max="4914" width="45.1640625" style="1088" customWidth="1"/>
    <col min="4915" max="4915" width="41.1640625" style="1088" customWidth="1"/>
    <col min="4916" max="5120" width="9.33203125" style="1088"/>
    <col min="5121" max="5121" width="176.6640625" style="1088" customWidth="1"/>
    <col min="5122" max="5133" width="55" style="1088" customWidth="1"/>
    <col min="5134" max="5134" width="176.6640625" style="1088" customWidth="1"/>
    <col min="5135" max="5146" width="53" style="1088" customWidth="1"/>
    <col min="5147" max="5147" width="176.5" style="1088" customWidth="1"/>
    <col min="5148" max="5159" width="53" style="1088" customWidth="1"/>
    <col min="5160" max="5160" width="176.5" style="1088" customWidth="1"/>
    <col min="5161" max="5168" width="63" style="1088" customWidth="1"/>
    <col min="5169" max="5170" width="45.1640625" style="1088" customWidth="1"/>
    <col min="5171" max="5171" width="41.1640625" style="1088" customWidth="1"/>
    <col min="5172" max="5376" width="9.33203125" style="1088"/>
    <col min="5377" max="5377" width="176.6640625" style="1088" customWidth="1"/>
    <col min="5378" max="5389" width="55" style="1088" customWidth="1"/>
    <col min="5390" max="5390" width="176.6640625" style="1088" customWidth="1"/>
    <col min="5391" max="5402" width="53" style="1088" customWidth="1"/>
    <col min="5403" max="5403" width="176.5" style="1088" customWidth="1"/>
    <col min="5404" max="5415" width="53" style="1088" customWidth="1"/>
    <col min="5416" max="5416" width="176.5" style="1088" customWidth="1"/>
    <col min="5417" max="5424" width="63" style="1088" customWidth="1"/>
    <col min="5425" max="5426" width="45.1640625" style="1088" customWidth="1"/>
    <col min="5427" max="5427" width="41.1640625" style="1088" customWidth="1"/>
    <col min="5428" max="5632" width="9.33203125" style="1088"/>
    <col min="5633" max="5633" width="176.6640625" style="1088" customWidth="1"/>
    <col min="5634" max="5645" width="55" style="1088" customWidth="1"/>
    <col min="5646" max="5646" width="176.6640625" style="1088" customWidth="1"/>
    <col min="5647" max="5658" width="53" style="1088" customWidth="1"/>
    <col min="5659" max="5659" width="176.5" style="1088" customWidth="1"/>
    <col min="5660" max="5671" width="53" style="1088" customWidth="1"/>
    <col min="5672" max="5672" width="176.5" style="1088" customWidth="1"/>
    <col min="5673" max="5680" width="63" style="1088" customWidth="1"/>
    <col min="5681" max="5682" width="45.1640625" style="1088" customWidth="1"/>
    <col min="5683" max="5683" width="41.1640625" style="1088" customWidth="1"/>
    <col min="5684" max="5888" width="9.33203125" style="1088"/>
    <col min="5889" max="5889" width="176.6640625" style="1088" customWidth="1"/>
    <col min="5890" max="5901" width="55" style="1088" customWidth="1"/>
    <col min="5902" max="5902" width="176.6640625" style="1088" customWidth="1"/>
    <col min="5903" max="5914" width="53" style="1088" customWidth="1"/>
    <col min="5915" max="5915" width="176.5" style="1088" customWidth="1"/>
    <col min="5916" max="5927" width="53" style="1088" customWidth="1"/>
    <col min="5928" max="5928" width="176.5" style="1088" customWidth="1"/>
    <col min="5929" max="5936" width="63" style="1088" customWidth="1"/>
    <col min="5937" max="5938" width="45.1640625" style="1088" customWidth="1"/>
    <col min="5939" max="5939" width="41.1640625" style="1088" customWidth="1"/>
    <col min="5940" max="6144" width="9.33203125" style="1088"/>
    <col min="6145" max="6145" width="176.6640625" style="1088" customWidth="1"/>
    <col min="6146" max="6157" width="55" style="1088" customWidth="1"/>
    <col min="6158" max="6158" width="176.6640625" style="1088" customWidth="1"/>
    <col min="6159" max="6170" width="53" style="1088" customWidth="1"/>
    <col min="6171" max="6171" width="176.5" style="1088" customWidth="1"/>
    <col min="6172" max="6183" width="53" style="1088" customWidth="1"/>
    <col min="6184" max="6184" width="176.5" style="1088" customWidth="1"/>
    <col min="6185" max="6192" width="63" style="1088" customWidth="1"/>
    <col min="6193" max="6194" width="45.1640625" style="1088" customWidth="1"/>
    <col min="6195" max="6195" width="41.1640625" style="1088" customWidth="1"/>
    <col min="6196" max="6400" width="9.33203125" style="1088"/>
    <col min="6401" max="6401" width="176.6640625" style="1088" customWidth="1"/>
    <col min="6402" max="6413" width="55" style="1088" customWidth="1"/>
    <col min="6414" max="6414" width="176.6640625" style="1088" customWidth="1"/>
    <col min="6415" max="6426" width="53" style="1088" customWidth="1"/>
    <col min="6427" max="6427" width="176.5" style="1088" customWidth="1"/>
    <col min="6428" max="6439" width="53" style="1088" customWidth="1"/>
    <col min="6440" max="6440" width="176.5" style="1088" customWidth="1"/>
    <col min="6441" max="6448" width="63" style="1088" customWidth="1"/>
    <col min="6449" max="6450" width="45.1640625" style="1088" customWidth="1"/>
    <col min="6451" max="6451" width="41.1640625" style="1088" customWidth="1"/>
    <col min="6452" max="6656" width="9.33203125" style="1088"/>
    <col min="6657" max="6657" width="176.6640625" style="1088" customWidth="1"/>
    <col min="6658" max="6669" width="55" style="1088" customWidth="1"/>
    <col min="6670" max="6670" width="176.6640625" style="1088" customWidth="1"/>
    <col min="6671" max="6682" width="53" style="1088" customWidth="1"/>
    <col min="6683" max="6683" width="176.5" style="1088" customWidth="1"/>
    <col min="6684" max="6695" width="53" style="1088" customWidth="1"/>
    <col min="6696" max="6696" width="176.5" style="1088" customWidth="1"/>
    <col min="6697" max="6704" width="63" style="1088" customWidth="1"/>
    <col min="6705" max="6706" width="45.1640625" style="1088" customWidth="1"/>
    <col min="6707" max="6707" width="41.1640625" style="1088" customWidth="1"/>
    <col min="6708" max="6912" width="9.33203125" style="1088"/>
    <col min="6913" max="6913" width="176.6640625" style="1088" customWidth="1"/>
    <col min="6914" max="6925" width="55" style="1088" customWidth="1"/>
    <col min="6926" max="6926" width="176.6640625" style="1088" customWidth="1"/>
    <col min="6927" max="6938" width="53" style="1088" customWidth="1"/>
    <col min="6939" max="6939" width="176.5" style="1088" customWidth="1"/>
    <col min="6940" max="6951" width="53" style="1088" customWidth="1"/>
    <col min="6952" max="6952" width="176.5" style="1088" customWidth="1"/>
    <col min="6953" max="6960" width="63" style="1088" customWidth="1"/>
    <col min="6961" max="6962" width="45.1640625" style="1088" customWidth="1"/>
    <col min="6963" max="6963" width="41.1640625" style="1088" customWidth="1"/>
    <col min="6964" max="7168" width="9.33203125" style="1088"/>
    <col min="7169" max="7169" width="176.6640625" style="1088" customWidth="1"/>
    <col min="7170" max="7181" width="55" style="1088" customWidth="1"/>
    <col min="7182" max="7182" width="176.6640625" style="1088" customWidth="1"/>
    <col min="7183" max="7194" width="53" style="1088" customWidth="1"/>
    <col min="7195" max="7195" width="176.5" style="1088" customWidth="1"/>
    <col min="7196" max="7207" width="53" style="1088" customWidth="1"/>
    <col min="7208" max="7208" width="176.5" style="1088" customWidth="1"/>
    <col min="7209" max="7216" width="63" style="1088" customWidth="1"/>
    <col min="7217" max="7218" width="45.1640625" style="1088" customWidth="1"/>
    <col min="7219" max="7219" width="41.1640625" style="1088" customWidth="1"/>
    <col min="7220" max="7424" width="9.33203125" style="1088"/>
    <col min="7425" max="7425" width="176.6640625" style="1088" customWidth="1"/>
    <col min="7426" max="7437" width="55" style="1088" customWidth="1"/>
    <col min="7438" max="7438" width="176.6640625" style="1088" customWidth="1"/>
    <col min="7439" max="7450" width="53" style="1088" customWidth="1"/>
    <col min="7451" max="7451" width="176.5" style="1088" customWidth="1"/>
    <col min="7452" max="7463" width="53" style="1088" customWidth="1"/>
    <col min="7464" max="7464" width="176.5" style="1088" customWidth="1"/>
    <col min="7465" max="7472" width="63" style="1088" customWidth="1"/>
    <col min="7473" max="7474" width="45.1640625" style="1088" customWidth="1"/>
    <col min="7475" max="7475" width="41.1640625" style="1088" customWidth="1"/>
    <col min="7476" max="7680" width="9.33203125" style="1088"/>
    <col min="7681" max="7681" width="176.6640625" style="1088" customWidth="1"/>
    <col min="7682" max="7693" width="55" style="1088" customWidth="1"/>
    <col min="7694" max="7694" width="176.6640625" style="1088" customWidth="1"/>
    <col min="7695" max="7706" width="53" style="1088" customWidth="1"/>
    <col min="7707" max="7707" width="176.5" style="1088" customWidth="1"/>
    <col min="7708" max="7719" width="53" style="1088" customWidth="1"/>
    <col min="7720" max="7720" width="176.5" style="1088" customWidth="1"/>
    <col min="7721" max="7728" width="63" style="1088" customWidth="1"/>
    <col min="7729" max="7730" width="45.1640625" style="1088" customWidth="1"/>
    <col min="7731" max="7731" width="41.1640625" style="1088" customWidth="1"/>
    <col min="7732" max="7936" width="9.33203125" style="1088"/>
    <col min="7937" max="7937" width="176.6640625" style="1088" customWidth="1"/>
    <col min="7938" max="7949" width="55" style="1088" customWidth="1"/>
    <col min="7950" max="7950" width="176.6640625" style="1088" customWidth="1"/>
    <col min="7951" max="7962" width="53" style="1088" customWidth="1"/>
    <col min="7963" max="7963" width="176.5" style="1088" customWidth="1"/>
    <col min="7964" max="7975" width="53" style="1088" customWidth="1"/>
    <col min="7976" max="7976" width="176.5" style="1088" customWidth="1"/>
    <col min="7977" max="7984" width="63" style="1088" customWidth="1"/>
    <col min="7985" max="7986" width="45.1640625" style="1088" customWidth="1"/>
    <col min="7987" max="7987" width="41.1640625" style="1088" customWidth="1"/>
    <col min="7988" max="8192" width="9.33203125" style="1088"/>
    <col min="8193" max="8193" width="176.6640625" style="1088" customWidth="1"/>
    <col min="8194" max="8205" width="55" style="1088" customWidth="1"/>
    <col min="8206" max="8206" width="176.6640625" style="1088" customWidth="1"/>
    <col min="8207" max="8218" width="53" style="1088" customWidth="1"/>
    <col min="8219" max="8219" width="176.5" style="1088" customWidth="1"/>
    <col min="8220" max="8231" width="53" style="1088" customWidth="1"/>
    <col min="8232" max="8232" width="176.5" style="1088" customWidth="1"/>
    <col min="8233" max="8240" width="63" style="1088" customWidth="1"/>
    <col min="8241" max="8242" width="45.1640625" style="1088" customWidth="1"/>
    <col min="8243" max="8243" width="41.1640625" style="1088" customWidth="1"/>
    <col min="8244" max="8448" width="9.33203125" style="1088"/>
    <col min="8449" max="8449" width="176.6640625" style="1088" customWidth="1"/>
    <col min="8450" max="8461" width="55" style="1088" customWidth="1"/>
    <col min="8462" max="8462" width="176.6640625" style="1088" customWidth="1"/>
    <col min="8463" max="8474" width="53" style="1088" customWidth="1"/>
    <col min="8475" max="8475" width="176.5" style="1088" customWidth="1"/>
    <col min="8476" max="8487" width="53" style="1088" customWidth="1"/>
    <col min="8488" max="8488" width="176.5" style="1088" customWidth="1"/>
    <col min="8489" max="8496" width="63" style="1088" customWidth="1"/>
    <col min="8497" max="8498" width="45.1640625" style="1088" customWidth="1"/>
    <col min="8499" max="8499" width="41.1640625" style="1088" customWidth="1"/>
    <col min="8500" max="8704" width="9.33203125" style="1088"/>
    <col min="8705" max="8705" width="176.6640625" style="1088" customWidth="1"/>
    <col min="8706" max="8717" width="55" style="1088" customWidth="1"/>
    <col min="8718" max="8718" width="176.6640625" style="1088" customWidth="1"/>
    <col min="8719" max="8730" width="53" style="1088" customWidth="1"/>
    <col min="8731" max="8731" width="176.5" style="1088" customWidth="1"/>
    <col min="8732" max="8743" width="53" style="1088" customWidth="1"/>
    <col min="8744" max="8744" width="176.5" style="1088" customWidth="1"/>
    <col min="8745" max="8752" width="63" style="1088" customWidth="1"/>
    <col min="8753" max="8754" width="45.1640625" style="1088" customWidth="1"/>
    <col min="8755" max="8755" width="41.1640625" style="1088" customWidth="1"/>
    <col min="8756" max="8960" width="9.33203125" style="1088"/>
    <col min="8961" max="8961" width="176.6640625" style="1088" customWidth="1"/>
    <col min="8962" max="8973" width="55" style="1088" customWidth="1"/>
    <col min="8974" max="8974" width="176.6640625" style="1088" customWidth="1"/>
    <col min="8975" max="8986" width="53" style="1088" customWidth="1"/>
    <col min="8987" max="8987" width="176.5" style="1088" customWidth="1"/>
    <col min="8988" max="8999" width="53" style="1088" customWidth="1"/>
    <col min="9000" max="9000" width="176.5" style="1088" customWidth="1"/>
    <col min="9001" max="9008" width="63" style="1088" customWidth="1"/>
    <col min="9009" max="9010" width="45.1640625" style="1088" customWidth="1"/>
    <col min="9011" max="9011" width="41.1640625" style="1088" customWidth="1"/>
    <col min="9012" max="9216" width="9.33203125" style="1088"/>
    <col min="9217" max="9217" width="176.6640625" style="1088" customWidth="1"/>
    <col min="9218" max="9229" width="55" style="1088" customWidth="1"/>
    <col min="9230" max="9230" width="176.6640625" style="1088" customWidth="1"/>
    <col min="9231" max="9242" width="53" style="1088" customWidth="1"/>
    <col min="9243" max="9243" width="176.5" style="1088" customWidth="1"/>
    <col min="9244" max="9255" width="53" style="1088" customWidth="1"/>
    <col min="9256" max="9256" width="176.5" style="1088" customWidth="1"/>
    <col min="9257" max="9264" width="63" style="1088" customWidth="1"/>
    <col min="9265" max="9266" width="45.1640625" style="1088" customWidth="1"/>
    <col min="9267" max="9267" width="41.1640625" style="1088" customWidth="1"/>
    <col min="9268" max="9472" width="9.33203125" style="1088"/>
    <col min="9473" max="9473" width="176.6640625" style="1088" customWidth="1"/>
    <col min="9474" max="9485" width="55" style="1088" customWidth="1"/>
    <col min="9486" max="9486" width="176.6640625" style="1088" customWidth="1"/>
    <col min="9487" max="9498" width="53" style="1088" customWidth="1"/>
    <col min="9499" max="9499" width="176.5" style="1088" customWidth="1"/>
    <col min="9500" max="9511" width="53" style="1088" customWidth="1"/>
    <col min="9512" max="9512" width="176.5" style="1088" customWidth="1"/>
    <col min="9513" max="9520" width="63" style="1088" customWidth="1"/>
    <col min="9521" max="9522" width="45.1640625" style="1088" customWidth="1"/>
    <col min="9523" max="9523" width="41.1640625" style="1088" customWidth="1"/>
    <col min="9524" max="9728" width="9.33203125" style="1088"/>
    <col min="9729" max="9729" width="176.6640625" style="1088" customWidth="1"/>
    <col min="9730" max="9741" width="55" style="1088" customWidth="1"/>
    <col min="9742" max="9742" width="176.6640625" style="1088" customWidth="1"/>
    <col min="9743" max="9754" width="53" style="1088" customWidth="1"/>
    <col min="9755" max="9755" width="176.5" style="1088" customWidth="1"/>
    <col min="9756" max="9767" width="53" style="1088" customWidth="1"/>
    <col min="9768" max="9768" width="176.5" style="1088" customWidth="1"/>
    <col min="9769" max="9776" width="63" style="1088" customWidth="1"/>
    <col min="9777" max="9778" width="45.1640625" style="1088" customWidth="1"/>
    <col min="9779" max="9779" width="41.1640625" style="1088" customWidth="1"/>
    <col min="9780" max="9984" width="9.33203125" style="1088"/>
    <col min="9985" max="9985" width="176.6640625" style="1088" customWidth="1"/>
    <col min="9986" max="9997" width="55" style="1088" customWidth="1"/>
    <col min="9998" max="9998" width="176.6640625" style="1088" customWidth="1"/>
    <col min="9999" max="10010" width="53" style="1088" customWidth="1"/>
    <col min="10011" max="10011" width="176.5" style="1088" customWidth="1"/>
    <col min="10012" max="10023" width="53" style="1088" customWidth="1"/>
    <col min="10024" max="10024" width="176.5" style="1088" customWidth="1"/>
    <col min="10025" max="10032" width="63" style="1088" customWidth="1"/>
    <col min="10033" max="10034" width="45.1640625" style="1088" customWidth="1"/>
    <col min="10035" max="10035" width="41.1640625" style="1088" customWidth="1"/>
    <col min="10036" max="10240" width="9.33203125" style="1088"/>
    <col min="10241" max="10241" width="176.6640625" style="1088" customWidth="1"/>
    <col min="10242" max="10253" width="55" style="1088" customWidth="1"/>
    <col min="10254" max="10254" width="176.6640625" style="1088" customWidth="1"/>
    <col min="10255" max="10266" width="53" style="1088" customWidth="1"/>
    <col min="10267" max="10267" width="176.5" style="1088" customWidth="1"/>
    <col min="10268" max="10279" width="53" style="1088" customWidth="1"/>
    <col min="10280" max="10280" width="176.5" style="1088" customWidth="1"/>
    <col min="10281" max="10288" width="63" style="1088" customWidth="1"/>
    <col min="10289" max="10290" width="45.1640625" style="1088" customWidth="1"/>
    <col min="10291" max="10291" width="41.1640625" style="1088" customWidth="1"/>
    <col min="10292" max="10496" width="9.33203125" style="1088"/>
    <col min="10497" max="10497" width="176.6640625" style="1088" customWidth="1"/>
    <col min="10498" max="10509" width="55" style="1088" customWidth="1"/>
    <col min="10510" max="10510" width="176.6640625" style="1088" customWidth="1"/>
    <col min="10511" max="10522" width="53" style="1088" customWidth="1"/>
    <col min="10523" max="10523" width="176.5" style="1088" customWidth="1"/>
    <col min="10524" max="10535" width="53" style="1088" customWidth="1"/>
    <col min="10536" max="10536" width="176.5" style="1088" customWidth="1"/>
    <col min="10537" max="10544" width="63" style="1088" customWidth="1"/>
    <col min="10545" max="10546" width="45.1640625" style="1088" customWidth="1"/>
    <col min="10547" max="10547" width="41.1640625" style="1088" customWidth="1"/>
    <col min="10548" max="10752" width="9.33203125" style="1088"/>
    <col min="10753" max="10753" width="176.6640625" style="1088" customWidth="1"/>
    <col min="10754" max="10765" width="55" style="1088" customWidth="1"/>
    <col min="10766" max="10766" width="176.6640625" style="1088" customWidth="1"/>
    <col min="10767" max="10778" width="53" style="1088" customWidth="1"/>
    <col min="10779" max="10779" width="176.5" style="1088" customWidth="1"/>
    <col min="10780" max="10791" width="53" style="1088" customWidth="1"/>
    <col min="10792" max="10792" width="176.5" style="1088" customWidth="1"/>
    <col min="10793" max="10800" width="63" style="1088" customWidth="1"/>
    <col min="10801" max="10802" width="45.1640625" style="1088" customWidth="1"/>
    <col min="10803" max="10803" width="41.1640625" style="1088" customWidth="1"/>
    <col min="10804" max="11008" width="9.33203125" style="1088"/>
    <col min="11009" max="11009" width="176.6640625" style="1088" customWidth="1"/>
    <col min="11010" max="11021" width="55" style="1088" customWidth="1"/>
    <col min="11022" max="11022" width="176.6640625" style="1088" customWidth="1"/>
    <col min="11023" max="11034" width="53" style="1088" customWidth="1"/>
    <col min="11035" max="11035" width="176.5" style="1088" customWidth="1"/>
    <col min="11036" max="11047" width="53" style="1088" customWidth="1"/>
    <col min="11048" max="11048" width="176.5" style="1088" customWidth="1"/>
    <col min="11049" max="11056" width="63" style="1088" customWidth="1"/>
    <col min="11057" max="11058" width="45.1640625" style="1088" customWidth="1"/>
    <col min="11059" max="11059" width="41.1640625" style="1088" customWidth="1"/>
    <col min="11060" max="11264" width="9.33203125" style="1088"/>
    <col min="11265" max="11265" width="176.6640625" style="1088" customWidth="1"/>
    <col min="11266" max="11277" width="55" style="1088" customWidth="1"/>
    <col min="11278" max="11278" width="176.6640625" style="1088" customWidth="1"/>
    <col min="11279" max="11290" width="53" style="1088" customWidth="1"/>
    <col min="11291" max="11291" width="176.5" style="1088" customWidth="1"/>
    <col min="11292" max="11303" width="53" style="1088" customWidth="1"/>
    <col min="11304" max="11304" width="176.5" style="1088" customWidth="1"/>
    <col min="11305" max="11312" width="63" style="1088" customWidth="1"/>
    <col min="11313" max="11314" width="45.1640625" style="1088" customWidth="1"/>
    <col min="11315" max="11315" width="41.1640625" style="1088" customWidth="1"/>
    <col min="11316" max="11520" width="9.33203125" style="1088"/>
    <col min="11521" max="11521" width="176.6640625" style="1088" customWidth="1"/>
    <col min="11522" max="11533" width="55" style="1088" customWidth="1"/>
    <col min="11534" max="11534" width="176.6640625" style="1088" customWidth="1"/>
    <col min="11535" max="11546" width="53" style="1088" customWidth="1"/>
    <col min="11547" max="11547" width="176.5" style="1088" customWidth="1"/>
    <col min="11548" max="11559" width="53" style="1088" customWidth="1"/>
    <col min="11560" max="11560" width="176.5" style="1088" customWidth="1"/>
    <col min="11561" max="11568" width="63" style="1088" customWidth="1"/>
    <col min="11569" max="11570" width="45.1640625" style="1088" customWidth="1"/>
    <col min="11571" max="11571" width="41.1640625" style="1088" customWidth="1"/>
    <col min="11572" max="11776" width="9.33203125" style="1088"/>
    <col min="11777" max="11777" width="176.6640625" style="1088" customWidth="1"/>
    <col min="11778" max="11789" width="55" style="1088" customWidth="1"/>
    <col min="11790" max="11790" width="176.6640625" style="1088" customWidth="1"/>
    <col min="11791" max="11802" width="53" style="1088" customWidth="1"/>
    <col min="11803" max="11803" width="176.5" style="1088" customWidth="1"/>
    <col min="11804" max="11815" width="53" style="1088" customWidth="1"/>
    <col min="11816" max="11816" width="176.5" style="1088" customWidth="1"/>
    <col min="11817" max="11824" width="63" style="1088" customWidth="1"/>
    <col min="11825" max="11826" width="45.1640625" style="1088" customWidth="1"/>
    <col min="11827" max="11827" width="41.1640625" style="1088" customWidth="1"/>
    <col min="11828" max="12032" width="9.33203125" style="1088"/>
    <col min="12033" max="12033" width="176.6640625" style="1088" customWidth="1"/>
    <col min="12034" max="12045" width="55" style="1088" customWidth="1"/>
    <col min="12046" max="12046" width="176.6640625" style="1088" customWidth="1"/>
    <col min="12047" max="12058" width="53" style="1088" customWidth="1"/>
    <col min="12059" max="12059" width="176.5" style="1088" customWidth="1"/>
    <col min="12060" max="12071" width="53" style="1088" customWidth="1"/>
    <col min="12072" max="12072" width="176.5" style="1088" customWidth="1"/>
    <col min="12073" max="12080" width="63" style="1088" customWidth="1"/>
    <col min="12081" max="12082" width="45.1640625" style="1088" customWidth="1"/>
    <col min="12083" max="12083" width="41.1640625" style="1088" customWidth="1"/>
    <col min="12084" max="12288" width="9.33203125" style="1088"/>
    <col min="12289" max="12289" width="176.6640625" style="1088" customWidth="1"/>
    <col min="12290" max="12301" width="55" style="1088" customWidth="1"/>
    <col min="12302" max="12302" width="176.6640625" style="1088" customWidth="1"/>
    <col min="12303" max="12314" width="53" style="1088" customWidth="1"/>
    <col min="12315" max="12315" width="176.5" style="1088" customWidth="1"/>
    <col min="12316" max="12327" width="53" style="1088" customWidth="1"/>
    <col min="12328" max="12328" width="176.5" style="1088" customWidth="1"/>
    <col min="12329" max="12336" width="63" style="1088" customWidth="1"/>
    <col min="12337" max="12338" width="45.1640625" style="1088" customWidth="1"/>
    <col min="12339" max="12339" width="41.1640625" style="1088" customWidth="1"/>
    <col min="12340" max="12544" width="9.33203125" style="1088"/>
    <col min="12545" max="12545" width="176.6640625" style="1088" customWidth="1"/>
    <col min="12546" max="12557" width="55" style="1088" customWidth="1"/>
    <col min="12558" max="12558" width="176.6640625" style="1088" customWidth="1"/>
    <col min="12559" max="12570" width="53" style="1088" customWidth="1"/>
    <col min="12571" max="12571" width="176.5" style="1088" customWidth="1"/>
    <col min="12572" max="12583" width="53" style="1088" customWidth="1"/>
    <col min="12584" max="12584" width="176.5" style="1088" customWidth="1"/>
    <col min="12585" max="12592" width="63" style="1088" customWidth="1"/>
    <col min="12593" max="12594" width="45.1640625" style="1088" customWidth="1"/>
    <col min="12595" max="12595" width="41.1640625" style="1088" customWidth="1"/>
    <col min="12596" max="12800" width="9.33203125" style="1088"/>
    <col min="12801" max="12801" width="176.6640625" style="1088" customWidth="1"/>
    <col min="12802" max="12813" width="55" style="1088" customWidth="1"/>
    <col min="12814" max="12814" width="176.6640625" style="1088" customWidth="1"/>
    <col min="12815" max="12826" width="53" style="1088" customWidth="1"/>
    <col min="12827" max="12827" width="176.5" style="1088" customWidth="1"/>
    <col min="12828" max="12839" width="53" style="1088" customWidth="1"/>
    <col min="12840" max="12840" width="176.5" style="1088" customWidth="1"/>
    <col min="12841" max="12848" width="63" style="1088" customWidth="1"/>
    <col min="12849" max="12850" width="45.1640625" style="1088" customWidth="1"/>
    <col min="12851" max="12851" width="41.1640625" style="1088" customWidth="1"/>
    <col min="12852" max="13056" width="9.33203125" style="1088"/>
    <col min="13057" max="13057" width="176.6640625" style="1088" customWidth="1"/>
    <col min="13058" max="13069" width="55" style="1088" customWidth="1"/>
    <col min="13070" max="13070" width="176.6640625" style="1088" customWidth="1"/>
    <col min="13071" max="13082" width="53" style="1088" customWidth="1"/>
    <col min="13083" max="13083" width="176.5" style="1088" customWidth="1"/>
    <col min="13084" max="13095" width="53" style="1088" customWidth="1"/>
    <col min="13096" max="13096" width="176.5" style="1088" customWidth="1"/>
    <col min="13097" max="13104" width="63" style="1088" customWidth="1"/>
    <col min="13105" max="13106" width="45.1640625" style="1088" customWidth="1"/>
    <col min="13107" max="13107" width="41.1640625" style="1088" customWidth="1"/>
    <col min="13108" max="13312" width="9.33203125" style="1088"/>
    <col min="13313" max="13313" width="176.6640625" style="1088" customWidth="1"/>
    <col min="13314" max="13325" width="55" style="1088" customWidth="1"/>
    <col min="13326" max="13326" width="176.6640625" style="1088" customWidth="1"/>
    <col min="13327" max="13338" width="53" style="1088" customWidth="1"/>
    <col min="13339" max="13339" width="176.5" style="1088" customWidth="1"/>
    <col min="13340" max="13351" width="53" style="1088" customWidth="1"/>
    <col min="13352" max="13352" width="176.5" style="1088" customWidth="1"/>
    <col min="13353" max="13360" width="63" style="1088" customWidth="1"/>
    <col min="13361" max="13362" width="45.1640625" style="1088" customWidth="1"/>
    <col min="13363" max="13363" width="41.1640625" style="1088" customWidth="1"/>
    <col min="13364" max="13568" width="9.33203125" style="1088"/>
    <col min="13569" max="13569" width="176.6640625" style="1088" customWidth="1"/>
    <col min="13570" max="13581" width="55" style="1088" customWidth="1"/>
    <col min="13582" max="13582" width="176.6640625" style="1088" customWidth="1"/>
    <col min="13583" max="13594" width="53" style="1088" customWidth="1"/>
    <col min="13595" max="13595" width="176.5" style="1088" customWidth="1"/>
    <col min="13596" max="13607" width="53" style="1088" customWidth="1"/>
    <col min="13608" max="13608" width="176.5" style="1088" customWidth="1"/>
    <col min="13609" max="13616" width="63" style="1088" customWidth="1"/>
    <col min="13617" max="13618" width="45.1640625" style="1088" customWidth="1"/>
    <col min="13619" max="13619" width="41.1640625" style="1088" customWidth="1"/>
    <col min="13620" max="13824" width="9.33203125" style="1088"/>
    <col min="13825" max="13825" width="176.6640625" style="1088" customWidth="1"/>
    <col min="13826" max="13837" width="55" style="1088" customWidth="1"/>
    <col min="13838" max="13838" width="176.6640625" style="1088" customWidth="1"/>
    <col min="13839" max="13850" width="53" style="1088" customWidth="1"/>
    <col min="13851" max="13851" width="176.5" style="1088" customWidth="1"/>
    <col min="13852" max="13863" width="53" style="1088" customWidth="1"/>
    <col min="13864" max="13864" width="176.5" style="1088" customWidth="1"/>
    <col min="13865" max="13872" width="63" style="1088" customWidth="1"/>
    <col min="13873" max="13874" width="45.1640625" style="1088" customWidth="1"/>
    <col min="13875" max="13875" width="41.1640625" style="1088" customWidth="1"/>
    <col min="13876" max="14080" width="9.33203125" style="1088"/>
    <col min="14081" max="14081" width="176.6640625" style="1088" customWidth="1"/>
    <col min="14082" max="14093" width="55" style="1088" customWidth="1"/>
    <col min="14094" max="14094" width="176.6640625" style="1088" customWidth="1"/>
    <col min="14095" max="14106" width="53" style="1088" customWidth="1"/>
    <col min="14107" max="14107" width="176.5" style="1088" customWidth="1"/>
    <col min="14108" max="14119" width="53" style="1088" customWidth="1"/>
    <col min="14120" max="14120" width="176.5" style="1088" customWidth="1"/>
    <col min="14121" max="14128" width="63" style="1088" customWidth="1"/>
    <col min="14129" max="14130" width="45.1640625" style="1088" customWidth="1"/>
    <col min="14131" max="14131" width="41.1640625" style="1088" customWidth="1"/>
    <col min="14132" max="14336" width="9.33203125" style="1088"/>
    <col min="14337" max="14337" width="176.6640625" style="1088" customWidth="1"/>
    <col min="14338" max="14349" width="55" style="1088" customWidth="1"/>
    <col min="14350" max="14350" width="176.6640625" style="1088" customWidth="1"/>
    <col min="14351" max="14362" width="53" style="1088" customWidth="1"/>
    <col min="14363" max="14363" width="176.5" style="1088" customWidth="1"/>
    <col min="14364" max="14375" width="53" style="1088" customWidth="1"/>
    <col min="14376" max="14376" width="176.5" style="1088" customWidth="1"/>
    <col min="14377" max="14384" width="63" style="1088" customWidth="1"/>
    <col min="14385" max="14386" width="45.1640625" style="1088" customWidth="1"/>
    <col min="14387" max="14387" width="41.1640625" style="1088" customWidth="1"/>
    <col min="14388" max="14592" width="9.33203125" style="1088"/>
    <col min="14593" max="14593" width="176.6640625" style="1088" customWidth="1"/>
    <col min="14594" max="14605" width="55" style="1088" customWidth="1"/>
    <col min="14606" max="14606" width="176.6640625" style="1088" customWidth="1"/>
    <col min="14607" max="14618" width="53" style="1088" customWidth="1"/>
    <col min="14619" max="14619" width="176.5" style="1088" customWidth="1"/>
    <col min="14620" max="14631" width="53" style="1088" customWidth="1"/>
    <col min="14632" max="14632" width="176.5" style="1088" customWidth="1"/>
    <col min="14633" max="14640" width="63" style="1088" customWidth="1"/>
    <col min="14641" max="14642" width="45.1640625" style="1088" customWidth="1"/>
    <col min="14643" max="14643" width="41.1640625" style="1088" customWidth="1"/>
    <col min="14644" max="14848" width="9.33203125" style="1088"/>
    <col min="14849" max="14849" width="176.6640625" style="1088" customWidth="1"/>
    <col min="14850" max="14861" width="55" style="1088" customWidth="1"/>
    <col min="14862" max="14862" width="176.6640625" style="1088" customWidth="1"/>
    <col min="14863" max="14874" width="53" style="1088" customWidth="1"/>
    <col min="14875" max="14875" width="176.5" style="1088" customWidth="1"/>
    <col min="14876" max="14887" width="53" style="1088" customWidth="1"/>
    <col min="14888" max="14888" width="176.5" style="1088" customWidth="1"/>
    <col min="14889" max="14896" width="63" style="1088" customWidth="1"/>
    <col min="14897" max="14898" width="45.1640625" style="1088" customWidth="1"/>
    <col min="14899" max="14899" width="41.1640625" style="1088" customWidth="1"/>
    <col min="14900" max="15104" width="9.33203125" style="1088"/>
    <col min="15105" max="15105" width="176.6640625" style="1088" customWidth="1"/>
    <col min="15106" max="15117" width="55" style="1088" customWidth="1"/>
    <col min="15118" max="15118" width="176.6640625" style="1088" customWidth="1"/>
    <col min="15119" max="15130" width="53" style="1088" customWidth="1"/>
    <col min="15131" max="15131" width="176.5" style="1088" customWidth="1"/>
    <col min="15132" max="15143" width="53" style="1088" customWidth="1"/>
    <col min="15144" max="15144" width="176.5" style="1088" customWidth="1"/>
    <col min="15145" max="15152" width="63" style="1088" customWidth="1"/>
    <col min="15153" max="15154" width="45.1640625" style="1088" customWidth="1"/>
    <col min="15155" max="15155" width="41.1640625" style="1088" customWidth="1"/>
    <col min="15156" max="15360" width="9.33203125" style="1088"/>
    <col min="15361" max="15361" width="176.6640625" style="1088" customWidth="1"/>
    <col min="15362" max="15373" width="55" style="1088" customWidth="1"/>
    <col min="15374" max="15374" width="176.6640625" style="1088" customWidth="1"/>
    <col min="15375" max="15386" width="53" style="1088" customWidth="1"/>
    <col min="15387" max="15387" width="176.5" style="1088" customWidth="1"/>
    <col min="15388" max="15399" width="53" style="1088" customWidth="1"/>
    <col min="15400" max="15400" width="176.5" style="1088" customWidth="1"/>
    <col min="15401" max="15408" width="63" style="1088" customWidth="1"/>
    <col min="15409" max="15410" width="45.1640625" style="1088" customWidth="1"/>
    <col min="15411" max="15411" width="41.1640625" style="1088" customWidth="1"/>
    <col min="15412" max="15616" width="9.33203125" style="1088"/>
    <col min="15617" max="15617" width="176.6640625" style="1088" customWidth="1"/>
    <col min="15618" max="15629" width="55" style="1088" customWidth="1"/>
    <col min="15630" max="15630" width="176.6640625" style="1088" customWidth="1"/>
    <col min="15631" max="15642" width="53" style="1088" customWidth="1"/>
    <col min="15643" max="15643" width="176.5" style="1088" customWidth="1"/>
    <col min="15644" max="15655" width="53" style="1088" customWidth="1"/>
    <col min="15656" max="15656" width="176.5" style="1088" customWidth="1"/>
    <col min="15657" max="15664" width="63" style="1088" customWidth="1"/>
    <col min="15665" max="15666" width="45.1640625" style="1088" customWidth="1"/>
    <col min="15667" max="15667" width="41.1640625" style="1088" customWidth="1"/>
    <col min="15668" max="15872" width="9.33203125" style="1088"/>
    <col min="15873" max="15873" width="176.6640625" style="1088" customWidth="1"/>
    <col min="15874" max="15885" width="55" style="1088" customWidth="1"/>
    <col min="15886" max="15886" width="176.6640625" style="1088" customWidth="1"/>
    <col min="15887" max="15898" width="53" style="1088" customWidth="1"/>
    <col min="15899" max="15899" width="176.5" style="1088" customWidth="1"/>
    <col min="15900" max="15911" width="53" style="1088" customWidth="1"/>
    <col min="15912" max="15912" width="176.5" style="1088" customWidth="1"/>
    <col min="15913" max="15920" width="63" style="1088" customWidth="1"/>
    <col min="15921" max="15922" width="45.1640625" style="1088" customWidth="1"/>
    <col min="15923" max="15923" width="41.1640625" style="1088" customWidth="1"/>
    <col min="15924" max="16128" width="9.33203125" style="1088"/>
    <col min="16129" max="16129" width="176.6640625" style="1088" customWidth="1"/>
    <col min="16130" max="16141" width="55" style="1088" customWidth="1"/>
    <col min="16142" max="16142" width="176.6640625" style="1088" customWidth="1"/>
    <col min="16143" max="16154" width="53" style="1088" customWidth="1"/>
    <col min="16155" max="16155" width="176.5" style="1088" customWidth="1"/>
    <col min="16156" max="16167" width="53" style="1088" customWidth="1"/>
    <col min="16168" max="16168" width="176.5" style="1088" customWidth="1"/>
    <col min="16169" max="16176" width="63" style="1088" customWidth="1"/>
    <col min="16177" max="16178" width="45.1640625" style="1088" customWidth="1"/>
    <col min="16179" max="16179" width="41.1640625" style="1088" customWidth="1"/>
    <col min="16180" max="16384" width="9.33203125" style="1088"/>
  </cols>
  <sheetData>
    <row r="1" spans="1:64" ht="38.25" customHeight="1">
      <c r="A1" s="1084"/>
      <c r="B1" s="1085"/>
      <c r="C1" s="1085"/>
      <c r="D1" s="1085"/>
      <c r="E1" s="1085"/>
      <c r="F1" s="1085"/>
      <c r="G1" s="1085"/>
      <c r="H1" s="1085"/>
      <c r="I1" s="1085"/>
      <c r="J1" s="1085"/>
      <c r="K1" s="1085"/>
      <c r="L1" s="1085"/>
      <c r="M1" s="1085"/>
      <c r="N1" s="1084"/>
      <c r="O1" s="1085"/>
      <c r="P1" s="1085"/>
      <c r="Q1" s="1085"/>
      <c r="R1" s="1085"/>
      <c r="S1" s="1085"/>
      <c r="T1" s="1085"/>
      <c r="U1" s="1085"/>
      <c r="V1" s="1085"/>
      <c r="W1" s="1085"/>
      <c r="X1" s="1085"/>
      <c r="Y1" s="1085"/>
      <c r="Z1" s="1085"/>
      <c r="AA1" s="1086"/>
      <c r="AB1" s="1084"/>
      <c r="AC1" s="1084"/>
      <c r="AD1" s="1084"/>
      <c r="AE1" s="1084"/>
      <c r="AF1" s="1084"/>
      <c r="AG1" s="1084"/>
      <c r="AH1" s="1084"/>
      <c r="AI1" s="1084"/>
      <c r="AJ1" s="1084"/>
      <c r="AK1" s="1084"/>
      <c r="AL1" s="1084"/>
      <c r="AM1" s="1084"/>
      <c r="AN1" s="1086"/>
      <c r="AO1" s="1084"/>
      <c r="AP1" s="1084"/>
      <c r="AQ1" s="1084"/>
      <c r="AR1" s="1084"/>
      <c r="AS1" s="1084"/>
      <c r="AT1" s="1084"/>
      <c r="AU1" s="1084"/>
      <c r="AV1" s="1084"/>
      <c r="AW1" s="1084"/>
      <c r="AX1" s="1084"/>
      <c r="AY1" s="1084"/>
      <c r="AZ1" s="1087"/>
      <c r="BA1" s="1087"/>
      <c r="BB1" s="1087"/>
      <c r="BC1" s="1087"/>
      <c r="BD1" s="1087"/>
      <c r="BE1" s="1087"/>
      <c r="BF1" s="1087"/>
      <c r="BG1" s="1087"/>
      <c r="BH1" s="1087"/>
      <c r="BI1" s="1087"/>
      <c r="BJ1" s="1087"/>
      <c r="BK1" s="1087"/>
      <c r="BL1" s="1087"/>
    </row>
    <row r="2" spans="1:64" s="1090" customFormat="1" ht="54" customHeight="1">
      <c r="A2" s="1933" t="s">
        <v>626</v>
      </c>
      <c r="B2" s="1933"/>
      <c r="C2" s="1933"/>
      <c r="D2" s="1933"/>
      <c r="E2" s="1933"/>
      <c r="F2" s="1933"/>
      <c r="G2" s="1933"/>
      <c r="H2" s="1933"/>
      <c r="I2" s="1933"/>
      <c r="J2" s="1933"/>
      <c r="K2" s="1933"/>
      <c r="L2" s="1933"/>
      <c r="M2" s="1933"/>
      <c r="N2" s="1933" t="s">
        <v>626</v>
      </c>
      <c r="O2" s="1933"/>
      <c r="P2" s="1933"/>
      <c r="Q2" s="1933"/>
      <c r="R2" s="1933"/>
      <c r="S2" s="1933"/>
      <c r="T2" s="1933"/>
      <c r="U2" s="1933"/>
      <c r="V2" s="1933"/>
      <c r="W2" s="1933"/>
      <c r="X2" s="1933"/>
      <c r="Y2" s="1933"/>
      <c r="Z2" s="1933"/>
      <c r="AA2" s="1933" t="s">
        <v>626</v>
      </c>
      <c r="AB2" s="1933"/>
      <c r="AC2" s="1933"/>
      <c r="AD2" s="1933"/>
      <c r="AE2" s="1933"/>
      <c r="AF2" s="1933"/>
      <c r="AG2" s="1933"/>
      <c r="AH2" s="1933"/>
      <c r="AI2" s="1933"/>
      <c r="AJ2" s="1933"/>
      <c r="AK2" s="1933"/>
      <c r="AL2" s="1933"/>
      <c r="AM2" s="1933"/>
      <c r="AN2" s="1933" t="s">
        <v>626</v>
      </c>
      <c r="AO2" s="1933"/>
      <c r="AP2" s="1933"/>
      <c r="AQ2" s="1933"/>
      <c r="AR2" s="1933"/>
      <c r="AS2" s="1933"/>
      <c r="AT2" s="1933"/>
      <c r="AU2" s="1933"/>
      <c r="AV2" s="1933"/>
      <c r="AW2" s="1024"/>
      <c r="AX2" s="1024"/>
      <c r="AY2" s="1024"/>
      <c r="AZ2" s="1089"/>
      <c r="BA2" s="1089"/>
      <c r="BB2" s="1089"/>
      <c r="BC2" s="1089"/>
      <c r="BD2" s="1089"/>
      <c r="BE2" s="1089"/>
      <c r="BF2" s="1089"/>
      <c r="BG2" s="1089"/>
      <c r="BH2" s="1089"/>
      <c r="BI2" s="1089"/>
      <c r="BJ2" s="1089"/>
      <c r="BK2" s="1089"/>
      <c r="BL2" s="1089"/>
    </row>
    <row r="3" spans="1:64" s="1090" customFormat="1" ht="54" customHeight="1">
      <c r="A3" s="1933" t="s">
        <v>1199</v>
      </c>
      <c r="B3" s="1933"/>
      <c r="C3" s="1933"/>
      <c r="D3" s="1933"/>
      <c r="E3" s="1933"/>
      <c r="F3" s="1933"/>
      <c r="G3" s="1933"/>
      <c r="H3" s="1933"/>
      <c r="I3" s="1933"/>
      <c r="J3" s="1933"/>
      <c r="K3" s="1933"/>
      <c r="L3" s="1933"/>
      <c r="M3" s="1933"/>
      <c r="N3" s="1933" t="s">
        <v>1199</v>
      </c>
      <c r="O3" s="1933"/>
      <c r="P3" s="1933"/>
      <c r="Q3" s="1933"/>
      <c r="R3" s="1933"/>
      <c r="S3" s="1933"/>
      <c r="T3" s="1933"/>
      <c r="U3" s="1933"/>
      <c r="V3" s="1933"/>
      <c r="W3" s="1933"/>
      <c r="X3" s="1933"/>
      <c r="Y3" s="1933"/>
      <c r="Z3" s="1933"/>
      <c r="AA3" s="1933" t="s">
        <v>1199</v>
      </c>
      <c r="AB3" s="1933"/>
      <c r="AC3" s="1933"/>
      <c r="AD3" s="1933"/>
      <c r="AE3" s="1933"/>
      <c r="AF3" s="1933"/>
      <c r="AG3" s="1933"/>
      <c r="AH3" s="1933"/>
      <c r="AI3" s="1933"/>
      <c r="AJ3" s="1933"/>
      <c r="AK3" s="1933"/>
      <c r="AL3" s="1933"/>
      <c r="AM3" s="1933"/>
      <c r="AN3" s="1933" t="s">
        <v>1199</v>
      </c>
      <c r="AO3" s="1933"/>
      <c r="AP3" s="1933"/>
      <c r="AQ3" s="1933"/>
      <c r="AR3" s="1933"/>
      <c r="AS3" s="1933"/>
      <c r="AT3" s="1933"/>
      <c r="AU3" s="1933"/>
      <c r="AV3" s="1933"/>
      <c r="AW3" s="1024"/>
      <c r="AX3" s="1024"/>
      <c r="AY3" s="1024"/>
      <c r="AZ3" s="1089"/>
      <c r="BA3" s="1089"/>
      <c r="BB3" s="1089"/>
      <c r="BC3" s="1089"/>
      <c r="BD3" s="1089"/>
      <c r="BE3" s="1089"/>
      <c r="BF3" s="1089"/>
      <c r="BG3" s="1089"/>
      <c r="BH3" s="1089"/>
      <c r="BI3" s="1089"/>
      <c r="BJ3" s="1089"/>
      <c r="BK3" s="1089"/>
      <c r="BL3" s="1089"/>
    </row>
    <row r="4" spans="1:64" ht="62.25" customHeight="1" thickBot="1">
      <c r="A4" s="1084"/>
      <c r="B4" s="1085"/>
      <c r="C4" s="1085"/>
      <c r="D4" s="1085"/>
      <c r="E4" s="1085"/>
      <c r="F4" s="1085"/>
      <c r="G4" s="1085"/>
      <c r="H4" s="1085"/>
      <c r="I4" s="1085"/>
      <c r="J4" s="1085"/>
      <c r="K4" s="1085"/>
      <c r="L4" s="1085"/>
      <c r="M4" s="1085"/>
      <c r="N4" s="1084"/>
      <c r="O4" s="1085"/>
      <c r="P4" s="1085"/>
      <c r="Q4" s="1085"/>
      <c r="R4" s="1085"/>
      <c r="S4" s="1085"/>
      <c r="T4" s="1085"/>
      <c r="U4" s="1085"/>
      <c r="V4" s="1085"/>
      <c r="W4" s="1085"/>
      <c r="X4" s="1085"/>
      <c r="Y4" s="1085"/>
      <c r="Z4" s="1085"/>
      <c r="AA4" s="1086"/>
      <c r="AB4" s="1084"/>
      <c r="AC4" s="1084"/>
      <c r="AD4" s="1084"/>
      <c r="AE4" s="1084"/>
      <c r="AF4" s="1084"/>
      <c r="AG4" s="1084"/>
      <c r="AH4" s="1084"/>
      <c r="AI4" s="1084"/>
      <c r="AJ4" s="1084"/>
      <c r="AK4" s="1084"/>
      <c r="AL4" s="1084"/>
      <c r="AM4" s="1084"/>
      <c r="AN4" s="1086"/>
      <c r="AO4" s="1084"/>
      <c r="AP4" s="1084"/>
      <c r="AQ4" s="1084"/>
      <c r="AR4" s="1084"/>
      <c r="AS4" s="1084"/>
      <c r="AT4" s="1084"/>
      <c r="AU4" s="1084"/>
      <c r="AV4" s="1084"/>
      <c r="AW4" s="1084"/>
      <c r="AX4" s="1084"/>
      <c r="AY4" s="1084"/>
      <c r="AZ4" s="1087"/>
      <c r="BA4" s="1087"/>
      <c r="BB4" s="1087"/>
      <c r="BC4" s="1087"/>
      <c r="BD4" s="1087"/>
      <c r="BE4" s="1087"/>
      <c r="BF4" s="1087"/>
      <c r="BG4" s="1087"/>
      <c r="BH4" s="1087"/>
      <c r="BI4" s="1087"/>
      <c r="BJ4" s="1087"/>
      <c r="BK4" s="1087"/>
      <c r="BL4" s="1087"/>
    </row>
    <row r="5" spans="1:64" s="1093" customFormat="1" ht="55.5" customHeight="1">
      <c r="A5" s="1026"/>
      <c r="B5" s="1938" t="s">
        <v>539</v>
      </c>
      <c r="C5" s="1939"/>
      <c r="D5" s="1939"/>
      <c r="E5" s="1940"/>
      <c r="F5" s="1947" t="s">
        <v>645</v>
      </c>
      <c r="G5" s="1948"/>
      <c r="H5" s="1948"/>
      <c r="I5" s="1949"/>
      <c r="J5" s="1938" t="s">
        <v>1200</v>
      </c>
      <c r="K5" s="1939"/>
      <c r="L5" s="1939"/>
      <c r="M5" s="1940"/>
      <c r="N5" s="1026"/>
      <c r="O5" s="1938" t="s">
        <v>651</v>
      </c>
      <c r="P5" s="1939"/>
      <c r="Q5" s="1939"/>
      <c r="R5" s="1940"/>
      <c r="S5" s="1938" t="s">
        <v>653</v>
      </c>
      <c r="T5" s="1939"/>
      <c r="U5" s="1939"/>
      <c r="V5" s="1940"/>
      <c r="W5" s="1938" t="s">
        <v>655</v>
      </c>
      <c r="X5" s="1939"/>
      <c r="Y5" s="1939"/>
      <c r="Z5" s="1940"/>
      <c r="AA5" s="1091"/>
      <c r="AB5" s="1938" t="s">
        <v>140</v>
      </c>
      <c r="AC5" s="1939"/>
      <c r="AD5" s="1939"/>
      <c r="AE5" s="1940"/>
      <c r="AF5" s="1938" t="s">
        <v>541</v>
      </c>
      <c r="AG5" s="1939"/>
      <c r="AH5" s="1939"/>
      <c r="AI5" s="1940"/>
      <c r="AJ5" s="1938" t="s">
        <v>664</v>
      </c>
      <c r="AK5" s="1939"/>
      <c r="AL5" s="1939"/>
      <c r="AM5" s="1940"/>
      <c r="AN5" s="1091"/>
      <c r="AO5" s="1938" t="s">
        <v>666</v>
      </c>
      <c r="AP5" s="1939"/>
      <c r="AQ5" s="1939"/>
      <c r="AR5" s="1940"/>
      <c r="AS5" s="1938" t="s">
        <v>1201</v>
      </c>
      <c r="AT5" s="1939"/>
      <c r="AU5" s="1939"/>
      <c r="AV5" s="1940"/>
      <c r="AW5" s="1027"/>
      <c r="AX5" s="1027"/>
      <c r="AY5" s="1027"/>
      <c r="AZ5" s="1022"/>
      <c r="BA5" s="1022"/>
      <c r="BB5" s="1022"/>
      <c r="BC5" s="1022"/>
      <c r="BD5" s="1022"/>
      <c r="BE5" s="1092"/>
      <c r="BF5" s="1092"/>
      <c r="BG5" s="1092"/>
      <c r="BH5" s="1092"/>
      <c r="BI5" s="1092"/>
      <c r="BJ5" s="1092"/>
      <c r="BK5" s="1092"/>
      <c r="BL5" s="1092"/>
    </row>
    <row r="6" spans="1:64" s="1093" customFormat="1" ht="54" customHeight="1">
      <c r="A6" s="1094"/>
      <c r="B6" s="1941"/>
      <c r="C6" s="1942"/>
      <c r="D6" s="1942"/>
      <c r="E6" s="1943"/>
      <c r="F6" s="1950"/>
      <c r="G6" s="1951"/>
      <c r="H6" s="1951"/>
      <c r="I6" s="1952"/>
      <c r="J6" s="1941"/>
      <c r="K6" s="1942"/>
      <c r="L6" s="1942"/>
      <c r="M6" s="1943"/>
      <c r="N6" s="1094"/>
      <c r="O6" s="1941"/>
      <c r="P6" s="1942"/>
      <c r="Q6" s="1942"/>
      <c r="R6" s="1943"/>
      <c r="S6" s="1941"/>
      <c r="T6" s="1942"/>
      <c r="U6" s="1942"/>
      <c r="V6" s="1943"/>
      <c r="W6" s="1941"/>
      <c r="X6" s="1942"/>
      <c r="Y6" s="1942"/>
      <c r="Z6" s="1943"/>
      <c r="AA6" s="1096"/>
      <c r="AB6" s="1941"/>
      <c r="AC6" s="1942"/>
      <c r="AD6" s="1942"/>
      <c r="AE6" s="1943"/>
      <c r="AF6" s="1941"/>
      <c r="AG6" s="1942"/>
      <c r="AH6" s="1942"/>
      <c r="AI6" s="1943"/>
      <c r="AJ6" s="1941"/>
      <c r="AK6" s="1942"/>
      <c r="AL6" s="1942"/>
      <c r="AM6" s="1943"/>
      <c r="AN6" s="1096"/>
      <c r="AO6" s="1941"/>
      <c r="AP6" s="1942"/>
      <c r="AQ6" s="1942"/>
      <c r="AR6" s="1943"/>
      <c r="AS6" s="1941"/>
      <c r="AT6" s="1942"/>
      <c r="AU6" s="1942"/>
      <c r="AV6" s="1943"/>
      <c r="AW6" s="1095"/>
      <c r="AX6" s="1095"/>
      <c r="AY6" s="1095"/>
      <c r="AZ6" s="1022"/>
      <c r="BA6" s="1022"/>
      <c r="BB6" s="1022"/>
      <c r="BC6" s="1022"/>
      <c r="BD6" s="1022"/>
      <c r="BE6" s="1092"/>
      <c r="BF6" s="1092"/>
      <c r="BG6" s="1092"/>
      <c r="BH6" s="1092"/>
      <c r="BI6" s="1092"/>
      <c r="BJ6" s="1092"/>
      <c r="BK6" s="1092"/>
      <c r="BL6" s="1092"/>
    </row>
    <row r="7" spans="1:64" s="1098" customFormat="1" ht="106.5" customHeight="1" thickBot="1">
      <c r="A7" s="1028" t="s">
        <v>1162</v>
      </c>
      <c r="B7" s="1944"/>
      <c r="C7" s="1945"/>
      <c r="D7" s="1945"/>
      <c r="E7" s="1946"/>
      <c r="F7" s="1953"/>
      <c r="G7" s="1954"/>
      <c r="H7" s="1954"/>
      <c r="I7" s="1955"/>
      <c r="J7" s="1944"/>
      <c r="K7" s="1945"/>
      <c r="L7" s="1945"/>
      <c r="M7" s="1946"/>
      <c r="N7" s="1028" t="s">
        <v>1162</v>
      </c>
      <c r="O7" s="1944"/>
      <c r="P7" s="1945"/>
      <c r="Q7" s="1945"/>
      <c r="R7" s="1946"/>
      <c r="S7" s="1944"/>
      <c r="T7" s="1945"/>
      <c r="U7" s="1945"/>
      <c r="V7" s="1946"/>
      <c r="W7" s="1944"/>
      <c r="X7" s="1945"/>
      <c r="Y7" s="1945"/>
      <c r="Z7" s="1946"/>
      <c r="AA7" s="1028" t="s">
        <v>1162</v>
      </c>
      <c r="AB7" s="1944"/>
      <c r="AC7" s="1945"/>
      <c r="AD7" s="1945"/>
      <c r="AE7" s="1946"/>
      <c r="AF7" s="1944"/>
      <c r="AG7" s="1945"/>
      <c r="AH7" s="1945"/>
      <c r="AI7" s="1946"/>
      <c r="AJ7" s="1944"/>
      <c r="AK7" s="1945"/>
      <c r="AL7" s="1945"/>
      <c r="AM7" s="1946"/>
      <c r="AN7" s="1028" t="s">
        <v>1162</v>
      </c>
      <c r="AO7" s="1944"/>
      <c r="AP7" s="1945"/>
      <c r="AQ7" s="1945"/>
      <c r="AR7" s="1946"/>
      <c r="AS7" s="1944"/>
      <c r="AT7" s="1945"/>
      <c r="AU7" s="1945"/>
      <c r="AV7" s="1946"/>
      <c r="AW7" s="1095"/>
      <c r="AX7" s="1095"/>
      <c r="AY7" s="1095"/>
      <c r="AZ7" s="1030"/>
      <c r="BA7" s="1030"/>
      <c r="BB7" s="1030"/>
      <c r="BC7" s="1030"/>
      <c r="BD7" s="1030"/>
      <c r="BE7" s="1097"/>
      <c r="BF7" s="1097"/>
      <c r="BG7" s="1097"/>
      <c r="BH7" s="1097"/>
      <c r="BI7" s="1097"/>
      <c r="BJ7" s="1097"/>
      <c r="BK7" s="1097"/>
      <c r="BL7" s="1097"/>
    </row>
    <row r="8" spans="1:64" s="1101" customFormat="1" ht="159" customHeight="1" thickBot="1">
      <c r="A8" s="1029">
        <v>2025</v>
      </c>
      <c r="B8" s="1031" t="s">
        <v>1163</v>
      </c>
      <c r="C8" s="1031" t="s">
        <v>1164</v>
      </c>
      <c r="D8" s="1031" t="s">
        <v>77</v>
      </c>
      <c r="E8" s="1031" t="s">
        <v>1202</v>
      </c>
      <c r="F8" s="1031" t="s">
        <v>1163</v>
      </c>
      <c r="G8" s="1031" t="s">
        <v>1164</v>
      </c>
      <c r="H8" s="1031" t="s">
        <v>77</v>
      </c>
      <c r="I8" s="1031" t="s">
        <v>1202</v>
      </c>
      <c r="J8" s="1031" t="s">
        <v>1163</v>
      </c>
      <c r="K8" s="1031" t="s">
        <v>1164</v>
      </c>
      <c r="L8" s="1031" t="s">
        <v>77</v>
      </c>
      <c r="M8" s="1031" t="s">
        <v>1202</v>
      </c>
      <c r="N8" s="1029">
        <v>2025</v>
      </c>
      <c r="O8" s="1031" t="s">
        <v>1163</v>
      </c>
      <c r="P8" s="1031" t="s">
        <v>1164</v>
      </c>
      <c r="Q8" s="1031" t="s">
        <v>77</v>
      </c>
      <c r="R8" s="1031" t="s">
        <v>1202</v>
      </c>
      <c r="S8" s="1031" t="s">
        <v>1163</v>
      </c>
      <c r="T8" s="1031" t="s">
        <v>1164</v>
      </c>
      <c r="U8" s="1031" t="s">
        <v>77</v>
      </c>
      <c r="V8" s="1031" t="s">
        <v>1202</v>
      </c>
      <c r="W8" s="1031" t="s">
        <v>1163</v>
      </c>
      <c r="X8" s="1031" t="s">
        <v>1164</v>
      </c>
      <c r="Y8" s="1031" t="s">
        <v>77</v>
      </c>
      <c r="Z8" s="1031" t="s">
        <v>1202</v>
      </c>
      <c r="AA8" s="1029">
        <v>2025</v>
      </c>
      <c r="AB8" s="1031" t="s">
        <v>1163</v>
      </c>
      <c r="AC8" s="1031" t="s">
        <v>1164</v>
      </c>
      <c r="AD8" s="1031" t="s">
        <v>77</v>
      </c>
      <c r="AE8" s="1031" t="s">
        <v>1202</v>
      </c>
      <c r="AF8" s="1031" t="s">
        <v>1163</v>
      </c>
      <c r="AG8" s="1031" t="s">
        <v>1164</v>
      </c>
      <c r="AH8" s="1031" t="s">
        <v>77</v>
      </c>
      <c r="AI8" s="1031" t="s">
        <v>1202</v>
      </c>
      <c r="AJ8" s="1031" t="s">
        <v>1163</v>
      </c>
      <c r="AK8" s="1031" t="s">
        <v>1164</v>
      </c>
      <c r="AL8" s="1031" t="s">
        <v>77</v>
      </c>
      <c r="AM8" s="1031" t="s">
        <v>1202</v>
      </c>
      <c r="AN8" s="1029">
        <v>2025</v>
      </c>
      <c r="AO8" s="1031" t="s">
        <v>1163</v>
      </c>
      <c r="AP8" s="1031" t="s">
        <v>1164</v>
      </c>
      <c r="AQ8" s="1031" t="s">
        <v>77</v>
      </c>
      <c r="AR8" s="1031" t="s">
        <v>1202</v>
      </c>
      <c r="AS8" s="1031" t="s">
        <v>1163</v>
      </c>
      <c r="AT8" s="1031" t="s">
        <v>1164</v>
      </c>
      <c r="AU8" s="1031" t="s">
        <v>77</v>
      </c>
      <c r="AV8" s="1031" t="s">
        <v>1202</v>
      </c>
      <c r="AW8" s="1099" t="s">
        <v>1203</v>
      </c>
      <c r="AX8" s="1099" t="s">
        <v>1204</v>
      </c>
      <c r="AY8" s="1099" t="s">
        <v>77</v>
      </c>
      <c r="AZ8" s="1030"/>
      <c r="BA8" s="1030"/>
      <c r="BB8" s="1030"/>
      <c r="BC8" s="1030"/>
      <c r="BD8" s="1030"/>
      <c r="BE8" s="1100"/>
      <c r="BF8" s="1100"/>
      <c r="BG8" s="1100"/>
      <c r="BH8" s="1100"/>
      <c r="BI8" s="1100"/>
      <c r="BJ8" s="1100"/>
      <c r="BK8" s="1100"/>
      <c r="BL8" s="1100"/>
    </row>
    <row r="9" spans="1:64" s="1103" customFormat="1" ht="45.75" customHeight="1">
      <c r="A9" s="1032" t="s">
        <v>1166</v>
      </c>
      <c r="B9" s="1033"/>
      <c r="C9" s="1033"/>
      <c r="D9" s="1033"/>
      <c r="E9" s="1033"/>
      <c r="F9" s="1033"/>
      <c r="G9" s="1033"/>
      <c r="H9" s="1033"/>
      <c r="I9" s="1033"/>
      <c r="J9" s="1033"/>
      <c r="K9" s="1033"/>
      <c r="L9" s="1033"/>
      <c r="M9" s="1033"/>
      <c r="N9" s="1032" t="s">
        <v>1166</v>
      </c>
      <c r="O9" s="1033"/>
      <c r="P9" s="1033"/>
      <c r="Q9" s="1033"/>
      <c r="R9" s="1033"/>
      <c r="S9" s="1033"/>
      <c r="T9" s="1033"/>
      <c r="U9" s="1033"/>
      <c r="V9" s="1033"/>
      <c r="W9" s="1033"/>
      <c r="X9" s="1033"/>
      <c r="Y9" s="1033"/>
      <c r="Z9" s="1033"/>
      <c r="AA9" s="1032" t="s">
        <v>1166</v>
      </c>
      <c r="AB9" s="1032"/>
      <c r="AC9" s="1032"/>
      <c r="AD9" s="1032"/>
      <c r="AE9" s="1032"/>
      <c r="AF9" s="1032"/>
      <c r="AG9" s="1032"/>
      <c r="AH9" s="1032"/>
      <c r="AI9" s="1032"/>
      <c r="AJ9" s="1033"/>
      <c r="AK9" s="1033"/>
      <c r="AL9" s="1033"/>
      <c r="AM9" s="1033"/>
      <c r="AN9" s="1032" t="s">
        <v>1166</v>
      </c>
      <c r="AO9" s="1032"/>
      <c r="AP9" s="1032"/>
      <c r="AQ9" s="1032"/>
      <c r="AR9" s="1032"/>
      <c r="AS9" s="1032"/>
      <c r="AT9" s="1032"/>
      <c r="AU9" s="1032"/>
      <c r="AV9" s="1032"/>
      <c r="AW9" s="1032"/>
      <c r="AX9" s="1032"/>
      <c r="AY9" s="1032"/>
      <c r="AZ9" s="1019"/>
      <c r="BA9" s="1019"/>
      <c r="BB9" s="1019"/>
      <c r="BC9" s="1019"/>
      <c r="BD9" s="1019"/>
      <c r="BE9" s="1102"/>
      <c r="BF9" s="1102"/>
      <c r="BG9" s="1102"/>
      <c r="BH9" s="1102"/>
      <c r="BI9" s="1102"/>
      <c r="BJ9" s="1102"/>
      <c r="BK9" s="1102"/>
      <c r="BL9" s="1102"/>
    </row>
    <row r="10" spans="1:64" s="1103" customFormat="1" ht="49.5" customHeight="1">
      <c r="A10" s="1034" t="s">
        <v>1167</v>
      </c>
      <c r="B10" s="1035">
        <f>[4]int.kiadások2025!B9</f>
        <v>234624</v>
      </c>
      <c r="C10" s="1035">
        <f>'[5]int.kiadások RM IV'!D10</f>
        <v>238714</v>
      </c>
      <c r="D10" s="1035">
        <v>230791</v>
      </c>
      <c r="E10" s="1036">
        <f t="shared" ref="E10:E30" si="0">D10/C10</f>
        <v>0.96680965506840821</v>
      </c>
      <c r="F10" s="1035">
        <f>[4]int.kiadások2025!C9</f>
        <v>34776</v>
      </c>
      <c r="G10" s="1035">
        <f>'[5]int.kiadások RM IV'!G10</f>
        <v>35287</v>
      </c>
      <c r="H10" s="1035">
        <v>31448</v>
      </c>
      <c r="I10" s="1036">
        <f t="shared" ref="I10:I30" si="1">H10/G10</f>
        <v>0.89120639328931339</v>
      </c>
      <c r="J10" s="1035">
        <f>[4]int.kiadások2025!D9</f>
        <v>6598</v>
      </c>
      <c r="K10" s="1035">
        <f>'[5]int.kiadások RM IV'!J10</f>
        <v>9799</v>
      </c>
      <c r="L10" s="1035">
        <v>7548</v>
      </c>
      <c r="M10" s="1036">
        <f t="shared" ref="M10:M30" si="2">L10/K10</f>
        <v>0.77028268190631699</v>
      </c>
      <c r="N10" s="1034" t="s">
        <v>1167</v>
      </c>
      <c r="O10" s="1035">
        <f>[4]int.kiadások2025!E9</f>
        <v>0</v>
      </c>
      <c r="P10" s="1035">
        <f>'[5]int.kiadások RM IV'!N10</f>
        <v>0</v>
      </c>
      <c r="Q10" s="1035"/>
      <c r="R10" s="1036"/>
      <c r="S10" s="1035">
        <f>[4]int.kiadások2025!F9</f>
        <v>0</v>
      </c>
      <c r="T10" s="1035">
        <f>'[5]int.kiadások RM IV'!Q10</f>
        <v>0</v>
      </c>
      <c r="U10" s="1035"/>
      <c r="V10" s="1036"/>
      <c r="W10" s="1037">
        <f t="shared" ref="W10:Y27" si="3">B10+F10+J10+O10+S10</f>
        <v>275998</v>
      </c>
      <c r="X10" s="1037">
        <f t="shared" si="3"/>
        <v>283800</v>
      </c>
      <c r="Y10" s="1037">
        <f t="shared" si="3"/>
        <v>269787</v>
      </c>
      <c r="Z10" s="1038">
        <f t="shared" ref="Z10:Z30" si="4">Y10/X10</f>
        <v>0.95062367864693442</v>
      </c>
      <c r="AA10" s="1034" t="s">
        <v>1167</v>
      </c>
      <c r="AB10" s="1035">
        <f>[4]int.kiadások2025!I9</f>
        <v>0</v>
      </c>
      <c r="AC10" s="1035">
        <f>'[5]int.kiadások RM IV'!X10</f>
        <v>2432</v>
      </c>
      <c r="AD10" s="1035">
        <v>2430</v>
      </c>
      <c r="AE10" s="1036">
        <f t="shared" ref="AE10:AE30" si="5">AD10/AC10</f>
        <v>0.99917763157894735</v>
      </c>
      <c r="AF10" s="1035">
        <f>[4]int.kiadások2025!J9</f>
        <v>0</v>
      </c>
      <c r="AG10" s="1035">
        <f>'[5]int.kiadások RM IV'!AA10</f>
        <v>0</v>
      </c>
      <c r="AH10" s="1035"/>
      <c r="AI10" s="1036"/>
      <c r="AJ10" s="1035">
        <f>[4]int.kiadások2025!K9</f>
        <v>0</v>
      </c>
      <c r="AK10" s="1035">
        <f>'[5]int.kiadások RM IV'!AD10</f>
        <v>0</v>
      </c>
      <c r="AL10" s="1035"/>
      <c r="AM10" s="1036"/>
      <c r="AN10" s="1034" t="s">
        <v>1167</v>
      </c>
      <c r="AO10" s="1037">
        <f t="shared" ref="AO10:AQ27" si="6">AB10+AF10+AJ10</f>
        <v>0</v>
      </c>
      <c r="AP10" s="1037">
        <f t="shared" si="6"/>
        <v>2432</v>
      </c>
      <c r="AQ10" s="1037">
        <f t="shared" si="6"/>
        <v>2430</v>
      </c>
      <c r="AR10" s="1038">
        <f t="shared" ref="AR10:AR30" si="7">AQ10/AP10</f>
        <v>0.99917763157894735</v>
      </c>
      <c r="AS10" s="1037">
        <f t="shared" ref="AS10:AU27" si="8">W10+AO10</f>
        <v>275998</v>
      </c>
      <c r="AT10" s="1037">
        <f t="shared" si="8"/>
        <v>286232</v>
      </c>
      <c r="AU10" s="1037">
        <f t="shared" si="8"/>
        <v>272217</v>
      </c>
      <c r="AV10" s="1038">
        <f t="shared" ref="AV10:AV30" si="9">AU10/AT10</f>
        <v>0.95103622236507446</v>
      </c>
      <c r="AW10" s="1037">
        <f>AS10-'[7]éves besz.bevételei2025'!AV10</f>
        <v>0</v>
      </c>
      <c r="AX10" s="1037">
        <f>AT10-'[7]éves besz.bevételei2025'!AW10</f>
        <v>0</v>
      </c>
      <c r="AY10" s="1037">
        <f>AU10-'[7]éves besz.bevételei2025'!AX10</f>
        <v>-3425</v>
      </c>
      <c r="AZ10" s="1019"/>
      <c r="BA10" s="1019"/>
      <c r="BB10" s="1019"/>
      <c r="BC10" s="1019"/>
      <c r="BD10" s="1019"/>
      <c r="BE10" s="1102"/>
      <c r="BF10" s="1102"/>
      <c r="BG10" s="1102"/>
      <c r="BH10" s="1102"/>
      <c r="BI10" s="1102"/>
      <c r="BJ10" s="1102"/>
      <c r="BK10" s="1102"/>
      <c r="BL10" s="1102"/>
    </row>
    <row r="11" spans="1:64" s="1103" customFormat="1" ht="49.5" customHeight="1">
      <c r="A11" s="1034" t="s">
        <v>1168</v>
      </c>
      <c r="B11" s="1035">
        <f>[4]int.kiadások2025!B10</f>
        <v>164413</v>
      </c>
      <c r="C11" s="1035">
        <f>'[5]int.kiadások RM IV'!D11</f>
        <v>168509</v>
      </c>
      <c r="D11" s="1035">
        <v>165015</v>
      </c>
      <c r="E11" s="1036">
        <f t="shared" si="0"/>
        <v>0.97926520245209459</v>
      </c>
      <c r="F11" s="1035">
        <f>[4]int.kiadások2025!C10</f>
        <v>21263</v>
      </c>
      <c r="G11" s="1035">
        <f>'[5]int.kiadások RM IV'!G11</f>
        <v>21779</v>
      </c>
      <c r="H11" s="1035">
        <v>19621</v>
      </c>
      <c r="I11" s="1036">
        <f t="shared" si="1"/>
        <v>0.90091372422976257</v>
      </c>
      <c r="J11" s="1035">
        <f>[4]int.kiadások2025!D10</f>
        <v>3058</v>
      </c>
      <c r="K11" s="1035">
        <f>'[5]int.kiadások RM IV'!J11</f>
        <v>4991</v>
      </c>
      <c r="L11" s="1035">
        <v>3501</v>
      </c>
      <c r="M11" s="1036">
        <f t="shared" si="2"/>
        <v>0.70146263273893006</v>
      </c>
      <c r="N11" s="1034" t="s">
        <v>1168</v>
      </c>
      <c r="O11" s="1035">
        <f>[4]int.kiadások2025!E10</f>
        <v>0</v>
      </c>
      <c r="P11" s="1035">
        <f>'[5]int.kiadások RM IV'!N11</f>
        <v>0</v>
      </c>
      <c r="Q11" s="1035"/>
      <c r="R11" s="1036"/>
      <c r="S11" s="1035">
        <f>[4]int.kiadások2025!F10</f>
        <v>0</v>
      </c>
      <c r="T11" s="1035">
        <f>'[5]int.kiadások RM IV'!Q11</f>
        <v>0</v>
      </c>
      <c r="U11" s="1035"/>
      <c r="V11" s="1036"/>
      <c r="W11" s="1037">
        <f t="shared" si="3"/>
        <v>188734</v>
      </c>
      <c r="X11" s="1037">
        <f t="shared" si="3"/>
        <v>195279</v>
      </c>
      <c r="Y11" s="1037">
        <f t="shared" si="3"/>
        <v>188137</v>
      </c>
      <c r="Z11" s="1038">
        <f t="shared" si="4"/>
        <v>0.96342668694534483</v>
      </c>
      <c r="AA11" s="1034" t="s">
        <v>1168</v>
      </c>
      <c r="AB11" s="1035">
        <f>[4]int.kiadások2025!I10</f>
        <v>0</v>
      </c>
      <c r="AC11" s="1035">
        <f>'[5]int.kiadások RM IV'!X11</f>
        <v>472</v>
      </c>
      <c r="AD11" s="1035">
        <v>471</v>
      </c>
      <c r="AE11" s="1036">
        <f t="shared" si="5"/>
        <v>0.9978813559322034</v>
      </c>
      <c r="AF11" s="1035">
        <f>[4]int.kiadások2025!J10</f>
        <v>0</v>
      </c>
      <c r="AG11" s="1035">
        <f>'[5]int.kiadások RM IV'!AA11</f>
        <v>0</v>
      </c>
      <c r="AH11" s="1035"/>
      <c r="AI11" s="1036"/>
      <c r="AJ11" s="1035">
        <f>[4]int.kiadások2025!K10</f>
        <v>0</v>
      </c>
      <c r="AK11" s="1035">
        <f>'[5]int.kiadások RM IV'!AD11</f>
        <v>0</v>
      </c>
      <c r="AL11" s="1035"/>
      <c r="AM11" s="1036"/>
      <c r="AN11" s="1034" t="s">
        <v>1168</v>
      </c>
      <c r="AO11" s="1037">
        <f t="shared" si="6"/>
        <v>0</v>
      </c>
      <c r="AP11" s="1037">
        <f t="shared" si="6"/>
        <v>472</v>
      </c>
      <c r="AQ11" s="1037">
        <f t="shared" si="6"/>
        <v>471</v>
      </c>
      <c r="AR11" s="1038">
        <f t="shared" si="7"/>
        <v>0.9978813559322034</v>
      </c>
      <c r="AS11" s="1037">
        <f t="shared" si="8"/>
        <v>188734</v>
      </c>
      <c r="AT11" s="1037">
        <f t="shared" si="8"/>
        <v>195751</v>
      </c>
      <c r="AU11" s="1037">
        <f t="shared" si="8"/>
        <v>188608</v>
      </c>
      <c r="AV11" s="1038">
        <f t="shared" si="9"/>
        <v>0.96350976495650087</v>
      </c>
      <c r="AW11" s="1037">
        <f>AS11-'[7]éves besz.bevételei2025'!AV11</f>
        <v>0</v>
      </c>
      <c r="AX11" s="1037">
        <f>AT11-'[7]éves besz.bevételei2025'!AW11</f>
        <v>0</v>
      </c>
      <c r="AY11" s="1037">
        <f>AU11-'[7]éves besz.bevételei2025'!AX11</f>
        <v>-887</v>
      </c>
      <c r="AZ11" s="1019"/>
      <c r="BA11" s="1019"/>
      <c r="BB11" s="1019"/>
      <c r="BC11" s="1019"/>
      <c r="BD11" s="1019"/>
      <c r="BE11" s="1102"/>
      <c r="BF11" s="1102"/>
      <c r="BG11" s="1102"/>
      <c r="BH11" s="1102"/>
      <c r="BI11" s="1102"/>
      <c r="BJ11" s="1102"/>
      <c r="BK11" s="1102"/>
      <c r="BL11" s="1102"/>
    </row>
    <row r="12" spans="1:64" s="1103" customFormat="1" ht="49.5" customHeight="1">
      <c r="A12" s="1034" t="s">
        <v>1169</v>
      </c>
      <c r="B12" s="1035">
        <f>[4]int.kiadások2025!B11</f>
        <v>173152</v>
      </c>
      <c r="C12" s="1035">
        <f>'[5]int.kiadások RM IV'!D12</f>
        <v>180682</v>
      </c>
      <c r="D12" s="1035">
        <v>176469</v>
      </c>
      <c r="E12" s="1036">
        <f t="shared" si="0"/>
        <v>0.97668279075945585</v>
      </c>
      <c r="F12" s="1035">
        <f>[4]int.kiadások2025!C11</f>
        <v>22668</v>
      </c>
      <c r="G12" s="1035">
        <f>'[5]int.kiadások RM IV'!G12</f>
        <v>23637</v>
      </c>
      <c r="H12" s="1035">
        <v>20290</v>
      </c>
      <c r="I12" s="1036">
        <f t="shared" si="1"/>
        <v>0.85839996615475733</v>
      </c>
      <c r="J12" s="1035">
        <f>[4]int.kiadások2025!D11</f>
        <v>3904</v>
      </c>
      <c r="K12" s="1035">
        <f>'[5]int.kiadások RM IV'!J12</f>
        <v>4672</v>
      </c>
      <c r="L12" s="1035">
        <v>4372</v>
      </c>
      <c r="M12" s="1036">
        <f t="shared" si="2"/>
        <v>0.93578767123287676</v>
      </c>
      <c r="N12" s="1034" t="s">
        <v>1169</v>
      </c>
      <c r="O12" s="1035">
        <f>[4]int.kiadások2025!E11</f>
        <v>0</v>
      </c>
      <c r="P12" s="1035">
        <f>'[5]int.kiadások RM IV'!N12</f>
        <v>0</v>
      </c>
      <c r="Q12" s="1035"/>
      <c r="R12" s="1036"/>
      <c r="S12" s="1035">
        <f>[4]int.kiadások2025!F11</f>
        <v>0</v>
      </c>
      <c r="T12" s="1035">
        <f>'[5]int.kiadások RM IV'!Q12</f>
        <v>0</v>
      </c>
      <c r="U12" s="1035"/>
      <c r="V12" s="1036"/>
      <c r="W12" s="1037">
        <f t="shared" si="3"/>
        <v>199724</v>
      </c>
      <c r="X12" s="1037">
        <f t="shared" si="3"/>
        <v>208991</v>
      </c>
      <c r="Y12" s="1037">
        <f t="shared" si="3"/>
        <v>201131</v>
      </c>
      <c r="Z12" s="1038">
        <f t="shared" si="4"/>
        <v>0.962390724959448</v>
      </c>
      <c r="AA12" s="1034" t="s">
        <v>1169</v>
      </c>
      <c r="AB12" s="1035">
        <f>[4]int.kiadások2025!I11</f>
        <v>0</v>
      </c>
      <c r="AC12" s="1035">
        <f>'[5]int.kiadások RM IV'!X12</f>
        <v>1048</v>
      </c>
      <c r="AD12" s="1035">
        <v>1046</v>
      </c>
      <c r="AE12" s="1036">
        <f t="shared" si="5"/>
        <v>0.99809160305343514</v>
      </c>
      <c r="AF12" s="1035">
        <f>[4]int.kiadások2025!J11</f>
        <v>0</v>
      </c>
      <c r="AG12" s="1035">
        <f>'[5]int.kiadások RM IV'!AA12</f>
        <v>0</v>
      </c>
      <c r="AH12" s="1035"/>
      <c r="AI12" s="1036"/>
      <c r="AJ12" s="1035">
        <f>[4]int.kiadások2025!K11</f>
        <v>0</v>
      </c>
      <c r="AK12" s="1035">
        <f>'[5]int.kiadások RM IV'!AD12</f>
        <v>0</v>
      </c>
      <c r="AL12" s="1035"/>
      <c r="AM12" s="1036"/>
      <c r="AN12" s="1034" t="s">
        <v>1169</v>
      </c>
      <c r="AO12" s="1037">
        <f t="shared" si="6"/>
        <v>0</v>
      </c>
      <c r="AP12" s="1037">
        <f t="shared" si="6"/>
        <v>1048</v>
      </c>
      <c r="AQ12" s="1037">
        <f t="shared" si="6"/>
        <v>1046</v>
      </c>
      <c r="AR12" s="1038">
        <f t="shared" si="7"/>
        <v>0.99809160305343514</v>
      </c>
      <c r="AS12" s="1037">
        <f t="shared" si="8"/>
        <v>199724</v>
      </c>
      <c r="AT12" s="1037">
        <f t="shared" si="8"/>
        <v>210039</v>
      </c>
      <c r="AU12" s="1037">
        <f t="shared" si="8"/>
        <v>202177</v>
      </c>
      <c r="AV12" s="1038">
        <f t="shared" si="9"/>
        <v>0.96256885626002786</v>
      </c>
      <c r="AW12" s="1037">
        <f>AS12-'[7]éves besz.bevételei2025'!AV12</f>
        <v>0</v>
      </c>
      <c r="AX12" s="1037">
        <f>AT12-'[7]éves besz.bevételei2025'!AW12</f>
        <v>0</v>
      </c>
      <c r="AY12" s="1037">
        <f>AU12-'[7]éves besz.bevételei2025'!AX12</f>
        <v>-2588</v>
      </c>
      <c r="AZ12" s="1019"/>
      <c r="BA12" s="1019"/>
      <c r="BB12" s="1019"/>
      <c r="BC12" s="1019"/>
      <c r="BD12" s="1019"/>
      <c r="BE12" s="1102"/>
      <c r="BF12" s="1102"/>
      <c r="BG12" s="1102"/>
      <c r="BH12" s="1102"/>
      <c r="BI12" s="1102"/>
      <c r="BJ12" s="1102"/>
      <c r="BK12" s="1102"/>
      <c r="BL12" s="1102"/>
    </row>
    <row r="13" spans="1:64" s="1103" customFormat="1" ht="49.5" customHeight="1">
      <c r="A13" s="1034" t="s">
        <v>1170</v>
      </c>
      <c r="B13" s="1035">
        <f>[4]int.kiadások2025!B12</f>
        <v>206365</v>
      </c>
      <c r="C13" s="1035">
        <f>'[5]int.kiadások RM IV'!D13</f>
        <v>211848</v>
      </c>
      <c r="D13" s="1035">
        <v>207867</v>
      </c>
      <c r="E13" s="1036">
        <f t="shared" si="0"/>
        <v>0.98120822476492575</v>
      </c>
      <c r="F13" s="1035">
        <f>[4]int.kiadások2025!C12</f>
        <v>30643</v>
      </c>
      <c r="G13" s="1035">
        <f>'[5]int.kiadások RM IV'!G13</f>
        <v>31233</v>
      </c>
      <c r="H13" s="1035">
        <v>25010</v>
      </c>
      <c r="I13" s="1036">
        <f t="shared" si="1"/>
        <v>0.80075561105241255</v>
      </c>
      <c r="J13" s="1035">
        <f>[4]int.kiadások2025!D12</f>
        <v>4113</v>
      </c>
      <c r="K13" s="1035">
        <f>'[5]int.kiadások RM IV'!J13</f>
        <v>7132</v>
      </c>
      <c r="L13" s="1035">
        <v>5873</v>
      </c>
      <c r="M13" s="1036">
        <f t="shared" si="2"/>
        <v>0.82347167694896239</v>
      </c>
      <c r="N13" s="1034" t="s">
        <v>1170</v>
      </c>
      <c r="O13" s="1035">
        <f>[4]int.kiadások2025!E12</f>
        <v>0</v>
      </c>
      <c r="P13" s="1035">
        <f>'[5]int.kiadások RM IV'!N13</f>
        <v>0</v>
      </c>
      <c r="Q13" s="1035"/>
      <c r="R13" s="1036"/>
      <c r="S13" s="1035">
        <f>[4]int.kiadások2025!F12</f>
        <v>0</v>
      </c>
      <c r="T13" s="1035">
        <f>'[5]int.kiadások RM IV'!Q13</f>
        <v>0</v>
      </c>
      <c r="U13" s="1035"/>
      <c r="V13" s="1036"/>
      <c r="W13" s="1037">
        <f t="shared" si="3"/>
        <v>241121</v>
      </c>
      <c r="X13" s="1037">
        <f t="shared" si="3"/>
        <v>250213</v>
      </c>
      <c r="Y13" s="1037">
        <f t="shared" si="3"/>
        <v>238750</v>
      </c>
      <c r="Z13" s="1038">
        <f t="shared" si="4"/>
        <v>0.95418703264818372</v>
      </c>
      <c r="AA13" s="1034" t="s">
        <v>1170</v>
      </c>
      <c r="AB13" s="1035">
        <f>[4]int.kiadások2025!I12</f>
        <v>0</v>
      </c>
      <c r="AC13" s="1035">
        <f>'[5]int.kiadások RM IV'!X13</f>
        <v>839</v>
      </c>
      <c r="AD13" s="1035">
        <v>838</v>
      </c>
      <c r="AE13" s="1036">
        <f t="shared" si="5"/>
        <v>0.99880810488676997</v>
      </c>
      <c r="AF13" s="1035">
        <f>[4]int.kiadások2025!J12</f>
        <v>0</v>
      </c>
      <c r="AG13" s="1035">
        <f>'[5]int.kiadások RM IV'!AA13</f>
        <v>0</v>
      </c>
      <c r="AH13" s="1035"/>
      <c r="AI13" s="1036"/>
      <c r="AJ13" s="1035">
        <f>[4]int.kiadások2025!K12</f>
        <v>0</v>
      </c>
      <c r="AK13" s="1035">
        <f>'[5]int.kiadások RM IV'!AD13</f>
        <v>0</v>
      </c>
      <c r="AL13" s="1035"/>
      <c r="AM13" s="1036"/>
      <c r="AN13" s="1034" t="s">
        <v>1170</v>
      </c>
      <c r="AO13" s="1037">
        <f t="shared" si="6"/>
        <v>0</v>
      </c>
      <c r="AP13" s="1037">
        <f t="shared" si="6"/>
        <v>839</v>
      </c>
      <c r="AQ13" s="1037">
        <f t="shared" si="6"/>
        <v>838</v>
      </c>
      <c r="AR13" s="1038">
        <f t="shared" si="7"/>
        <v>0.99880810488676997</v>
      </c>
      <c r="AS13" s="1037">
        <f t="shared" si="8"/>
        <v>241121</v>
      </c>
      <c r="AT13" s="1037">
        <f t="shared" si="8"/>
        <v>251052</v>
      </c>
      <c r="AU13" s="1037">
        <f>Y13+AQ13</f>
        <v>239588</v>
      </c>
      <c r="AV13" s="1038">
        <f t="shared" si="9"/>
        <v>0.95433615346621414</v>
      </c>
      <c r="AW13" s="1037">
        <f>AS13-'[7]éves besz.bevételei2025'!AV13</f>
        <v>0</v>
      </c>
      <c r="AX13" s="1037">
        <f>AT13-'[7]éves besz.bevételei2025'!AW13</f>
        <v>0</v>
      </c>
      <c r="AY13" s="1037">
        <f>AU13-'[7]éves besz.bevételei2025'!AX13</f>
        <v>-1730</v>
      </c>
      <c r="AZ13" s="1019"/>
      <c r="BA13" s="1019"/>
      <c r="BB13" s="1019"/>
      <c r="BC13" s="1019"/>
      <c r="BD13" s="1019"/>
      <c r="BE13" s="1102"/>
      <c r="BF13" s="1102"/>
      <c r="BG13" s="1102"/>
      <c r="BH13" s="1102"/>
      <c r="BI13" s="1102"/>
      <c r="BJ13" s="1102"/>
      <c r="BK13" s="1102"/>
      <c r="BL13" s="1102"/>
    </row>
    <row r="14" spans="1:64" s="1103" customFormat="1" ht="49.5" customHeight="1">
      <c r="A14" s="1034" t="s">
        <v>1171</v>
      </c>
      <c r="B14" s="1035">
        <f>[4]int.kiadások2025!B13</f>
        <v>195929</v>
      </c>
      <c r="C14" s="1035">
        <f>'[5]int.kiadások RM IV'!D14</f>
        <v>200878</v>
      </c>
      <c r="D14" s="1035">
        <v>197296</v>
      </c>
      <c r="E14" s="1036">
        <f t="shared" si="0"/>
        <v>0.98216828124533295</v>
      </c>
      <c r="F14" s="1035">
        <f>[4]int.kiadások2025!C13</f>
        <v>28860</v>
      </c>
      <c r="G14" s="1035">
        <f>'[5]int.kiadások RM IV'!G14</f>
        <v>29398</v>
      </c>
      <c r="H14" s="1035">
        <v>26762</v>
      </c>
      <c r="I14" s="1036">
        <f t="shared" si="1"/>
        <v>0.91033403632900201</v>
      </c>
      <c r="J14" s="1035">
        <f>[4]int.kiadások2025!D13</f>
        <v>3491</v>
      </c>
      <c r="K14" s="1035">
        <f>'[5]int.kiadások RM IV'!J14</f>
        <v>4840</v>
      </c>
      <c r="L14" s="1035">
        <f>4355-1</f>
        <v>4354</v>
      </c>
      <c r="M14" s="1036">
        <f t="shared" si="2"/>
        <v>0.89958677685950417</v>
      </c>
      <c r="N14" s="1034" t="s">
        <v>1171</v>
      </c>
      <c r="O14" s="1035">
        <f>[4]int.kiadások2025!E13</f>
        <v>0</v>
      </c>
      <c r="P14" s="1035">
        <f>'[5]int.kiadások RM IV'!N14</f>
        <v>0</v>
      </c>
      <c r="Q14" s="1035"/>
      <c r="R14" s="1036"/>
      <c r="S14" s="1035">
        <f>[4]int.kiadások2025!F13</f>
        <v>0</v>
      </c>
      <c r="T14" s="1035">
        <f>'[5]int.kiadások RM IV'!Q14</f>
        <v>0</v>
      </c>
      <c r="U14" s="1035"/>
      <c r="V14" s="1036"/>
      <c r="W14" s="1037">
        <f t="shared" si="3"/>
        <v>228280</v>
      </c>
      <c r="X14" s="1037">
        <f t="shared" si="3"/>
        <v>235116</v>
      </c>
      <c r="Y14" s="1037">
        <f>D14+H14+L14+Q14+U14</f>
        <v>228412</v>
      </c>
      <c r="Z14" s="1038">
        <f t="shared" si="4"/>
        <v>0.97148641521631873</v>
      </c>
      <c r="AA14" s="1034" t="s">
        <v>1171</v>
      </c>
      <c r="AB14" s="1035">
        <f>[4]int.kiadások2025!I13</f>
        <v>0</v>
      </c>
      <c r="AC14" s="1035">
        <f>'[5]int.kiadások RM IV'!X14</f>
        <v>497</v>
      </c>
      <c r="AD14" s="1035">
        <v>496</v>
      </c>
      <c r="AE14" s="1036">
        <f t="shared" si="5"/>
        <v>0.99798792756539234</v>
      </c>
      <c r="AF14" s="1035">
        <f>[4]int.kiadások2025!J13</f>
        <v>0</v>
      </c>
      <c r="AG14" s="1035">
        <f>'[5]int.kiadások RM IV'!AA14</f>
        <v>0</v>
      </c>
      <c r="AH14" s="1035"/>
      <c r="AI14" s="1036"/>
      <c r="AJ14" s="1035">
        <f>[4]int.kiadások2025!K13</f>
        <v>0</v>
      </c>
      <c r="AK14" s="1035">
        <f>'[5]int.kiadások RM IV'!AD14</f>
        <v>0</v>
      </c>
      <c r="AL14" s="1035"/>
      <c r="AM14" s="1036"/>
      <c r="AN14" s="1034" t="s">
        <v>1171</v>
      </c>
      <c r="AO14" s="1037">
        <f t="shared" si="6"/>
        <v>0</v>
      </c>
      <c r="AP14" s="1037">
        <f t="shared" si="6"/>
        <v>497</v>
      </c>
      <c r="AQ14" s="1037">
        <f t="shared" si="6"/>
        <v>496</v>
      </c>
      <c r="AR14" s="1038">
        <f t="shared" si="7"/>
        <v>0.99798792756539234</v>
      </c>
      <c r="AS14" s="1037">
        <f t="shared" si="8"/>
        <v>228280</v>
      </c>
      <c r="AT14" s="1037">
        <f t="shared" si="8"/>
        <v>235613</v>
      </c>
      <c r="AU14" s="1037">
        <f t="shared" si="8"/>
        <v>228908</v>
      </c>
      <c r="AV14" s="1038">
        <f t="shared" si="9"/>
        <v>0.97154231727451368</v>
      </c>
      <c r="AW14" s="1037">
        <f>AS14-'[7]éves besz.bevételei2025'!AV14</f>
        <v>0</v>
      </c>
      <c r="AX14" s="1037">
        <f>AT14-'[7]éves besz.bevételei2025'!AW14</f>
        <v>0</v>
      </c>
      <c r="AY14" s="1037">
        <f>AU14-'[7]éves besz.bevételei2025'!AX14</f>
        <v>-1850</v>
      </c>
      <c r="AZ14" s="1019"/>
      <c r="BA14" s="1019"/>
      <c r="BB14" s="1019"/>
      <c r="BC14" s="1019"/>
      <c r="BD14" s="1019"/>
      <c r="BE14" s="1102"/>
      <c r="BF14" s="1102"/>
      <c r="BG14" s="1102"/>
      <c r="BH14" s="1102"/>
      <c r="BI14" s="1102"/>
      <c r="BJ14" s="1102"/>
      <c r="BK14" s="1102"/>
      <c r="BL14" s="1102"/>
    </row>
    <row r="15" spans="1:64" s="1103" customFormat="1" ht="49.5" customHeight="1">
      <c r="A15" s="1034" t="s">
        <v>1172</v>
      </c>
      <c r="B15" s="1035">
        <f>[4]int.kiadások2025!B14</f>
        <v>180466</v>
      </c>
      <c r="C15" s="1035">
        <f>'[5]int.kiadások RM IV'!D15</f>
        <v>184192</v>
      </c>
      <c r="D15" s="1035">
        <v>172493</v>
      </c>
      <c r="E15" s="1036">
        <f t="shared" si="0"/>
        <v>0.93648475503822104</v>
      </c>
      <c r="F15" s="1035">
        <f>[4]int.kiadások2025!C14</f>
        <v>23773</v>
      </c>
      <c r="G15" s="1035">
        <f>'[5]int.kiadások RM IV'!G15</f>
        <v>24135</v>
      </c>
      <c r="H15" s="1035">
        <v>21143</v>
      </c>
      <c r="I15" s="1036">
        <f t="shared" si="1"/>
        <v>0.87603066086596226</v>
      </c>
      <c r="J15" s="1035">
        <f>[4]int.kiadások2025!D14</f>
        <v>3040</v>
      </c>
      <c r="K15" s="1035">
        <f>'[5]int.kiadások RM IV'!J15</f>
        <v>6573</v>
      </c>
      <c r="L15" s="1035">
        <v>5179</v>
      </c>
      <c r="M15" s="1036">
        <f t="shared" si="2"/>
        <v>0.78792027993305946</v>
      </c>
      <c r="N15" s="1034" t="s">
        <v>1172</v>
      </c>
      <c r="O15" s="1035">
        <f>[4]int.kiadások2025!E14</f>
        <v>0</v>
      </c>
      <c r="P15" s="1035">
        <f>'[5]int.kiadások RM IV'!N15</f>
        <v>0</v>
      </c>
      <c r="Q15" s="1035"/>
      <c r="R15" s="1036"/>
      <c r="S15" s="1035">
        <f>[4]int.kiadások2025!F14</f>
        <v>0</v>
      </c>
      <c r="T15" s="1035">
        <f>'[5]int.kiadások RM IV'!Q15</f>
        <v>0</v>
      </c>
      <c r="U15" s="1035"/>
      <c r="V15" s="1036"/>
      <c r="W15" s="1037">
        <f t="shared" si="3"/>
        <v>207279</v>
      </c>
      <c r="X15" s="1037">
        <f t="shared" si="3"/>
        <v>214900</v>
      </c>
      <c r="Y15" s="1037">
        <f t="shared" si="3"/>
        <v>198815</v>
      </c>
      <c r="Z15" s="1038">
        <f t="shared" si="4"/>
        <v>0.92515123313168912</v>
      </c>
      <c r="AA15" s="1034" t="s">
        <v>1172</v>
      </c>
      <c r="AB15" s="1035">
        <f>[4]int.kiadások2025!I14</f>
        <v>0</v>
      </c>
      <c r="AC15" s="1035">
        <f>'[5]int.kiadások RM IV'!X15</f>
        <v>1254</v>
      </c>
      <c r="AD15" s="1035">
        <v>1252</v>
      </c>
      <c r="AE15" s="1036">
        <f t="shared" si="5"/>
        <v>0.99840510366826152</v>
      </c>
      <c r="AF15" s="1035">
        <f>[4]int.kiadások2025!J14</f>
        <v>0</v>
      </c>
      <c r="AG15" s="1035">
        <f>'[5]int.kiadások RM IV'!AA15</f>
        <v>0</v>
      </c>
      <c r="AH15" s="1035"/>
      <c r="AI15" s="1036"/>
      <c r="AJ15" s="1035">
        <f>[4]int.kiadások2025!K14</f>
        <v>0</v>
      </c>
      <c r="AK15" s="1035">
        <f>'[5]int.kiadások RM IV'!AD15</f>
        <v>0</v>
      </c>
      <c r="AL15" s="1035"/>
      <c r="AM15" s="1036"/>
      <c r="AN15" s="1034" t="s">
        <v>1172</v>
      </c>
      <c r="AO15" s="1037">
        <f t="shared" si="6"/>
        <v>0</v>
      </c>
      <c r="AP15" s="1037">
        <f t="shared" si="6"/>
        <v>1254</v>
      </c>
      <c r="AQ15" s="1037">
        <f t="shared" si="6"/>
        <v>1252</v>
      </c>
      <c r="AR15" s="1038">
        <f t="shared" si="7"/>
        <v>0.99840510366826152</v>
      </c>
      <c r="AS15" s="1037">
        <f t="shared" si="8"/>
        <v>207279</v>
      </c>
      <c r="AT15" s="1037">
        <f t="shared" si="8"/>
        <v>216154</v>
      </c>
      <c r="AU15" s="1037">
        <f t="shared" si="8"/>
        <v>200067</v>
      </c>
      <c r="AV15" s="1038">
        <f t="shared" si="9"/>
        <v>0.9255762095542992</v>
      </c>
      <c r="AW15" s="1037">
        <f>AS15-'[7]éves besz.bevételei2025'!AV15</f>
        <v>0</v>
      </c>
      <c r="AX15" s="1037">
        <f>AT15-'[7]éves besz.bevételei2025'!AW15</f>
        <v>0</v>
      </c>
      <c r="AY15" s="1037">
        <f>AU15-'[7]éves besz.bevételei2025'!AX15</f>
        <v>-2052</v>
      </c>
      <c r="AZ15" s="1019"/>
      <c r="BA15" s="1019"/>
      <c r="BB15" s="1019"/>
      <c r="BC15" s="1019"/>
      <c r="BD15" s="1019"/>
      <c r="BE15" s="1102"/>
      <c r="BF15" s="1102"/>
      <c r="BG15" s="1102"/>
      <c r="BH15" s="1102"/>
      <c r="BI15" s="1102"/>
      <c r="BJ15" s="1102"/>
      <c r="BK15" s="1102"/>
      <c r="BL15" s="1102"/>
    </row>
    <row r="16" spans="1:64" s="1103" customFormat="1" ht="49.5" customHeight="1">
      <c r="A16" s="1034" t="s">
        <v>1173</v>
      </c>
      <c r="B16" s="1035">
        <f>[4]int.kiadások2025!B15</f>
        <v>137202</v>
      </c>
      <c r="C16" s="1035">
        <f>'[5]int.kiadások RM IV'!D16</f>
        <v>139676</v>
      </c>
      <c r="D16" s="1035">
        <v>135080</v>
      </c>
      <c r="E16" s="1036">
        <f t="shared" si="0"/>
        <v>0.96709527764254422</v>
      </c>
      <c r="F16" s="1035">
        <f>[4]int.kiadások2025!C15</f>
        <v>17761</v>
      </c>
      <c r="G16" s="1035">
        <f>'[5]int.kiadások RM IV'!G16</f>
        <v>18093</v>
      </c>
      <c r="H16" s="1035">
        <v>15815</v>
      </c>
      <c r="I16" s="1036">
        <f t="shared" si="1"/>
        <v>0.87409495384955505</v>
      </c>
      <c r="J16" s="1035">
        <f>[4]int.kiadások2025!D15</f>
        <v>3063</v>
      </c>
      <c r="K16" s="1035">
        <f>'[5]int.kiadások RM IV'!J16</f>
        <v>4638</v>
      </c>
      <c r="L16" s="1035">
        <v>3762</v>
      </c>
      <c r="M16" s="1036">
        <f t="shared" si="2"/>
        <v>0.81112548512289784</v>
      </c>
      <c r="N16" s="1034" t="s">
        <v>1173</v>
      </c>
      <c r="O16" s="1035">
        <f>[4]int.kiadások2025!E15</f>
        <v>0</v>
      </c>
      <c r="P16" s="1035">
        <f>'[5]int.kiadások RM IV'!N16</f>
        <v>0</v>
      </c>
      <c r="Q16" s="1035"/>
      <c r="R16" s="1036"/>
      <c r="S16" s="1035">
        <f>[4]int.kiadások2025!F15</f>
        <v>0</v>
      </c>
      <c r="T16" s="1035">
        <f>'[5]int.kiadások RM IV'!Q16</f>
        <v>0</v>
      </c>
      <c r="U16" s="1035"/>
      <c r="V16" s="1036"/>
      <c r="W16" s="1037">
        <f t="shared" si="3"/>
        <v>158026</v>
      </c>
      <c r="X16" s="1037">
        <f t="shared" si="3"/>
        <v>162407</v>
      </c>
      <c r="Y16" s="1037">
        <f t="shared" si="3"/>
        <v>154657</v>
      </c>
      <c r="Z16" s="1038">
        <f t="shared" si="4"/>
        <v>0.95228038200323872</v>
      </c>
      <c r="AA16" s="1034" t="s">
        <v>1173</v>
      </c>
      <c r="AB16" s="1035">
        <f>[4]int.kiadások2025!I15</f>
        <v>0</v>
      </c>
      <c r="AC16" s="1035">
        <f>'[5]int.kiadások RM IV'!X16</f>
        <v>43</v>
      </c>
      <c r="AD16" s="1035">
        <v>42</v>
      </c>
      <c r="AE16" s="1036">
        <f t="shared" si="5"/>
        <v>0.97674418604651159</v>
      </c>
      <c r="AF16" s="1035">
        <f>[4]int.kiadások2025!J15</f>
        <v>0</v>
      </c>
      <c r="AG16" s="1035">
        <f>'[5]int.kiadások RM IV'!AA16</f>
        <v>0</v>
      </c>
      <c r="AH16" s="1039"/>
      <c r="AI16" s="1036"/>
      <c r="AJ16" s="1035">
        <f>[4]int.kiadások2025!K15</f>
        <v>0</v>
      </c>
      <c r="AK16" s="1035">
        <f>'[5]int.kiadások RM IV'!AD16</f>
        <v>0</v>
      </c>
      <c r="AL16" s="1035"/>
      <c r="AM16" s="1036"/>
      <c r="AN16" s="1034" t="s">
        <v>1173</v>
      </c>
      <c r="AO16" s="1037">
        <f t="shared" si="6"/>
        <v>0</v>
      </c>
      <c r="AP16" s="1037">
        <f t="shared" si="6"/>
        <v>43</v>
      </c>
      <c r="AQ16" s="1037">
        <f t="shared" si="6"/>
        <v>42</v>
      </c>
      <c r="AR16" s="1038">
        <f t="shared" si="7"/>
        <v>0.97674418604651159</v>
      </c>
      <c r="AS16" s="1037">
        <f t="shared" si="8"/>
        <v>158026</v>
      </c>
      <c r="AT16" s="1037">
        <f t="shared" si="8"/>
        <v>162450</v>
      </c>
      <c r="AU16" s="1037">
        <f>Y16+AQ16</f>
        <v>154699</v>
      </c>
      <c r="AV16" s="1038">
        <f t="shared" si="9"/>
        <v>0.95228685749461373</v>
      </c>
      <c r="AW16" s="1037">
        <f>AS16-'[7]éves besz.bevételei2025'!AV16</f>
        <v>0</v>
      </c>
      <c r="AX16" s="1037">
        <f>AT16-'[7]éves besz.bevételei2025'!AW16</f>
        <v>0</v>
      </c>
      <c r="AY16" s="1037">
        <f>AU16-'[7]éves besz.bevételei2025'!AX16</f>
        <v>-1229</v>
      </c>
      <c r="AZ16" s="1019"/>
      <c r="BA16" s="1019"/>
      <c r="BB16" s="1019"/>
      <c r="BC16" s="1019"/>
      <c r="BD16" s="1019"/>
      <c r="BE16" s="1102"/>
      <c r="BF16" s="1102"/>
      <c r="BG16" s="1102"/>
      <c r="BH16" s="1102"/>
      <c r="BI16" s="1102"/>
      <c r="BJ16" s="1102"/>
      <c r="BK16" s="1102"/>
      <c r="BL16" s="1102"/>
    </row>
    <row r="17" spans="1:64" s="1103" customFormat="1" ht="49.5" customHeight="1">
      <c r="A17" s="1034" t="s">
        <v>1174</v>
      </c>
      <c r="B17" s="1035">
        <f>[4]int.kiadások2025!B16</f>
        <v>146204</v>
      </c>
      <c r="C17" s="1035">
        <f>'[5]int.kiadások RM IV'!D17</f>
        <v>151129</v>
      </c>
      <c r="D17" s="1035">
        <v>149001</v>
      </c>
      <c r="E17" s="1036">
        <f t="shared" si="0"/>
        <v>0.98591931396356758</v>
      </c>
      <c r="F17" s="1035">
        <f>[4]int.kiadások2025!C16</f>
        <v>19051</v>
      </c>
      <c r="G17" s="1035">
        <f>'[5]int.kiadások RM IV'!G17</f>
        <v>19702</v>
      </c>
      <c r="H17" s="1035">
        <v>16329</v>
      </c>
      <c r="I17" s="1036">
        <f t="shared" si="1"/>
        <v>0.82879910668967616</v>
      </c>
      <c r="J17" s="1035">
        <f>[4]int.kiadások2025!D16</f>
        <v>3688</v>
      </c>
      <c r="K17" s="1035">
        <f>'[5]int.kiadások RM IV'!J17</f>
        <v>9167</v>
      </c>
      <c r="L17" s="1035">
        <v>8766</v>
      </c>
      <c r="M17" s="1036">
        <f t="shared" si="2"/>
        <v>0.95625613614050398</v>
      </c>
      <c r="N17" s="1034" t="s">
        <v>1174</v>
      </c>
      <c r="O17" s="1035">
        <f>[4]int.kiadások2025!E16</f>
        <v>0</v>
      </c>
      <c r="P17" s="1035">
        <f>'[5]int.kiadások RM IV'!N17</f>
        <v>0</v>
      </c>
      <c r="Q17" s="1035"/>
      <c r="R17" s="1036"/>
      <c r="S17" s="1035">
        <f>[4]int.kiadások2025!F16</f>
        <v>0</v>
      </c>
      <c r="T17" s="1035">
        <f>'[5]int.kiadások RM IV'!Q17</f>
        <v>0</v>
      </c>
      <c r="U17" s="1035"/>
      <c r="V17" s="1036"/>
      <c r="W17" s="1037">
        <f t="shared" si="3"/>
        <v>168943</v>
      </c>
      <c r="X17" s="1037">
        <f t="shared" si="3"/>
        <v>179998</v>
      </c>
      <c r="Y17" s="1037">
        <f t="shared" si="3"/>
        <v>174096</v>
      </c>
      <c r="Z17" s="1038">
        <f t="shared" si="4"/>
        <v>0.96721074678607544</v>
      </c>
      <c r="AA17" s="1034" t="s">
        <v>1174</v>
      </c>
      <c r="AB17" s="1035">
        <f>[4]int.kiadások2025!I16</f>
        <v>0</v>
      </c>
      <c r="AC17" s="1035">
        <f>'[5]int.kiadások RM IV'!X17</f>
        <v>3171</v>
      </c>
      <c r="AD17" s="1035">
        <v>3169</v>
      </c>
      <c r="AE17" s="1036">
        <f t="shared" si="5"/>
        <v>0.99936928413749604</v>
      </c>
      <c r="AF17" s="1035">
        <f>[4]int.kiadások2025!J16</f>
        <v>0</v>
      </c>
      <c r="AG17" s="1035">
        <f>'[5]int.kiadások RM IV'!AA17</f>
        <v>0</v>
      </c>
      <c r="AH17" s="1035"/>
      <c r="AI17" s="1036"/>
      <c r="AJ17" s="1035">
        <f>[4]int.kiadások2025!K16</f>
        <v>0</v>
      </c>
      <c r="AK17" s="1035">
        <f>'[5]int.kiadások RM IV'!AD17</f>
        <v>0</v>
      </c>
      <c r="AL17" s="1035"/>
      <c r="AM17" s="1036"/>
      <c r="AN17" s="1034" t="s">
        <v>1174</v>
      </c>
      <c r="AO17" s="1037">
        <f t="shared" si="6"/>
        <v>0</v>
      </c>
      <c r="AP17" s="1037">
        <f t="shared" si="6"/>
        <v>3171</v>
      </c>
      <c r="AQ17" s="1037">
        <f t="shared" si="6"/>
        <v>3169</v>
      </c>
      <c r="AR17" s="1038">
        <f t="shared" si="7"/>
        <v>0.99936928413749604</v>
      </c>
      <c r="AS17" s="1037">
        <f t="shared" si="8"/>
        <v>168943</v>
      </c>
      <c r="AT17" s="1037">
        <f t="shared" si="8"/>
        <v>183169</v>
      </c>
      <c r="AU17" s="1037">
        <f t="shared" si="8"/>
        <v>177265</v>
      </c>
      <c r="AV17" s="1038">
        <f t="shared" si="9"/>
        <v>0.96776747156997089</v>
      </c>
      <c r="AW17" s="1037">
        <f>AS17-'[7]éves besz.bevételei2025'!AV17</f>
        <v>0</v>
      </c>
      <c r="AX17" s="1037">
        <f>AT17-'[7]éves besz.bevételei2025'!AW17</f>
        <v>0</v>
      </c>
      <c r="AY17" s="1037">
        <f>AU17-'[7]éves besz.bevételei2025'!AX17</f>
        <v>-959</v>
      </c>
      <c r="AZ17" s="1019"/>
      <c r="BA17" s="1019"/>
      <c r="BB17" s="1019"/>
      <c r="BC17" s="1019"/>
      <c r="BD17" s="1019"/>
      <c r="BE17" s="1102"/>
      <c r="BF17" s="1102"/>
      <c r="BG17" s="1102"/>
      <c r="BH17" s="1102"/>
      <c r="BI17" s="1102"/>
      <c r="BJ17" s="1102"/>
      <c r="BK17" s="1102"/>
      <c r="BL17" s="1102"/>
    </row>
    <row r="18" spans="1:64" s="1103" customFormat="1" ht="49.5" customHeight="1">
      <c r="A18" s="1034" t="s">
        <v>1175</v>
      </c>
      <c r="B18" s="1035">
        <f>[4]int.kiadások2025!B17</f>
        <v>198162</v>
      </c>
      <c r="C18" s="1035">
        <f>'[5]int.kiadások RM IV'!D18</f>
        <v>194138</v>
      </c>
      <c r="D18" s="1035">
        <v>189287</v>
      </c>
      <c r="E18" s="1036">
        <f t="shared" si="0"/>
        <v>0.97501261988894494</v>
      </c>
      <c r="F18" s="1035">
        <f>[4]int.kiadások2025!C17</f>
        <v>29368</v>
      </c>
      <c r="G18" s="1035">
        <f>'[5]int.kiadások RM IV'!G18</f>
        <v>29245</v>
      </c>
      <c r="H18" s="1035">
        <v>28628</v>
      </c>
      <c r="I18" s="1036">
        <f t="shared" si="1"/>
        <v>0.97890237647461109</v>
      </c>
      <c r="J18" s="1035">
        <f>[4]int.kiadások2025!D17</f>
        <v>3330</v>
      </c>
      <c r="K18" s="1035">
        <f>'[5]int.kiadások RM IV'!J18</f>
        <v>6207</v>
      </c>
      <c r="L18" s="1035">
        <v>4879</v>
      </c>
      <c r="M18" s="1036">
        <f t="shared" si="2"/>
        <v>0.78604801031093929</v>
      </c>
      <c r="N18" s="1034" t="s">
        <v>1175</v>
      </c>
      <c r="O18" s="1035">
        <f>[4]int.kiadások2025!E17</f>
        <v>0</v>
      </c>
      <c r="P18" s="1035">
        <f>'[5]int.kiadások RM IV'!N18</f>
        <v>0</v>
      </c>
      <c r="Q18" s="1035"/>
      <c r="R18" s="1036"/>
      <c r="S18" s="1035">
        <f>[4]int.kiadások2025!F17</f>
        <v>0</v>
      </c>
      <c r="T18" s="1035">
        <f>'[5]int.kiadások RM IV'!Q18</f>
        <v>0</v>
      </c>
      <c r="U18" s="1035"/>
      <c r="V18" s="1036"/>
      <c r="W18" s="1037">
        <f t="shared" si="3"/>
        <v>230860</v>
      </c>
      <c r="X18" s="1037">
        <f t="shared" si="3"/>
        <v>229590</v>
      </c>
      <c r="Y18" s="1037">
        <f t="shared" si="3"/>
        <v>222794</v>
      </c>
      <c r="Z18" s="1038">
        <f t="shared" si="4"/>
        <v>0.97039940763970556</v>
      </c>
      <c r="AA18" s="1034" t="s">
        <v>1175</v>
      </c>
      <c r="AB18" s="1035">
        <f>[4]int.kiadások2025!I17</f>
        <v>0</v>
      </c>
      <c r="AC18" s="1035">
        <f>'[5]int.kiadások RM IV'!X18</f>
        <v>5600</v>
      </c>
      <c r="AD18" s="1035">
        <v>168</v>
      </c>
      <c r="AE18" s="1036">
        <f t="shared" si="5"/>
        <v>0.03</v>
      </c>
      <c r="AF18" s="1035">
        <f>[4]int.kiadások2025!J17</f>
        <v>0</v>
      </c>
      <c r="AG18" s="1035">
        <f>'[5]int.kiadások RM IV'!AA18</f>
        <v>0</v>
      </c>
      <c r="AH18" s="1035"/>
      <c r="AI18" s="1036"/>
      <c r="AJ18" s="1035">
        <f>[4]int.kiadások2025!K17</f>
        <v>0</v>
      </c>
      <c r="AK18" s="1035">
        <f>'[5]int.kiadások RM IV'!AD18</f>
        <v>0</v>
      </c>
      <c r="AL18" s="1035"/>
      <c r="AM18" s="1036"/>
      <c r="AN18" s="1034" t="s">
        <v>1175</v>
      </c>
      <c r="AO18" s="1037">
        <f t="shared" si="6"/>
        <v>0</v>
      </c>
      <c r="AP18" s="1037">
        <f t="shared" si="6"/>
        <v>5600</v>
      </c>
      <c r="AQ18" s="1037">
        <f t="shared" si="6"/>
        <v>168</v>
      </c>
      <c r="AR18" s="1038">
        <f t="shared" si="7"/>
        <v>0.03</v>
      </c>
      <c r="AS18" s="1037">
        <f t="shared" si="8"/>
        <v>230860</v>
      </c>
      <c r="AT18" s="1037">
        <f t="shared" si="8"/>
        <v>235190</v>
      </c>
      <c r="AU18" s="1037">
        <f t="shared" si="8"/>
        <v>222962</v>
      </c>
      <c r="AV18" s="1038">
        <f t="shared" si="9"/>
        <v>0.94800799353714016</v>
      </c>
      <c r="AW18" s="1037">
        <f>AS18-'[7]éves besz.bevételei2025'!AV18</f>
        <v>0</v>
      </c>
      <c r="AX18" s="1037">
        <f>AT18-'[7]éves besz.bevételei2025'!AW18</f>
        <v>0</v>
      </c>
      <c r="AY18" s="1037">
        <f>AU18-'[7]éves besz.bevételei2025'!AX18</f>
        <v>-1896</v>
      </c>
      <c r="AZ18" s="1019"/>
      <c r="BA18" s="1019"/>
      <c r="BB18" s="1019"/>
      <c r="BC18" s="1019"/>
      <c r="BD18" s="1019"/>
      <c r="BE18" s="1102"/>
      <c r="BF18" s="1102"/>
      <c r="BG18" s="1102"/>
      <c r="BH18" s="1102"/>
      <c r="BI18" s="1102"/>
      <c r="BJ18" s="1102"/>
      <c r="BK18" s="1102"/>
      <c r="BL18" s="1102"/>
    </row>
    <row r="19" spans="1:64" s="1103" customFormat="1" ht="49.5" customHeight="1">
      <c r="A19" s="1034" t="s">
        <v>1176</v>
      </c>
      <c r="B19" s="1035">
        <f>[4]int.kiadások2025!B18</f>
        <v>247648</v>
      </c>
      <c r="C19" s="1035">
        <f>'[5]int.kiadások RM IV'!D19</f>
        <v>251510</v>
      </c>
      <c r="D19" s="1035">
        <v>245228</v>
      </c>
      <c r="E19" s="1036">
        <f t="shared" si="0"/>
        <v>0.9750228619140392</v>
      </c>
      <c r="F19" s="1035">
        <f>[4]int.kiadások2025!C18</f>
        <v>36060</v>
      </c>
      <c r="G19" s="1035">
        <f>'[5]int.kiadások RM IV'!G19</f>
        <v>36415</v>
      </c>
      <c r="H19" s="1035">
        <v>31503</v>
      </c>
      <c r="I19" s="1036">
        <f t="shared" si="1"/>
        <v>0.86511053137443361</v>
      </c>
      <c r="J19" s="1035">
        <f>[4]int.kiadások2025!D18</f>
        <v>4944</v>
      </c>
      <c r="K19" s="1035">
        <f>'[5]int.kiadások RM IV'!J19</f>
        <v>8597</v>
      </c>
      <c r="L19" s="1035">
        <v>8484</v>
      </c>
      <c r="M19" s="1036">
        <f t="shared" si="2"/>
        <v>0.98685587995812496</v>
      </c>
      <c r="N19" s="1034" t="s">
        <v>1176</v>
      </c>
      <c r="O19" s="1035">
        <f>[4]int.kiadások2025!E18</f>
        <v>0</v>
      </c>
      <c r="P19" s="1035">
        <f>'[5]int.kiadások RM IV'!N19</f>
        <v>0</v>
      </c>
      <c r="Q19" s="1035"/>
      <c r="R19" s="1036"/>
      <c r="S19" s="1035">
        <f>[4]int.kiadások2025!F18</f>
        <v>0</v>
      </c>
      <c r="T19" s="1035">
        <f>'[5]int.kiadások RM IV'!Q19</f>
        <v>0</v>
      </c>
      <c r="U19" s="1035"/>
      <c r="V19" s="1036"/>
      <c r="W19" s="1037">
        <f t="shared" si="3"/>
        <v>288652</v>
      </c>
      <c r="X19" s="1037">
        <f t="shared" si="3"/>
        <v>296522</v>
      </c>
      <c r="Y19" s="1037">
        <f t="shared" si="3"/>
        <v>285215</v>
      </c>
      <c r="Z19" s="1038">
        <f t="shared" si="4"/>
        <v>0.96186792211033245</v>
      </c>
      <c r="AA19" s="1034" t="s">
        <v>1176</v>
      </c>
      <c r="AB19" s="1035">
        <f>[4]int.kiadások2025!I18</f>
        <v>0</v>
      </c>
      <c r="AC19" s="1035">
        <f>'[5]int.kiadások RM IV'!X19</f>
        <v>2088</v>
      </c>
      <c r="AD19" s="1035">
        <v>2087</v>
      </c>
      <c r="AE19" s="1036">
        <f t="shared" si="5"/>
        <v>0.99952107279693492</v>
      </c>
      <c r="AF19" s="1035">
        <f>[4]int.kiadások2025!J18</f>
        <v>0</v>
      </c>
      <c r="AG19" s="1035">
        <f>'[5]int.kiadások RM IV'!AA19</f>
        <v>0</v>
      </c>
      <c r="AH19" s="1035"/>
      <c r="AI19" s="1036"/>
      <c r="AJ19" s="1035">
        <f>[4]int.kiadások2025!K18</f>
        <v>0</v>
      </c>
      <c r="AK19" s="1035">
        <f>'[5]int.kiadások RM IV'!AD19</f>
        <v>0</v>
      </c>
      <c r="AL19" s="1035"/>
      <c r="AM19" s="1036"/>
      <c r="AN19" s="1034" t="s">
        <v>1176</v>
      </c>
      <c r="AO19" s="1037">
        <f t="shared" si="6"/>
        <v>0</v>
      </c>
      <c r="AP19" s="1037">
        <f t="shared" si="6"/>
        <v>2088</v>
      </c>
      <c r="AQ19" s="1037">
        <f t="shared" si="6"/>
        <v>2087</v>
      </c>
      <c r="AR19" s="1038">
        <f t="shared" si="7"/>
        <v>0.99952107279693492</v>
      </c>
      <c r="AS19" s="1037">
        <f t="shared" si="8"/>
        <v>288652</v>
      </c>
      <c r="AT19" s="1037">
        <f t="shared" si="8"/>
        <v>298610</v>
      </c>
      <c r="AU19" s="1037">
        <f>Y19+AQ19</f>
        <v>287302</v>
      </c>
      <c r="AV19" s="1038">
        <f t="shared" si="9"/>
        <v>0.962131207930076</v>
      </c>
      <c r="AW19" s="1037">
        <f>AS19-'[7]éves besz.bevételei2025'!AV19</f>
        <v>0</v>
      </c>
      <c r="AX19" s="1037">
        <f>AT19-'[7]éves besz.bevételei2025'!AW19</f>
        <v>0</v>
      </c>
      <c r="AY19" s="1037">
        <f>AU19-'[7]éves besz.bevételei2025'!AX19</f>
        <v>-5228</v>
      </c>
      <c r="AZ19" s="1019"/>
      <c r="BA19" s="1019"/>
      <c r="BB19" s="1019"/>
      <c r="BC19" s="1019"/>
      <c r="BD19" s="1019"/>
      <c r="BE19" s="1102"/>
      <c r="BF19" s="1102"/>
      <c r="BG19" s="1102"/>
      <c r="BH19" s="1102"/>
      <c r="BI19" s="1102"/>
      <c r="BJ19" s="1102"/>
      <c r="BK19" s="1102"/>
      <c r="BL19" s="1102"/>
    </row>
    <row r="20" spans="1:64" s="1103" customFormat="1" ht="49.5" customHeight="1">
      <c r="A20" s="1034" t="s">
        <v>1177</v>
      </c>
      <c r="B20" s="1035">
        <f>[4]int.kiadások2025!B19</f>
        <v>118095</v>
      </c>
      <c r="C20" s="1035">
        <f>'[5]int.kiadások RM IV'!D20</f>
        <v>119927</v>
      </c>
      <c r="D20" s="1035">
        <v>118190</v>
      </c>
      <c r="E20" s="1036">
        <f t="shared" si="0"/>
        <v>0.98551618901498417</v>
      </c>
      <c r="F20" s="1035">
        <f>[4]int.kiadások2025!C19</f>
        <v>15294</v>
      </c>
      <c r="G20" s="1035">
        <f>'[5]int.kiadások RM IV'!G20</f>
        <v>15551</v>
      </c>
      <c r="H20" s="1035">
        <v>14882</v>
      </c>
      <c r="I20" s="1036">
        <f t="shared" si="1"/>
        <v>0.95698025850427626</v>
      </c>
      <c r="J20" s="1035">
        <f>[4]int.kiadások2025!D19</f>
        <v>2635</v>
      </c>
      <c r="K20" s="1035">
        <f>'[5]int.kiadások RM IV'!J20</f>
        <v>3797</v>
      </c>
      <c r="L20" s="1035">
        <v>2889</v>
      </c>
      <c r="M20" s="1036">
        <f t="shared" si="2"/>
        <v>0.76086383987358441</v>
      </c>
      <c r="N20" s="1034" t="s">
        <v>1177</v>
      </c>
      <c r="O20" s="1035">
        <f>[4]int.kiadások2025!E19</f>
        <v>0</v>
      </c>
      <c r="P20" s="1035">
        <f>'[5]int.kiadások RM IV'!N20</f>
        <v>0</v>
      </c>
      <c r="Q20" s="1035"/>
      <c r="R20" s="1036"/>
      <c r="S20" s="1035">
        <f>[4]int.kiadások2025!F19</f>
        <v>0</v>
      </c>
      <c r="T20" s="1035">
        <f>'[5]int.kiadások RM IV'!Q20</f>
        <v>0</v>
      </c>
      <c r="U20" s="1035"/>
      <c r="V20" s="1036"/>
      <c r="W20" s="1037">
        <f t="shared" si="3"/>
        <v>136024</v>
      </c>
      <c r="X20" s="1037">
        <f t="shared" si="3"/>
        <v>139275</v>
      </c>
      <c r="Y20" s="1037">
        <f t="shared" si="3"/>
        <v>135961</v>
      </c>
      <c r="Z20" s="1038">
        <f t="shared" si="4"/>
        <v>0.97620534912942025</v>
      </c>
      <c r="AA20" s="1034" t="s">
        <v>1177</v>
      </c>
      <c r="AB20" s="1035">
        <f>[4]int.kiadások2025!I19</f>
        <v>0</v>
      </c>
      <c r="AC20" s="1035">
        <f>'[5]int.kiadások RM IV'!X20</f>
        <v>380</v>
      </c>
      <c r="AD20" s="1035">
        <v>380</v>
      </c>
      <c r="AE20" s="1036">
        <f t="shared" si="5"/>
        <v>1</v>
      </c>
      <c r="AF20" s="1035">
        <f>[4]int.kiadások2025!J19</f>
        <v>0</v>
      </c>
      <c r="AG20" s="1035">
        <f>'[5]int.kiadások RM IV'!AA20</f>
        <v>0</v>
      </c>
      <c r="AH20" s="1035"/>
      <c r="AI20" s="1036"/>
      <c r="AJ20" s="1035">
        <f>[4]int.kiadások2025!K19</f>
        <v>0</v>
      </c>
      <c r="AK20" s="1035">
        <f>'[5]int.kiadások RM IV'!AD20</f>
        <v>0</v>
      </c>
      <c r="AL20" s="1035"/>
      <c r="AM20" s="1036"/>
      <c r="AN20" s="1034" t="s">
        <v>1177</v>
      </c>
      <c r="AO20" s="1037">
        <f t="shared" si="6"/>
        <v>0</v>
      </c>
      <c r="AP20" s="1037">
        <f t="shared" si="6"/>
        <v>380</v>
      </c>
      <c r="AQ20" s="1037">
        <f t="shared" si="6"/>
        <v>380</v>
      </c>
      <c r="AR20" s="1038">
        <f t="shared" si="7"/>
        <v>1</v>
      </c>
      <c r="AS20" s="1037">
        <f t="shared" si="8"/>
        <v>136024</v>
      </c>
      <c r="AT20" s="1037">
        <f t="shared" si="8"/>
        <v>139655</v>
      </c>
      <c r="AU20" s="1037">
        <f t="shared" si="8"/>
        <v>136341</v>
      </c>
      <c r="AV20" s="1038">
        <f t="shared" si="9"/>
        <v>0.97627009416061006</v>
      </c>
      <c r="AW20" s="1037">
        <f>AS20-'[7]éves besz.bevételei2025'!AV20</f>
        <v>0</v>
      </c>
      <c r="AX20" s="1037">
        <f>AT20-'[7]éves besz.bevételei2025'!AW20</f>
        <v>0</v>
      </c>
      <c r="AY20" s="1037">
        <f>AU20-'[7]éves besz.bevételei2025'!AX20</f>
        <v>-863</v>
      </c>
      <c r="AZ20" s="1019"/>
      <c r="BA20" s="1019"/>
      <c r="BB20" s="1019"/>
      <c r="BC20" s="1019"/>
      <c r="BD20" s="1019"/>
      <c r="BE20" s="1102"/>
      <c r="BF20" s="1102"/>
      <c r="BG20" s="1102"/>
      <c r="BH20" s="1102"/>
      <c r="BI20" s="1102"/>
      <c r="BJ20" s="1102"/>
      <c r="BK20" s="1102"/>
      <c r="BL20" s="1102"/>
    </row>
    <row r="21" spans="1:64" s="1103" customFormat="1" ht="49.5" customHeight="1">
      <c r="A21" s="1034" t="s">
        <v>1178</v>
      </c>
      <c r="B21" s="1035">
        <f>[4]int.kiadások2025!B20</f>
        <v>113549</v>
      </c>
      <c r="C21" s="1035">
        <f>'[5]int.kiadások RM IV'!D21</f>
        <v>115811</v>
      </c>
      <c r="D21" s="1035">
        <v>110461</v>
      </c>
      <c r="E21" s="1036">
        <f t="shared" si="0"/>
        <v>0.95380404279386244</v>
      </c>
      <c r="F21" s="1035">
        <f>[4]int.kiadások2025!C20</f>
        <v>14785</v>
      </c>
      <c r="G21" s="1035">
        <f>'[5]int.kiadások RM IV'!G21</f>
        <v>15089</v>
      </c>
      <c r="H21" s="1035">
        <v>14389</v>
      </c>
      <c r="I21" s="1036">
        <f t="shared" si="1"/>
        <v>0.95360858903837231</v>
      </c>
      <c r="J21" s="1035">
        <f>[4]int.kiadások2025!D20</f>
        <v>2508</v>
      </c>
      <c r="K21" s="1035">
        <f>'[5]int.kiadások RM IV'!J21</f>
        <v>4420</v>
      </c>
      <c r="L21" s="1035">
        <v>4122</v>
      </c>
      <c r="M21" s="1036">
        <f t="shared" si="2"/>
        <v>0.93257918552036201</v>
      </c>
      <c r="N21" s="1034" t="s">
        <v>1178</v>
      </c>
      <c r="O21" s="1035">
        <f>[4]int.kiadások2025!E20</f>
        <v>0</v>
      </c>
      <c r="P21" s="1035">
        <f>'[5]int.kiadások RM IV'!N21</f>
        <v>0</v>
      </c>
      <c r="Q21" s="1035"/>
      <c r="R21" s="1036"/>
      <c r="S21" s="1035">
        <f>[4]int.kiadások2025!F20</f>
        <v>0</v>
      </c>
      <c r="T21" s="1035">
        <f>'[5]int.kiadások RM IV'!Q21</f>
        <v>0</v>
      </c>
      <c r="U21" s="1035"/>
      <c r="V21" s="1036"/>
      <c r="W21" s="1037">
        <f t="shared" si="3"/>
        <v>130842</v>
      </c>
      <c r="X21" s="1037">
        <f t="shared" si="3"/>
        <v>135320</v>
      </c>
      <c r="Y21" s="1037">
        <f t="shared" si="3"/>
        <v>128972</v>
      </c>
      <c r="Z21" s="1038">
        <f t="shared" si="4"/>
        <v>0.95308897428318062</v>
      </c>
      <c r="AA21" s="1034" t="s">
        <v>1178</v>
      </c>
      <c r="AB21" s="1035">
        <f>[4]int.kiadások2025!I20</f>
        <v>0</v>
      </c>
      <c r="AC21" s="1035">
        <f>'[5]int.kiadások RM IV'!X21</f>
        <v>5071</v>
      </c>
      <c r="AD21" s="1035">
        <v>5069</v>
      </c>
      <c r="AE21" s="1036">
        <f t="shared" si="5"/>
        <v>0.9996056004732794</v>
      </c>
      <c r="AF21" s="1035">
        <f>[4]int.kiadások2025!J20</f>
        <v>0</v>
      </c>
      <c r="AG21" s="1035">
        <f>'[5]int.kiadások RM IV'!AA21</f>
        <v>0</v>
      </c>
      <c r="AH21" s="1035"/>
      <c r="AI21" s="1036"/>
      <c r="AJ21" s="1035">
        <f>[4]int.kiadások2025!K20</f>
        <v>0</v>
      </c>
      <c r="AK21" s="1035">
        <f>'[5]int.kiadások RM IV'!AD21</f>
        <v>0</v>
      </c>
      <c r="AL21" s="1035"/>
      <c r="AM21" s="1036"/>
      <c r="AN21" s="1034" t="s">
        <v>1178</v>
      </c>
      <c r="AO21" s="1037">
        <f t="shared" si="6"/>
        <v>0</v>
      </c>
      <c r="AP21" s="1037">
        <f t="shared" si="6"/>
        <v>5071</v>
      </c>
      <c r="AQ21" s="1037">
        <f t="shared" si="6"/>
        <v>5069</v>
      </c>
      <c r="AR21" s="1038">
        <f t="shared" si="7"/>
        <v>0.9996056004732794</v>
      </c>
      <c r="AS21" s="1037">
        <f t="shared" si="8"/>
        <v>130842</v>
      </c>
      <c r="AT21" s="1037">
        <f t="shared" si="8"/>
        <v>140391</v>
      </c>
      <c r="AU21" s="1037">
        <f t="shared" si="8"/>
        <v>134041</v>
      </c>
      <c r="AV21" s="1038">
        <f t="shared" si="9"/>
        <v>0.95476918036056446</v>
      </c>
      <c r="AW21" s="1037">
        <f>AS21-'[7]éves besz.bevételei2025'!AV21</f>
        <v>0</v>
      </c>
      <c r="AX21" s="1037">
        <f>AT21-'[7]éves besz.bevételei2025'!AW21</f>
        <v>0</v>
      </c>
      <c r="AY21" s="1037">
        <f>AU21-'[7]éves besz.bevételei2025'!AX21</f>
        <v>-1185</v>
      </c>
      <c r="AZ21" s="1019"/>
      <c r="BA21" s="1019"/>
      <c r="BB21" s="1019"/>
      <c r="BC21" s="1019"/>
      <c r="BD21" s="1019"/>
      <c r="BE21" s="1102"/>
      <c r="BF21" s="1102"/>
      <c r="BG21" s="1102"/>
      <c r="BH21" s="1102"/>
      <c r="BI21" s="1102"/>
      <c r="BJ21" s="1102"/>
      <c r="BK21" s="1102"/>
      <c r="BL21" s="1102"/>
    </row>
    <row r="22" spans="1:64" s="1103" customFormat="1" ht="49.5" customHeight="1">
      <c r="A22" s="1034" t="s">
        <v>1179</v>
      </c>
      <c r="B22" s="1035">
        <f>[4]int.kiadások2025!B21</f>
        <v>140189</v>
      </c>
      <c r="C22" s="1035">
        <f>'[5]int.kiadások RM IV'!D22</f>
        <v>146638</v>
      </c>
      <c r="D22" s="1035">
        <v>144282</v>
      </c>
      <c r="E22" s="1036">
        <f t="shared" si="0"/>
        <v>0.98393322331182909</v>
      </c>
      <c r="F22" s="1035">
        <f>[4]int.kiadások2025!C21</f>
        <v>18182</v>
      </c>
      <c r="G22" s="1035">
        <f>'[5]int.kiadások RM IV'!G22</f>
        <v>19025</v>
      </c>
      <c r="H22" s="1035">
        <v>16460</v>
      </c>
      <c r="I22" s="1036">
        <f t="shared" si="1"/>
        <v>0.86517739816031536</v>
      </c>
      <c r="J22" s="1035">
        <f>[4]int.kiadások2025!D21</f>
        <v>3741</v>
      </c>
      <c r="K22" s="1035">
        <f>'[5]int.kiadások RM IV'!J22</f>
        <v>5847</v>
      </c>
      <c r="L22" s="1035">
        <v>4085</v>
      </c>
      <c r="M22" s="1036">
        <f t="shared" si="2"/>
        <v>0.69864887976740209</v>
      </c>
      <c r="N22" s="1034" t="s">
        <v>1179</v>
      </c>
      <c r="O22" s="1035">
        <f>[4]int.kiadások2025!E21</f>
        <v>0</v>
      </c>
      <c r="P22" s="1035">
        <f>'[5]int.kiadások RM IV'!N22</f>
        <v>0</v>
      </c>
      <c r="Q22" s="1035"/>
      <c r="R22" s="1036"/>
      <c r="S22" s="1035">
        <f>[4]int.kiadások2025!F21</f>
        <v>0</v>
      </c>
      <c r="T22" s="1035">
        <f>'[5]int.kiadások RM IV'!Q22</f>
        <v>0</v>
      </c>
      <c r="U22" s="1035"/>
      <c r="V22" s="1036"/>
      <c r="W22" s="1037">
        <f t="shared" si="3"/>
        <v>162112</v>
      </c>
      <c r="X22" s="1037">
        <f t="shared" si="3"/>
        <v>171510</v>
      </c>
      <c r="Y22" s="1037">
        <f t="shared" si="3"/>
        <v>164827</v>
      </c>
      <c r="Z22" s="1038">
        <f t="shared" si="4"/>
        <v>0.96103434202087346</v>
      </c>
      <c r="AA22" s="1034" t="s">
        <v>1179</v>
      </c>
      <c r="AB22" s="1035">
        <f>[4]int.kiadások2025!I21</f>
        <v>0</v>
      </c>
      <c r="AC22" s="1035">
        <f>'[5]int.kiadások RM IV'!X22</f>
        <v>1066</v>
      </c>
      <c r="AD22" s="1035">
        <v>1065</v>
      </c>
      <c r="AE22" s="1036">
        <f t="shared" si="5"/>
        <v>0.99906191369606001</v>
      </c>
      <c r="AF22" s="1035">
        <f>[4]int.kiadások2025!J21</f>
        <v>0</v>
      </c>
      <c r="AG22" s="1035">
        <f>'[5]int.kiadások RM IV'!AA22</f>
        <v>0</v>
      </c>
      <c r="AH22" s="1035"/>
      <c r="AI22" s="1036"/>
      <c r="AJ22" s="1035">
        <f>[4]int.kiadások2025!K21</f>
        <v>0</v>
      </c>
      <c r="AK22" s="1035">
        <f>'[5]int.kiadások RM IV'!AD22</f>
        <v>0</v>
      </c>
      <c r="AL22" s="1035"/>
      <c r="AM22" s="1036"/>
      <c r="AN22" s="1034" t="s">
        <v>1179</v>
      </c>
      <c r="AO22" s="1037">
        <f t="shared" si="6"/>
        <v>0</v>
      </c>
      <c r="AP22" s="1037">
        <f t="shared" si="6"/>
        <v>1066</v>
      </c>
      <c r="AQ22" s="1037">
        <f t="shared" si="6"/>
        <v>1065</v>
      </c>
      <c r="AR22" s="1038">
        <f t="shared" si="7"/>
        <v>0.99906191369606001</v>
      </c>
      <c r="AS22" s="1037">
        <f t="shared" si="8"/>
        <v>162112</v>
      </c>
      <c r="AT22" s="1037">
        <f t="shared" si="8"/>
        <v>172576</v>
      </c>
      <c r="AU22" s="1037">
        <f t="shared" si="8"/>
        <v>165892</v>
      </c>
      <c r="AV22" s="1038">
        <f t="shared" si="9"/>
        <v>0.96126923790098273</v>
      </c>
      <c r="AW22" s="1037">
        <f>AS22-'[7]éves besz.bevételei2025'!AV22</f>
        <v>0</v>
      </c>
      <c r="AX22" s="1037">
        <f>AT22-'[7]éves besz.bevételei2025'!AW22</f>
        <v>0</v>
      </c>
      <c r="AY22" s="1037">
        <f>AU22-'[7]éves besz.bevételei2025'!AX22</f>
        <v>-1194</v>
      </c>
      <c r="AZ22" s="1019"/>
      <c r="BA22" s="1019"/>
      <c r="BB22" s="1019"/>
      <c r="BC22" s="1019"/>
      <c r="BD22" s="1019"/>
      <c r="BE22" s="1102"/>
      <c r="BF22" s="1102"/>
      <c r="BG22" s="1102"/>
      <c r="BH22" s="1102"/>
      <c r="BI22" s="1102"/>
      <c r="BJ22" s="1102"/>
      <c r="BK22" s="1102"/>
      <c r="BL22" s="1102"/>
    </row>
    <row r="23" spans="1:64" s="1103" customFormat="1" ht="49.5" customHeight="1">
      <c r="A23" s="1034" t="s">
        <v>1180</v>
      </c>
      <c r="B23" s="1035">
        <f>[4]int.kiadások2025!B22</f>
        <v>167298</v>
      </c>
      <c r="C23" s="1035">
        <f>'[5]int.kiadások RM IV'!D23</f>
        <v>163810</v>
      </c>
      <c r="D23" s="1035">
        <v>161655</v>
      </c>
      <c r="E23" s="1036">
        <f t="shared" si="0"/>
        <v>0.98684451498687509</v>
      </c>
      <c r="F23" s="1035">
        <f>[4]int.kiadások2025!C22</f>
        <v>22064</v>
      </c>
      <c r="G23" s="1035">
        <f>'[5]int.kiadások RM IV'!G23</f>
        <v>21559</v>
      </c>
      <c r="H23" s="1035">
        <v>18044</v>
      </c>
      <c r="I23" s="1036">
        <f t="shared" si="1"/>
        <v>0.8369590426272091</v>
      </c>
      <c r="J23" s="1035">
        <f>[4]int.kiadások2025!D22</f>
        <v>3041</v>
      </c>
      <c r="K23" s="1035">
        <f>'[5]int.kiadások RM IV'!J23</f>
        <v>4829</v>
      </c>
      <c r="L23" s="1035">
        <v>4148</v>
      </c>
      <c r="M23" s="1036">
        <f t="shared" si="2"/>
        <v>0.8589770138745082</v>
      </c>
      <c r="N23" s="1034" t="s">
        <v>1180</v>
      </c>
      <c r="O23" s="1035">
        <f>[4]int.kiadások2025!E22</f>
        <v>0</v>
      </c>
      <c r="P23" s="1035">
        <f>'[5]int.kiadások RM IV'!N23</f>
        <v>0</v>
      </c>
      <c r="Q23" s="1035"/>
      <c r="R23" s="1036"/>
      <c r="S23" s="1035">
        <f>[4]int.kiadások2025!F22</f>
        <v>0</v>
      </c>
      <c r="T23" s="1035">
        <f>'[5]int.kiadások RM IV'!Q23</f>
        <v>0</v>
      </c>
      <c r="U23" s="1035"/>
      <c r="V23" s="1036"/>
      <c r="W23" s="1037">
        <f t="shared" si="3"/>
        <v>192403</v>
      </c>
      <c r="X23" s="1037">
        <f t="shared" si="3"/>
        <v>190198</v>
      </c>
      <c r="Y23" s="1037">
        <f t="shared" si="3"/>
        <v>183847</v>
      </c>
      <c r="Z23" s="1038">
        <f t="shared" si="4"/>
        <v>0.96660848168750457</v>
      </c>
      <c r="AA23" s="1034" t="s">
        <v>1180</v>
      </c>
      <c r="AB23" s="1035">
        <f>[4]int.kiadások2025!I22</f>
        <v>0</v>
      </c>
      <c r="AC23" s="1035">
        <f>'[5]int.kiadások RM IV'!X23</f>
        <v>7421</v>
      </c>
      <c r="AD23" s="1035">
        <v>1089</v>
      </c>
      <c r="AE23" s="1036">
        <f t="shared" si="5"/>
        <v>0.14674572160086241</v>
      </c>
      <c r="AF23" s="1035">
        <f>[4]int.kiadások2025!J22</f>
        <v>0</v>
      </c>
      <c r="AG23" s="1035">
        <f>'[5]int.kiadások RM IV'!AA23</f>
        <v>0</v>
      </c>
      <c r="AH23" s="1035"/>
      <c r="AI23" s="1036"/>
      <c r="AJ23" s="1035">
        <f>[4]int.kiadások2025!K22</f>
        <v>0</v>
      </c>
      <c r="AK23" s="1035">
        <f>'[5]int.kiadások RM IV'!AD23</f>
        <v>0</v>
      </c>
      <c r="AL23" s="1035"/>
      <c r="AM23" s="1036"/>
      <c r="AN23" s="1034" t="s">
        <v>1180</v>
      </c>
      <c r="AO23" s="1037">
        <f t="shared" si="6"/>
        <v>0</v>
      </c>
      <c r="AP23" s="1037">
        <f t="shared" si="6"/>
        <v>7421</v>
      </c>
      <c r="AQ23" s="1037">
        <f t="shared" si="6"/>
        <v>1089</v>
      </c>
      <c r="AR23" s="1038">
        <f t="shared" si="7"/>
        <v>0.14674572160086241</v>
      </c>
      <c r="AS23" s="1037">
        <f t="shared" si="8"/>
        <v>192403</v>
      </c>
      <c r="AT23" s="1037">
        <f t="shared" si="8"/>
        <v>197619</v>
      </c>
      <c r="AU23" s="1037">
        <f t="shared" si="8"/>
        <v>184936</v>
      </c>
      <c r="AV23" s="1038">
        <f t="shared" si="9"/>
        <v>0.93582094839058994</v>
      </c>
      <c r="AW23" s="1037">
        <f>AS23-'[7]éves besz.bevételei2025'!AV23</f>
        <v>0</v>
      </c>
      <c r="AX23" s="1037">
        <f>AT23-'[7]éves besz.bevételei2025'!AW23</f>
        <v>0</v>
      </c>
      <c r="AY23" s="1037">
        <f>AU23-'[7]éves besz.bevételei2025'!AX23</f>
        <v>-2476</v>
      </c>
      <c r="AZ23" s="1019"/>
      <c r="BA23" s="1019"/>
      <c r="BB23" s="1019"/>
      <c r="BC23" s="1019"/>
      <c r="BD23" s="1019"/>
      <c r="BE23" s="1102"/>
      <c r="BF23" s="1102"/>
      <c r="BG23" s="1102"/>
      <c r="BH23" s="1102"/>
      <c r="BI23" s="1102"/>
      <c r="BJ23" s="1102"/>
      <c r="BK23" s="1102"/>
      <c r="BL23" s="1102"/>
    </row>
    <row r="24" spans="1:64" s="1103" customFormat="1" ht="49.5" customHeight="1">
      <c r="A24" s="1034" t="s">
        <v>1181</v>
      </c>
      <c r="B24" s="1035">
        <f>[4]int.kiadások2025!B23</f>
        <v>229871</v>
      </c>
      <c r="C24" s="1035">
        <f>'[5]int.kiadások RM IV'!D24</f>
        <v>233220</v>
      </c>
      <c r="D24" s="1035">
        <v>211764</v>
      </c>
      <c r="E24" s="1036">
        <f t="shared" si="0"/>
        <v>0.90800102907126323</v>
      </c>
      <c r="F24" s="1035">
        <f>[4]int.kiadások2025!C23</f>
        <v>34142</v>
      </c>
      <c r="G24" s="1035">
        <f>'[5]int.kiadások RM IV'!G24</f>
        <v>34555</v>
      </c>
      <c r="H24" s="1035">
        <v>26516</v>
      </c>
      <c r="I24" s="1036">
        <f t="shared" si="1"/>
        <v>0.76735638836637243</v>
      </c>
      <c r="J24" s="1035">
        <f>[4]int.kiadások2025!D23</f>
        <v>3715</v>
      </c>
      <c r="K24" s="1035">
        <f>'[5]int.kiadások RM IV'!J24</f>
        <v>13300</v>
      </c>
      <c r="L24" s="1035">
        <v>6504</v>
      </c>
      <c r="M24" s="1036">
        <f t="shared" si="2"/>
        <v>0.48902255639097747</v>
      </c>
      <c r="N24" s="1034" t="s">
        <v>1181</v>
      </c>
      <c r="O24" s="1035">
        <f>[4]int.kiadások2025!E23</f>
        <v>0</v>
      </c>
      <c r="P24" s="1035">
        <f>'[5]int.kiadások RM IV'!N24</f>
        <v>0</v>
      </c>
      <c r="Q24" s="1035"/>
      <c r="R24" s="1036"/>
      <c r="S24" s="1035">
        <f>[4]int.kiadások2025!F23</f>
        <v>0</v>
      </c>
      <c r="T24" s="1035">
        <f>'[5]int.kiadások RM IV'!Q24</f>
        <v>0</v>
      </c>
      <c r="U24" s="1035"/>
      <c r="V24" s="1036"/>
      <c r="W24" s="1037">
        <f t="shared" si="3"/>
        <v>267728</v>
      </c>
      <c r="X24" s="1037">
        <f t="shared" si="3"/>
        <v>281075</v>
      </c>
      <c r="Y24" s="1037">
        <f t="shared" si="3"/>
        <v>244784</v>
      </c>
      <c r="Z24" s="1038">
        <f t="shared" si="4"/>
        <v>0.87088499510806727</v>
      </c>
      <c r="AA24" s="1034" t="s">
        <v>1181</v>
      </c>
      <c r="AB24" s="1035">
        <f>[4]int.kiadások2025!I23</f>
        <v>0</v>
      </c>
      <c r="AC24" s="1035">
        <f>'[5]int.kiadások RM IV'!X24</f>
        <v>531</v>
      </c>
      <c r="AD24" s="1035">
        <v>530</v>
      </c>
      <c r="AE24" s="1036">
        <f t="shared" si="5"/>
        <v>0.99811676082862522</v>
      </c>
      <c r="AF24" s="1035">
        <f>[4]int.kiadások2025!J23</f>
        <v>0</v>
      </c>
      <c r="AG24" s="1035">
        <f>'[5]int.kiadások RM IV'!AA24</f>
        <v>0</v>
      </c>
      <c r="AH24" s="1035"/>
      <c r="AI24" s="1036"/>
      <c r="AJ24" s="1035">
        <f>[4]int.kiadások2025!K23</f>
        <v>0</v>
      </c>
      <c r="AK24" s="1035">
        <f>'[5]int.kiadások RM IV'!AD24</f>
        <v>0</v>
      </c>
      <c r="AL24" s="1035"/>
      <c r="AM24" s="1036"/>
      <c r="AN24" s="1034" t="s">
        <v>1181</v>
      </c>
      <c r="AO24" s="1037">
        <f t="shared" si="6"/>
        <v>0</v>
      </c>
      <c r="AP24" s="1037">
        <f t="shared" si="6"/>
        <v>531</v>
      </c>
      <c r="AQ24" s="1037">
        <f t="shared" si="6"/>
        <v>530</v>
      </c>
      <c r="AR24" s="1038">
        <f t="shared" si="7"/>
        <v>0.99811676082862522</v>
      </c>
      <c r="AS24" s="1037">
        <f t="shared" si="8"/>
        <v>267728</v>
      </c>
      <c r="AT24" s="1037">
        <f t="shared" si="8"/>
        <v>281606</v>
      </c>
      <c r="AU24" s="1037">
        <f t="shared" si="8"/>
        <v>245314</v>
      </c>
      <c r="AV24" s="1038">
        <f t="shared" si="9"/>
        <v>0.8711249050091262</v>
      </c>
      <c r="AW24" s="1037">
        <f>AS24-'[7]éves besz.bevételei2025'!AV24</f>
        <v>0</v>
      </c>
      <c r="AX24" s="1037">
        <f>AT24-'[7]éves besz.bevételei2025'!AW24</f>
        <v>0</v>
      </c>
      <c r="AY24" s="1037">
        <f>AU24-'[7]éves besz.bevételei2025'!AX24</f>
        <v>-1221</v>
      </c>
      <c r="AZ24" s="1019"/>
      <c r="BA24" s="1019"/>
      <c r="BB24" s="1019"/>
      <c r="BC24" s="1019"/>
      <c r="BD24" s="1019"/>
      <c r="BE24" s="1102"/>
      <c r="BF24" s="1102"/>
      <c r="BG24" s="1102"/>
      <c r="BH24" s="1102"/>
      <c r="BI24" s="1102"/>
      <c r="BJ24" s="1102"/>
      <c r="BK24" s="1102"/>
      <c r="BL24" s="1102"/>
    </row>
    <row r="25" spans="1:64" s="1103" customFormat="1" ht="49.5" customHeight="1">
      <c r="A25" s="1034" t="s">
        <v>1205</v>
      </c>
      <c r="B25" s="1035">
        <f>[4]int.kiadások2025!B24</f>
        <v>169874</v>
      </c>
      <c r="C25" s="1035">
        <f>'[5]int.kiadások RM IV'!D25</f>
        <v>167779</v>
      </c>
      <c r="D25" s="1035">
        <v>159228</v>
      </c>
      <c r="E25" s="1036">
        <f t="shared" si="0"/>
        <v>0.94903414610886938</v>
      </c>
      <c r="F25" s="1035">
        <f>[4]int.kiadások2025!C24</f>
        <v>22130</v>
      </c>
      <c r="G25" s="1035">
        <f>'[5]int.kiadások RM IV'!G25</f>
        <v>21787</v>
      </c>
      <c r="H25" s="1035">
        <v>15101</v>
      </c>
      <c r="I25" s="1036">
        <f t="shared" si="1"/>
        <v>0.69311975030981776</v>
      </c>
      <c r="J25" s="1035">
        <f>[4]int.kiadások2025!D24</f>
        <v>2983</v>
      </c>
      <c r="K25" s="1035">
        <f>'[5]int.kiadások RM IV'!J25</f>
        <v>14404</v>
      </c>
      <c r="L25" s="1035">
        <v>6691</v>
      </c>
      <c r="M25" s="1036">
        <f t="shared" si="2"/>
        <v>0.46452374340460983</v>
      </c>
      <c r="N25" s="1034" t="s">
        <v>1205</v>
      </c>
      <c r="O25" s="1035">
        <f>[4]int.kiadások2025!E24</f>
        <v>0</v>
      </c>
      <c r="P25" s="1035">
        <f>'[5]int.kiadások RM IV'!N25</f>
        <v>0</v>
      </c>
      <c r="Q25" s="1035"/>
      <c r="R25" s="1036"/>
      <c r="S25" s="1035">
        <f>[4]int.kiadások2025!F24</f>
        <v>0</v>
      </c>
      <c r="T25" s="1035">
        <f>'[5]int.kiadások RM IV'!Q25</f>
        <v>0</v>
      </c>
      <c r="U25" s="1035"/>
      <c r="V25" s="1036"/>
      <c r="W25" s="1037">
        <f t="shared" si="3"/>
        <v>194987</v>
      </c>
      <c r="X25" s="1037">
        <f t="shared" si="3"/>
        <v>203970</v>
      </c>
      <c r="Y25" s="1037">
        <f t="shared" si="3"/>
        <v>181020</v>
      </c>
      <c r="Z25" s="1038">
        <f t="shared" si="4"/>
        <v>0.88748345344903667</v>
      </c>
      <c r="AA25" s="1034" t="s">
        <v>1205</v>
      </c>
      <c r="AB25" s="1035">
        <f>[4]int.kiadások2025!I24</f>
        <v>0</v>
      </c>
      <c r="AC25" s="1035">
        <f>'[5]int.kiadások RM IV'!X25</f>
        <v>3079</v>
      </c>
      <c r="AD25" s="1035">
        <v>3078</v>
      </c>
      <c r="AE25" s="1036">
        <f t="shared" si="5"/>
        <v>0.99967521922702174</v>
      </c>
      <c r="AF25" s="1035">
        <f>[4]int.kiadások2025!J24</f>
        <v>0</v>
      </c>
      <c r="AG25" s="1035">
        <f>'[5]int.kiadások RM IV'!AA25</f>
        <v>0</v>
      </c>
      <c r="AH25" s="1035"/>
      <c r="AI25" s="1036"/>
      <c r="AJ25" s="1035">
        <f>[4]int.kiadások2025!K24</f>
        <v>0</v>
      </c>
      <c r="AK25" s="1035">
        <f>'[5]int.kiadások RM IV'!AD25</f>
        <v>0</v>
      </c>
      <c r="AL25" s="1035"/>
      <c r="AM25" s="1036"/>
      <c r="AN25" s="1034" t="s">
        <v>1205</v>
      </c>
      <c r="AO25" s="1037">
        <f t="shared" si="6"/>
        <v>0</v>
      </c>
      <c r="AP25" s="1037">
        <f t="shared" si="6"/>
        <v>3079</v>
      </c>
      <c r="AQ25" s="1037">
        <f t="shared" si="6"/>
        <v>3078</v>
      </c>
      <c r="AR25" s="1038">
        <f t="shared" si="7"/>
        <v>0.99967521922702174</v>
      </c>
      <c r="AS25" s="1037">
        <f t="shared" si="8"/>
        <v>194987</v>
      </c>
      <c r="AT25" s="1037">
        <f t="shared" si="8"/>
        <v>207049</v>
      </c>
      <c r="AU25" s="1037">
        <f t="shared" si="8"/>
        <v>184098</v>
      </c>
      <c r="AV25" s="1038">
        <f t="shared" si="9"/>
        <v>0.88915184328347396</v>
      </c>
      <c r="AW25" s="1037">
        <f>AS25-'[7]éves besz.bevételei2025'!AV25</f>
        <v>0</v>
      </c>
      <c r="AX25" s="1037">
        <f>AT25-'[7]éves besz.bevételei2025'!AW25</f>
        <v>0</v>
      </c>
      <c r="AY25" s="1037">
        <f>AU25-'[7]éves besz.bevételei2025'!AX25</f>
        <v>-2112</v>
      </c>
      <c r="AZ25" s="1019"/>
      <c r="BA25" s="1019"/>
      <c r="BB25" s="1019"/>
      <c r="BC25" s="1019"/>
      <c r="BD25" s="1019"/>
      <c r="BE25" s="1102"/>
      <c r="BF25" s="1102"/>
      <c r="BG25" s="1102"/>
      <c r="BH25" s="1102"/>
      <c r="BI25" s="1102"/>
      <c r="BJ25" s="1102"/>
      <c r="BK25" s="1102"/>
      <c r="BL25" s="1102"/>
    </row>
    <row r="26" spans="1:64" s="1103" customFormat="1" ht="49.5" customHeight="1">
      <c r="A26" s="1034" t="s">
        <v>1183</v>
      </c>
      <c r="B26" s="1035">
        <f>[4]int.kiadások2025!B25</f>
        <v>128751</v>
      </c>
      <c r="C26" s="1035">
        <f>'[5]int.kiadások RM IV'!D26</f>
        <v>131613</v>
      </c>
      <c r="D26" s="1035">
        <v>129113</v>
      </c>
      <c r="E26" s="1036">
        <f t="shared" si="0"/>
        <v>0.98100491592775785</v>
      </c>
      <c r="F26" s="1035">
        <f>[4]int.kiadások2025!C25</f>
        <v>16642</v>
      </c>
      <c r="G26" s="1035">
        <f>'[5]int.kiadások RM IV'!G26</f>
        <v>17172</v>
      </c>
      <c r="H26" s="1035">
        <v>16874</v>
      </c>
      <c r="I26" s="1036">
        <f t="shared" si="1"/>
        <v>0.98264616818075934</v>
      </c>
      <c r="J26" s="1035">
        <f>[4]int.kiadások2025!D25</f>
        <v>3340</v>
      </c>
      <c r="K26" s="1035">
        <f>'[5]int.kiadások RM IV'!J26</f>
        <v>5628</v>
      </c>
      <c r="L26" s="1035">
        <v>4207</v>
      </c>
      <c r="M26" s="1036">
        <f t="shared" si="2"/>
        <v>0.74751243781094523</v>
      </c>
      <c r="N26" s="1034" t="s">
        <v>1183</v>
      </c>
      <c r="O26" s="1035">
        <f>[4]int.kiadások2025!E25</f>
        <v>0</v>
      </c>
      <c r="P26" s="1035">
        <f>'[5]int.kiadások RM IV'!N26</f>
        <v>0</v>
      </c>
      <c r="Q26" s="1035"/>
      <c r="R26" s="1036"/>
      <c r="S26" s="1035">
        <f>[4]int.kiadások2025!F25</f>
        <v>0</v>
      </c>
      <c r="T26" s="1035">
        <f>'[5]int.kiadások RM IV'!Q26</f>
        <v>0</v>
      </c>
      <c r="U26" s="1035"/>
      <c r="V26" s="1036"/>
      <c r="W26" s="1037">
        <f t="shared" si="3"/>
        <v>148733</v>
      </c>
      <c r="X26" s="1037">
        <f t="shared" si="3"/>
        <v>154413</v>
      </c>
      <c r="Y26" s="1037">
        <f t="shared" si="3"/>
        <v>150194</v>
      </c>
      <c r="Z26" s="1038">
        <f t="shared" si="4"/>
        <v>0.97267717096358464</v>
      </c>
      <c r="AA26" s="1034" t="s">
        <v>1183</v>
      </c>
      <c r="AB26" s="1035">
        <f>[4]int.kiadások2025!I25</f>
        <v>0</v>
      </c>
      <c r="AC26" s="1035">
        <f>'[5]int.kiadások RM IV'!X26</f>
        <v>4327</v>
      </c>
      <c r="AD26" s="1035">
        <v>4327</v>
      </c>
      <c r="AE26" s="1036">
        <f t="shared" si="5"/>
        <v>1</v>
      </c>
      <c r="AF26" s="1035">
        <f>[4]int.kiadások2025!J25</f>
        <v>0</v>
      </c>
      <c r="AG26" s="1035">
        <f>'[5]int.kiadások RM IV'!AA26</f>
        <v>0</v>
      </c>
      <c r="AH26" s="1035"/>
      <c r="AI26" s="1036"/>
      <c r="AJ26" s="1035">
        <f>[4]int.kiadások2025!K25</f>
        <v>0</v>
      </c>
      <c r="AK26" s="1035">
        <f>'[5]int.kiadások RM IV'!AD26</f>
        <v>0</v>
      </c>
      <c r="AL26" s="1035"/>
      <c r="AM26" s="1036"/>
      <c r="AN26" s="1034" t="s">
        <v>1183</v>
      </c>
      <c r="AO26" s="1037">
        <f t="shared" si="6"/>
        <v>0</v>
      </c>
      <c r="AP26" s="1037">
        <f t="shared" si="6"/>
        <v>4327</v>
      </c>
      <c r="AQ26" s="1037">
        <f t="shared" si="6"/>
        <v>4327</v>
      </c>
      <c r="AR26" s="1038">
        <f t="shared" si="7"/>
        <v>1</v>
      </c>
      <c r="AS26" s="1037">
        <f t="shared" si="8"/>
        <v>148733</v>
      </c>
      <c r="AT26" s="1037">
        <f t="shared" si="8"/>
        <v>158740</v>
      </c>
      <c r="AU26" s="1037">
        <f t="shared" si="8"/>
        <v>154521</v>
      </c>
      <c r="AV26" s="1038">
        <f t="shared" si="9"/>
        <v>0.97342194783923397</v>
      </c>
      <c r="AW26" s="1037">
        <f>AS26-'[7]éves besz.bevételei2025'!AV26</f>
        <v>0</v>
      </c>
      <c r="AX26" s="1037">
        <f>AT26-'[7]éves besz.bevételei2025'!AW26</f>
        <v>0</v>
      </c>
      <c r="AY26" s="1037">
        <f>AU26-'[7]éves besz.bevételei2025'!AX26</f>
        <v>-800</v>
      </c>
      <c r="AZ26" s="1019"/>
      <c r="BA26" s="1019"/>
      <c r="BB26" s="1019"/>
      <c r="BC26" s="1019"/>
      <c r="BD26" s="1019"/>
      <c r="BE26" s="1102"/>
      <c r="BF26" s="1102"/>
      <c r="BG26" s="1102"/>
      <c r="BH26" s="1102"/>
      <c r="BI26" s="1102"/>
      <c r="BJ26" s="1102"/>
      <c r="BK26" s="1102"/>
      <c r="BL26" s="1102"/>
    </row>
    <row r="27" spans="1:64" s="1103" customFormat="1" ht="49.5" customHeight="1" thickBot="1">
      <c r="A27" s="1040" t="s">
        <v>1184</v>
      </c>
      <c r="B27" s="1041">
        <f>[4]int.kiadások2025!B26</f>
        <v>103707</v>
      </c>
      <c r="C27" s="1035">
        <f>'[5]int.kiadások RM IV'!D27</f>
        <v>106426</v>
      </c>
      <c r="D27" s="1041">
        <v>99053</v>
      </c>
      <c r="E27" s="1042">
        <f t="shared" si="0"/>
        <v>0.9307218160975701</v>
      </c>
      <c r="F27" s="1041">
        <f>[4]int.kiadások2025!C26</f>
        <v>13530</v>
      </c>
      <c r="G27" s="1035">
        <f>'[5]int.kiadások RM IV'!G27</f>
        <v>13797</v>
      </c>
      <c r="H27" s="1035">
        <v>8412</v>
      </c>
      <c r="I27" s="1042">
        <f t="shared" si="1"/>
        <v>0.60969776038269186</v>
      </c>
      <c r="J27" s="1041">
        <f>[4]int.kiadások2025!D26</f>
        <v>3217</v>
      </c>
      <c r="K27" s="1035">
        <f>'[5]int.kiadások RM IV'!J27</f>
        <v>4114</v>
      </c>
      <c r="L27" s="1041">
        <v>3981</v>
      </c>
      <c r="M27" s="1042">
        <f t="shared" si="2"/>
        <v>0.96767136606708803</v>
      </c>
      <c r="N27" s="1040" t="s">
        <v>1184</v>
      </c>
      <c r="O27" s="1041">
        <f>[4]int.kiadások2025!E26</f>
        <v>0</v>
      </c>
      <c r="P27" s="1035">
        <f>'[5]int.kiadások RM IV'!N27</f>
        <v>0</v>
      </c>
      <c r="Q27" s="1041"/>
      <c r="R27" s="1042"/>
      <c r="S27" s="1041">
        <f>[4]int.kiadások2025!F26</f>
        <v>0</v>
      </c>
      <c r="T27" s="1041">
        <f>'[5]int.kiadások RM IV'!Q27</f>
        <v>0</v>
      </c>
      <c r="U27" s="1041"/>
      <c r="V27" s="1042"/>
      <c r="W27" s="1037">
        <f t="shared" si="3"/>
        <v>120454</v>
      </c>
      <c r="X27" s="1037">
        <f t="shared" si="3"/>
        <v>124337</v>
      </c>
      <c r="Y27" s="1037">
        <f t="shared" si="3"/>
        <v>111446</v>
      </c>
      <c r="Z27" s="1043">
        <f t="shared" si="4"/>
        <v>0.89632209237797278</v>
      </c>
      <c r="AA27" s="1040" t="s">
        <v>1184</v>
      </c>
      <c r="AB27" s="1041">
        <f>[4]int.kiadások2025!I26</f>
        <v>0</v>
      </c>
      <c r="AC27" s="1035">
        <f>'[5]int.kiadások RM IV'!X27</f>
        <v>112</v>
      </c>
      <c r="AD27" s="1041">
        <v>111</v>
      </c>
      <c r="AE27" s="1042">
        <f t="shared" si="5"/>
        <v>0.9910714285714286</v>
      </c>
      <c r="AF27" s="1041">
        <f>[4]int.kiadások2025!J26</f>
        <v>0</v>
      </c>
      <c r="AG27" s="1035">
        <f>'[5]int.kiadások RM IV'!AA27</f>
        <v>0</v>
      </c>
      <c r="AH27" s="1041"/>
      <c r="AI27" s="1042"/>
      <c r="AJ27" s="1041">
        <f>[4]int.kiadások2025!K26</f>
        <v>0</v>
      </c>
      <c r="AK27" s="1041">
        <f>'[5]int.kiadások RM IV'!AD27</f>
        <v>0</v>
      </c>
      <c r="AL27" s="1041"/>
      <c r="AM27" s="1042"/>
      <c r="AN27" s="1040" t="s">
        <v>1184</v>
      </c>
      <c r="AO27" s="1037">
        <f t="shared" si="6"/>
        <v>0</v>
      </c>
      <c r="AP27" s="1037">
        <f t="shared" si="6"/>
        <v>112</v>
      </c>
      <c r="AQ27" s="1037">
        <f t="shared" si="6"/>
        <v>111</v>
      </c>
      <c r="AR27" s="1043">
        <f t="shared" si="7"/>
        <v>0.9910714285714286</v>
      </c>
      <c r="AS27" s="1037">
        <f t="shared" si="8"/>
        <v>120454</v>
      </c>
      <c r="AT27" s="1037">
        <f t="shared" si="8"/>
        <v>124449</v>
      </c>
      <c r="AU27" s="1037">
        <f t="shared" si="8"/>
        <v>111557</v>
      </c>
      <c r="AV27" s="1043">
        <f t="shared" si="9"/>
        <v>0.89640736365900886</v>
      </c>
      <c r="AW27" s="1037">
        <f>AS27-'[7]éves besz.bevételei2025'!AV27</f>
        <v>0</v>
      </c>
      <c r="AX27" s="1037">
        <f>AT27-'[7]éves besz.bevételei2025'!AW27</f>
        <v>0</v>
      </c>
      <c r="AY27" s="1037">
        <f>AU27-'[7]éves besz.bevételei2025'!AX27</f>
        <v>-1228</v>
      </c>
      <c r="AZ27" s="1019"/>
      <c r="BA27" s="1019"/>
      <c r="BB27" s="1019"/>
      <c r="BC27" s="1019"/>
      <c r="BD27" s="1019"/>
      <c r="BE27" s="1102"/>
      <c r="BF27" s="1102"/>
      <c r="BG27" s="1102"/>
      <c r="BH27" s="1102"/>
      <c r="BI27" s="1102"/>
      <c r="BJ27" s="1102"/>
      <c r="BK27" s="1102"/>
      <c r="BL27" s="1102"/>
    </row>
    <row r="28" spans="1:64" s="1103" customFormat="1" ht="49.5" customHeight="1" thickBot="1">
      <c r="A28" s="1045" t="s">
        <v>1185</v>
      </c>
      <c r="B28" s="1046">
        <f>SUM(B10:B27)</f>
        <v>3055499</v>
      </c>
      <c r="C28" s="1046">
        <f>SUM(C10:C27)</f>
        <v>3106500</v>
      </c>
      <c r="D28" s="1046">
        <f>SUM(D10:D27)</f>
        <v>3002273</v>
      </c>
      <c r="E28" s="1047">
        <f t="shared" si="0"/>
        <v>0.96644873652019958</v>
      </c>
      <c r="F28" s="1046">
        <f>SUM(F10:F27)</f>
        <v>420992</v>
      </c>
      <c r="G28" s="1046">
        <f>SUM(G10:G27)</f>
        <v>427459</v>
      </c>
      <c r="H28" s="1046">
        <f>SUM(H10:H27)</f>
        <v>367227</v>
      </c>
      <c r="I28" s="1047">
        <f t="shared" si="1"/>
        <v>0.85909291885303618</v>
      </c>
      <c r="J28" s="1046">
        <f>SUM(J10:J27)</f>
        <v>64409</v>
      </c>
      <c r="K28" s="1046">
        <f>SUM(K10:K27)</f>
        <v>122955</v>
      </c>
      <c r="L28" s="1046">
        <f>SUM(L10:L27)</f>
        <v>93345</v>
      </c>
      <c r="M28" s="1047">
        <f t="shared" si="2"/>
        <v>0.7591801878736123</v>
      </c>
      <c r="N28" s="1045" t="s">
        <v>1185</v>
      </c>
      <c r="O28" s="1046">
        <f>SUM(O10:O27)</f>
        <v>0</v>
      </c>
      <c r="P28" s="1046">
        <f>SUM(P10:P27)</f>
        <v>0</v>
      </c>
      <c r="Q28" s="1046">
        <f>SUM(Q10:Q27)</f>
        <v>0</v>
      </c>
      <c r="R28" s="1047"/>
      <c r="S28" s="1046">
        <f>SUM(S10:S27)</f>
        <v>0</v>
      </c>
      <c r="T28" s="1046">
        <f>SUM(T10:T27)</f>
        <v>0</v>
      </c>
      <c r="U28" s="1046">
        <f>SUM(U10:U27)</f>
        <v>0</v>
      </c>
      <c r="V28" s="1047"/>
      <c r="W28" s="1046">
        <f>SUM(W10:W27)</f>
        <v>3540900</v>
      </c>
      <c r="X28" s="1046">
        <f>SUM(X10:X27)</f>
        <v>3656914</v>
      </c>
      <c r="Y28" s="1046">
        <f>SUM(Y10:Y27)</f>
        <v>3462845</v>
      </c>
      <c r="Z28" s="1047">
        <f t="shared" si="4"/>
        <v>0.9469309368500326</v>
      </c>
      <c r="AA28" s="1045" t="s">
        <v>1185</v>
      </c>
      <c r="AB28" s="1046">
        <f>SUM(AB10:AB27)</f>
        <v>0</v>
      </c>
      <c r="AC28" s="1046">
        <f>SUM(AC10:AC27)</f>
        <v>39431</v>
      </c>
      <c r="AD28" s="1046">
        <f>SUM(AD10:AD27)</f>
        <v>27648</v>
      </c>
      <c r="AE28" s="1047">
        <f t="shared" si="5"/>
        <v>0.70117420303821865</v>
      </c>
      <c r="AF28" s="1046">
        <f>SUM(AF10:AF27)</f>
        <v>0</v>
      </c>
      <c r="AG28" s="1046">
        <f>SUM(AG10:AG27)</f>
        <v>0</v>
      </c>
      <c r="AH28" s="1046">
        <f>SUM(AH10:AH27)</f>
        <v>0</v>
      </c>
      <c r="AI28" s="1047"/>
      <c r="AJ28" s="1046">
        <f>SUM(AJ10:AJ27)</f>
        <v>0</v>
      </c>
      <c r="AK28" s="1046">
        <f>SUM(AK10:AK27)</f>
        <v>0</v>
      </c>
      <c r="AL28" s="1046">
        <f>SUM(AL10:AL27)</f>
        <v>0</v>
      </c>
      <c r="AM28" s="1047"/>
      <c r="AN28" s="1045" t="s">
        <v>1185</v>
      </c>
      <c r="AO28" s="1046">
        <f>SUM(AO10:AO27)</f>
        <v>0</v>
      </c>
      <c r="AP28" s="1046">
        <f>SUM(AP10:AP27)</f>
        <v>39431</v>
      </c>
      <c r="AQ28" s="1046">
        <f>SUM(AQ10:AQ27)</f>
        <v>27648</v>
      </c>
      <c r="AR28" s="1047">
        <f t="shared" si="7"/>
        <v>0.70117420303821865</v>
      </c>
      <c r="AS28" s="1046">
        <f>SUM(AS10:AS27)</f>
        <v>3540900</v>
      </c>
      <c r="AT28" s="1046">
        <f>SUM(AT10:AT27)</f>
        <v>3696345</v>
      </c>
      <c r="AU28" s="1046">
        <f>SUM(AU10:AU27)</f>
        <v>3490493</v>
      </c>
      <c r="AV28" s="1047">
        <f t="shared" si="9"/>
        <v>0.9443093109544699</v>
      </c>
      <c r="AW28" s="1037">
        <f>AS28-'[7]éves besz.bevételei2025'!AV28</f>
        <v>0</v>
      </c>
      <c r="AX28" s="1037">
        <f>AT28-'[7]éves besz.bevételei2025'!AW28</f>
        <v>0</v>
      </c>
      <c r="AY28" s="1037">
        <f>AU28-'[7]éves besz.bevételei2025'!AX28</f>
        <v>-32923</v>
      </c>
      <c r="AZ28" s="1019"/>
      <c r="BA28" s="1019"/>
      <c r="BB28" s="1019"/>
      <c r="BC28" s="1019"/>
      <c r="BD28" s="1019"/>
      <c r="BE28" s="1102"/>
      <c r="BF28" s="1102"/>
      <c r="BG28" s="1102"/>
      <c r="BH28" s="1102"/>
      <c r="BI28" s="1102"/>
      <c r="BJ28" s="1102"/>
      <c r="BK28" s="1102"/>
      <c r="BL28" s="1102"/>
    </row>
    <row r="29" spans="1:64" s="1103" customFormat="1" ht="49.5" customHeight="1" thickBot="1">
      <c r="A29" s="1048" t="s">
        <v>1186</v>
      </c>
      <c r="B29" s="1049">
        <f>[4]int.kiadások2025!B28</f>
        <v>321864</v>
      </c>
      <c r="C29" s="1035">
        <f>'[5]int.kiadások RM IV'!D29</f>
        <v>323904</v>
      </c>
      <c r="D29" s="1049">
        <v>287274</v>
      </c>
      <c r="E29" s="1050">
        <f t="shared" si="0"/>
        <v>0.8869109365737996</v>
      </c>
      <c r="F29" s="1049">
        <f>[4]int.kiadások2025!C28</f>
        <v>47963</v>
      </c>
      <c r="G29" s="1035">
        <f>'[5]int.kiadások RM IV'!G29</f>
        <v>48170</v>
      </c>
      <c r="H29" s="1049">
        <v>40663</v>
      </c>
      <c r="I29" s="1050">
        <f t="shared" si="1"/>
        <v>0.84415611376375332</v>
      </c>
      <c r="J29" s="1049">
        <f>[4]int.kiadások2025!D28</f>
        <v>2125442</v>
      </c>
      <c r="K29" s="1035">
        <f>'[5]int.kiadások RM IV'!J29</f>
        <v>2206308</v>
      </c>
      <c r="L29" s="1049">
        <v>2184803</v>
      </c>
      <c r="M29" s="1050">
        <f t="shared" si="2"/>
        <v>0.99025294745792514</v>
      </c>
      <c r="N29" s="1048" t="s">
        <v>1186</v>
      </c>
      <c r="O29" s="1049">
        <f>[4]int.kiadások2025!E28</f>
        <v>0</v>
      </c>
      <c r="P29" s="1035">
        <f>'[5]int.kiadások RM IV'!N29</f>
        <v>0</v>
      </c>
      <c r="Q29" s="1049"/>
      <c r="R29" s="1050"/>
      <c r="S29" s="1049">
        <f>[4]int.kiadások2025!F28</f>
        <v>0</v>
      </c>
      <c r="T29" s="1049">
        <f>'[5]int.kiadások RM IV'!Q29</f>
        <v>0</v>
      </c>
      <c r="U29" s="1049"/>
      <c r="V29" s="1050"/>
      <c r="W29" s="1037">
        <f>B29+F29+J29+O29+S29</f>
        <v>2495269</v>
      </c>
      <c r="X29" s="1037">
        <f>C29+G29+K29+P29+T29</f>
        <v>2578382</v>
      </c>
      <c r="Y29" s="1037">
        <f>D29+H29+L29+Q29+U29</f>
        <v>2512740</v>
      </c>
      <c r="Z29" s="1047">
        <f t="shared" si="4"/>
        <v>0.97454139844289944</v>
      </c>
      <c r="AA29" s="1048" t="s">
        <v>1186</v>
      </c>
      <c r="AB29" s="1049">
        <f>[4]int.kiadások2025!I28</f>
        <v>0</v>
      </c>
      <c r="AC29" s="1035">
        <f>'[5]int.kiadások RM IV'!X29</f>
        <v>32553</v>
      </c>
      <c r="AD29" s="1049">
        <v>32003</v>
      </c>
      <c r="AE29" s="1050">
        <f t="shared" si="5"/>
        <v>0.98310447577796212</v>
      </c>
      <c r="AF29" s="1049">
        <f>[4]int.kiadások2025!J28</f>
        <v>0</v>
      </c>
      <c r="AG29" s="1035">
        <f>'[5]int.kiadások RM IV'!AA29</f>
        <v>39641</v>
      </c>
      <c r="AH29" s="1049">
        <v>31642</v>
      </c>
      <c r="AI29" s="1050">
        <f>AH29/AG29</f>
        <v>0.79821397038419817</v>
      </c>
      <c r="AJ29" s="1049">
        <f>[4]int.kiadások2025!K28</f>
        <v>0</v>
      </c>
      <c r="AK29" s="1049">
        <f>'[5]int.kiadások RM IV'!AD29</f>
        <v>0</v>
      </c>
      <c r="AL29" s="1049"/>
      <c r="AM29" s="1050"/>
      <c r="AN29" s="1048" t="s">
        <v>1186</v>
      </c>
      <c r="AO29" s="1037">
        <f>AB29+AF29+AJ29</f>
        <v>0</v>
      </c>
      <c r="AP29" s="1037">
        <f>AC29+AG29+AK29</f>
        <v>72194</v>
      </c>
      <c r="AQ29" s="1037">
        <f>AD29+AH29+AL29</f>
        <v>63645</v>
      </c>
      <c r="AR29" s="1047">
        <f t="shared" si="7"/>
        <v>0.88158295703244038</v>
      </c>
      <c r="AS29" s="1037">
        <f>W29+AO29</f>
        <v>2495269</v>
      </c>
      <c r="AT29" s="1037">
        <f>X29+AP29</f>
        <v>2650576</v>
      </c>
      <c r="AU29" s="1037">
        <f>Y29+AQ29</f>
        <v>2576385</v>
      </c>
      <c r="AV29" s="1047">
        <f t="shared" si="9"/>
        <v>0.97200948020354816</v>
      </c>
      <c r="AW29" s="1037">
        <f>AS29-'[7]éves besz.bevételei2025'!AV29</f>
        <v>0</v>
      </c>
      <c r="AX29" s="1037">
        <f>AT29-'[7]éves besz.bevételei2025'!AW29</f>
        <v>0</v>
      </c>
      <c r="AY29" s="1037">
        <f>AU29-'[7]éves besz.bevételei2025'!AX29</f>
        <v>-5542</v>
      </c>
      <c r="AZ29" s="1019"/>
      <c r="BA29" s="1019"/>
      <c r="BB29" s="1019"/>
      <c r="BC29" s="1019"/>
      <c r="BD29" s="1019"/>
      <c r="BE29" s="1102"/>
      <c r="BF29" s="1102"/>
      <c r="BG29" s="1102"/>
      <c r="BH29" s="1102"/>
      <c r="BI29" s="1102"/>
      <c r="BJ29" s="1102"/>
      <c r="BK29" s="1102"/>
      <c r="BL29" s="1102"/>
    </row>
    <row r="30" spans="1:64" s="1103" customFormat="1" ht="49.5" customHeight="1" thickBot="1">
      <c r="A30" s="1045" t="s">
        <v>1187</v>
      </c>
      <c r="B30" s="1046">
        <f>SUM(B28:B29)</f>
        <v>3377363</v>
      </c>
      <c r="C30" s="1046">
        <f>SUM(C28:C29)</f>
        <v>3430404</v>
      </c>
      <c r="D30" s="1046">
        <f>SUM(D28:D29)</f>
        <v>3289547</v>
      </c>
      <c r="E30" s="1051">
        <f t="shared" si="0"/>
        <v>0.95893865562190339</v>
      </c>
      <c r="F30" s="1046">
        <f>SUM(F28:F29)</f>
        <v>468955</v>
      </c>
      <c r="G30" s="1046">
        <f>SUM(G28:G29)</f>
        <v>475629</v>
      </c>
      <c r="H30" s="1046">
        <f>SUM(H28:H29)</f>
        <v>407890</v>
      </c>
      <c r="I30" s="1051">
        <f t="shared" si="1"/>
        <v>0.85758017278172693</v>
      </c>
      <c r="J30" s="1046">
        <f>SUM(J28:J29)</f>
        <v>2189851</v>
      </c>
      <c r="K30" s="1046">
        <f>SUM(K28:K29)</f>
        <v>2329263</v>
      </c>
      <c r="L30" s="1046">
        <f>SUM(L28:L29)</f>
        <v>2278148</v>
      </c>
      <c r="M30" s="1051">
        <f t="shared" si="2"/>
        <v>0.97805529045024109</v>
      </c>
      <c r="N30" s="1045" t="s">
        <v>1187</v>
      </c>
      <c r="O30" s="1046">
        <f>SUM(O28:O29)</f>
        <v>0</v>
      </c>
      <c r="P30" s="1046">
        <f>SUM(P28:P29)</f>
        <v>0</v>
      </c>
      <c r="Q30" s="1046">
        <f>SUM(Q28:Q29)</f>
        <v>0</v>
      </c>
      <c r="R30" s="1051"/>
      <c r="S30" s="1046">
        <f>SUM(S28:S29)</f>
        <v>0</v>
      </c>
      <c r="T30" s="1046">
        <f>SUM(T28:T29)</f>
        <v>0</v>
      </c>
      <c r="U30" s="1046">
        <f>SUM(U28:U29)</f>
        <v>0</v>
      </c>
      <c r="V30" s="1051"/>
      <c r="W30" s="1046">
        <f>SUM(W28:W29)</f>
        <v>6036169</v>
      </c>
      <c r="X30" s="1046">
        <f>SUM(X28:X29)</f>
        <v>6235296</v>
      </c>
      <c r="Y30" s="1046">
        <f>SUM(Y28:Y29)</f>
        <v>5975585</v>
      </c>
      <c r="Z30" s="1051">
        <f t="shared" si="4"/>
        <v>0.95834824842317023</v>
      </c>
      <c r="AA30" s="1045" t="s">
        <v>1187</v>
      </c>
      <c r="AB30" s="1046">
        <f>SUM(AB28:AB29)</f>
        <v>0</v>
      </c>
      <c r="AC30" s="1046">
        <f>SUM(AC28:AC29)</f>
        <v>71984</v>
      </c>
      <c r="AD30" s="1046">
        <f>SUM(AD28:AD29)</f>
        <v>59651</v>
      </c>
      <c r="AE30" s="1051">
        <f t="shared" si="5"/>
        <v>0.82867026005779065</v>
      </c>
      <c r="AF30" s="1046">
        <f>SUM(AF28:AF29)</f>
        <v>0</v>
      </c>
      <c r="AG30" s="1046">
        <f>SUM(AG28:AG29)</f>
        <v>39641</v>
      </c>
      <c r="AH30" s="1046">
        <f>SUM(AH28:AH29)</f>
        <v>31642</v>
      </c>
      <c r="AI30" s="1051">
        <f>AH30/AG30</f>
        <v>0.79821397038419817</v>
      </c>
      <c r="AJ30" s="1046">
        <f>SUM(AJ28:AJ29)</f>
        <v>0</v>
      </c>
      <c r="AK30" s="1046">
        <f>SUM(AK28:AK29)</f>
        <v>0</v>
      </c>
      <c r="AL30" s="1046">
        <f>SUM(AL28:AL29)</f>
        <v>0</v>
      </c>
      <c r="AM30" s="1051"/>
      <c r="AN30" s="1045" t="s">
        <v>1187</v>
      </c>
      <c r="AO30" s="1046">
        <f>SUM(AO28:AO29)</f>
        <v>0</v>
      </c>
      <c r="AP30" s="1046">
        <f>SUM(AP28:AP29)</f>
        <v>111625</v>
      </c>
      <c r="AQ30" s="1046">
        <f>SUM(AQ28:AQ29)</f>
        <v>91293</v>
      </c>
      <c r="AR30" s="1051">
        <f t="shared" si="7"/>
        <v>0.8178544232922732</v>
      </c>
      <c r="AS30" s="1046">
        <f>SUM(AS28:AS29)</f>
        <v>6036169</v>
      </c>
      <c r="AT30" s="1046">
        <f>SUM(AT28:AT29)</f>
        <v>6346921</v>
      </c>
      <c r="AU30" s="1046">
        <f>SUM(AU28:AU29)</f>
        <v>6066878</v>
      </c>
      <c r="AV30" s="1051">
        <f t="shared" si="9"/>
        <v>0.95587734588157003</v>
      </c>
      <c r="AW30" s="1037">
        <f>AS30-'[7]éves besz.bevételei2025'!AV30</f>
        <v>0</v>
      </c>
      <c r="AX30" s="1037">
        <f>AT30-'[7]éves besz.bevételei2025'!AW30</f>
        <v>0</v>
      </c>
      <c r="AY30" s="1037">
        <f>AU30-'[7]éves besz.bevételei2025'!AX30</f>
        <v>-38465</v>
      </c>
      <c r="AZ30" s="1019"/>
      <c r="BA30" s="1019"/>
      <c r="BB30" s="1019"/>
      <c r="BC30" s="1019"/>
      <c r="BD30" s="1019"/>
      <c r="BE30" s="1102"/>
      <c r="BF30" s="1102"/>
      <c r="BG30" s="1102"/>
      <c r="BH30" s="1102"/>
      <c r="BI30" s="1102"/>
      <c r="BJ30" s="1102"/>
      <c r="BK30" s="1102"/>
      <c r="BL30" s="1102"/>
    </row>
    <row r="31" spans="1:64" s="1103" customFormat="1" ht="49.5" customHeight="1">
      <c r="A31" s="1052" t="s">
        <v>1188</v>
      </c>
      <c r="B31" s="1053"/>
      <c r="C31" s="1053"/>
      <c r="D31" s="1053"/>
      <c r="E31" s="1053"/>
      <c r="F31" s="1053"/>
      <c r="G31" s="1053"/>
      <c r="H31" s="1053"/>
      <c r="I31" s="1053"/>
      <c r="J31" s="1053"/>
      <c r="K31" s="1053"/>
      <c r="L31" s="1053"/>
      <c r="M31" s="1053"/>
      <c r="N31" s="1052" t="s">
        <v>1188</v>
      </c>
      <c r="O31" s="1053"/>
      <c r="P31" s="1053"/>
      <c r="Q31" s="1053"/>
      <c r="R31" s="1053"/>
      <c r="S31" s="1053"/>
      <c r="T31" s="1053"/>
      <c r="U31" s="1053"/>
      <c r="V31" s="1053"/>
      <c r="W31" s="1053"/>
      <c r="X31" s="1053"/>
      <c r="Y31" s="1053"/>
      <c r="Z31" s="1053"/>
      <c r="AA31" s="1052" t="s">
        <v>1188</v>
      </c>
      <c r="AB31" s="1053"/>
      <c r="AC31" s="1053"/>
      <c r="AD31" s="1053"/>
      <c r="AE31" s="1053"/>
      <c r="AF31" s="1053"/>
      <c r="AG31" s="1053"/>
      <c r="AH31" s="1053"/>
      <c r="AI31" s="1053"/>
      <c r="AJ31" s="1053"/>
      <c r="AK31" s="1053"/>
      <c r="AL31" s="1053"/>
      <c r="AM31" s="1053"/>
      <c r="AN31" s="1052" t="s">
        <v>1188</v>
      </c>
      <c r="AO31" s="1053"/>
      <c r="AP31" s="1053"/>
      <c r="AQ31" s="1053"/>
      <c r="AR31" s="1053"/>
      <c r="AS31" s="1053"/>
      <c r="AT31" s="1053"/>
      <c r="AU31" s="1053"/>
      <c r="AV31" s="1053"/>
      <c r="AW31" s="1037"/>
      <c r="AX31" s="1037"/>
      <c r="AY31" s="1037"/>
      <c r="AZ31" s="1019"/>
      <c r="BA31" s="1019"/>
      <c r="BB31" s="1019"/>
      <c r="BC31" s="1019"/>
      <c r="BD31" s="1019"/>
      <c r="BE31" s="1102"/>
      <c r="BF31" s="1102"/>
      <c r="BG31" s="1102"/>
      <c r="BH31" s="1102"/>
      <c r="BI31" s="1102"/>
      <c r="BJ31" s="1102"/>
      <c r="BK31" s="1102"/>
      <c r="BL31" s="1102"/>
    </row>
    <row r="32" spans="1:64" s="1103" customFormat="1" ht="49.5" customHeight="1">
      <c r="A32" s="1054" t="s">
        <v>1189</v>
      </c>
      <c r="B32" s="1053"/>
      <c r="C32" s="1053"/>
      <c r="D32" s="1053"/>
      <c r="E32" s="1053"/>
      <c r="F32" s="1053"/>
      <c r="G32" s="1053"/>
      <c r="H32" s="1053"/>
      <c r="I32" s="1053"/>
      <c r="J32" s="1053"/>
      <c r="K32" s="1053"/>
      <c r="L32" s="1053"/>
      <c r="M32" s="1053"/>
      <c r="N32" s="1054" t="s">
        <v>1189</v>
      </c>
      <c r="O32" s="1053"/>
      <c r="P32" s="1053"/>
      <c r="Q32" s="1053"/>
      <c r="R32" s="1053"/>
      <c r="S32" s="1053"/>
      <c r="T32" s="1053"/>
      <c r="U32" s="1053"/>
      <c r="V32" s="1053"/>
      <c r="W32" s="1053"/>
      <c r="X32" s="1053"/>
      <c r="Y32" s="1053"/>
      <c r="Z32" s="1053"/>
      <c r="AA32" s="1054" t="s">
        <v>1189</v>
      </c>
      <c r="AB32" s="1053"/>
      <c r="AC32" s="1053"/>
      <c r="AD32" s="1053"/>
      <c r="AE32" s="1053"/>
      <c r="AF32" s="1053"/>
      <c r="AG32" s="1053"/>
      <c r="AH32" s="1053"/>
      <c r="AI32" s="1053"/>
      <c r="AJ32" s="1053"/>
      <c r="AK32" s="1053"/>
      <c r="AL32" s="1053"/>
      <c r="AM32" s="1053"/>
      <c r="AN32" s="1054" t="s">
        <v>1189</v>
      </c>
      <c r="AO32" s="1053"/>
      <c r="AP32" s="1053"/>
      <c r="AQ32" s="1053"/>
      <c r="AR32" s="1053"/>
      <c r="AS32" s="1053"/>
      <c r="AT32" s="1053"/>
      <c r="AU32" s="1053"/>
      <c r="AV32" s="1053"/>
      <c r="AW32" s="1037"/>
      <c r="AX32" s="1037"/>
      <c r="AY32" s="1037"/>
      <c r="AZ32" s="1019"/>
      <c r="BA32" s="1019"/>
      <c r="BB32" s="1019"/>
      <c r="BC32" s="1019"/>
      <c r="BD32" s="1019"/>
      <c r="BE32" s="1102"/>
      <c r="BF32" s="1102"/>
      <c r="BG32" s="1102"/>
      <c r="BH32" s="1102"/>
      <c r="BI32" s="1102"/>
      <c r="BJ32" s="1102"/>
      <c r="BK32" s="1102"/>
      <c r="BL32" s="1102"/>
    </row>
    <row r="33" spans="1:64" s="1103" customFormat="1" ht="49.5" customHeight="1">
      <c r="A33" s="1055" t="s">
        <v>169</v>
      </c>
      <c r="B33" s="1035">
        <f>[4]int.kiadások2025!B32</f>
        <v>122455</v>
      </c>
      <c r="C33" s="1035">
        <f>'[5]int.kiadások RM IV'!D33</f>
        <v>171812</v>
      </c>
      <c r="D33" s="1035">
        <v>153466</v>
      </c>
      <c r="E33" s="1036">
        <f>D33/C33</f>
        <v>0.89322049682210791</v>
      </c>
      <c r="F33" s="1035">
        <f>[4]int.kiadások2025!C32</f>
        <v>15375</v>
      </c>
      <c r="G33" s="1035">
        <f>'[5]int.kiadások RM IV'!G33</f>
        <v>17218</v>
      </c>
      <c r="H33" s="1035">
        <v>15859</v>
      </c>
      <c r="I33" s="1036">
        <f>H33/G33</f>
        <v>0.92107097223835521</v>
      </c>
      <c r="J33" s="1035">
        <f>[4]int.kiadások2025!D32</f>
        <v>24696</v>
      </c>
      <c r="K33" s="1035">
        <f>'[5]int.kiadások RM IV'!J33</f>
        <v>112086</v>
      </c>
      <c r="L33" s="1035">
        <v>78506</v>
      </c>
      <c r="M33" s="1036">
        <f>L33/K33</f>
        <v>0.70040861481362526</v>
      </c>
      <c r="N33" s="1055" t="s">
        <v>169</v>
      </c>
      <c r="O33" s="1035">
        <f>[4]int.kiadások2025!E32</f>
        <v>0</v>
      </c>
      <c r="P33" s="1035">
        <f>'[5]int.kiadások RM IV'!N33</f>
        <v>0</v>
      </c>
      <c r="Q33" s="1035"/>
      <c r="R33" s="1036"/>
      <c r="S33" s="1035">
        <f>[4]int.kiadások2025!F32</f>
        <v>0</v>
      </c>
      <c r="T33" s="1035">
        <f>'[5]int.kiadások RM IV'!Q33</f>
        <v>4000</v>
      </c>
      <c r="U33" s="1035">
        <v>4000</v>
      </c>
      <c r="V33" s="1036">
        <f>U33/T33</f>
        <v>1</v>
      </c>
      <c r="W33" s="1037">
        <f t="shared" ref="W33:Y36" si="10">B33+F33+J33+O33+S33</f>
        <v>162526</v>
      </c>
      <c r="X33" s="1037">
        <f t="shared" si="10"/>
        <v>305116</v>
      </c>
      <c r="Y33" s="1037">
        <f t="shared" si="10"/>
        <v>251831</v>
      </c>
      <c r="Z33" s="1038">
        <f>Y33/X33</f>
        <v>0.82536150185503221</v>
      </c>
      <c r="AA33" s="1055" t="s">
        <v>169</v>
      </c>
      <c r="AB33" s="1035">
        <f>[4]int.kiadások2025!I32</f>
        <v>0</v>
      </c>
      <c r="AC33" s="1035">
        <f>'[5]int.kiadások RM IV'!X33</f>
        <v>1877</v>
      </c>
      <c r="AD33" s="1035">
        <v>1877</v>
      </c>
      <c r="AE33" s="1036">
        <f>AD33/AC33</f>
        <v>1</v>
      </c>
      <c r="AF33" s="1035">
        <f>[4]int.kiadások2025!J32</f>
        <v>0</v>
      </c>
      <c r="AG33" s="1035">
        <f>'[5]int.kiadások RM IV'!AA33</f>
        <v>0</v>
      </c>
      <c r="AH33" s="1035"/>
      <c r="AI33" s="1036"/>
      <c r="AJ33" s="1035">
        <f>[4]int.kiadások2025!K32</f>
        <v>0</v>
      </c>
      <c r="AK33" s="1035">
        <f>'[5]int.kiadások RM IV'!AD33</f>
        <v>0</v>
      </c>
      <c r="AL33" s="1035"/>
      <c r="AM33" s="1036"/>
      <c r="AN33" s="1055" t="s">
        <v>169</v>
      </c>
      <c r="AO33" s="1037">
        <f t="shared" ref="AO33:AQ36" si="11">AB33+AF33+AJ33</f>
        <v>0</v>
      </c>
      <c r="AP33" s="1037">
        <f t="shared" si="11"/>
        <v>1877</v>
      </c>
      <c r="AQ33" s="1037">
        <f t="shared" si="11"/>
        <v>1877</v>
      </c>
      <c r="AR33" s="1038">
        <f>AQ33/AP33</f>
        <v>1</v>
      </c>
      <c r="AS33" s="1037">
        <f t="shared" ref="AS33:AU36" si="12">W33+AO33</f>
        <v>162526</v>
      </c>
      <c r="AT33" s="1037">
        <f t="shared" si="12"/>
        <v>306993</v>
      </c>
      <c r="AU33" s="1037">
        <f>Y33+AQ33</f>
        <v>253708</v>
      </c>
      <c r="AV33" s="1038">
        <f>AU33/AT33</f>
        <v>0.82642926711683984</v>
      </c>
      <c r="AW33" s="1037">
        <f>AS33-'[7]éves besz.bevételei2025'!AV33</f>
        <v>0</v>
      </c>
      <c r="AX33" s="1037">
        <f>AT33-'[7]éves besz.bevételei2025'!AW33</f>
        <v>0</v>
      </c>
      <c r="AY33" s="1037">
        <f>AU33-'[7]éves besz.bevételei2025'!AX33</f>
        <v>-53285</v>
      </c>
      <c r="AZ33" s="1019"/>
      <c r="BA33" s="1019"/>
      <c r="BB33" s="1019"/>
      <c r="BC33" s="1019"/>
      <c r="BD33" s="1019"/>
      <c r="BE33" s="1102"/>
      <c r="BF33" s="1102"/>
      <c r="BG33" s="1102"/>
      <c r="BH33" s="1102"/>
      <c r="BI33" s="1102"/>
      <c r="BJ33" s="1102"/>
      <c r="BK33" s="1102"/>
      <c r="BL33" s="1102"/>
    </row>
    <row r="34" spans="1:64" s="1103" customFormat="1" ht="49.5" customHeight="1">
      <c r="A34" s="1056" t="s">
        <v>453</v>
      </c>
      <c r="B34" s="1057">
        <f>[4]int.kiadások2025!B33</f>
        <v>460669</v>
      </c>
      <c r="C34" s="1035">
        <f>'[5]int.kiadások RM IV'!D34</f>
        <v>671826</v>
      </c>
      <c r="D34" s="1057">
        <v>588551</v>
      </c>
      <c r="E34" s="1036">
        <f>D34/C34</f>
        <v>0.87604677401589104</v>
      </c>
      <c r="F34" s="1057">
        <f>[4]int.kiadások2025!C33</f>
        <v>59222</v>
      </c>
      <c r="G34" s="1035">
        <f>'[5]int.kiadások RM IV'!G34</f>
        <v>96109</v>
      </c>
      <c r="H34" s="1035">
        <v>58494</v>
      </c>
      <c r="I34" s="1036">
        <f>H34/G34</f>
        <v>0.60862146104943349</v>
      </c>
      <c r="J34" s="1057">
        <f>[4]int.kiadások2025!D33</f>
        <v>61469</v>
      </c>
      <c r="K34" s="1035">
        <f>'[5]int.kiadások RM IV'!J34</f>
        <v>335575</v>
      </c>
      <c r="L34" s="1057">
        <v>182151</v>
      </c>
      <c r="M34" s="1036">
        <f>L34/K34</f>
        <v>0.54280265216419576</v>
      </c>
      <c r="N34" s="1056" t="s">
        <v>453</v>
      </c>
      <c r="O34" s="1057">
        <f>[4]int.kiadások2025!E33</f>
        <v>0</v>
      </c>
      <c r="P34" s="1035">
        <f>'[5]int.kiadások RM IV'!N34</f>
        <v>0</v>
      </c>
      <c r="Q34" s="1057"/>
      <c r="R34" s="1036"/>
      <c r="S34" s="1057">
        <f>[4]int.kiadások2025!F33</f>
        <v>0</v>
      </c>
      <c r="T34" s="1057">
        <f>'[5]int.kiadások RM IV'!Q34</f>
        <v>0</v>
      </c>
      <c r="U34" s="1057"/>
      <c r="V34" s="1036"/>
      <c r="W34" s="1037">
        <f t="shared" si="10"/>
        <v>581360</v>
      </c>
      <c r="X34" s="1037">
        <f t="shared" si="10"/>
        <v>1103510</v>
      </c>
      <c r="Y34" s="1037">
        <f t="shared" si="10"/>
        <v>829196</v>
      </c>
      <c r="Z34" s="1038">
        <f>Y34/X34</f>
        <v>0.7514168426203659</v>
      </c>
      <c r="AA34" s="1056" t="s">
        <v>453</v>
      </c>
      <c r="AB34" s="1057">
        <f>[4]int.kiadások2025!I33</f>
        <v>0</v>
      </c>
      <c r="AC34" s="1035">
        <f>'[5]int.kiadások RM IV'!X34</f>
        <v>95123</v>
      </c>
      <c r="AD34" s="1057">
        <v>49434</v>
      </c>
      <c r="AE34" s="1036">
        <f>AD34/AC34</f>
        <v>0.51968503937007871</v>
      </c>
      <c r="AF34" s="1057">
        <f>[4]int.kiadások2025!J33</f>
        <v>0</v>
      </c>
      <c r="AG34" s="1035">
        <f>'[5]int.kiadások RM IV'!AA34</f>
        <v>0</v>
      </c>
      <c r="AH34" s="1057"/>
      <c r="AI34" s="1036"/>
      <c r="AJ34" s="1057">
        <f>[4]int.kiadások2025!K33</f>
        <v>0</v>
      </c>
      <c r="AK34" s="1057">
        <f>'[5]int.kiadások RM IV'!AD34</f>
        <v>0</v>
      </c>
      <c r="AL34" s="1057"/>
      <c r="AM34" s="1036"/>
      <c r="AN34" s="1056" t="s">
        <v>453</v>
      </c>
      <c r="AO34" s="1037">
        <f t="shared" si="11"/>
        <v>0</v>
      </c>
      <c r="AP34" s="1037">
        <f t="shared" si="11"/>
        <v>95123</v>
      </c>
      <c r="AQ34" s="1037">
        <f t="shared" si="11"/>
        <v>49434</v>
      </c>
      <c r="AR34" s="1038">
        <f>AQ34/AP34</f>
        <v>0.51968503937007871</v>
      </c>
      <c r="AS34" s="1037">
        <f t="shared" si="12"/>
        <v>581360</v>
      </c>
      <c r="AT34" s="1037">
        <f t="shared" si="12"/>
        <v>1198633</v>
      </c>
      <c r="AU34" s="1037">
        <f t="shared" si="12"/>
        <v>878630</v>
      </c>
      <c r="AV34" s="1038">
        <f>AU34/AT34</f>
        <v>0.73302670625621025</v>
      </c>
      <c r="AW34" s="1037">
        <f>AS34-'[7]éves besz.bevételei2025'!AV34</f>
        <v>0</v>
      </c>
      <c r="AX34" s="1037">
        <f>AT34-'[7]éves besz.bevételei2025'!AW34</f>
        <v>0</v>
      </c>
      <c r="AY34" s="1037">
        <f>AU34-'[7]éves besz.bevételei2025'!AX34</f>
        <v>-304326</v>
      </c>
      <c r="AZ34" s="1019"/>
      <c r="BA34" s="1019"/>
      <c r="BB34" s="1019"/>
      <c r="BC34" s="1019"/>
      <c r="BD34" s="1019"/>
      <c r="BE34" s="1102"/>
      <c r="BF34" s="1102"/>
      <c r="BG34" s="1102"/>
      <c r="BH34" s="1102"/>
      <c r="BI34" s="1102"/>
      <c r="BJ34" s="1102"/>
      <c r="BK34" s="1102"/>
      <c r="BL34" s="1102"/>
    </row>
    <row r="35" spans="1:64" s="1103" customFormat="1" ht="49.5" customHeight="1">
      <c r="A35" s="1056" t="s">
        <v>351</v>
      </c>
      <c r="B35" s="1057">
        <f>[4]int.kiadások2025!B34</f>
        <v>238213</v>
      </c>
      <c r="C35" s="1035">
        <f>'[5]int.kiadások RM IV'!D35</f>
        <v>292455</v>
      </c>
      <c r="D35" s="1057">
        <v>283531</v>
      </c>
      <c r="E35" s="1036">
        <f>D35/C35</f>
        <v>0.96948590381426203</v>
      </c>
      <c r="F35" s="1057">
        <f>[4]int.kiadások2025!C34</f>
        <v>30795</v>
      </c>
      <c r="G35" s="1035">
        <f>'[5]int.kiadások RM IV'!G35</f>
        <v>37993</v>
      </c>
      <c r="H35" s="1035">
        <v>35698</v>
      </c>
      <c r="I35" s="1036">
        <f>H35/G35</f>
        <v>0.93959413576185091</v>
      </c>
      <c r="J35" s="1057">
        <f>[4]int.kiadások2025!D34</f>
        <v>55887</v>
      </c>
      <c r="K35" s="1035">
        <f>'[5]int.kiadások RM IV'!J35</f>
        <v>214314</v>
      </c>
      <c r="L35" s="1057">
        <v>193115</v>
      </c>
      <c r="M35" s="1036">
        <f>L35/K35</f>
        <v>0.9010843901938278</v>
      </c>
      <c r="N35" s="1056" t="s">
        <v>351</v>
      </c>
      <c r="O35" s="1057">
        <f>[4]int.kiadások2025!E34</f>
        <v>0</v>
      </c>
      <c r="P35" s="1035">
        <f>'[5]int.kiadások RM IV'!N35</f>
        <v>0</v>
      </c>
      <c r="Q35" s="1057"/>
      <c r="R35" s="1036"/>
      <c r="S35" s="1057">
        <f>[4]int.kiadások2025!F34</f>
        <v>0</v>
      </c>
      <c r="T35" s="1057">
        <f>'[5]int.kiadások RM IV'!Q35</f>
        <v>0</v>
      </c>
      <c r="U35" s="1057"/>
      <c r="V35" s="1036"/>
      <c r="W35" s="1037">
        <f t="shared" si="10"/>
        <v>324895</v>
      </c>
      <c r="X35" s="1037">
        <f t="shared" si="10"/>
        <v>544762</v>
      </c>
      <c r="Y35" s="1037">
        <f t="shared" si="10"/>
        <v>512344</v>
      </c>
      <c r="Z35" s="1038">
        <f>Y35/X35</f>
        <v>0.94049144397002726</v>
      </c>
      <c r="AA35" s="1056" t="s">
        <v>351</v>
      </c>
      <c r="AB35" s="1057">
        <f>[4]int.kiadások2025!I34</f>
        <v>0</v>
      </c>
      <c r="AC35" s="1035">
        <f>'[5]int.kiadások RM IV'!X35</f>
        <v>12782</v>
      </c>
      <c r="AD35" s="1057">
        <v>12781</v>
      </c>
      <c r="AE35" s="1036">
        <f>AD35/AC35</f>
        <v>0.99992176498200591</v>
      </c>
      <c r="AF35" s="1057">
        <f>[4]int.kiadások2025!J34</f>
        <v>0</v>
      </c>
      <c r="AG35" s="1035">
        <f>'[5]int.kiadások RM IV'!AA35</f>
        <v>0</v>
      </c>
      <c r="AH35" s="1057"/>
      <c r="AI35" s="1036"/>
      <c r="AJ35" s="1057">
        <f>[4]int.kiadások2025!K34</f>
        <v>0</v>
      </c>
      <c r="AK35" s="1057">
        <f>'[5]int.kiadások RM IV'!AD35</f>
        <v>0</v>
      </c>
      <c r="AL35" s="1057"/>
      <c r="AM35" s="1036"/>
      <c r="AN35" s="1056" t="s">
        <v>351</v>
      </c>
      <c r="AO35" s="1037">
        <f t="shared" si="11"/>
        <v>0</v>
      </c>
      <c r="AP35" s="1037">
        <f t="shared" si="11"/>
        <v>12782</v>
      </c>
      <c r="AQ35" s="1037">
        <f t="shared" si="11"/>
        <v>12781</v>
      </c>
      <c r="AR35" s="1038">
        <f>AQ35/AP35</f>
        <v>0.99992176498200591</v>
      </c>
      <c r="AS35" s="1037">
        <f t="shared" si="12"/>
        <v>324895</v>
      </c>
      <c r="AT35" s="1037">
        <f t="shared" si="12"/>
        <v>557544</v>
      </c>
      <c r="AU35" s="1037">
        <f>Y35+AQ35</f>
        <v>525125</v>
      </c>
      <c r="AV35" s="1038">
        <f>AU35/AT35</f>
        <v>0.94185391646219851</v>
      </c>
      <c r="AW35" s="1037">
        <f>AS35-'[7]éves besz.bevételei2025'!AV35</f>
        <v>0</v>
      </c>
      <c r="AX35" s="1037">
        <f>AT35-'[7]éves besz.bevételei2025'!AW35</f>
        <v>0</v>
      </c>
      <c r="AY35" s="1037">
        <f>AU35-'[7]éves besz.bevételei2025'!AX35</f>
        <v>-32419</v>
      </c>
      <c r="AZ35" s="1019"/>
      <c r="BA35" s="1019"/>
      <c r="BB35" s="1019"/>
      <c r="BC35" s="1019"/>
      <c r="BD35" s="1019"/>
      <c r="BE35" s="1102"/>
      <c r="BF35" s="1102"/>
      <c r="BG35" s="1102"/>
      <c r="BH35" s="1102"/>
      <c r="BI35" s="1102"/>
      <c r="BJ35" s="1102"/>
      <c r="BK35" s="1102"/>
      <c r="BL35" s="1102"/>
    </row>
    <row r="36" spans="1:64" s="1103" customFormat="1" ht="49.5" customHeight="1" thickBot="1">
      <c r="A36" s="1058" t="s">
        <v>454</v>
      </c>
      <c r="B36" s="1057">
        <f>[4]int.kiadások2025!B35</f>
        <v>509497</v>
      </c>
      <c r="C36" s="1035">
        <f>'[5]int.kiadások RM IV'!D36</f>
        <v>588093</v>
      </c>
      <c r="D36" s="1057">
        <v>569072</v>
      </c>
      <c r="E36" s="1042">
        <f>D36/C36</f>
        <v>0.96765647610156902</v>
      </c>
      <c r="F36" s="1057">
        <f>[4]int.kiadások2025!C35</f>
        <v>65554</v>
      </c>
      <c r="G36" s="1035">
        <f>'[5]int.kiadások RM IV'!G36</f>
        <v>75771</v>
      </c>
      <c r="H36" s="1057">
        <v>72393</v>
      </c>
      <c r="I36" s="1042">
        <f>H36/G36</f>
        <v>0.95541829987726179</v>
      </c>
      <c r="J36" s="1057">
        <f>[4]int.kiadások2025!D35</f>
        <v>181376</v>
      </c>
      <c r="K36" s="1035">
        <f>'[5]int.kiadások RM IV'!J36</f>
        <v>328383</v>
      </c>
      <c r="L36" s="1057">
        <v>230917</v>
      </c>
      <c r="M36" s="1042">
        <f>L36/K36</f>
        <v>0.70319413611545056</v>
      </c>
      <c r="N36" s="1058" t="s">
        <v>454</v>
      </c>
      <c r="O36" s="1057">
        <f>[4]int.kiadások2025!E35</f>
        <v>0</v>
      </c>
      <c r="P36" s="1035">
        <f>'[5]int.kiadások RM IV'!N36</f>
        <v>0</v>
      </c>
      <c r="Q36" s="1057"/>
      <c r="R36" s="1042"/>
      <c r="S36" s="1057">
        <f>[4]int.kiadások2025!F35</f>
        <v>0</v>
      </c>
      <c r="T36" s="1057">
        <f>'[5]int.kiadások RM IV'!Q36</f>
        <v>0</v>
      </c>
      <c r="U36" s="1057"/>
      <c r="V36" s="1042"/>
      <c r="W36" s="1037">
        <f t="shared" si="10"/>
        <v>756427</v>
      </c>
      <c r="X36" s="1037">
        <f t="shared" si="10"/>
        <v>992247</v>
      </c>
      <c r="Y36" s="1037">
        <f t="shared" si="10"/>
        <v>872382</v>
      </c>
      <c r="Z36" s="1043">
        <f>Y36/X36</f>
        <v>0.87919842539206472</v>
      </c>
      <c r="AA36" s="1058" t="s">
        <v>454</v>
      </c>
      <c r="AB36" s="1057">
        <f>[4]int.kiadások2025!I35</f>
        <v>0</v>
      </c>
      <c r="AC36" s="1035">
        <f>'[5]int.kiadások RM IV'!X36</f>
        <v>52484</v>
      </c>
      <c r="AD36" s="1057">
        <v>44391</v>
      </c>
      <c r="AE36" s="1042">
        <f>AD36/AC36</f>
        <v>0.84580062495236641</v>
      </c>
      <c r="AF36" s="1057">
        <f>[4]int.kiadások2025!J35</f>
        <v>0</v>
      </c>
      <c r="AG36" s="1035">
        <f>'[5]int.kiadások RM IV'!AA36</f>
        <v>0</v>
      </c>
      <c r="AH36" s="1057"/>
      <c r="AI36" s="1042"/>
      <c r="AJ36" s="1057">
        <f>[4]int.kiadások2025!K35</f>
        <v>0</v>
      </c>
      <c r="AK36" s="1057">
        <f>'[5]int.kiadások RM IV'!AD36</f>
        <v>0</v>
      </c>
      <c r="AL36" s="1057"/>
      <c r="AM36" s="1042"/>
      <c r="AN36" s="1058" t="s">
        <v>454</v>
      </c>
      <c r="AO36" s="1037">
        <f t="shared" si="11"/>
        <v>0</v>
      </c>
      <c r="AP36" s="1037">
        <f t="shared" si="11"/>
        <v>52484</v>
      </c>
      <c r="AQ36" s="1037">
        <f t="shared" si="11"/>
        <v>44391</v>
      </c>
      <c r="AR36" s="1043">
        <f>AQ36/AP36</f>
        <v>0.84580062495236641</v>
      </c>
      <c r="AS36" s="1037">
        <f t="shared" si="12"/>
        <v>756427</v>
      </c>
      <c r="AT36" s="1037">
        <f t="shared" si="12"/>
        <v>1044731</v>
      </c>
      <c r="AU36" s="1037">
        <f t="shared" si="12"/>
        <v>916773</v>
      </c>
      <c r="AV36" s="1043">
        <f>AU36/AT36</f>
        <v>0.87752062492641647</v>
      </c>
      <c r="AW36" s="1037">
        <f>AS36-'[7]éves besz.bevételei2025'!AV36</f>
        <v>0</v>
      </c>
      <c r="AX36" s="1037">
        <f>AT36-'[7]éves besz.bevételei2025'!AW36</f>
        <v>0</v>
      </c>
      <c r="AY36" s="1037">
        <f>AU36-'[7]éves besz.bevételei2025'!AX36</f>
        <v>-71318</v>
      </c>
      <c r="AZ36" s="1019"/>
      <c r="BA36" s="1019"/>
      <c r="BB36" s="1019"/>
      <c r="BC36" s="1019"/>
      <c r="BD36" s="1019"/>
      <c r="BE36" s="1102"/>
      <c r="BF36" s="1102"/>
      <c r="BG36" s="1102"/>
      <c r="BH36" s="1102"/>
      <c r="BI36" s="1102"/>
      <c r="BJ36" s="1102"/>
      <c r="BK36" s="1102"/>
      <c r="BL36" s="1102"/>
    </row>
    <row r="37" spans="1:64" s="1103" customFormat="1" ht="49.5" customHeight="1" thickBot="1">
      <c r="A37" s="1059" t="s">
        <v>1190</v>
      </c>
      <c r="B37" s="1046">
        <f>SUM(B33:B36)</f>
        <v>1330834</v>
      </c>
      <c r="C37" s="1046">
        <f>SUM(C33:C36)</f>
        <v>1724186</v>
      </c>
      <c r="D37" s="1046">
        <f>SUM(D33:D36)</f>
        <v>1594620</v>
      </c>
      <c r="E37" s="1047">
        <f>D37/C37</f>
        <v>0.92485381507563569</v>
      </c>
      <c r="F37" s="1046">
        <f>SUM(F33:F36)</f>
        <v>170946</v>
      </c>
      <c r="G37" s="1046">
        <f>SUM(G33:G36)</f>
        <v>227091</v>
      </c>
      <c r="H37" s="1046">
        <f>SUM(H33:H36)</f>
        <v>182444</v>
      </c>
      <c r="I37" s="1047">
        <f>H37/G37</f>
        <v>0.80339599543795215</v>
      </c>
      <c r="J37" s="1046">
        <f>SUM(J33:J36)</f>
        <v>323428</v>
      </c>
      <c r="K37" s="1046">
        <f>SUM(K33:K36)</f>
        <v>990358</v>
      </c>
      <c r="L37" s="1046">
        <f>SUM(L33:L36)</f>
        <v>684689</v>
      </c>
      <c r="M37" s="1047">
        <f>L37/K37</f>
        <v>0.69135504534723802</v>
      </c>
      <c r="N37" s="1059" t="s">
        <v>1190</v>
      </c>
      <c r="O37" s="1046">
        <f>SUM(O33:O36)</f>
        <v>0</v>
      </c>
      <c r="P37" s="1046">
        <f>SUM(P33:P36)</f>
        <v>0</v>
      </c>
      <c r="Q37" s="1046">
        <f>SUM(Q33:Q36)</f>
        <v>0</v>
      </c>
      <c r="R37" s="1047"/>
      <c r="S37" s="1046">
        <f>SUM(S33:S36)</f>
        <v>0</v>
      </c>
      <c r="T37" s="1046">
        <f>SUM(T33:T36)</f>
        <v>4000</v>
      </c>
      <c r="U37" s="1046">
        <f>SUM(U33:U36)</f>
        <v>4000</v>
      </c>
      <c r="V37" s="1047">
        <f>U37/T37</f>
        <v>1</v>
      </c>
      <c r="W37" s="1046">
        <f>SUM(W33:W36)</f>
        <v>1825208</v>
      </c>
      <c r="X37" s="1046">
        <f>SUM(X33:X36)</f>
        <v>2945635</v>
      </c>
      <c r="Y37" s="1046">
        <f>SUM(Y33:Y36)</f>
        <v>2465753</v>
      </c>
      <c r="Z37" s="1047">
        <f>Y37/X37</f>
        <v>0.83708707969588902</v>
      </c>
      <c r="AA37" s="1059" t="s">
        <v>1190</v>
      </c>
      <c r="AB37" s="1046">
        <f>SUM(AB33:AB36)</f>
        <v>0</v>
      </c>
      <c r="AC37" s="1046">
        <f>SUM(AC33:AC36)</f>
        <v>162266</v>
      </c>
      <c r="AD37" s="1046">
        <f>SUM(AD33:AD36)</f>
        <v>108483</v>
      </c>
      <c r="AE37" s="1047">
        <f>AD37/AC37</f>
        <v>0.66855040489073492</v>
      </c>
      <c r="AF37" s="1046">
        <f>SUM(AF33:AF36)</f>
        <v>0</v>
      </c>
      <c r="AG37" s="1046">
        <f>SUM(AG33:AG36)</f>
        <v>0</v>
      </c>
      <c r="AH37" s="1046">
        <f>SUM(AH33:AH36)</f>
        <v>0</v>
      </c>
      <c r="AI37" s="1047"/>
      <c r="AJ37" s="1046">
        <f>SUM(AJ33:AJ36)</f>
        <v>0</v>
      </c>
      <c r="AK37" s="1046">
        <f>SUM(AK33:AK36)</f>
        <v>0</v>
      </c>
      <c r="AL37" s="1046">
        <f>SUM(AL33:AL36)</f>
        <v>0</v>
      </c>
      <c r="AM37" s="1047"/>
      <c r="AN37" s="1059" t="s">
        <v>1190</v>
      </c>
      <c r="AO37" s="1046">
        <f>SUM(AO33:AO36)</f>
        <v>0</v>
      </c>
      <c r="AP37" s="1046">
        <f>SUM(AP33:AP36)</f>
        <v>162266</v>
      </c>
      <c r="AQ37" s="1046">
        <f>SUM(AQ33:AQ36)</f>
        <v>108483</v>
      </c>
      <c r="AR37" s="1047">
        <f>AQ37/AP37</f>
        <v>0.66855040489073492</v>
      </c>
      <c r="AS37" s="1046">
        <f>SUM(AS33:AS36)</f>
        <v>1825208</v>
      </c>
      <c r="AT37" s="1046">
        <f>SUM(AT33:AT36)</f>
        <v>3107901</v>
      </c>
      <c r="AU37" s="1046">
        <f>SUM(AU33:AU36)</f>
        <v>2574236</v>
      </c>
      <c r="AV37" s="1047">
        <f>AU37/AT37</f>
        <v>0.82828764494107121</v>
      </c>
      <c r="AW37" s="1037">
        <f>AS37-'[7]éves besz.bevételei2025'!AV37</f>
        <v>0</v>
      </c>
      <c r="AX37" s="1037">
        <f>AT37-'[7]éves besz.bevételei2025'!AW37</f>
        <v>0</v>
      </c>
      <c r="AY37" s="1037">
        <f>AU37-'[7]éves besz.bevételei2025'!AX37</f>
        <v>-461348</v>
      </c>
      <c r="AZ37" s="1019"/>
      <c r="BA37" s="1019"/>
      <c r="BB37" s="1019"/>
      <c r="BC37" s="1019"/>
      <c r="BD37" s="1019"/>
      <c r="BE37" s="1102"/>
      <c r="BF37" s="1102"/>
      <c r="BG37" s="1102"/>
      <c r="BH37" s="1102"/>
      <c r="BI37" s="1102"/>
      <c r="BJ37" s="1102"/>
      <c r="BK37" s="1102"/>
      <c r="BL37" s="1102"/>
    </row>
    <row r="38" spans="1:64" s="1103" customFormat="1" ht="49.5" customHeight="1">
      <c r="A38" s="1060" t="s">
        <v>1191</v>
      </c>
      <c r="B38" s="1033"/>
      <c r="C38" s="1033"/>
      <c r="D38" s="1033"/>
      <c r="E38" s="1033"/>
      <c r="F38" s="1033"/>
      <c r="G38" s="1033"/>
      <c r="H38" s="1033"/>
      <c r="I38" s="1033"/>
      <c r="J38" s="1033"/>
      <c r="K38" s="1033"/>
      <c r="L38" s="1033"/>
      <c r="M38" s="1033"/>
      <c r="N38" s="1060" t="s">
        <v>1191</v>
      </c>
      <c r="O38" s="1033"/>
      <c r="P38" s="1033"/>
      <c r="Q38" s="1033"/>
      <c r="R38" s="1033"/>
      <c r="S38" s="1033"/>
      <c r="T38" s="1033"/>
      <c r="U38" s="1033"/>
      <c r="V38" s="1033"/>
      <c r="W38" s="1033"/>
      <c r="X38" s="1033"/>
      <c r="Y38" s="1033"/>
      <c r="Z38" s="1033"/>
      <c r="AA38" s="1060" t="s">
        <v>1191</v>
      </c>
      <c r="AB38" s="1033"/>
      <c r="AC38" s="1033"/>
      <c r="AD38" s="1033"/>
      <c r="AE38" s="1033"/>
      <c r="AF38" s="1033"/>
      <c r="AG38" s="1033"/>
      <c r="AH38" s="1033"/>
      <c r="AI38" s="1033"/>
      <c r="AJ38" s="1033"/>
      <c r="AK38" s="1033"/>
      <c r="AL38" s="1033"/>
      <c r="AM38" s="1033"/>
      <c r="AN38" s="1060" t="s">
        <v>1191</v>
      </c>
      <c r="AO38" s="1033"/>
      <c r="AP38" s="1033"/>
      <c r="AQ38" s="1033"/>
      <c r="AR38" s="1033"/>
      <c r="AS38" s="1033"/>
      <c r="AT38" s="1033"/>
      <c r="AU38" s="1033"/>
      <c r="AV38" s="1033"/>
      <c r="AW38" s="1037"/>
      <c r="AX38" s="1037"/>
      <c r="AY38" s="1037"/>
      <c r="AZ38" s="1019"/>
      <c r="BA38" s="1019"/>
      <c r="BB38" s="1019"/>
      <c r="BC38" s="1019"/>
      <c r="BD38" s="1019"/>
      <c r="BE38" s="1102"/>
      <c r="BF38" s="1102"/>
      <c r="BG38" s="1102"/>
      <c r="BH38" s="1102"/>
      <c r="BI38" s="1102"/>
      <c r="BJ38" s="1102"/>
      <c r="BK38" s="1102"/>
      <c r="BL38" s="1102"/>
    </row>
    <row r="39" spans="1:64" s="1098" customFormat="1" ht="99" customHeight="1" thickBot="1">
      <c r="A39" s="1055" t="s">
        <v>415</v>
      </c>
      <c r="B39" s="1035">
        <f>[4]int.kiadások2025!B38</f>
        <v>914448</v>
      </c>
      <c r="C39" s="1035">
        <f>'[5]int.kiadások RM IV'!D39</f>
        <v>1131970</v>
      </c>
      <c r="D39" s="1035">
        <v>1121861</v>
      </c>
      <c r="E39" s="1061">
        <f>D39/C39</f>
        <v>0.99106955131319729</v>
      </c>
      <c r="F39" s="1035">
        <f>[4]int.kiadások2025!C38</f>
        <v>146384</v>
      </c>
      <c r="G39" s="1035">
        <f>'[5]int.kiadások RM IV'!G39</f>
        <v>171679</v>
      </c>
      <c r="H39" s="1035">
        <v>144598</v>
      </c>
      <c r="I39" s="1061">
        <f>H39/G39</f>
        <v>0.84225793486681544</v>
      </c>
      <c r="J39" s="1035">
        <f>[4]int.kiadások2025!D38</f>
        <v>656832</v>
      </c>
      <c r="K39" s="1035">
        <f>'[5]int.kiadások RM IV'!J39</f>
        <v>687107</v>
      </c>
      <c r="L39" s="1035">
        <v>672534</v>
      </c>
      <c r="M39" s="1061">
        <f>L39/K39</f>
        <v>0.97879078513244666</v>
      </c>
      <c r="N39" s="1055" t="s">
        <v>415</v>
      </c>
      <c r="O39" s="1035">
        <f>[4]int.kiadások2025!E38</f>
        <v>0</v>
      </c>
      <c r="P39" s="1035">
        <f>'[5]int.kiadások RM IV'!N39</f>
        <v>0</v>
      </c>
      <c r="Q39" s="1035"/>
      <c r="R39" s="1061"/>
      <c r="S39" s="1035">
        <f>[4]int.kiadások2025!F38</f>
        <v>0</v>
      </c>
      <c r="T39" s="1035">
        <f>'[5]int.kiadások RM IV'!Q39</f>
        <v>30</v>
      </c>
      <c r="U39" s="1035">
        <v>30</v>
      </c>
      <c r="V39" s="1061">
        <f>U39/T39</f>
        <v>1</v>
      </c>
      <c r="W39" s="1037">
        <f>B39+F39+J39+O39+S39</f>
        <v>1717664</v>
      </c>
      <c r="X39" s="1037">
        <f>C39+G39+K39+P39+T39</f>
        <v>1990786</v>
      </c>
      <c r="Y39" s="1037">
        <f>D39+H39+L39+Q39+U39</f>
        <v>1939023</v>
      </c>
      <c r="Z39" s="1051">
        <f>Y39/X39</f>
        <v>0.97399871206649036</v>
      </c>
      <c r="AA39" s="1055" t="s">
        <v>415</v>
      </c>
      <c r="AB39" s="1035">
        <f>[4]int.kiadások2025!I38</f>
        <v>0</v>
      </c>
      <c r="AC39" s="1035">
        <f>'[5]int.kiadások RM IV'!X39</f>
        <v>37014</v>
      </c>
      <c r="AD39" s="1035">
        <v>19565</v>
      </c>
      <c r="AE39" s="1061">
        <f>AD39/AC39</f>
        <v>0.52858377911060683</v>
      </c>
      <c r="AF39" s="1035">
        <f>[4]int.kiadások2025!J38</f>
        <v>0</v>
      </c>
      <c r="AG39" s="1035">
        <f>'[5]int.kiadások RM IV'!AA39</f>
        <v>41415</v>
      </c>
      <c r="AH39" s="1035">
        <v>7907</v>
      </c>
      <c r="AI39" s="1061">
        <f>AH39/AG39</f>
        <v>0.19092116382953037</v>
      </c>
      <c r="AJ39" s="1035">
        <f>[4]int.kiadások2025!K38</f>
        <v>0</v>
      </c>
      <c r="AK39" s="1035">
        <f>'[5]int.kiadások RM IV'!AD39</f>
        <v>0</v>
      </c>
      <c r="AL39" s="1035"/>
      <c r="AM39" s="1061"/>
      <c r="AN39" s="1055" t="s">
        <v>415</v>
      </c>
      <c r="AO39" s="1037">
        <f>AB39+AF39+AJ39</f>
        <v>0</v>
      </c>
      <c r="AP39" s="1037">
        <f>AC39+AG39+AK39</f>
        <v>78429</v>
      </c>
      <c r="AQ39" s="1037">
        <f>AD39+AH39+AL39</f>
        <v>27472</v>
      </c>
      <c r="AR39" s="1051">
        <f>AQ39/AP39</f>
        <v>0.3502785959275268</v>
      </c>
      <c r="AS39" s="1037">
        <f>W39+AO39</f>
        <v>1717664</v>
      </c>
      <c r="AT39" s="1037">
        <f>X39+AP39</f>
        <v>2069215</v>
      </c>
      <c r="AU39" s="1037">
        <f>Y39+AQ39</f>
        <v>1966495</v>
      </c>
      <c r="AV39" s="1051">
        <f>AU39/AT39</f>
        <v>0.95035798599952159</v>
      </c>
      <c r="AW39" s="1037">
        <f>AS39-'[7]éves besz.bevételei2025'!AV39</f>
        <v>0</v>
      </c>
      <c r="AX39" s="1037">
        <f>AT39-'[7]éves besz.bevételei2025'!AW39</f>
        <v>0</v>
      </c>
      <c r="AY39" s="1037">
        <f>AU39-'[7]éves besz.bevételei2025'!AX39</f>
        <v>-2784</v>
      </c>
      <c r="AZ39" s="1030"/>
      <c r="BA39" s="1030"/>
      <c r="BB39" s="1030"/>
      <c r="BC39" s="1030"/>
      <c r="BD39" s="1030"/>
      <c r="BE39" s="1097"/>
      <c r="BF39" s="1097"/>
      <c r="BG39" s="1097"/>
      <c r="BH39" s="1097"/>
      <c r="BI39" s="1097"/>
      <c r="BJ39" s="1097"/>
      <c r="BK39" s="1097"/>
      <c r="BL39" s="1097"/>
    </row>
    <row r="40" spans="1:64" s="1103" customFormat="1" ht="49.5" customHeight="1">
      <c r="A40" s="1060" t="s">
        <v>1192</v>
      </c>
      <c r="B40" s="1033"/>
      <c r="C40" s="1033"/>
      <c r="D40" s="1033"/>
      <c r="E40" s="1043"/>
      <c r="F40" s="1033"/>
      <c r="G40" s="1033"/>
      <c r="H40" s="1033"/>
      <c r="I40" s="1043"/>
      <c r="J40" s="1033"/>
      <c r="K40" s="1033"/>
      <c r="L40" s="1033"/>
      <c r="M40" s="1043"/>
      <c r="N40" s="1060" t="s">
        <v>1192</v>
      </c>
      <c r="O40" s="1033"/>
      <c r="P40" s="1033"/>
      <c r="Q40" s="1033"/>
      <c r="R40" s="1043"/>
      <c r="S40" s="1033"/>
      <c r="T40" s="1033"/>
      <c r="U40" s="1033"/>
      <c r="V40" s="1043"/>
      <c r="W40" s="1033"/>
      <c r="X40" s="1033"/>
      <c r="Y40" s="1033"/>
      <c r="Z40" s="1043"/>
      <c r="AA40" s="1060" t="s">
        <v>1192</v>
      </c>
      <c r="AB40" s="1033"/>
      <c r="AC40" s="1033"/>
      <c r="AD40" s="1033"/>
      <c r="AE40" s="1043"/>
      <c r="AF40" s="1033"/>
      <c r="AG40" s="1033"/>
      <c r="AH40" s="1033"/>
      <c r="AI40" s="1043"/>
      <c r="AJ40" s="1033"/>
      <c r="AK40" s="1033"/>
      <c r="AL40" s="1033"/>
      <c r="AM40" s="1043"/>
      <c r="AN40" s="1060" t="s">
        <v>1192</v>
      </c>
      <c r="AO40" s="1033"/>
      <c r="AP40" s="1033"/>
      <c r="AQ40" s="1033"/>
      <c r="AR40" s="1043"/>
      <c r="AS40" s="1033"/>
      <c r="AT40" s="1033"/>
      <c r="AU40" s="1033"/>
      <c r="AV40" s="1043"/>
      <c r="AW40" s="1037"/>
      <c r="AX40" s="1037"/>
      <c r="AY40" s="1037"/>
      <c r="AZ40" s="1019"/>
      <c r="BA40" s="1019"/>
      <c r="BB40" s="1019"/>
      <c r="BC40" s="1019"/>
      <c r="BD40" s="1019"/>
      <c r="BE40" s="1102"/>
      <c r="BF40" s="1102"/>
      <c r="BG40" s="1102"/>
      <c r="BH40" s="1102"/>
      <c r="BI40" s="1102"/>
      <c r="BJ40" s="1102"/>
      <c r="BK40" s="1102"/>
      <c r="BL40" s="1102"/>
    </row>
    <row r="41" spans="1:64" s="1103" customFormat="1" ht="49.5" customHeight="1" thickBot="1">
      <c r="A41" s="1063" t="s">
        <v>1193</v>
      </c>
      <c r="B41" s="1062">
        <f>[4]int.kiadások2025!B40</f>
        <v>586331</v>
      </c>
      <c r="C41" s="1035">
        <f>'[5]int.kiadások RM IV'!D41</f>
        <v>648977</v>
      </c>
      <c r="D41" s="1035">
        <v>624197</v>
      </c>
      <c r="E41" s="1036">
        <f>D41/C41</f>
        <v>0.96181682863953577</v>
      </c>
      <c r="F41" s="1062">
        <f>[4]int.kiadások2025!C40</f>
        <v>82110</v>
      </c>
      <c r="G41" s="1035">
        <f>'[5]int.kiadások RM IV'!G41</f>
        <v>95837</v>
      </c>
      <c r="H41" s="1062">
        <v>85721</v>
      </c>
      <c r="I41" s="1036">
        <f>H41/G41</f>
        <v>0.89444577772676526</v>
      </c>
      <c r="J41" s="1062">
        <f>[4]int.kiadások2025!D40</f>
        <v>176381</v>
      </c>
      <c r="K41" s="1035">
        <f>'[5]int.kiadások RM IV'!J41</f>
        <v>314806</v>
      </c>
      <c r="L41" s="1062">
        <v>182098</v>
      </c>
      <c r="M41" s="1036">
        <f>L41/K41</f>
        <v>0.57844513764032457</v>
      </c>
      <c r="N41" s="1063" t="s">
        <v>1193</v>
      </c>
      <c r="O41" s="1062">
        <f>[4]int.kiadások2025!E40</f>
        <v>0</v>
      </c>
      <c r="P41" s="1035">
        <f>'[5]int.kiadások RM IV'!N41</f>
        <v>0</v>
      </c>
      <c r="Q41" s="1062"/>
      <c r="R41" s="1036"/>
      <c r="S41" s="1062">
        <f>[4]int.kiadások2025!F40</f>
        <v>0</v>
      </c>
      <c r="T41" s="1062">
        <f>'[5]int.kiadások RM IV'!Q41</f>
        <v>27</v>
      </c>
      <c r="U41" s="1062">
        <v>27</v>
      </c>
      <c r="V41" s="1036">
        <f>U41/T41</f>
        <v>1</v>
      </c>
      <c r="W41" s="1037">
        <f>B41+F41+J41+O41+S41</f>
        <v>844822</v>
      </c>
      <c r="X41" s="1037">
        <f>C41+G41+K41+P41+T41</f>
        <v>1059647</v>
      </c>
      <c r="Y41" s="1037">
        <f>D41+H41+L41+Q41+U41</f>
        <v>892043</v>
      </c>
      <c r="Z41" s="1038">
        <f>Y41/X41</f>
        <v>0.84183034538860579</v>
      </c>
      <c r="AA41" s="1063" t="s">
        <v>1193</v>
      </c>
      <c r="AB41" s="1062">
        <f>[4]int.kiadások2025!I40</f>
        <v>0</v>
      </c>
      <c r="AC41" s="1035">
        <f>'[5]int.kiadások RM IV'!X41</f>
        <v>13956</v>
      </c>
      <c r="AD41" s="1062">
        <v>11761</v>
      </c>
      <c r="AE41" s="1036">
        <f>AD41/AC41</f>
        <v>0.84271997707079394</v>
      </c>
      <c r="AF41" s="1062">
        <f>[4]int.kiadások2025!J40</f>
        <v>0</v>
      </c>
      <c r="AG41" s="1035">
        <f>'[5]int.kiadások RM IV'!AA41</f>
        <v>5450</v>
      </c>
      <c r="AH41" s="1062">
        <v>4801</v>
      </c>
      <c r="AI41" s="1036">
        <f>AH41/AG41</f>
        <v>0.88091743119266053</v>
      </c>
      <c r="AJ41" s="1062">
        <f>[4]int.kiadások2025!K40</f>
        <v>0</v>
      </c>
      <c r="AK41" s="1062">
        <f>'[5]int.kiadások RM IV'!AD41</f>
        <v>0</v>
      </c>
      <c r="AL41" s="1062"/>
      <c r="AM41" s="1036"/>
      <c r="AN41" s="1063" t="s">
        <v>1193</v>
      </c>
      <c r="AO41" s="1037">
        <f>AB41+AF41+AJ41</f>
        <v>0</v>
      </c>
      <c r="AP41" s="1037">
        <f>AC41+AG41+AK41</f>
        <v>19406</v>
      </c>
      <c r="AQ41" s="1037">
        <f>AD41+AH41+AL41</f>
        <v>16562</v>
      </c>
      <c r="AR41" s="1038">
        <f>AQ41/AP41</f>
        <v>0.85344738740595694</v>
      </c>
      <c r="AS41" s="1037">
        <f>W41+AO41</f>
        <v>844822</v>
      </c>
      <c r="AT41" s="1037">
        <f>X41+AP41</f>
        <v>1079053</v>
      </c>
      <c r="AU41" s="1037">
        <f>Y41+AQ41</f>
        <v>908605</v>
      </c>
      <c r="AV41" s="1038">
        <f>AU41/AT41</f>
        <v>0.84203926961882314</v>
      </c>
      <c r="AW41" s="1037">
        <f>AS41-'[7]éves besz.bevételei2025'!AV41</f>
        <v>0</v>
      </c>
      <c r="AX41" s="1037">
        <f>AT41-'[7]éves besz.bevételei2025'!AW41</f>
        <v>0</v>
      </c>
      <c r="AY41" s="1037">
        <f>AU41-'[7]éves besz.bevételei2025'!AX41</f>
        <v>-154463</v>
      </c>
      <c r="AZ41" s="1019"/>
      <c r="BA41" s="1019"/>
      <c r="BB41" s="1019"/>
      <c r="BC41" s="1019"/>
      <c r="BD41" s="1019"/>
      <c r="BE41" s="1102"/>
      <c r="BF41" s="1102"/>
      <c r="BG41" s="1102"/>
      <c r="BH41" s="1102"/>
      <c r="BI41" s="1102"/>
      <c r="BJ41" s="1102"/>
      <c r="BK41" s="1102"/>
      <c r="BL41" s="1102"/>
    </row>
    <row r="42" spans="1:64" s="1103" customFormat="1" ht="49.5" customHeight="1">
      <c r="A42" s="1060" t="s">
        <v>1194</v>
      </c>
      <c r="B42" s="1033"/>
      <c r="C42" s="1033"/>
      <c r="D42" s="1033"/>
      <c r="E42" s="1033"/>
      <c r="F42" s="1033"/>
      <c r="G42" s="1033"/>
      <c r="H42" s="1033"/>
      <c r="I42" s="1033"/>
      <c r="J42" s="1033"/>
      <c r="K42" s="1033"/>
      <c r="L42" s="1033"/>
      <c r="M42" s="1033"/>
      <c r="N42" s="1060" t="s">
        <v>1194</v>
      </c>
      <c r="O42" s="1033"/>
      <c r="P42" s="1033"/>
      <c r="Q42" s="1033"/>
      <c r="R42" s="1033"/>
      <c r="S42" s="1033"/>
      <c r="T42" s="1033"/>
      <c r="U42" s="1033"/>
      <c r="V42" s="1033"/>
      <c r="W42" s="1033"/>
      <c r="X42" s="1033"/>
      <c r="Y42" s="1033"/>
      <c r="Z42" s="1033"/>
      <c r="AA42" s="1060" t="s">
        <v>1194</v>
      </c>
      <c r="AB42" s="1033"/>
      <c r="AC42" s="1033"/>
      <c r="AD42" s="1033"/>
      <c r="AE42" s="1033"/>
      <c r="AF42" s="1033"/>
      <c r="AG42" s="1033"/>
      <c r="AH42" s="1033"/>
      <c r="AI42" s="1033"/>
      <c r="AJ42" s="1033"/>
      <c r="AK42" s="1033"/>
      <c r="AL42" s="1033"/>
      <c r="AM42" s="1033"/>
      <c r="AN42" s="1060" t="s">
        <v>1194</v>
      </c>
      <c r="AO42" s="1033"/>
      <c r="AP42" s="1033"/>
      <c r="AQ42" s="1033"/>
      <c r="AR42" s="1033"/>
      <c r="AS42" s="1033"/>
      <c r="AT42" s="1033"/>
      <c r="AU42" s="1033"/>
      <c r="AV42" s="1033"/>
      <c r="AW42" s="1037"/>
      <c r="AX42" s="1037"/>
      <c r="AY42" s="1037"/>
      <c r="AZ42" s="1019"/>
      <c r="BA42" s="1019"/>
      <c r="BB42" s="1019"/>
      <c r="BC42" s="1019"/>
      <c r="BD42" s="1019"/>
      <c r="BE42" s="1102"/>
      <c r="BF42" s="1102"/>
      <c r="BG42" s="1102"/>
      <c r="BH42" s="1102"/>
      <c r="BI42" s="1102"/>
      <c r="BJ42" s="1102"/>
      <c r="BK42" s="1102"/>
      <c r="BL42" s="1102"/>
    </row>
    <row r="43" spans="1:64" s="1103" customFormat="1" ht="47.25" thickBot="1">
      <c r="A43" s="1064" t="s">
        <v>468</v>
      </c>
      <c r="B43" s="1041">
        <f>[4]int.kiadások2025!B42</f>
        <v>1517086</v>
      </c>
      <c r="C43" s="1035">
        <f>'[5]int.kiadások RM IV'!D43</f>
        <v>1521491</v>
      </c>
      <c r="D43" s="1041">
        <v>1520598</v>
      </c>
      <c r="E43" s="1036">
        <f>D43/C43</f>
        <v>0.99941307572637628</v>
      </c>
      <c r="F43" s="1041">
        <f>[4]int.kiadások2025!C42</f>
        <v>228956</v>
      </c>
      <c r="G43" s="1035">
        <f>'[5]int.kiadások RM IV'!G43</f>
        <v>237765</v>
      </c>
      <c r="H43" s="1041">
        <v>228488</v>
      </c>
      <c r="I43" s="1036">
        <f>H43/G43</f>
        <v>0.96098248270350972</v>
      </c>
      <c r="J43" s="1041">
        <f>[4]int.kiadások2025!D42</f>
        <v>233823</v>
      </c>
      <c r="K43" s="1035">
        <f>'[5]int.kiadások RM IV'!J43</f>
        <v>252167</v>
      </c>
      <c r="L43" s="1041">
        <v>249146</v>
      </c>
      <c r="M43" s="1036">
        <f>L43/K43</f>
        <v>0.98801984399227494</v>
      </c>
      <c r="N43" s="1064" t="s">
        <v>468</v>
      </c>
      <c r="O43" s="1041">
        <f>[4]int.kiadások2025!E42</f>
        <v>0</v>
      </c>
      <c r="P43" s="1035">
        <f>'[5]int.kiadások RM IV'!N43</f>
        <v>0</v>
      </c>
      <c r="Q43" s="1041"/>
      <c r="R43" s="1036"/>
      <c r="S43" s="1041">
        <f>[4]int.kiadások2025!F42</f>
        <v>0</v>
      </c>
      <c r="T43" s="1041">
        <f>'[5]int.kiadások RM IV'!Q43</f>
        <v>0</v>
      </c>
      <c r="U43" s="1041"/>
      <c r="V43" s="1036"/>
      <c r="W43" s="1037">
        <f>B43+F43+J43+O43+S43</f>
        <v>1979865</v>
      </c>
      <c r="X43" s="1037">
        <f>C43+G43+K43+P43+T43</f>
        <v>2011423</v>
      </c>
      <c r="Y43" s="1037">
        <f>D43+H43+L43+Q43+U43</f>
        <v>1998232</v>
      </c>
      <c r="Z43" s="1038">
        <f>Y43/X43</f>
        <v>0.99344195626678222</v>
      </c>
      <c r="AA43" s="1064" t="s">
        <v>468</v>
      </c>
      <c r="AB43" s="1041">
        <f>[4]int.kiadások2025!I42</f>
        <v>700</v>
      </c>
      <c r="AC43" s="1035">
        <f>'[5]int.kiadások RM IV'!X43</f>
        <v>46350</v>
      </c>
      <c r="AD43" s="1041">
        <v>21326</v>
      </c>
      <c r="AE43" s="1036">
        <f>AD43/AC43</f>
        <v>0.46010787486515642</v>
      </c>
      <c r="AF43" s="1041">
        <f>[4]int.kiadások2025!J42</f>
        <v>0</v>
      </c>
      <c r="AG43" s="1035">
        <f>'[5]int.kiadások RM IV'!AA43</f>
        <v>36469</v>
      </c>
      <c r="AH43" s="1041">
        <v>5882</v>
      </c>
      <c r="AI43" s="1036">
        <f>AH43/AG43</f>
        <v>0.16128766897913296</v>
      </c>
      <c r="AJ43" s="1041">
        <f>[4]int.kiadások2025!K42</f>
        <v>0</v>
      </c>
      <c r="AK43" s="1041">
        <f>'[5]int.kiadások RM IV'!AD43</f>
        <v>0</v>
      </c>
      <c r="AL43" s="1041"/>
      <c r="AM43" s="1036"/>
      <c r="AN43" s="1064" t="s">
        <v>468</v>
      </c>
      <c r="AO43" s="1037">
        <f>AB43+AF43+AJ43</f>
        <v>700</v>
      </c>
      <c r="AP43" s="1037">
        <f>AC43+AG43+AK43</f>
        <v>82819</v>
      </c>
      <c r="AQ43" s="1037">
        <f>AD43+AH43+AL43</f>
        <v>27208</v>
      </c>
      <c r="AR43" s="1038">
        <f>AQ43/AP43</f>
        <v>0.32852364795517935</v>
      </c>
      <c r="AS43" s="1037">
        <f>W43+AO43</f>
        <v>1980565</v>
      </c>
      <c r="AT43" s="1037">
        <f>X43+AP43</f>
        <v>2094242</v>
      </c>
      <c r="AU43" s="1037">
        <f>Y43+AQ43</f>
        <v>2025440</v>
      </c>
      <c r="AV43" s="1038">
        <f>AU43/AT43</f>
        <v>0.96714706323337996</v>
      </c>
      <c r="AW43" s="1037">
        <f>AS43-'[7]éves besz.bevételei2025'!AV43</f>
        <v>0</v>
      </c>
      <c r="AX43" s="1037">
        <f>AT43-'[7]éves besz.bevételei2025'!AW43</f>
        <v>0</v>
      </c>
      <c r="AY43" s="1037">
        <f>AU43-'[7]éves besz.bevételei2025'!AX43</f>
        <v>-3630</v>
      </c>
      <c r="AZ43" s="1019"/>
      <c r="BA43" s="1019"/>
      <c r="BB43" s="1019"/>
      <c r="BC43" s="1019"/>
      <c r="BD43" s="1019"/>
      <c r="BE43" s="1102"/>
      <c r="BF43" s="1102"/>
      <c r="BG43" s="1102"/>
      <c r="BH43" s="1102"/>
      <c r="BI43" s="1102"/>
      <c r="BJ43" s="1102"/>
      <c r="BK43" s="1102"/>
      <c r="BL43" s="1102"/>
    </row>
    <row r="44" spans="1:64" s="1103" customFormat="1" ht="49.5" customHeight="1">
      <c r="A44" s="1060" t="s">
        <v>1195</v>
      </c>
      <c r="B44" s="1033"/>
      <c r="C44" s="1033"/>
      <c r="D44" s="1033"/>
      <c r="E44" s="1033"/>
      <c r="F44" s="1033"/>
      <c r="G44" s="1033"/>
      <c r="H44" s="1033"/>
      <c r="I44" s="1033"/>
      <c r="J44" s="1033"/>
      <c r="K44" s="1033"/>
      <c r="L44" s="1033"/>
      <c r="M44" s="1033"/>
      <c r="N44" s="1060" t="s">
        <v>1195</v>
      </c>
      <c r="O44" s="1033"/>
      <c r="P44" s="1033"/>
      <c r="Q44" s="1033"/>
      <c r="R44" s="1033"/>
      <c r="S44" s="1033"/>
      <c r="T44" s="1033"/>
      <c r="U44" s="1033"/>
      <c r="V44" s="1033"/>
      <c r="W44" s="1033"/>
      <c r="X44" s="1033"/>
      <c r="Y44" s="1033"/>
      <c r="Z44" s="1033"/>
      <c r="AA44" s="1060" t="s">
        <v>1195</v>
      </c>
      <c r="AB44" s="1033"/>
      <c r="AC44" s="1033"/>
      <c r="AD44" s="1033"/>
      <c r="AE44" s="1033"/>
      <c r="AF44" s="1033"/>
      <c r="AG44" s="1033"/>
      <c r="AH44" s="1033"/>
      <c r="AI44" s="1033"/>
      <c r="AJ44" s="1033"/>
      <c r="AK44" s="1033"/>
      <c r="AL44" s="1033"/>
      <c r="AM44" s="1033"/>
      <c r="AN44" s="1060" t="s">
        <v>1195</v>
      </c>
      <c r="AO44" s="1033"/>
      <c r="AP44" s="1033"/>
      <c r="AQ44" s="1033"/>
      <c r="AR44" s="1033"/>
      <c r="AS44" s="1033"/>
      <c r="AT44" s="1033"/>
      <c r="AU44" s="1033"/>
      <c r="AV44" s="1033"/>
      <c r="AW44" s="1037"/>
      <c r="AX44" s="1037"/>
      <c r="AY44" s="1037"/>
      <c r="AZ44" s="1019"/>
      <c r="BA44" s="1019"/>
      <c r="BB44" s="1019"/>
      <c r="BC44" s="1019"/>
      <c r="BD44" s="1019"/>
      <c r="BE44" s="1102"/>
      <c r="BF44" s="1102"/>
      <c r="BG44" s="1102"/>
      <c r="BH44" s="1102"/>
      <c r="BI44" s="1102"/>
      <c r="BJ44" s="1102"/>
      <c r="BK44" s="1102"/>
      <c r="BL44" s="1102"/>
    </row>
    <row r="45" spans="1:64" s="1103" customFormat="1" ht="49.5" customHeight="1">
      <c r="A45" s="1065" t="s">
        <v>470</v>
      </c>
      <c r="B45" s="1035">
        <f>[4]int.kiadások2025!B44</f>
        <v>85008</v>
      </c>
      <c r="C45" s="1035">
        <f>'[5]int.kiadások RM IV'!D45</f>
        <v>73360</v>
      </c>
      <c r="D45" s="1035">
        <v>73238</v>
      </c>
      <c r="E45" s="1036">
        <f>D45/C45</f>
        <v>0.9983369683751363</v>
      </c>
      <c r="F45" s="1035">
        <f>[4]int.kiadások2025!C44</f>
        <v>11032</v>
      </c>
      <c r="G45" s="1035">
        <f>'[5]int.kiadások RM IV'!G45</f>
        <v>9983</v>
      </c>
      <c r="H45" s="1035">
        <v>9957</v>
      </c>
      <c r="I45" s="1036">
        <f>H45/G45</f>
        <v>0.99739557247320443</v>
      </c>
      <c r="J45" s="1035">
        <f>[4]int.kiadások2025!D44</f>
        <v>112978</v>
      </c>
      <c r="K45" s="1035">
        <f>'[5]int.kiadások RM IV'!J45</f>
        <v>148451</v>
      </c>
      <c r="L45" s="1035">
        <v>121066</v>
      </c>
      <c r="M45" s="1036">
        <f>L45/K45</f>
        <v>0.81552835615792418</v>
      </c>
      <c r="N45" s="1065" t="s">
        <v>470</v>
      </c>
      <c r="O45" s="1035">
        <f>[4]int.kiadások2025!E44</f>
        <v>0</v>
      </c>
      <c r="P45" s="1035">
        <f>'[5]int.kiadások RM IV'!N45</f>
        <v>0</v>
      </c>
      <c r="Q45" s="1035"/>
      <c r="R45" s="1036"/>
      <c r="S45" s="1035">
        <f>[4]int.kiadások2025!F44</f>
        <v>0</v>
      </c>
      <c r="T45" s="1035">
        <f>'[5]int.kiadások RM IV'!Q45</f>
        <v>0</v>
      </c>
      <c r="U45" s="1035"/>
      <c r="V45" s="1036"/>
      <c r="W45" s="1037">
        <f t="shared" ref="W45:Y46" si="13">B45+F45+J45+O45+S45</f>
        <v>209018</v>
      </c>
      <c r="X45" s="1037">
        <f t="shared" si="13"/>
        <v>231794</v>
      </c>
      <c r="Y45" s="1037">
        <f t="shared" si="13"/>
        <v>204261</v>
      </c>
      <c r="Z45" s="1038">
        <f>Y45/X45</f>
        <v>0.88121780546519757</v>
      </c>
      <c r="AA45" s="1065" t="s">
        <v>470</v>
      </c>
      <c r="AB45" s="1035">
        <f>[4]int.kiadások2025!I44</f>
        <v>0</v>
      </c>
      <c r="AC45" s="1035">
        <f>'[5]int.kiadások RM IV'!X45</f>
        <v>7732</v>
      </c>
      <c r="AD45" s="1035">
        <v>7139</v>
      </c>
      <c r="AE45" s="1036">
        <f>AD45/AC45</f>
        <v>0.92330574236937402</v>
      </c>
      <c r="AF45" s="1035">
        <f>[4]int.kiadások2025!J44</f>
        <v>0</v>
      </c>
      <c r="AG45" s="1035">
        <f>'[5]int.kiadások RM IV'!AA45</f>
        <v>0</v>
      </c>
      <c r="AH45" s="1035"/>
      <c r="AI45" s="1036"/>
      <c r="AJ45" s="1035">
        <f>[4]int.kiadások2025!K44</f>
        <v>0</v>
      </c>
      <c r="AK45" s="1035">
        <f>'[5]int.kiadások RM IV'!AD45</f>
        <v>0</v>
      </c>
      <c r="AL45" s="1035"/>
      <c r="AM45" s="1036"/>
      <c r="AN45" s="1065" t="s">
        <v>470</v>
      </c>
      <c r="AO45" s="1037">
        <f t="shared" ref="AO45:AQ46" si="14">AB45+AF45+AJ45</f>
        <v>0</v>
      </c>
      <c r="AP45" s="1037">
        <f t="shared" si="14"/>
        <v>7732</v>
      </c>
      <c r="AQ45" s="1037">
        <f t="shared" si="14"/>
        <v>7139</v>
      </c>
      <c r="AR45" s="1038">
        <f>AQ45/AP45</f>
        <v>0.92330574236937402</v>
      </c>
      <c r="AS45" s="1037">
        <f t="shared" ref="AS45:AU46" si="15">W45+AO45</f>
        <v>209018</v>
      </c>
      <c r="AT45" s="1037">
        <f t="shared" si="15"/>
        <v>239526</v>
      </c>
      <c r="AU45" s="1037">
        <f t="shared" si="15"/>
        <v>211400</v>
      </c>
      <c r="AV45" s="1038">
        <f>AU45/AT45</f>
        <v>0.88257642176632178</v>
      </c>
      <c r="AW45" s="1037">
        <f>AS45-'[7]éves besz.bevételei2025'!AV45</f>
        <v>0</v>
      </c>
      <c r="AX45" s="1037">
        <f>AT45-'[7]éves besz.bevételei2025'!AW45</f>
        <v>0</v>
      </c>
      <c r="AY45" s="1037">
        <f>AU45-'[7]éves besz.bevételei2025'!AX45</f>
        <v>-15003</v>
      </c>
      <c r="AZ45" s="1019"/>
      <c r="BA45" s="1019"/>
      <c r="BB45" s="1019"/>
      <c r="BC45" s="1019"/>
      <c r="BD45" s="1019"/>
      <c r="BE45" s="1102"/>
      <c r="BF45" s="1102"/>
      <c r="BG45" s="1102"/>
      <c r="BH45" s="1102"/>
      <c r="BI45" s="1102"/>
      <c r="BJ45" s="1102"/>
      <c r="BK45" s="1102"/>
      <c r="BL45" s="1102"/>
    </row>
    <row r="46" spans="1:64" s="1103" customFormat="1" ht="49.5" customHeight="1" thickBot="1">
      <c r="A46" s="1066" t="s">
        <v>37</v>
      </c>
      <c r="B46" s="1067">
        <f>[4]int.kiadások2025!B45</f>
        <v>2328206</v>
      </c>
      <c r="C46" s="1067">
        <f>'[5]int.kiadások RM IV'!D46</f>
        <v>2485906</v>
      </c>
      <c r="D46" s="1067">
        <v>2360428</v>
      </c>
      <c r="E46" s="1044">
        <f>D46/C46</f>
        <v>0.94952423784326523</v>
      </c>
      <c r="F46" s="1067">
        <f>[4]int.kiadások2025!C45</f>
        <v>342245</v>
      </c>
      <c r="G46" s="1067">
        <f>'[5]int.kiadások RM IV'!G46</f>
        <v>367753</v>
      </c>
      <c r="H46" s="1067">
        <v>340308</v>
      </c>
      <c r="I46" s="1044">
        <f>H46/G46</f>
        <v>0.9253711050623652</v>
      </c>
      <c r="J46" s="1067">
        <f>[4]int.kiadások2025!D45</f>
        <v>459603</v>
      </c>
      <c r="K46" s="1067">
        <f>'[5]int.kiadások RM IV'!J46</f>
        <v>487163</v>
      </c>
      <c r="L46" s="1067">
        <v>421112</v>
      </c>
      <c r="M46" s="1044">
        <f>L46/K46</f>
        <v>0.86441704316625034</v>
      </c>
      <c r="N46" s="1066" t="s">
        <v>37</v>
      </c>
      <c r="O46" s="1067">
        <f>[4]int.kiadások2025!E45</f>
        <v>0</v>
      </c>
      <c r="P46" s="1067">
        <f>'[5]int.kiadások RM IV'!N46</f>
        <v>0</v>
      </c>
      <c r="Q46" s="1066"/>
      <c r="R46" s="1044"/>
      <c r="S46" s="1067">
        <f>[4]int.kiadások2025!F45</f>
        <v>4000</v>
      </c>
      <c r="T46" s="1067">
        <f>'[5]int.kiadások RM IV'!Q46</f>
        <v>6260</v>
      </c>
      <c r="U46" s="1067">
        <v>6260</v>
      </c>
      <c r="V46" s="1044">
        <f>U46/T46</f>
        <v>1</v>
      </c>
      <c r="W46" s="1068">
        <f t="shared" si="13"/>
        <v>3134054</v>
      </c>
      <c r="X46" s="1068">
        <f t="shared" si="13"/>
        <v>3347082</v>
      </c>
      <c r="Y46" s="1068">
        <f t="shared" si="13"/>
        <v>3128108</v>
      </c>
      <c r="Z46" s="1069">
        <f>Y46/X46</f>
        <v>0.93457764106167696</v>
      </c>
      <c r="AA46" s="1066" t="s">
        <v>37</v>
      </c>
      <c r="AB46" s="1067">
        <f>[4]int.kiadások2025!I45</f>
        <v>72163</v>
      </c>
      <c r="AC46" s="1067">
        <f>'[5]int.kiadások RM IV'!X46</f>
        <v>112037</v>
      </c>
      <c r="AD46" s="1067">
        <v>84434</v>
      </c>
      <c r="AE46" s="1044">
        <f>AD46/AC46</f>
        <v>0.75362603425654029</v>
      </c>
      <c r="AF46" s="1067">
        <f>[4]int.kiadások2025!J45</f>
        <v>0</v>
      </c>
      <c r="AG46" s="1067">
        <f>'[5]int.kiadások RM IV'!AA46</f>
        <v>0</v>
      </c>
      <c r="AH46" s="1067"/>
      <c r="AI46" s="1044"/>
      <c r="AJ46" s="1067">
        <f>[4]int.kiadások2025!K45</f>
        <v>0</v>
      </c>
      <c r="AK46" s="1067">
        <f>'[5]int.kiadások RM IV'!AD46</f>
        <v>0</v>
      </c>
      <c r="AL46" s="1066"/>
      <c r="AM46" s="1066"/>
      <c r="AN46" s="1066" t="s">
        <v>37</v>
      </c>
      <c r="AO46" s="1068">
        <f t="shared" si="14"/>
        <v>72163</v>
      </c>
      <c r="AP46" s="1068">
        <f t="shared" si="14"/>
        <v>112037</v>
      </c>
      <c r="AQ46" s="1068">
        <f t="shared" si="14"/>
        <v>84434</v>
      </c>
      <c r="AR46" s="1069">
        <f>AQ46/AP46</f>
        <v>0.75362603425654029</v>
      </c>
      <c r="AS46" s="1068">
        <f t="shared" si="15"/>
        <v>3206217</v>
      </c>
      <c r="AT46" s="1068">
        <f t="shared" si="15"/>
        <v>3459119</v>
      </c>
      <c r="AU46" s="1068">
        <f t="shared" si="15"/>
        <v>3212542</v>
      </c>
      <c r="AV46" s="1069">
        <f>AU46/AT46</f>
        <v>0.9287168206702342</v>
      </c>
      <c r="AW46" s="1104">
        <f>AS46-'[7]éves besz.bevételei2025'!AV46</f>
        <v>0</v>
      </c>
      <c r="AX46" s="1104">
        <f>AT46-'[7]éves besz.bevételei2025'!AW46</f>
        <v>0</v>
      </c>
      <c r="AY46" s="1104">
        <f>AU46-'[7]éves besz.bevételei2025'!AX46</f>
        <v>-9929</v>
      </c>
      <c r="AZ46" s="1019"/>
      <c r="BA46" s="1019"/>
      <c r="BB46" s="1019"/>
      <c r="BC46" s="1019"/>
      <c r="BD46" s="1019"/>
      <c r="BE46" s="1102"/>
      <c r="BF46" s="1102"/>
      <c r="BG46" s="1102"/>
      <c r="BH46" s="1102"/>
      <c r="BI46" s="1102"/>
      <c r="BJ46" s="1102"/>
      <c r="BK46" s="1102"/>
      <c r="BL46" s="1102"/>
    </row>
    <row r="47" spans="1:64" s="1103" customFormat="1" ht="49.5" customHeight="1" thickBot="1">
      <c r="A47" s="1070" t="s">
        <v>1196</v>
      </c>
      <c r="B47" s="1071">
        <f>SUM(B45:B46)</f>
        <v>2413214</v>
      </c>
      <c r="C47" s="1071">
        <f>SUM(C45:C46)</f>
        <v>2559266</v>
      </c>
      <c r="D47" s="1071">
        <f>SUM(D45:D46)</f>
        <v>2433666</v>
      </c>
      <c r="E47" s="1051">
        <f>D47/C47</f>
        <v>0.95092342882685899</v>
      </c>
      <c r="F47" s="1071">
        <f>SUM(F45:F46)</f>
        <v>353277</v>
      </c>
      <c r="G47" s="1071">
        <f>SUM(G45:G46)</f>
        <v>377736</v>
      </c>
      <c r="H47" s="1071">
        <f>SUM(H45:H46)</f>
        <v>350265</v>
      </c>
      <c r="I47" s="1051">
        <f>H47/G47</f>
        <v>0.92727460448567256</v>
      </c>
      <c r="J47" s="1071">
        <f>SUM(J45:J46)</f>
        <v>572581</v>
      </c>
      <c r="K47" s="1071">
        <f>SUM(K45:K46)</f>
        <v>635614</v>
      </c>
      <c r="L47" s="1071">
        <f>SUM(L45:L46)</f>
        <v>542178</v>
      </c>
      <c r="M47" s="1051">
        <f>L47/K47</f>
        <v>0.852998832624832</v>
      </c>
      <c r="N47" s="1070" t="s">
        <v>1196</v>
      </c>
      <c r="O47" s="1071">
        <f>SUM(O45:O46)</f>
        <v>0</v>
      </c>
      <c r="P47" s="1071">
        <f>SUM(P45:P46)</f>
        <v>0</v>
      </c>
      <c r="Q47" s="1071">
        <f>SUM(Q45:Q46)</f>
        <v>0</v>
      </c>
      <c r="R47" s="1051"/>
      <c r="S47" s="1071">
        <f>SUM(S45:S46)</f>
        <v>4000</v>
      </c>
      <c r="T47" s="1071">
        <f>SUM(T45:T46)</f>
        <v>6260</v>
      </c>
      <c r="U47" s="1071">
        <f>SUM(U45:U46)</f>
        <v>6260</v>
      </c>
      <c r="V47" s="1051">
        <f>U47/T47</f>
        <v>1</v>
      </c>
      <c r="W47" s="1071">
        <f>SUM(W45:W46)</f>
        <v>3343072</v>
      </c>
      <c r="X47" s="1071">
        <f>SUM(X45:X46)</f>
        <v>3578876</v>
      </c>
      <c r="Y47" s="1071">
        <f>SUM(Y45:Y46)</f>
        <v>3332369</v>
      </c>
      <c r="Z47" s="1051">
        <f>Y47/X47</f>
        <v>0.93112167060272555</v>
      </c>
      <c r="AA47" s="1070" t="s">
        <v>1196</v>
      </c>
      <c r="AB47" s="1071">
        <f>SUM(AB45:AB46)</f>
        <v>72163</v>
      </c>
      <c r="AC47" s="1071">
        <f>SUM(AC45:AC46)</f>
        <v>119769</v>
      </c>
      <c r="AD47" s="1071">
        <f>SUM(AD45:AD46)</f>
        <v>91573</v>
      </c>
      <c r="AE47" s="1051">
        <f>AD47/AC47</f>
        <v>0.76458015012231884</v>
      </c>
      <c r="AF47" s="1071">
        <f>SUM(AF45:AF46)</f>
        <v>0</v>
      </c>
      <c r="AG47" s="1071">
        <f>SUM(AG45:AG46)</f>
        <v>0</v>
      </c>
      <c r="AH47" s="1071">
        <f>SUM(AH45:AH46)</f>
        <v>0</v>
      </c>
      <c r="AI47" s="1051"/>
      <c r="AJ47" s="1071">
        <f>SUM(AJ45:AJ46)</f>
        <v>0</v>
      </c>
      <c r="AK47" s="1071">
        <f>SUM(AK45:AK46)</f>
        <v>0</v>
      </c>
      <c r="AL47" s="1071">
        <f>SUM(AL45:AL46)</f>
        <v>0</v>
      </c>
      <c r="AM47" s="1051"/>
      <c r="AN47" s="1070" t="s">
        <v>1196</v>
      </c>
      <c r="AO47" s="1071">
        <f>SUM(AO45:AO46)</f>
        <v>72163</v>
      </c>
      <c r="AP47" s="1071">
        <f>SUM(AP45:AP46)</f>
        <v>119769</v>
      </c>
      <c r="AQ47" s="1071">
        <f>SUM(AQ45:AQ46)</f>
        <v>91573</v>
      </c>
      <c r="AR47" s="1051">
        <f>AQ47/AP47</f>
        <v>0.76458015012231884</v>
      </c>
      <c r="AS47" s="1071">
        <f>SUM(AS45:AS46)</f>
        <v>3415235</v>
      </c>
      <c r="AT47" s="1071">
        <f>SUM(AT45:AT46)</f>
        <v>3698645</v>
      </c>
      <c r="AU47" s="1071">
        <f>SUM(AU45:AU46)</f>
        <v>3423942</v>
      </c>
      <c r="AV47" s="1051">
        <f>AU47/AT47</f>
        <v>0.92572874660855531</v>
      </c>
      <c r="AW47" s="1037">
        <f>AS47-'[7]éves besz.bevételei2025'!AV47</f>
        <v>0</v>
      </c>
      <c r="AX47" s="1037">
        <f>AT47-'[7]éves besz.bevételei2025'!AW47</f>
        <v>0</v>
      </c>
      <c r="AY47" s="1037">
        <f>AU47-'[7]éves besz.bevételei2025'!AX47</f>
        <v>-24932</v>
      </c>
      <c r="AZ47" s="1019"/>
      <c r="BA47" s="1019"/>
      <c r="BB47" s="1019"/>
      <c r="BC47" s="1019"/>
      <c r="BD47" s="1019"/>
      <c r="BE47" s="1102"/>
      <c r="BF47" s="1102"/>
      <c r="BG47" s="1102"/>
      <c r="BH47" s="1102"/>
      <c r="BI47" s="1102"/>
      <c r="BJ47" s="1102"/>
      <c r="BK47" s="1102"/>
      <c r="BL47" s="1102"/>
    </row>
    <row r="48" spans="1:64" s="1103" customFormat="1" ht="49.5" customHeight="1" thickBot="1">
      <c r="A48" s="1070" t="s">
        <v>1197</v>
      </c>
      <c r="B48" s="1068">
        <f>B37+B39+B41+B43+B47</f>
        <v>6761913</v>
      </c>
      <c r="C48" s="1068">
        <f>C37+C39+C41+C43+C47</f>
        <v>7585890</v>
      </c>
      <c r="D48" s="1068">
        <f>D37+D39+D41+D43+D47</f>
        <v>7294942</v>
      </c>
      <c r="E48" s="1047">
        <f>D48/C48</f>
        <v>0.96164616149192783</v>
      </c>
      <c r="F48" s="1068">
        <f>F37+F39+F41+F43+F47</f>
        <v>981673</v>
      </c>
      <c r="G48" s="1068">
        <f>G37+G39+G41+G43+G47</f>
        <v>1110108</v>
      </c>
      <c r="H48" s="1068">
        <f>H37+H39+H41+H43+H47</f>
        <v>991516</v>
      </c>
      <c r="I48" s="1047">
        <f>H48/G48</f>
        <v>0.89317075455721429</v>
      </c>
      <c r="J48" s="1068">
        <f>J37+J39+J41+J43+J47</f>
        <v>1963045</v>
      </c>
      <c r="K48" s="1068">
        <f>K37+K39+K41+K43+K47</f>
        <v>2880052</v>
      </c>
      <c r="L48" s="1068">
        <f>L37+L39+L41+L43+L47</f>
        <v>2330645</v>
      </c>
      <c r="M48" s="1047">
        <f>L48/K48</f>
        <v>0.80923712488524513</v>
      </c>
      <c r="N48" s="1070" t="s">
        <v>1197</v>
      </c>
      <c r="O48" s="1068">
        <f>O37+O39+O41+O43+O47</f>
        <v>0</v>
      </c>
      <c r="P48" s="1068">
        <f>P37+P39+P41+P43+P47</f>
        <v>0</v>
      </c>
      <c r="Q48" s="1068">
        <f>Q37+Q39+Q41+Q43+Q47</f>
        <v>0</v>
      </c>
      <c r="R48" s="1047"/>
      <c r="S48" s="1068">
        <f>S37+S39+S41+S43+S47</f>
        <v>4000</v>
      </c>
      <c r="T48" s="1068">
        <f>T37+T39+T41+T43+T47</f>
        <v>10317</v>
      </c>
      <c r="U48" s="1068">
        <f>U37+U39+U41+U43+U47</f>
        <v>10317</v>
      </c>
      <c r="V48" s="1047">
        <f>U48/T48</f>
        <v>1</v>
      </c>
      <c r="W48" s="1068">
        <f>W37+W39+W41+W43+W47</f>
        <v>9710631</v>
      </c>
      <c r="X48" s="1068">
        <f>X37+X39+X41+X43+X47</f>
        <v>11586367</v>
      </c>
      <c r="Y48" s="1068">
        <f>Y37+Y39+Y41+Y43+Y47</f>
        <v>10627420</v>
      </c>
      <c r="Z48" s="1047">
        <f>Y48/X48</f>
        <v>0.91723488475723236</v>
      </c>
      <c r="AA48" s="1070" t="s">
        <v>1197</v>
      </c>
      <c r="AB48" s="1068">
        <f>AB37+AB39+AB41+AB43+AB47</f>
        <v>72863</v>
      </c>
      <c r="AC48" s="1068">
        <f>AC37+AC39+AC41+AC43+AC47</f>
        <v>379355</v>
      </c>
      <c r="AD48" s="1068">
        <f>AD37+AD39+AD41+AD43+AD47</f>
        <v>252708</v>
      </c>
      <c r="AE48" s="1047">
        <f>AD48/AC48</f>
        <v>0.6661517575885384</v>
      </c>
      <c r="AF48" s="1068">
        <f>AF37+AF39+AF41+AF43+AF47</f>
        <v>0</v>
      </c>
      <c r="AG48" s="1068">
        <f>AG37+AG39+AG41+AG43+AG47</f>
        <v>83334</v>
      </c>
      <c r="AH48" s="1068">
        <f>AH37+AH39+AH41+AH43+AH47</f>
        <v>18590</v>
      </c>
      <c r="AI48" s="1047">
        <f>AH48/AG48</f>
        <v>0.22307821537427699</v>
      </c>
      <c r="AJ48" s="1068">
        <f>AJ37+AJ39+AJ41+AJ43+AJ47</f>
        <v>0</v>
      </c>
      <c r="AK48" s="1068">
        <f>AK37+AK39+AK41+AK43+AK47</f>
        <v>0</v>
      </c>
      <c r="AL48" s="1068">
        <f>AL37+AL39+AL41+AL43+AL47</f>
        <v>0</v>
      </c>
      <c r="AM48" s="1047"/>
      <c r="AN48" s="1070" t="s">
        <v>1197</v>
      </c>
      <c r="AO48" s="1068">
        <f>AO37+AO39+AO41+AO43+AO47</f>
        <v>72863</v>
      </c>
      <c r="AP48" s="1068">
        <f>AP37+AP39+AP41+AP43+AP47</f>
        <v>462689</v>
      </c>
      <c r="AQ48" s="1068">
        <f>AQ37+AQ39+AQ41+AQ43+AQ47</f>
        <v>271298</v>
      </c>
      <c r="AR48" s="1047">
        <f>AQ48/AP48</f>
        <v>0.58635065886589044</v>
      </c>
      <c r="AS48" s="1068">
        <f>AS37+AS39+AS41+AS43+AS47</f>
        <v>9783494</v>
      </c>
      <c r="AT48" s="1068">
        <f>AT37+AT39+AT41+AT43+AT47</f>
        <v>12049056</v>
      </c>
      <c r="AU48" s="1068">
        <f>AU37+AU39+AU41+AU43+AU47</f>
        <v>10898718</v>
      </c>
      <c r="AV48" s="1047">
        <f>AU48/AT48</f>
        <v>0.90452878632151767</v>
      </c>
      <c r="AW48" s="1037">
        <f>AS48-'[7]éves besz.bevételei2025'!AV48</f>
        <v>0</v>
      </c>
      <c r="AX48" s="1037">
        <f>AT48-'[7]éves besz.bevételei2025'!AW48</f>
        <v>0</v>
      </c>
      <c r="AY48" s="1037">
        <f>AU48-'[7]éves besz.bevételei2025'!AX48</f>
        <v>-647157</v>
      </c>
      <c r="AZ48" s="1019"/>
      <c r="BA48" s="1019"/>
      <c r="BB48" s="1019"/>
      <c r="BC48" s="1019"/>
      <c r="BD48" s="1019"/>
      <c r="BE48" s="1102"/>
      <c r="BF48" s="1102"/>
      <c r="BG48" s="1102"/>
      <c r="BH48" s="1102"/>
      <c r="BI48" s="1102"/>
      <c r="BJ48" s="1102"/>
      <c r="BK48" s="1102"/>
      <c r="BL48" s="1102"/>
    </row>
    <row r="49" spans="1:64" s="1103" customFormat="1" ht="49.5" customHeight="1" thickBot="1">
      <c r="A49" s="1072" t="s">
        <v>1198</v>
      </c>
      <c r="B49" s="1046">
        <f>B30+B48</f>
        <v>10139276</v>
      </c>
      <c r="C49" s="1046">
        <f>C30+C48</f>
        <v>11016294</v>
      </c>
      <c r="D49" s="1046">
        <f>D30+D48</f>
        <v>10584489</v>
      </c>
      <c r="E49" s="1047">
        <f>D49/C49</f>
        <v>0.96080306135620563</v>
      </c>
      <c r="F49" s="1046">
        <f>F30+F48</f>
        <v>1450628</v>
      </c>
      <c r="G49" s="1046">
        <f>G30+G48</f>
        <v>1585737</v>
      </c>
      <c r="H49" s="1046">
        <f>H30+H48</f>
        <v>1399406</v>
      </c>
      <c r="I49" s="1047">
        <f>H49/G49</f>
        <v>0.88249564713442397</v>
      </c>
      <c r="J49" s="1046">
        <f>J30+J48</f>
        <v>4152896</v>
      </c>
      <c r="K49" s="1046">
        <f>K30+K48</f>
        <v>5209315</v>
      </c>
      <c r="L49" s="1046">
        <f>L30+L48</f>
        <v>4608793</v>
      </c>
      <c r="M49" s="1047">
        <f>L49/K49</f>
        <v>0.88472150369098435</v>
      </c>
      <c r="N49" s="1072" t="s">
        <v>1198</v>
      </c>
      <c r="O49" s="1046">
        <f>O30+O48</f>
        <v>0</v>
      </c>
      <c r="P49" s="1046">
        <f>P30+P48</f>
        <v>0</v>
      </c>
      <c r="Q49" s="1046">
        <f>Q30+Q48</f>
        <v>0</v>
      </c>
      <c r="R49" s="1047"/>
      <c r="S49" s="1046">
        <f>S30+S48</f>
        <v>4000</v>
      </c>
      <c r="T49" s="1046">
        <f>T30+T48</f>
        <v>10317</v>
      </c>
      <c r="U49" s="1046">
        <f>U30+U48</f>
        <v>10317</v>
      </c>
      <c r="V49" s="1047">
        <f>U49/T49</f>
        <v>1</v>
      </c>
      <c r="W49" s="1046">
        <f>W30+W48</f>
        <v>15746800</v>
      </c>
      <c r="X49" s="1046">
        <f>X30+X48</f>
        <v>17821663</v>
      </c>
      <c r="Y49" s="1046">
        <f>Y30+Y48</f>
        <v>16603005</v>
      </c>
      <c r="Z49" s="1047">
        <f>Y49/X49</f>
        <v>0.93161928827854057</v>
      </c>
      <c r="AA49" s="1072" t="s">
        <v>1198</v>
      </c>
      <c r="AB49" s="1046">
        <f>AB30+AB48</f>
        <v>72863</v>
      </c>
      <c r="AC49" s="1046">
        <f>AC30+AC48</f>
        <v>451339</v>
      </c>
      <c r="AD49" s="1046">
        <f>AD30+AD48</f>
        <v>312359</v>
      </c>
      <c r="AE49" s="1047">
        <f>AD49/AC49</f>
        <v>0.69207181298314568</v>
      </c>
      <c r="AF49" s="1046">
        <f>AF30+AF48</f>
        <v>0</v>
      </c>
      <c r="AG49" s="1046">
        <f>AG30+AG48</f>
        <v>122975</v>
      </c>
      <c r="AH49" s="1046">
        <f>AH30+AH48</f>
        <v>50232</v>
      </c>
      <c r="AI49" s="1047">
        <f>AH49/AG49</f>
        <v>0.40847326692417157</v>
      </c>
      <c r="AJ49" s="1046">
        <f>AJ30+AJ48</f>
        <v>0</v>
      </c>
      <c r="AK49" s="1046">
        <f>AK30+AK48</f>
        <v>0</v>
      </c>
      <c r="AL49" s="1046">
        <f>AL30+AL48</f>
        <v>0</v>
      </c>
      <c r="AM49" s="1047"/>
      <c r="AN49" s="1072" t="s">
        <v>1198</v>
      </c>
      <c r="AO49" s="1046">
        <f>AO30+AO48</f>
        <v>72863</v>
      </c>
      <c r="AP49" s="1046">
        <f>AP30+AP48</f>
        <v>574314</v>
      </c>
      <c r="AQ49" s="1046">
        <f>AQ30+AQ48</f>
        <v>362591</v>
      </c>
      <c r="AR49" s="1047">
        <f>AQ49/AP49</f>
        <v>0.63134626702465901</v>
      </c>
      <c r="AS49" s="1046">
        <f>AS30+AS48</f>
        <v>15819663</v>
      </c>
      <c r="AT49" s="1046">
        <f>AT30+AT48</f>
        <v>18395977</v>
      </c>
      <c r="AU49" s="1046">
        <f>AU30+AU48</f>
        <v>16965596</v>
      </c>
      <c r="AV49" s="1047">
        <f>AU49/AT49</f>
        <v>0.9222449016978006</v>
      </c>
      <c r="AW49" s="1037">
        <f>AS49-'[7]éves besz.bevételei2025'!AV49</f>
        <v>0</v>
      </c>
      <c r="AX49" s="1037">
        <f>AT49-'[7]éves besz.bevételei2025'!AW49</f>
        <v>0</v>
      </c>
      <c r="AY49" s="1037">
        <f>AU49-'[7]éves besz.bevételei2025'!AX49</f>
        <v>-685622</v>
      </c>
      <c r="AZ49" s="1019"/>
      <c r="BA49" s="1019"/>
      <c r="BB49" s="1019"/>
      <c r="BC49" s="1019"/>
      <c r="BD49" s="1019"/>
      <c r="BE49" s="1102"/>
      <c r="BF49" s="1102"/>
      <c r="BG49" s="1102"/>
      <c r="BH49" s="1102"/>
      <c r="BI49" s="1102"/>
      <c r="BJ49" s="1102"/>
      <c r="BK49" s="1102"/>
      <c r="BL49" s="1102"/>
    </row>
    <row r="50" spans="1:64" s="1111" customFormat="1" ht="49.5" customHeight="1" thickBot="1">
      <c r="A50" s="1073"/>
      <c r="B50" s="1105"/>
      <c r="C50" s="1105"/>
      <c r="D50" s="1105"/>
      <c r="E50" s="1105"/>
      <c r="F50" s="1105"/>
      <c r="G50" s="1105"/>
      <c r="H50" s="1105"/>
      <c r="I50" s="1105"/>
      <c r="J50" s="1105"/>
      <c r="K50" s="1105"/>
      <c r="L50" s="1105"/>
      <c r="M50" s="1105"/>
      <c r="N50" s="1073"/>
      <c r="O50" s="1105"/>
      <c r="P50" s="1105"/>
      <c r="Q50" s="1105"/>
      <c r="R50" s="1105"/>
      <c r="S50" s="1105"/>
      <c r="T50" s="1105"/>
      <c r="U50" s="1105"/>
      <c r="V50" s="1105"/>
      <c r="W50" s="1105"/>
      <c r="X50" s="1105"/>
      <c r="Y50" s="1105">
        <f>+D49+H49+L49+U49</f>
        <v>16603005</v>
      </c>
      <c r="Z50" s="1105"/>
      <c r="AA50" s="1106"/>
      <c r="AB50" s="1073"/>
      <c r="AC50" s="1073"/>
      <c r="AD50" s="1107"/>
      <c r="AE50" s="1073"/>
      <c r="AF50" s="1073"/>
      <c r="AG50" s="1073"/>
      <c r="AH50" s="1073"/>
      <c r="AI50" s="1073"/>
      <c r="AJ50" s="1073"/>
      <c r="AK50" s="1073"/>
      <c r="AL50" s="1073"/>
      <c r="AM50" s="1073"/>
      <c r="AN50" s="1106"/>
      <c r="AO50" s="1073"/>
      <c r="AP50" s="1073"/>
      <c r="AQ50" s="1073"/>
      <c r="AR50" s="1073"/>
      <c r="AS50" s="1073"/>
      <c r="AT50" s="1073"/>
      <c r="AU50" s="1073"/>
      <c r="AV50" s="1073"/>
      <c r="AW50" s="1108"/>
      <c r="AX50" s="1108"/>
      <c r="AY50" s="1108"/>
      <c r="AZ50" s="1109"/>
      <c r="BA50" s="1109"/>
      <c r="BB50" s="1109"/>
      <c r="BC50" s="1109"/>
      <c r="BD50" s="1109"/>
      <c r="BE50" s="1110"/>
      <c r="BF50" s="1110"/>
      <c r="BG50" s="1110"/>
      <c r="BH50" s="1110"/>
      <c r="BI50" s="1110"/>
      <c r="BJ50" s="1110"/>
      <c r="BK50" s="1110"/>
      <c r="BL50" s="1110"/>
    </row>
    <row r="51" spans="1:64" s="1115" customFormat="1" ht="49.5" customHeight="1" thickBot="1">
      <c r="A51" s="1078"/>
      <c r="B51" s="1074">
        <f>[4]int.kiadások2025!$B$48</f>
        <v>10139276</v>
      </c>
      <c r="C51" s="1074">
        <f>'[5]int.kiadások RM IV'!$D$49</f>
        <v>11016294</v>
      </c>
      <c r="D51" s="1074"/>
      <c r="E51" s="1074"/>
      <c r="F51" s="1074">
        <f>[4]int.kiadások2025!$C$48</f>
        <v>1450628</v>
      </c>
      <c r="G51" s="1074">
        <f>'[5]int.kiadások RM IV'!$G$49</f>
        <v>1585737</v>
      </c>
      <c r="H51" s="1074"/>
      <c r="I51" s="1074"/>
      <c r="J51" s="1074">
        <f>[4]int.kiadások2025!$D$48</f>
        <v>4152896</v>
      </c>
      <c r="K51" s="1074">
        <f>'[5]int.kiadások RM IV'!$J$49</f>
        <v>5209315</v>
      </c>
      <c r="L51" s="1074"/>
      <c r="M51" s="1074"/>
      <c r="N51" s="1078"/>
      <c r="O51" s="1074">
        <f>[4]int.kiadások2025!$E$48</f>
        <v>0</v>
      </c>
      <c r="P51" s="1074">
        <f>'[5]int.kiadások RM IV'!$N$49</f>
        <v>0</v>
      </c>
      <c r="Q51" s="1074"/>
      <c r="R51" s="1074"/>
      <c r="S51" s="1074">
        <f>[4]int.kiadások2025!$F$48</f>
        <v>4000</v>
      </c>
      <c r="T51" s="1074">
        <f>'[5]int.kiadások RM IV'!$Q$49</f>
        <v>10317</v>
      </c>
      <c r="U51" s="1074"/>
      <c r="V51" s="1074"/>
      <c r="W51" s="1074">
        <f>[4]int.kiadások2025!$G$48</f>
        <v>15746800</v>
      </c>
      <c r="X51" s="1074">
        <f>'[5]int.kiadások RM IV'!$T$49</f>
        <v>17821663</v>
      </c>
      <c r="Y51" s="1074"/>
      <c r="Z51" s="1074"/>
      <c r="AA51" s="1112"/>
      <c r="AB51" s="1076">
        <f>[4]int.kiadások2025!$I$48</f>
        <v>72863</v>
      </c>
      <c r="AC51" s="1076">
        <f>'[5]int.kiadások RM IV'!$X$49</f>
        <v>451339</v>
      </c>
      <c r="AD51" s="1078"/>
      <c r="AE51" s="1078"/>
      <c r="AF51" s="1076">
        <f>[4]int.kiadások2025!$J$48</f>
        <v>0</v>
      </c>
      <c r="AG51" s="1076">
        <f>'[5]int.kiadások RM IV'!$AA$49</f>
        <v>122975</v>
      </c>
      <c r="AH51" s="1078"/>
      <c r="AI51" s="1078"/>
      <c r="AJ51" s="1076">
        <f>[4]int.kiadások2025!$K$48</f>
        <v>0</v>
      </c>
      <c r="AK51" s="1076">
        <f>'[5]int.kiadások RM IV'!$AD$49</f>
        <v>0</v>
      </c>
      <c r="AL51" s="1078"/>
      <c r="AM51" s="1078"/>
      <c r="AN51" s="1112"/>
      <c r="AO51" s="1076">
        <f>[4]int.kiadások2025!$L$48</f>
        <v>72863</v>
      </c>
      <c r="AP51" s="1076">
        <f>'[5]int.kiadások RM IV'!$AG$49</f>
        <v>574314</v>
      </c>
      <c r="AQ51" s="1076">
        <f>AD51+AH51+AL51</f>
        <v>0</v>
      </c>
      <c r="AR51" s="1078"/>
      <c r="AS51" s="1076">
        <f>[4]int.kiadások2025!$M$48</f>
        <v>15819663</v>
      </c>
      <c r="AT51" s="1076">
        <f>'[5]int.kiadások RM IV'!$AJ$49</f>
        <v>18395977</v>
      </c>
      <c r="AU51" s="1113">
        <f>Y51+AQ51</f>
        <v>0</v>
      </c>
      <c r="AV51" s="1078"/>
      <c r="AW51" s="1076"/>
      <c r="AX51" s="1076"/>
      <c r="AY51" s="1076"/>
      <c r="AZ51" s="1076"/>
      <c r="BA51" s="1076"/>
      <c r="BB51" s="1076"/>
      <c r="BC51" s="1076"/>
      <c r="BD51" s="1076"/>
      <c r="BE51" s="1114"/>
      <c r="BF51" s="1114"/>
      <c r="BG51" s="1114"/>
      <c r="BH51" s="1114"/>
      <c r="BI51" s="1114"/>
      <c r="BJ51" s="1114"/>
      <c r="BK51" s="1114"/>
      <c r="BL51" s="1114"/>
    </row>
    <row r="52" spans="1:64" s="1115" customFormat="1" ht="49.5" customHeight="1">
      <c r="A52" s="1078"/>
      <c r="B52" s="1074">
        <f>B49-B51</f>
        <v>0</v>
      </c>
      <c r="C52" s="1074">
        <f t="shared" ref="C52:AU52" si="16">C49-C51</f>
        <v>0</v>
      </c>
      <c r="D52" s="1074">
        <f t="shared" si="16"/>
        <v>10584489</v>
      </c>
      <c r="E52" s="1074"/>
      <c r="F52" s="1074">
        <f t="shared" si="16"/>
        <v>0</v>
      </c>
      <c r="G52" s="1074">
        <f t="shared" si="16"/>
        <v>0</v>
      </c>
      <c r="H52" s="1074">
        <f t="shared" si="16"/>
        <v>1399406</v>
      </c>
      <c r="I52" s="1074"/>
      <c r="J52" s="1074">
        <f t="shared" si="16"/>
        <v>0</v>
      </c>
      <c r="K52" s="1074">
        <f t="shared" si="16"/>
        <v>0</v>
      </c>
      <c r="L52" s="1074">
        <f t="shared" si="16"/>
        <v>4608793</v>
      </c>
      <c r="M52" s="1074"/>
      <c r="N52" s="1074"/>
      <c r="O52" s="1074">
        <f t="shared" si="16"/>
        <v>0</v>
      </c>
      <c r="P52" s="1074">
        <f t="shared" si="16"/>
        <v>0</v>
      </c>
      <c r="Q52" s="1074">
        <f t="shared" si="16"/>
        <v>0</v>
      </c>
      <c r="R52" s="1074"/>
      <c r="S52" s="1074">
        <f t="shared" si="16"/>
        <v>0</v>
      </c>
      <c r="T52" s="1074">
        <f t="shared" si="16"/>
        <v>0</v>
      </c>
      <c r="U52" s="1074">
        <f t="shared" si="16"/>
        <v>10317</v>
      </c>
      <c r="V52" s="1074"/>
      <c r="W52" s="1074">
        <f t="shared" si="16"/>
        <v>0</v>
      </c>
      <c r="X52" s="1074">
        <f t="shared" si="16"/>
        <v>0</v>
      </c>
      <c r="Y52" s="1074">
        <f t="shared" si="16"/>
        <v>16603005</v>
      </c>
      <c r="Z52" s="1074"/>
      <c r="AA52" s="1074"/>
      <c r="AB52" s="1074">
        <f t="shared" si="16"/>
        <v>0</v>
      </c>
      <c r="AC52" s="1074">
        <f t="shared" si="16"/>
        <v>0</v>
      </c>
      <c r="AD52" s="1074">
        <f t="shared" si="16"/>
        <v>312359</v>
      </c>
      <c r="AE52" s="1074"/>
      <c r="AF52" s="1074">
        <f t="shared" si="16"/>
        <v>0</v>
      </c>
      <c r="AG52" s="1074">
        <f t="shared" si="16"/>
        <v>0</v>
      </c>
      <c r="AH52" s="1074">
        <f t="shared" si="16"/>
        <v>50232</v>
      </c>
      <c r="AI52" s="1074"/>
      <c r="AJ52" s="1074">
        <f t="shared" si="16"/>
        <v>0</v>
      </c>
      <c r="AK52" s="1074">
        <f t="shared" si="16"/>
        <v>0</v>
      </c>
      <c r="AL52" s="1074">
        <f t="shared" si="16"/>
        <v>0</v>
      </c>
      <c r="AM52" s="1074"/>
      <c r="AN52" s="1074"/>
      <c r="AO52" s="1074">
        <f t="shared" si="16"/>
        <v>0</v>
      </c>
      <c r="AP52" s="1074">
        <f t="shared" si="16"/>
        <v>0</v>
      </c>
      <c r="AQ52" s="1074">
        <f t="shared" si="16"/>
        <v>362591</v>
      </c>
      <c r="AR52" s="1074"/>
      <c r="AS52" s="1074">
        <f t="shared" si="16"/>
        <v>0</v>
      </c>
      <c r="AT52" s="1074">
        <f t="shared" si="16"/>
        <v>0</v>
      </c>
      <c r="AU52" s="1074">
        <f t="shared" si="16"/>
        <v>16965596</v>
      </c>
      <c r="AV52" s="1074"/>
      <c r="AW52" s="1074"/>
      <c r="AX52" s="1074"/>
      <c r="AY52" s="1074"/>
      <c r="AZ52" s="1076"/>
      <c r="BA52" s="1076"/>
      <c r="BB52" s="1076"/>
      <c r="BC52" s="1076"/>
      <c r="BD52" s="1076"/>
      <c r="BE52" s="1114"/>
      <c r="BF52" s="1114"/>
      <c r="BG52" s="1114"/>
      <c r="BH52" s="1114"/>
      <c r="BI52" s="1114"/>
      <c r="BJ52" s="1114"/>
      <c r="BK52" s="1114"/>
      <c r="BL52" s="1114"/>
    </row>
    <row r="53" spans="1:64" ht="49.5" customHeight="1">
      <c r="A53" s="1079"/>
      <c r="B53" s="1116"/>
      <c r="C53" s="1116"/>
      <c r="D53" s="1116"/>
      <c r="E53" s="1116"/>
      <c r="F53" s="1116"/>
      <c r="G53" s="1116"/>
      <c r="H53" s="1116"/>
      <c r="I53" s="1116"/>
      <c r="J53" s="1116"/>
      <c r="K53" s="1116"/>
      <c r="L53" s="1116"/>
      <c r="M53" s="1116"/>
      <c r="N53" s="1079"/>
      <c r="O53" s="1116"/>
      <c r="P53" s="1116"/>
      <c r="Q53" s="1116"/>
      <c r="R53" s="1116"/>
      <c r="S53" s="1116"/>
      <c r="T53" s="1116"/>
      <c r="U53" s="1116"/>
      <c r="V53" s="1116"/>
      <c r="W53" s="1116"/>
      <c r="X53" s="1116"/>
      <c r="Y53" s="1116"/>
      <c r="Z53" s="1116"/>
      <c r="AA53" s="1106"/>
      <c r="AB53" s="1079"/>
      <c r="AC53" s="1079"/>
      <c r="AD53" s="1079"/>
      <c r="AE53" s="1079"/>
      <c r="AF53" s="1079"/>
      <c r="AG53" s="1079"/>
      <c r="AH53" s="1079"/>
      <c r="AI53" s="1079"/>
      <c r="AJ53" s="1079"/>
      <c r="AK53" s="1079"/>
      <c r="AL53" s="1079"/>
      <c r="AM53" s="1079"/>
      <c r="AN53" s="1106"/>
      <c r="AO53" s="1079"/>
      <c r="AP53" s="1079"/>
      <c r="AQ53" s="1079"/>
      <c r="AR53" s="1079"/>
      <c r="AS53" s="1079"/>
      <c r="AT53" s="1079"/>
      <c r="AU53" s="1079"/>
      <c r="AV53" s="1079"/>
      <c r="AW53" s="1019"/>
      <c r="AX53" s="1019"/>
      <c r="AY53" s="1019"/>
      <c r="AZ53" s="1117"/>
      <c r="BA53" s="1117"/>
      <c r="BB53" s="1117"/>
      <c r="BC53" s="1117"/>
      <c r="BD53" s="1117"/>
      <c r="BE53" s="1087"/>
      <c r="BF53" s="1087"/>
      <c r="BG53" s="1087"/>
      <c r="BH53" s="1087"/>
      <c r="BI53" s="1087"/>
      <c r="BJ53" s="1087"/>
      <c r="BK53" s="1087"/>
      <c r="BL53" s="1087"/>
    </row>
    <row r="54" spans="1:64" ht="49.5" customHeight="1">
      <c r="A54" s="1079"/>
      <c r="B54" s="1116"/>
      <c r="C54" s="1116"/>
      <c r="D54" s="1116"/>
      <c r="E54" s="1116"/>
      <c r="F54" s="1116"/>
      <c r="G54" s="1116"/>
      <c r="H54" s="1116"/>
      <c r="I54" s="1116"/>
      <c r="J54" s="1116"/>
      <c r="K54" s="1116"/>
      <c r="L54" s="1116"/>
      <c r="M54" s="1116"/>
      <c r="N54" s="1079"/>
      <c r="O54" s="1116"/>
      <c r="P54" s="1116"/>
      <c r="Q54" s="1116"/>
      <c r="R54" s="1116"/>
      <c r="S54" s="1116"/>
      <c r="T54" s="1116"/>
      <c r="U54" s="1116"/>
      <c r="V54" s="1116"/>
      <c r="W54" s="1116"/>
      <c r="X54" s="1116"/>
      <c r="Y54" s="1116"/>
      <c r="Z54" s="1116"/>
      <c r="AA54" s="1106"/>
      <c r="AB54" s="1079"/>
      <c r="AC54" s="1079"/>
      <c r="AD54" s="1079"/>
      <c r="AE54" s="1079"/>
      <c r="AF54" s="1079"/>
      <c r="AG54" s="1079"/>
      <c r="AH54" s="1079"/>
      <c r="AI54" s="1079"/>
      <c r="AJ54" s="1079"/>
      <c r="AK54" s="1079"/>
      <c r="AL54" s="1079"/>
      <c r="AM54" s="1079"/>
      <c r="AN54" s="1106"/>
      <c r="AO54" s="1079"/>
      <c r="AP54" s="1079"/>
      <c r="AQ54" s="1079"/>
      <c r="AR54" s="1079"/>
      <c r="AS54" s="1079"/>
      <c r="AT54" s="1079"/>
      <c r="AU54" s="1079"/>
      <c r="AV54" s="1079"/>
      <c r="AW54" s="1019"/>
      <c r="AX54" s="1019"/>
      <c r="AY54" s="1019"/>
      <c r="AZ54" s="1117"/>
      <c r="BA54" s="1117"/>
      <c r="BB54" s="1117"/>
      <c r="BC54" s="1117"/>
      <c r="BD54" s="1117"/>
      <c r="BE54" s="1087"/>
      <c r="BF54" s="1087"/>
      <c r="BG54" s="1087"/>
      <c r="BH54" s="1087"/>
      <c r="BI54" s="1087"/>
      <c r="BJ54" s="1087"/>
      <c r="BK54" s="1087"/>
      <c r="BL54" s="1087"/>
    </row>
    <row r="55" spans="1:64" ht="49.5" customHeight="1">
      <c r="A55" s="1079"/>
      <c r="B55" s="1116"/>
      <c r="C55" s="1116"/>
      <c r="D55" s="1116"/>
      <c r="E55" s="1116"/>
      <c r="F55" s="1116"/>
      <c r="G55" s="1116"/>
      <c r="H55" s="1116"/>
      <c r="I55" s="1116"/>
      <c r="J55" s="1116"/>
      <c r="K55" s="1116"/>
      <c r="L55" s="1116"/>
      <c r="M55" s="1116"/>
      <c r="N55" s="1079"/>
      <c r="O55" s="1116"/>
      <c r="P55" s="1116"/>
      <c r="Q55" s="1116"/>
      <c r="R55" s="1116"/>
      <c r="S55" s="1116"/>
      <c r="T55" s="1116"/>
      <c r="U55" s="1116"/>
      <c r="V55" s="1116"/>
      <c r="W55" s="1116"/>
      <c r="X55" s="1116"/>
      <c r="Y55" s="1116"/>
      <c r="Z55" s="1116"/>
      <c r="AA55" s="1106"/>
      <c r="AB55" s="1079"/>
      <c r="AC55" s="1079"/>
      <c r="AD55" s="1079"/>
      <c r="AE55" s="1079"/>
      <c r="AF55" s="1079"/>
      <c r="AG55" s="1079"/>
      <c r="AH55" s="1079"/>
      <c r="AI55" s="1079"/>
      <c r="AJ55" s="1079"/>
      <c r="AK55" s="1079"/>
      <c r="AL55" s="1079"/>
      <c r="AM55" s="1079"/>
      <c r="AN55" s="1106"/>
      <c r="AO55" s="1079"/>
      <c r="AP55" s="1079"/>
      <c r="AQ55" s="1079"/>
      <c r="AR55" s="1079"/>
      <c r="AS55" s="1079"/>
      <c r="AT55" s="1079"/>
      <c r="AU55" s="1079"/>
      <c r="AV55" s="1079"/>
      <c r="AW55" s="1019"/>
      <c r="AX55" s="1019"/>
      <c r="AY55" s="1019"/>
      <c r="AZ55" s="1117"/>
      <c r="BA55" s="1117"/>
      <c r="BB55" s="1117"/>
      <c r="BC55" s="1117"/>
      <c r="BD55" s="1117"/>
      <c r="BE55" s="1087"/>
      <c r="BF55" s="1087"/>
      <c r="BG55" s="1087"/>
      <c r="BH55" s="1087"/>
      <c r="BI55" s="1087"/>
      <c r="BJ55" s="1087"/>
      <c r="BK55" s="1087"/>
      <c r="BL55" s="1087"/>
    </row>
    <row r="56" spans="1:64" ht="49.5" customHeight="1">
      <c r="A56" s="1019"/>
      <c r="B56" s="1116"/>
      <c r="C56" s="1116"/>
      <c r="D56" s="1116"/>
      <c r="E56" s="1116"/>
      <c r="F56" s="1116"/>
      <c r="G56" s="1116"/>
      <c r="H56" s="1116"/>
      <c r="I56" s="1116"/>
      <c r="J56" s="1116"/>
      <c r="K56" s="1116"/>
      <c r="L56" s="1116"/>
      <c r="M56" s="1116"/>
      <c r="N56" s="1019"/>
      <c r="O56" s="1116"/>
      <c r="P56" s="1116"/>
      <c r="Q56" s="1116"/>
      <c r="R56" s="1116"/>
      <c r="S56" s="1116"/>
      <c r="T56" s="1116"/>
      <c r="U56" s="1116"/>
      <c r="V56" s="1116"/>
      <c r="W56" s="1116"/>
      <c r="X56" s="1116"/>
      <c r="Y56" s="1116"/>
      <c r="Z56" s="1116"/>
      <c r="AA56" s="1118"/>
      <c r="AB56" s="1019"/>
      <c r="AC56" s="1019"/>
      <c r="AD56" s="1019"/>
      <c r="AE56" s="1019"/>
      <c r="AF56" s="1019"/>
      <c r="AG56" s="1019"/>
      <c r="AH56" s="1019"/>
      <c r="AI56" s="1019"/>
      <c r="AJ56" s="1019"/>
      <c r="AK56" s="1019"/>
      <c r="AL56" s="1019"/>
      <c r="AM56" s="1019"/>
      <c r="AN56" s="1118"/>
      <c r="AO56" s="1019"/>
      <c r="AP56" s="1019"/>
      <c r="AQ56" s="1019"/>
      <c r="AR56" s="1019"/>
      <c r="AS56" s="1019"/>
      <c r="AT56" s="1019"/>
      <c r="AU56" s="1019"/>
      <c r="AV56" s="1019"/>
      <c r="AW56" s="1019"/>
      <c r="AX56" s="1019"/>
      <c r="AY56" s="1019"/>
      <c r="AZ56" s="1117"/>
      <c r="BA56" s="1117"/>
      <c r="BB56" s="1117"/>
      <c r="BC56" s="1117"/>
      <c r="BD56" s="1117"/>
      <c r="BE56" s="1087"/>
      <c r="BF56" s="1087"/>
      <c r="BG56" s="1087"/>
      <c r="BH56" s="1087"/>
      <c r="BI56" s="1087"/>
      <c r="BJ56" s="1087"/>
      <c r="BK56" s="1087"/>
      <c r="BL56" s="1087"/>
    </row>
    <row r="57" spans="1:64" ht="49.5" customHeight="1">
      <c r="A57" s="1119"/>
      <c r="B57" s="1120"/>
      <c r="C57" s="1120"/>
      <c r="D57" s="1120"/>
      <c r="E57" s="1120"/>
      <c r="F57" s="1120"/>
      <c r="G57" s="1120"/>
      <c r="H57" s="1120"/>
      <c r="I57" s="1120"/>
      <c r="J57" s="1120"/>
      <c r="K57" s="1120"/>
      <c r="L57" s="1120"/>
      <c r="M57" s="1120"/>
      <c r="N57" s="1119"/>
      <c r="O57" s="1120"/>
      <c r="P57" s="1120"/>
      <c r="Q57" s="1120"/>
      <c r="R57" s="1120"/>
      <c r="S57" s="1120"/>
      <c r="T57" s="1120"/>
      <c r="U57" s="1120"/>
      <c r="V57" s="1120"/>
      <c r="W57" s="1120"/>
      <c r="X57" s="1120"/>
      <c r="Y57" s="1120"/>
      <c r="Z57" s="1120"/>
      <c r="AA57" s="1121"/>
      <c r="AB57" s="1119"/>
      <c r="AC57" s="1119"/>
      <c r="AD57" s="1119"/>
      <c r="AE57" s="1119"/>
      <c r="AF57" s="1023"/>
      <c r="AG57" s="1023"/>
      <c r="AH57" s="1023"/>
      <c r="AI57" s="1023"/>
      <c r="AJ57" s="1119"/>
      <c r="AK57" s="1119"/>
      <c r="AL57" s="1119"/>
      <c r="AM57" s="1119"/>
      <c r="AN57" s="1121"/>
      <c r="AO57" s="1119"/>
      <c r="AP57" s="1119"/>
      <c r="AQ57" s="1119"/>
      <c r="AR57" s="1119"/>
      <c r="AS57" s="1023"/>
      <c r="AT57" s="1023"/>
      <c r="AU57" s="1023"/>
      <c r="AV57" s="1023"/>
      <c r="AW57" s="1023"/>
      <c r="AX57" s="1023"/>
      <c r="AY57" s="1023"/>
      <c r="AZ57" s="1122"/>
      <c r="BA57" s="1122"/>
      <c r="BB57" s="1122"/>
      <c r="BC57" s="1122"/>
      <c r="BD57" s="1122"/>
    </row>
  </sheetData>
  <mergeCells count="19">
    <mergeCell ref="AF5:AI7"/>
    <mergeCell ref="AJ5:AM7"/>
    <mergeCell ref="AO5:AR7"/>
    <mergeCell ref="AS5:AV7"/>
    <mergeCell ref="W5:Z7"/>
    <mergeCell ref="AB5:AE7"/>
    <mergeCell ref="A2:M2"/>
    <mergeCell ref="N2:Z2"/>
    <mergeCell ref="AA2:AM2"/>
    <mergeCell ref="AN2:AV2"/>
    <mergeCell ref="A3:M3"/>
    <mergeCell ref="N3:Z3"/>
    <mergeCell ref="AA3:AM3"/>
    <mergeCell ref="AN3:AV3"/>
    <mergeCell ref="B5:E7"/>
    <mergeCell ref="F5:I7"/>
    <mergeCell ref="J5:M7"/>
    <mergeCell ref="O5:R7"/>
    <mergeCell ref="S5:V7"/>
  </mergeCells>
  <printOptions horizontalCentered="1" verticalCentered="1"/>
  <pageMargins left="0" right="0" top="0" bottom="0" header="0" footer="0"/>
  <pageSetup paperSize="9" scale="18" orientation="landscape" r:id="rId1"/>
  <headerFooter alignWithMargins="0">
    <oddHeader>&amp;R&amp;"-,Normál"&amp;36
 6.  melléklet  a  .../2026.(...) önkormányzati rendelethez</oddHeader>
    <oddFooter xml:space="preserve">&amp;C &amp;R
&amp;36 &amp;10
</oddFooter>
  </headerFooter>
  <colBreaks count="3" manualBreakCount="3">
    <brk id="13" max="53" man="1"/>
    <brk id="26" max="53" man="1"/>
    <brk id="39" max="5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B2FF-157A-43AC-9356-C985073A9D7A}">
  <sheetPr>
    <pageSetUpPr fitToPage="1"/>
  </sheetPr>
  <dimension ref="A1:J89"/>
  <sheetViews>
    <sheetView view="pageBreakPreview" zoomScale="50" zoomScaleNormal="40" zoomScaleSheetLayoutView="50" workbookViewId="0">
      <pane ySplit="5" topLeftCell="A48" activePane="bottomLeft" state="frozen"/>
      <selection activeCell="B2" sqref="B2:F2"/>
      <selection pane="bottomLeft" activeCell="A2" sqref="A2:I2"/>
    </sheetView>
  </sheetViews>
  <sheetFormatPr defaultColWidth="12" defaultRowHeight="33.75"/>
  <cols>
    <col min="1" max="1" width="151" style="1128" customWidth="1"/>
    <col min="2" max="2" width="50" style="1133" customWidth="1"/>
    <col min="3" max="7" width="49.83203125" style="1133" customWidth="1"/>
    <col min="8" max="8" width="50" style="1133" customWidth="1"/>
    <col min="9" max="9" width="49.83203125" style="1133" customWidth="1"/>
    <col min="10" max="10" width="22.5" style="1132" customWidth="1"/>
    <col min="11" max="16384" width="12" style="1133"/>
  </cols>
  <sheetData>
    <row r="1" spans="1:10" s="1128" customFormat="1" ht="45" customHeight="1">
      <c r="A1" s="1956" t="s">
        <v>1206</v>
      </c>
      <c r="B1" s="1956"/>
      <c r="C1" s="1956"/>
      <c r="D1" s="1956"/>
      <c r="E1" s="1956"/>
      <c r="F1" s="1956"/>
      <c r="G1" s="1956"/>
      <c r="H1" s="1956"/>
      <c r="I1" s="1956"/>
      <c r="J1" s="1127"/>
    </row>
    <row r="2" spans="1:10" s="1128" customFormat="1" ht="44.25" customHeight="1">
      <c r="A2" s="1956" t="s">
        <v>1207</v>
      </c>
      <c r="B2" s="1956"/>
      <c r="C2" s="1956"/>
      <c r="D2" s="1956"/>
      <c r="E2" s="1956"/>
      <c r="F2" s="1956"/>
      <c r="G2" s="1956"/>
      <c r="H2" s="1956"/>
      <c r="I2" s="1956"/>
      <c r="J2" s="1127"/>
    </row>
    <row r="3" spans="1:10" ht="44.25" customHeight="1" thickBot="1">
      <c r="A3" s="1129"/>
      <c r="B3" s="1130"/>
      <c r="C3" s="1130"/>
      <c r="D3" s="1130"/>
      <c r="E3" s="1130"/>
      <c r="F3" s="1130"/>
      <c r="G3" s="1130"/>
      <c r="H3" s="1130"/>
      <c r="I3" s="1131" t="s">
        <v>1208</v>
      </c>
    </row>
    <row r="4" spans="1:10" s="1128" customFormat="1" ht="45.75" customHeight="1" thickBot="1">
      <c r="A4" s="1957" t="s">
        <v>1209</v>
      </c>
      <c r="B4" s="1960" t="s">
        <v>1210</v>
      </c>
      <c r="C4" s="1963" t="s">
        <v>1211</v>
      </c>
      <c r="D4" s="1964"/>
      <c r="E4" s="1964"/>
      <c r="F4" s="1964"/>
      <c r="G4" s="1964"/>
      <c r="H4" s="1964"/>
      <c r="I4" s="1965"/>
      <c r="J4" s="1135"/>
    </row>
    <row r="5" spans="1:10" s="1128" customFormat="1" ht="149.25" customHeight="1" thickBot="1">
      <c r="A5" s="1958"/>
      <c r="B5" s="1961"/>
      <c r="C5" s="1134" t="s">
        <v>1212</v>
      </c>
      <c r="D5" s="1136" t="s">
        <v>1213</v>
      </c>
      <c r="E5" s="1136" t="s">
        <v>1214</v>
      </c>
      <c r="F5" s="1137" t="s">
        <v>1215</v>
      </c>
      <c r="G5" s="1966" t="s">
        <v>1216</v>
      </c>
      <c r="H5" s="1967"/>
      <c r="I5" s="1138" t="s">
        <v>1217</v>
      </c>
      <c r="J5" s="1135"/>
    </row>
    <row r="6" spans="1:10" s="1128" customFormat="1" ht="87.75" customHeight="1" thickBot="1">
      <c r="A6" s="1959"/>
      <c r="B6" s="1962"/>
      <c r="C6" s="1139"/>
      <c r="D6" s="1140"/>
      <c r="E6" s="1141"/>
      <c r="F6" s="1142"/>
      <c r="G6" s="1141"/>
      <c r="H6" s="1143" t="s">
        <v>1218</v>
      </c>
      <c r="I6" s="1138"/>
      <c r="J6" s="1135"/>
    </row>
    <row r="7" spans="1:10" s="1150" customFormat="1" ht="145.5" customHeight="1">
      <c r="A7" s="1144" t="s">
        <v>1219</v>
      </c>
      <c r="B7" s="1145"/>
      <c r="C7" s="1146"/>
      <c r="D7" s="1147"/>
      <c r="E7" s="1148"/>
      <c r="F7" s="1148"/>
      <c r="G7" s="1148"/>
      <c r="H7" s="1148"/>
      <c r="I7" s="1146"/>
      <c r="J7" s="1149"/>
    </row>
    <row r="8" spans="1:10" s="1155" customFormat="1" ht="45.75" customHeight="1">
      <c r="A8" s="1151" t="s">
        <v>1167</v>
      </c>
      <c r="B8" s="1152">
        <f>'[8]létszám ei mód RM IV.'!H8</f>
        <v>34</v>
      </c>
      <c r="C8" s="1153"/>
      <c r="D8" s="1154"/>
      <c r="E8" s="1154"/>
      <c r="F8" s="1154">
        <v>33</v>
      </c>
      <c r="G8" s="1154">
        <v>1</v>
      </c>
      <c r="H8" s="1154"/>
      <c r="I8" s="1153"/>
      <c r="J8" s="1132"/>
    </row>
    <row r="9" spans="1:10" s="1155" customFormat="1" ht="45.75" customHeight="1">
      <c r="A9" s="1156" t="s">
        <v>1168</v>
      </c>
      <c r="B9" s="1157">
        <f>'[8]létszám ei mód RM IV.'!H9</f>
        <v>24</v>
      </c>
      <c r="C9" s="1158"/>
      <c r="D9" s="1159"/>
      <c r="E9" s="1159"/>
      <c r="F9" s="1159">
        <v>23</v>
      </c>
      <c r="G9" s="1160">
        <v>1</v>
      </c>
      <c r="H9" s="1161"/>
      <c r="I9" s="1160"/>
      <c r="J9" s="1132"/>
    </row>
    <row r="10" spans="1:10" s="1155" customFormat="1" ht="45.75" customHeight="1">
      <c r="A10" s="1156" t="s">
        <v>1169</v>
      </c>
      <c r="B10" s="1162">
        <f>'[8]létszám ei mód RM IV.'!H10</f>
        <v>24</v>
      </c>
      <c r="C10" s="1163"/>
      <c r="D10" s="1164"/>
      <c r="E10" s="1161"/>
      <c r="F10" s="1161">
        <v>23</v>
      </c>
      <c r="G10" s="1154">
        <v>1</v>
      </c>
      <c r="H10" s="1154"/>
      <c r="I10" s="1153"/>
      <c r="J10" s="1132"/>
    </row>
    <row r="11" spans="1:10" s="1155" customFormat="1" ht="45.75" customHeight="1">
      <c r="A11" s="1156" t="s">
        <v>1170</v>
      </c>
      <c r="B11" s="1152">
        <f>'[8]létszám ei mód RM IV.'!H11</f>
        <v>29</v>
      </c>
      <c r="C11" s="1153"/>
      <c r="D11" s="1154"/>
      <c r="E11" s="1154"/>
      <c r="F11" s="1154">
        <v>28</v>
      </c>
      <c r="G11" s="1160">
        <v>1</v>
      </c>
      <c r="H11" s="1161"/>
      <c r="I11" s="1160"/>
      <c r="J11" s="1132"/>
    </row>
    <row r="12" spans="1:10" s="1155" customFormat="1" ht="45.75" customHeight="1">
      <c r="A12" s="1156" t="s">
        <v>1171</v>
      </c>
      <c r="B12" s="1157">
        <f>'[8]létszám ei mód RM IV.'!H12</f>
        <v>28</v>
      </c>
      <c r="C12" s="1158"/>
      <c r="D12" s="1159"/>
      <c r="E12" s="1159"/>
      <c r="F12" s="1159">
        <v>27</v>
      </c>
      <c r="G12" s="1160">
        <v>1</v>
      </c>
      <c r="H12" s="1154"/>
      <c r="I12" s="1160"/>
      <c r="J12" s="1132"/>
    </row>
    <row r="13" spans="1:10" s="1155" customFormat="1" ht="45.75" customHeight="1">
      <c r="A13" s="1156" t="s">
        <v>1172</v>
      </c>
      <c r="B13" s="1162">
        <f>'[8]létszám ei mód RM IV.'!H13</f>
        <v>24</v>
      </c>
      <c r="C13" s="1160"/>
      <c r="D13" s="1161"/>
      <c r="E13" s="1161"/>
      <c r="F13" s="1161">
        <v>23</v>
      </c>
      <c r="G13" s="1160">
        <v>1</v>
      </c>
      <c r="H13" s="1161"/>
      <c r="I13" s="1160"/>
      <c r="J13" s="1132"/>
    </row>
    <row r="14" spans="1:10" s="1155" customFormat="1" ht="45.75" customHeight="1">
      <c r="A14" s="1156" t="s">
        <v>1173</v>
      </c>
      <c r="B14" s="1157">
        <f>'[8]létszám ei mód RM IV.'!H14</f>
        <v>19</v>
      </c>
      <c r="C14" s="1158"/>
      <c r="D14" s="1159"/>
      <c r="E14" s="1159"/>
      <c r="F14" s="1159">
        <v>18</v>
      </c>
      <c r="G14" s="1160">
        <v>1</v>
      </c>
      <c r="H14" s="1154"/>
      <c r="I14" s="1160"/>
      <c r="J14" s="1132"/>
    </row>
    <row r="15" spans="1:10" s="1155" customFormat="1" ht="45.75" customHeight="1">
      <c r="A15" s="1156" t="s">
        <v>1174</v>
      </c>
      <c r="B15" s="1162">
        <f>'[8]létszám ei mód RM IV.'!H15</f>
        <v>19</v>
      </c>
      <c r="C15" s="1160"/>
      <c r="D15" s="1161"/>
      <c r="E15" s="1161"/>
      <c r="F15" s="1161">
        <v>18</v>
      </c>
      <c r="G15" s="1160">
        <v>1</v>
      </c>
      <c r="H15" s="1161"/>
      <c r="I15" s="1160"/>
      <c r="J15" s="1132"/>
    </row>
    <row r="16" spans="1:10" s="1155" customFormat="1" ht="45.75" customHeight="1">
      <c r="A16" s="1156" t="s">
        <v>1220</v>
      </c>
      <c r="B16" s="1157">
        <f>'[8]létszám ei mód RM IV.'!H16</f>
        <v>28</v>
      </c>
      <c r="C16" s="1165"/>
      <c r="D16" s="1166"/>
      <c r="E16" s="1159"/>
      <c r="F16" s="1159">
        <v>27</v>
      </c>
      <c r="G16" s="1160">
        <v>1</v>
      </c>
      <c r="H16" s="1154"/>
      <c r="I16" s="1160"/>
      <c r="J16" s="1132"/>
    </row>
    <row r="17" spans="1:10" s="1155" customFormat="1" ht="45.75" customHeight="1">
      <c r="A17" s="1156" t="s">
        <v>1176</v>
      </c>
      <c r="B17" s="1162">
        <f>'[8]létszám ei mód RM IV.'!H17</f>
        <v>31</v>
      </c>
      <c r="C17" s="1160"/>
      <c r="D17" s="1161"/>
      <c r="E17" s="1161"/>
      <c r="F17" s="1161">
        <v>30</v>
      </c>
      <c r="G17" s="1160">
        <v>1</v>
      </c>
      <c r="H17" s="1161"/>
      <c r="I17" s="1160"/>
      <c r="J17" s="1132"/>
    </row>
    <row r="18" spans="1:10" s="1155" customFormat="1" ht="45.75" customHeight="1">
      <c r="A18" s="1156" t="s">
        <v>1177</v>
      </c>
      <c r="B18" s="1157">
        <f>'[8]létszám ei mód RM IV.'!H18</f>
        <v>16</v>
      </c>
      <c r="C18" s="1158"/>
      <c r="D18" s="1159"/>
      <c r="E18" s="1159"/>
      <c r="F18" s="1159">
        <v>15</v>
      </c>
      <c r="G18" s="1160">
        <v>1</v>
      </c>
      <c r="H18" s="1154"/>
      <c r="I18" s="1160"/>
      <c r="J18" s="1132"/>
    </row>
    <row r="19" spans="1:10" s="1155" customFormat="1" ht="45.75" customHeight="1">
      <c r="A19" s="1156" t="s">
        <v>1178</v>
      </c>
      <c r="B19" s="1162">
        <f>'[8]létszám ei mód RM IV.'!H19</f>
        <v>15</v>
      </c>
      <c r="C19" s="1160"/>
      <c r="D19" s="1161"/>
      <c r="E19" s="1161"/>
      <c r="F19" s="1159">
        <v>13</v>
      </c>
      <c r="G19" s="1160">
        <v>2</v>
      </c>
      <c r="H19" s="1161"/>
      <c r="I19" s="1167"/>
      <c r="J19" s="1132"/>
    </row>
    <row r="20" spans="1:10" s="1155" customFormat="1" ht="45.75" customHeight="1">
      <c r="A20" s="1156" t="s">
        <v>1179</v>
      </c>
      <c r="B20" s="1157">
        <f>'[8]létszám ei mód RM IV.'!H20</f>
        <v>20</v>
      </c>
      <c r="C20" s="1158"/>
      <c r="D20" s="1159"/>
      <c r="E20" s="1159"/>
      <c r="F20" s="1159">
        <v>19</v>
      </c>
      <c r="G20" s="1160">
        <v>1</v>
      </c>
      <c r="H20" s="1154"/>
      <c r="I20" s="1160"/>
      <c r="J20" s="1132"/>
    </row>
    <row r="21" spans="1:10" s="1155" customFormat="1" ht="45.75" customHeight="1">
      <c r="A21" s="1156" t="s">
        <v>1180</v>
      </c>
      <c r="B21" s="1162">
        <f>'[8]létszám ei mód RM IV.'!H21</f>
        <v>21</v>
      </c>
      <c r="C21" s="1160"/>
      <c r="D21" s="1161"/>
      <c r="E21" s="1161"/>
      <c r="F21" s="1161">
        <v>20</v>
      </c>
      <c r="G21" s="1160">
        <v>1</v>
      </c>
      <c r="H21" s="1160"/>
      <c r="I21" s="1160"/>
      <c r="J21" s="1132"/>
    </row>
    <row r="22" spans="1:10" s="1155" customFormat="1" ht="45.75" customHeight="1">
      <c r="A22" s="1156" t="s">
        <v>1181</v>
      </c>
      <c r="B22" s="1157">
        <f>'[8]létszám ei mód RM IV.'!H22</f>
        <v>32</v>
      </c>
      <c r="C22" s="1158"/>
      <c r="D22" s="1159"/>
      <c r="E22" s="1159"/>
      <c r="F22" s="1159">
        <v>31</v>
      </c>
      <c r="G22" s="1160">
        <v>1</v>
      </c>
      <c r="H22" s="1161"/>
      <c r="I22" s="1160"/>
      <c r="J22" s="1132"/>
    </row>
    <row r="23" spans="1:10" s="1155" customFormat="1" ht="45.75" customHeight="1">
      <c r="A23" s="1156" t="s">
        <v>1205</v>
      </c>
      <c r="B23" s="1162">
        <f>'[8]létszám ei mód RM IV.'!H23</f>
        <v>24</v>
      </c>
      <c r="C23" s="1160"/>
      <c r="D23" s="1161"/>
      <c r="E23" s="1161"/>
      <c r="F23" s="1161">
        <v>23</v>
      </c>
      <c r="G23" s="1160">
        <v>1</v>
      </c>
      <c r="H23" s="1154"/>
      <c r="I23" s="1160"/>
      <c r="J23" s="1132"/>
    </row>
    <row r="24" spans="1:10" s="1155" customFormat="1" ht="45.75" customHeight="1">
      <c r="A24" s="1151" t="s">
        <v>1221</v>
      </c>
      <c r="B24" s="1168">
        <f>'[8]létszám ei mód RM IV.'!H24</f>
        <v>18</v>
      </c>
      <c r="C24" s="1169"/>
      <c r="D24" s="1170"/>
      <c r="E24" s="1170"/>
      <c r="F24" s="1170">
        <v>17</v>
      </c>
      <c r="G24" s="1160">
        <v>1</v>
      </c>
      <c r="H24" s="1161"/>
      <c r="I24" s="1160"/>
      <c r="J24" s="1132"/>
    </row>
    <row r="25" spans="1:10" s="1155" customFormat="1" ht="45.75" customHeight="1" thickBot="1">
      <c r="A25" s="1171" t="s">
        <v>1184</v>
      </c>
      <c r="B25" s="1152">
        <f>'[8]létszám ei mód RM IV.'!H25</f>
        <v>13</v>
      </c>
      <c r="C25" s="1172"/>
      <c r="D25" s="1154"/>
      <c r="E25" s="1154"/>
      <c r="F25" s="1170">
        <v>12</v>
      </c>
      <c r="G25" s="1160">
        <v>1</v>
      </c>
      <c r="H25" s="1154"/>
      <c r="I25" s="1173"/>
      <c r="J25" s="1132"/>
    </row>
    <row r="26" spans="1:10" s="1155" customFormat="1" ht="45.75" customHeight="1" thickBot="1">
      <c r="A26" s="1174" t="s">
        <v>1222</v>
      </c>
      <c r="B26" s="1175">
        <f>SUM(B8:B25)</f>
        <v>419</v>
      </c>
      <c r="C26" s="1175">
        <f t="shared" ref="C26:I26" si="0">SUM(C8:C25)</f>
        <v>0</v>
      </c>
      <c r="D26" s="1175">
        <f t="shared" si="0"/>
        <v>0</v>
      </c>
      <c r="E26" s="1175">
        <f t="shared" si="0"/>
        <v>0</v>
      </c>
      <c r="F26" s="1175">
        <f t="shared" si="0"/>
        <v>400</v>
      </c>
      <c r="G26" s="1175">
        <f t="shared" si="0"/>
        <v>19</v>
      </c>
      <c r="H26" s="1175">
        <f t="shared" si="0"/>
        <v>0</v>
      </c>
      <c r="I26" s="1175">
        <f t="shared" si="0"/>
        <v>0</v>
      </c>
      <c r="J26" s="1132"/>
    </row>
    <row r="27" spans="1:10" s="1155" customFormat="1" ht="44.25" customHeight="1" thickBot="1">
      <c r="A27" s="1176" t="s">
        <v>1186</v>
      </c>
      <c r="B27" s="1157">
        <f>'[8]létszám ei mód RM IV.'!H27</f>
        <v>44</v>
      </c>
      <c r="C27" s="1154"/>
      <c r="D27" s="1154"/>
      <c r="E27" s="1154">
        <v>44</v>
      </c>
      <c r="F27" s="1154"/>
      <c r="G27" s="1170"/>
      <c r="H27" s="1177"/>
      <c r="I27" s="1170"/>
      <c r="J27" s="1132"/>
    </row>
    <row r="28" spans="1:10" s="1155" customFormat="1" ht="42.75" customHeight="1" thickBot="1">
      <c r="A28" s="1174" t="s">
        <v>1223</v>
      </c>
      <c r="B28" s="1175">
        <f>B27+B26</f>
        <v>463</v>
      </c>
      <c r="C28" s="1178">
        <f>C27+C26</f>
        <v>0</v>
      </c>
      <c r="D28" s="1178">
        <f>D27+D26</f>
        <v>0</v>
      </c>
      <c r="E28" s="1178">
        <f>SUM(E26:E27)</f>
        <v>44</v>
      </c>
      <c r="F28" s="1178">
        <f>SUM(F26:F27)</f>
        <v>400</v>
      </c>
      <c r="G28" s="1178">
        <f t="shared" ref="G28:I28" si="1">G27+G26</f>
        <v>19</v>
      </c>
      <c r="H28" s="1178">
        <f t="shared" si="1"/>
        <v>0</v>
      </c>
      <c r="I28" s="1178">
        <f t="shared" si="1"/>
        <v>0</v>
      </c>
      <c r="J28" s="1132"/>
    </row>
    <row r="29" spans="1:10" s="1155" customFormat="1" ht="42.75" customHeight="1">
      <c r="A29" s="1179" t="s">
        <v>1224</v>
      </c>
      <c r="B29" s="1152"/>
      <c r="C29" s="1180"/>
      <c r="D29" s="1180"/>
      <c r="E29" s="1180"/>
      <c r="F29" s="1180"/>
      <c r="G29" s="1180"/>
      <c r="H29" s="1180"/>
      <c r="I29" s="1180"/>
      <c r="J29" s="1132"/>
    </row>
    <row r="30" spans="1:10" s="1155" customFormat="1" ht="45.75" customHeight="1">
      <c r="A30" s="1144" t="s">
        <v>1225</v>
      </c>
      <c r="B30" s="1152"/>
      <c r="C30" s="1180"/>
      <c r="D30" s="1180"/>
      <c r="E30" s="1180"/>
      <c r="F30" s="1180"/>
      <c r="G30" s="1168"/>
      <c r="H30" s="1181"/>
      <c r="I30" s="1180"/>
      <c r="J30" s="1132"/>
    </row>
    <row r="31" spans="1:10" s="1155" customFormat="1" ht="44.25" customHeight="1">
      <c r="A31" s="1156" t="s">
        <v>169</v>
      </c>
      <c r="B31" s="1162">
        <f>'[8]létszám ei mód RM IV.'!H31</f>
        <v>20</v>
      </c>
      <c r="C31" s="1161"/>
      <c r="D31" s="1161"/>
      <c r="E31" s="1161"/>
      <c r="F31" s="1161"/>
      <c r="G31" s="1154">
        <v>20</v>
      </c>
      <c r="H31" s="1154"/>
      <c r="I31" s="1161"/>
      <c r="J31" s="1132"/>
    </row>
    <row r="32" spans="1:10" s="1155" customFormat="1" ht="44.25" customHeight="1">
      <c r="A32" s="1156" t="s">
        <v>453</v>
      </c>
      <c r="B32" s="1162">
        <f>'[8]létszám ei mód RM IV.'!H32</f>
        <v>84</v>
      </c>
      <c r="C32" s="1161"/>
      <c r="D32" s="1161"/>
      <c r="E32" s="1161"/>
      <c r="F32" s="1161"/>
      <c r="G32" s="1160">
        <v>84</v>
      </c>
      <c r="H32" s="1161"/>
      <c r="I32" s="1160"/>
      <c r="J32" s="1132"/>
    </row>
    <row r="33" spans="1:10" s="1155" customFormat="1" ht="44.25" customHeight="1">
      <c r="A33" s="1156" t="s">
        <v>351</v>
      </c>
      <c r="B33" s="1162">
        <f>'[8]létszám ei mód RM IV.'!H33</f>
        <v>46</v>
      </c>
      <c r="C33" s="1161"/>
      <c r="D33" s="1161"/>
      <c r="E33" s="1161"/>
      <c r="F33" s="1161"/>
      <c r="G33" s="1160">
        <v>46</v>
      </c>
      <c r="H33" s="1161"/>
      <c r="I33" s="1161"/>
      <c r="J33" s="1132"/>
    </row>
    <row r="34" spans="1:10" s="1155" customFormat="1" ht="44.25" customHeight="1" thickBot="1">
      <c r="A34" s="1182" t="s">
        <v>454</v>
      </c>
      <c r="B34" s="1152">
        <f>'[8]létszám ei mód RM IV.'!H34</f>
        <v>101</v>
      </c>
      <c r="C34" s="1154"/>
      <c r="D34" s="1154"/>
      <c r="E34" s="1154"/>
      <c r="F34" s="1154"/>
      <c r="G34" s="1154">
        <v>101</v>
      </c>
      <c r="H34" s="1154"/>
      <c r="I34" s="1154"/>
      <c r="J34" s="1132"/>
    </row>
    <row r="35" spans="1:10" s="1155" customFormat="1" ht="44.25" customHeight="1" thickBot="1">
      <c r="A35" s="1174" t="s">
        <v>1226</v>
      </c>
      <c r="B35" s="1175">
        <f>SUM(B31:B34)</f>
        <v>251</v>
      </c>
      <c r="C35" s="1178">
        <f t="shared" ref="C35:I35" si="2">SUM(C31:C34)</f>
        <v>0</v>
      </c>
      <c r="D35" s="1178">
        <f t="shared" si="2"/>
        <v>0</v>
      </c>
      <c r="E35" s="1178">
        <f t="shared" si="2"/>
        <v>0</v>
      </c>
      <c r="F35" s="1178">
        <f t="shared" si="2"/>
        <v>0</v>
      </c>
      <c r="G35" s="1178">
        <f t="shared" si="2"/>
        <v>251</v>
      </c>
      <c r="H35" s="1178">
        <f t="shared" si="2"/>
        <v>0</v>
      </c>
      <c r="I35" s="1175">
        <f t="shared" si="2"/>
        <v>0</v>
      </c>
      <c r="J35" s="1132"/>
    </row>
    <row r="36" spans="1:10" s="1155" customFormat="1" ht="45.75" customHeight="1">
      <c r="A36" s="1179" t="s">
        <v>1191</v>
      </c>
      <c r="B36" s="1183"/>
      <c r="C36" s="1184"/>
      <c r="D36" s="1184"/>
      <c r="E36" s="1184"/>
      <c r="F36" s="1184"/>
      <c r="G36" s="1184"/>
      <c r="H36" s="1184"/>
      <c r="I36" s="1184"/>
      <c r="J36" s="1132"/>
    </row>
    <row r="37" spans="1:10" s="1155" customFormat="1" ht="69" thickBot="1">
      <c r="A37" s="1185" t="s">
        <v>415</v>
      </c>
      <c r="B37" s="1168">
        <f>'[8]létszám ei mód RM IV.'!H37</f>
        <v>183</v>
      </c>
      <c r="C37" s="1170"/>
      <c r="D37" s="1170"/>
      <c r="E37" s="1170">
        <v>183</v>
      </c>
      <c r="F37" s="1170"/>
      <c r="G37" s="1154"/>
      <c r="H37" s="1154"/>
      <c r="I37" s="1186"/>
      <c r="J37" s="1132"/>
    </row>
    <row r="38" spans="1:10" s="1155" customFormat="1" ht="44.25" customHeight="1">
      <c r="A38" s="1179" t="s">
        <v>1192</v>
      </c>
      <c r="B38" s="1183"/>
      <c r="C38" s="1184"/>
      <c r="D38" s="1184"/>
      <c r="E38" s="1184"/>
      <c r="F38" s="1184"/>
      <c r="G38" s="1184"/>
      <c r="H38" s="1184"/>
      <c r="I38" s="1184"/>
      <c r="J38" s="1132"/>
    </row>
    <row r="39" spans="1:10" s="1155" customFormat="1" ht="45.75" customHeight="1" thickBot="1">
      <c r="A39" s="1187" t="s">
        <v>1193</v>
      </c>
      <c r="B39" s="1188">
        <f>'[8]létszám ei mód RM IV.'!H39</f>
        <v>72</v>
      </c>
      <c r="C39" s="1186"/>
      <c r="D39" s="1186">
        <v>58</v>
      </c>
      <c r="E39" s="1186">
        <v>14</v>
      </c>
      <c r="F39" s="1186"/>
      <c r="G39" s="1172"/>
      <c r="H39" s="1186"/>
      <c r="I39" s="1186"/>
      <c r="J39" s="1132"/>
    </row>
    <row r="40" spans="1:10" s="1155" customFormat="1" ht="45" customHeight="1">
      <c r="A40" s="1179" t="s">
        <v>1194</v>
      </c>
      <c r="B40" s="1183"/>
      <c r="C40" s="1184"/>
      <c r="D40" s="1184"/>
      <c r="E40" s="1184"/>
      <c r="F40" s="1184"/>
      <c r="G40" s="1184"/>
      <c r="H40" s="1184"/>
      <c r="I40" s="1184"/>
      <c r="J40" s="1132"/>
    </row>
    <row r="41" spans="1:10" s="1155" customFormat="1" ht="44.25" customHeight="1" thickBot="1">
      <c r="A41" s="1187" t="s">
        <v>416</v>
      </c>
      <c r="B41" s="1188">
        <f>'[8]létszám ei mód RM IV.'!H41</f>
        <v>202</v>
      </c>
      <c r="C41" s="1186"/>
      <c r="D41" s="1186"/>
      <c r="E41" s="1186">
        <v>135</v>
      </c>
      <c r="F41" s="1186">
        <v>67</v>
      </c>
      <c r="G41" s="1172"/>
      <c r="H41" s="1186"/>
      <c r="I41" s="1186"/>
      <c r="J41" s="1132"/>
    </row>
    <row r="42" spans="1:10" s="1155" customFormat="1" ht="45.75" customHeight="1">
      <c r="A42" s="1179" t="s">
        <v>1195</v>
      </c>
      <c r="B42" s="1183"/>
      <c r="C42" s="1184"/>
      <c r="D42" s="1184"/>
      <c r="E42" s="1184"/>
      <c r="F42" s="1184"/>
      <c r="G42" s="1184"/>
      <c r="H42" s="1184"/>
      <c r="I42" s="1184"/>
      <c r="J42" s="1132"/>
    </row>
    <row r="43" spans="1:10" s="1155" customFormat="1" ht="44.25" customHeight="1">
      <c r="A43" s="1187" t="s">
        <v>470</v>
      </c>
      <c r="B43" s="1152">
        <f>'[8]létszám ei mód RM IV.'!H43</f>
        <v>14</v>
      </c>
      <c r="C43" s="1189"/>
      <c r="D43" s="1189"/>
      <c r="E43" s="1154">
        <v>14</v>
      </c>
      <c r="F43" s="1154"/>
      <c r="G43" s="1154"/>
      <c r="H43" s="1154"/>
      <c r="I43" s="1180"/>
      <c r="J43" s="1132"/>
    </row>
    <row r="44" spans="1:10" s="1155" customFormat="1" ht="44.25" customHeight="1" thickBot="1">
      <c r="A44" s="1190" t="s">
        <v>37</v>
      </c>
      <c r="B44" s="1191">
        <f>'[8]létszám ei mód RM IV.'!H44</f>
        <v>302</v>
      </c>
      <c r="C44" s="1192">
        <v>256</v>
      </c>
      <c r="D44" s="1192"/>
      <c r="E44" s="1192"/>
      <c r="F44" s="1192"/>
      <c r="G44" s="1192">
        <v>46</v>
      </c>
      <c r="H44" s="1192"/>
      <c r="I44" s="1193"/>
      <c r="J44" s="1132"/>
    </row>
    <row r="45" spans="1:10" s="1155" customFormat="1" ht="44.25" customHeight="1" thickBot="1">
      <c r="A45" s="1174" t="s">
        <v>1227</v>
      </c>
      <c r="B45" s="1188">
        <f>SUM(B43:B44)</f>
        <v>316</v>
      </c>
      <c r="C45" s="1194">
        <f t="shared" ref="C45:I45" si="3">SUM(C43:C44)</f>
        <v>256</v>
      </c>
      <c r="D45" s="1194">
        <f>SUM(D43:D44)</f>
        <v>0</v>
      </c>
      <c r="E45" s="1194">
        <f t="shared" si="3"/>
        <v>14</v>
      </c>
      <c r="F45" s="1194">
        <f t="shared" si="3"/>
        <v>0</v>
      </c>
      <c r="G45" s="1175">
        <f t="shared" si="3"/>
        <v>46</v>
      </c>
      <c r="H45" s="1194">
        <f t="shared" si="3"/>
        <v>0</v>
      </c>
      <c r="I45" s="1194">
        <f t="shared" si="3"/>
        <v>0</v>
      </c>
      <c r="J45" s="1132"/>
    </row>
    <row r="46" spans="1:10" s="1155" customFormat="1" ht="44.25" customHeight="1" thickBot="1">
      <c r="A46" s="1195" t="s">
        <v>1197</v>
      </c>
      <c r="B46" s="1196">
        <f>B35+B37+B39+B41+B45</f>
        <v>1024</v>
      </c>
      <c r="C46" s="1197">
        <f t="shared" ref="C46:I46" si="4">C35+C37+C39+C41+C45</f>
        <v>256</v>
      </c>
      <c r="D46" s="1197">
        <f>D35+D37+D39+D41+D45</f>
        <v>58</v>
      </c>
      <c r="E46" s="1197">
        <f t="shared" si="4"/>
        <v>346</v>
      </c>
      <c r="F46" s="1197">
        <f t="shared" si="4"/>
        <v>67</v>
      </c>
      <c r="G46" s="1197">
        <f t="shared" si="4"/>
        <v>297</v>
      </c>
      <c r="H46" s="1197">
        <f t="shared" si="4"/>
        <v>0</v>
      </c>
      <c r="I46" s="1197">
        <f t="shared" si="4"/>
        <v>0</v>
      </c>
      <c r="J46" s="1132"/>
    </row>
    <row r="47" spans="1:10" s="1155" customFormat="1" ht="42.75" customHeight="1" thickBot="1">
      <c r="A47" s="1198" t="s">
        <v>1198</v>
      </c>
      <c r="B47" s="1196">
        <f>B28+B46</f>
        <v>1487</v>
      </c>
      <c r="C47" s="1197">
        <f t="shared" ref="C47:I47" si="5">C28+C46</f>
        <v>256</v>
      </c>
      <c r="D47" s="1197">
        <f>D28+D46</f>
        <v>58</v>
      </c>
      <c r="E47" s="1197">
        <f t="shared" si="5"/>
        <v>390</v>
      </c>
      <c r="F47" s="1197">
        <f t="shared" si="5"/>
        <v>467</v>
      </c>
      <c r="G47" s="1197">
        <f t="shared" si="5"/>
        <v>316</v>
      </c>
      <c r="H47" s="1197">
        <f t="shared" si="5"/>
        <v>0</v>
      </c>
      <c r="I47" s="1197">
        <f t="shared" si="5"/>
        <v>0</v>
      </c>
      <c r="J47" s="1132"/>
    </row>
    <row r="48" spans="1:10" s="1155" customFormat="1" ht="44.25" customHeight="1" thickBot="1">
      <c r="A48" s="1195" t="s">
        <v>629</v>
      </c>
      <c r="B48" s="1196">
        <v>18</v>
      </c>
      <c r="C48" s="1197"/>
      <c r="D48" s="1197"/>
      <c r="E48" s="1197"/>
      <c r="F48" s="1197"/>
      <c r="G48" s="1197"/>
      <c r="H48" s="1197"/>
      <c r="I48" s="1197">
        <v>18</v>
      </c>
      <c r="J48" s="1132"/>
    </row>
    <row r="49" spans="1:10" s="1155" customFormat="1" ht="42.75" customHeight="1" thickBot="1">
      <c r="A49" s="1198" t="s">
        <v>630</v>
      </c>
      <c r="B49" s="1197">
        <f>B47+B48</f>
        <v>1505</v>
      </c>
      <c r="C49" s="1197">
        <f t="shared" ref="C49:I49" si="6">C47+C48</f>
        <v>256</v>
      </c>
      <c r="D49" s="1197">
        <f t="shared" si="6"/>
        <v>58</v>
      </c>
      <c r="E49" s="1197">
        <f t="shared" si="6"/>
        <v>390</v>
      </c>
      <c r="F49" s="1197">
        <f t="shared" si="6"/>
        <v>467</v>
      </c>
      <c r="G49" s="1197">
        <f t="shared" si="6"/>
        <v>316</v>
      </c>
      <c r="H49" s="1197">
        <f t="shared" si="6"/>
        <v>0</v>
      </c>
      <c r="I49" s="1197">
        <f t="shared" si="6"/>
        <v>18</v>
      </c>
      <c r="J49" s="1132"/>
    </row>
    <row r="50" spans="1:10" s="1155" customFormat="1">
      <c r="A50" s="1199"/>
      <c r="B50" s="1200"/>
      <c r="C50" s="1200"/>
      <c r="D50" s="1200"/>
      <c r="E50" s="1200"/>
      <c r="F50" s="1200"/>
      <c r="G50" s="1201"/>
      <c r="H50" s="1201"/>
      <c r="I50" s="1201"/>
      <c r="J50" s="1202"/>
    </row>
    <row r="51" spans="1:10" s="1208" customFormat="1">
      <c r="A51" s="1203"/>
      <c r="B51" s="1204"/>
      <c r="C51" s="1205"/>
      <c r="D51" s="1205"/>
      <c r="E51" s="1205"/>
      <c r="F51" s="1205"/>
      <c r="G51" s="1206"/>
      <c r="H51" s="1206"/>
      <c r="I51" s="1206"/>
      <c r="J51" s="1207"/>
    </row>
    <row r="52" spans="1:10" s="1208" customFormat="1">
      <c r="A52" s="1203"/>
      <c r="B52" s="1204"/>
      <c r="C52" s="1205"/>
      <c r="D52" s="1205"/>
      <c r="E52" s="1205"/>
      <c r="F52" s="1205"/>
      <c r="G52" s="1206"/>
      <c r="H52" s="1206"/>
      <c r="I52" s="1206"/>
      <c r="J52" s="1207"/>
    </row>
    <row r="53" spans="1:10" s="1208" customFormat="1">
      <c r="A53" s="1203"/>
      <c r="B53" s="1204"/>
      <c r="C53" s="1205"/>
      <c r="D53" s="1205"/>
      <c r="E53" s="1205"/>
      <c r="F53" s="1205"/>
      <c r="G53" s="1206"/>
      <c r="H53" s="1206"/>
      <c r="I53" s="1206"/>
      <c r="J53" s="1207"/>
    </row>
    <row r="54" spans="1:10" s="1208" customFormat="1">
      <c r="A54" s="1203"/>
      <c r="B54" s="1204"/>
      <c r="C54" s="1205"/>
      <c r="D54" s="1205"/>
      <c r="E54" s="1205"/>
      <c r="F54" s="1205"/>
      <c r="G54" s="1206"/>
      <c r="H54" s="1206"/>
      <c r="I54" s="1206"/>
      <c r="J54" s="1207"/>
    </row>
    <row r="55" spans="1:10" s="1208" customFormat="1">
      <c r="A55" s="1203"/>
      <c r="B55" s="1204"/>
      <c r="C55" s="1205"/>
      <c r="D55" s="1205"/>
      <c r="E55" s="1205"/>
      <c r="F55" s="1205"/>
      <c r="G55" s="1206"/>
      <c r="H55" s="1206"/>
      <c r="I55" s="1206"/>
      <c r="J55" s="1207"/>
    </row>
    <row r="56" spans="1:10" s="1155" customFormat="1">
      <c r="A56" s="1203"/>
      <c r="B56" s="1204"/>
      <c r="C56" s="1205"/>
      <c r="D56" s="1205"/>
      <c r="E56" s="1205"/>
      <c r="F56" s="1205"/>
      <c r="G56" s="1206"/>
      <c r="H56" s="1206"/>
      <c r="I56" s="1206"/>
      <c r="J56" s="1202"/>
    </row>
    <row r="57" spans="1:10" s="1155" customFormat="1" ht="36">
      <c r="A57" s="1209"/>
      <c r="B57" s="1210"/>
      <c r="C57" s="1205"/>
      <c r="D57" s="1205"/>
      <c r="E57" s="1205"/>
      <c r="F57" s="1205"/>
      <c r="G57" s="1206"/>
      <c r="H57" s="1206"/>
      <c r="I57" s="1206"/>
      <c r="J57" s="1202"/>
    </row>
    <row r="58" spans="1:10" s="1155" customFormat="1">
      <c r="A58" s="1211"/>
      <c r="B58" s="1204"/>
      <c r="C58" s="1205"/>
      <c r="D58" s="1205"/>
      <c r="E58" s="1205"/>
      <c r="F58" s="1205"/>
      <c r="G58" s="1206"/>
      <c r="H58" s="1206"/>
      <c r="I58" s="1206"/>
      <c r="J58" s="1202"/>
    </row>
    <row r="59" spans="1:10" s="1155" customFormat="1">
      <c r="A59" s="1203"/>
      <c r="B59" s="1204"/>
      <c r="C59" s="1205"/>
      <c r="D59" s="1205"/>
      <c r="E59" s="1205"/>
      <c r="F59" s="1212"/>
      <c r="G59" s="1201"/>
      <c r="H59" s="1201"/>
      <c r="I59" s="1201"/>
      <c r="J59" s="1202"/>
    </row>
    <row r="60" spans="1:10" s="1155" customFormat="1">
      <c r="A60" s="1203"/>
      <c r="B60" s="1206"/>
      <c r="C60" s="1206"/>
      <c r="D60" s="1206"/>
      <c r="E60" s="1206"/>
      <c r="F60" s="1201"/>
      <c r="G60" s="1201"/>
      <c r="H60" s="1201"/>
      <c r="I60" s="1201"/>
      <c r="J60" s="1202"/>
    </row>
    <row r="61" spans="1:10" s="1155" customFormat="1">
      <c r="A61" s="1213"/>
      <c r="B61" s="1206"/>
      <c r="C61" s="1206"/>
      <c r="D61" s="1206"/>
      <c r="E61" s="1206"/>
      <c r="F61" s="1201"/>
      <c r="G61" s="1201"/>
      <c r="H61" s="1201"/>
      <c r="I61" s="1201"/>
      <c r="J61" s="1202"/>
    </row>
    <row r="62" spans="1:10" s="1155" customFormat="1">
      <c r="A62" s="1214"/>
      <c r="B62" s="1215"/>
      <c r="C62" s="1206"/>
      <c r="D62" s="1206"/>
      <c r="E62" s="1206"/>
      <c r="F62" s="1201"/>
      <c r="G62" s="1201"/>
      <c r="H62" s="1201"/>
      <c r="I62" s="1201"/>
      <c r="J62" s="1202"/>
    </row>
    <row r="63" spans="1:10" s="1155" customFormat="1">
      <c r="A63" s="1203"/>
      <c r="B63" s="1206"/>
      <c r="C63" s="1206"/>
      <c r="D63" s="1206"/>
      <c r="E63" s="1206"/>
      <c r="F63" s="1201"/>
      <c r="G63" s="1201"/>
      <c r="H63" s="1201"/>
      <c r="I63" s="1201"/>
      <c r="J63" s="1202"/>
    </row>
    <row r="64" spans="1:10" s="1155" customFormat="1">
      <c r="A64" s="1214"/>
      <c r="B64" s="1206"/>
      <c r="C64" s="1206"/>
      <c r="D64" s="1206"/>
      <c r="E64" s="1206"/>
      <c r="F64" s="1201"/>
      <c r="G64" s="1201"/>
      <c r="H64" s="1201"/>
      <c r="I64" s="1201"/>
      <c r="J64" s="1202"/>
    </row>
    <row r="65" spans="1:10" s="1155" customFormat="1">
      <c r="A65" s="1214"/>
      <c r="B65" s="1206"/>
      <c r="C65" s="1206"/>
      <c r="D65" s="1206"/>
      <c r="E65" s="1206"/>
      <c r="F65" s="1201"/>
      <c r="G65" s="1201"/>
      <c r="H65" s="1201"/>
      <c r="I65" s="1201"/>
      <c r="J65" s="1202"/>
    </row>
    <row r="66" spans="1:10" s="1155" customFormat="1">
      <c r="A66" s="1214"/>
      <c r="B66" s="1206"/>
      <c r="C66" s="1206"/>
      <c r="D66" s="1206"/>
      <c r="E66" s="1206"/>
      <c r="F66" s="1201"/>
      <c r="G66" s="1201"/>
      <c r="H66" s="1201"/>
      <c r="I66" s="1201"/>
      <c r="J66" s="1202"/>
    </row>
    <row r="67" spans="1:10" s="1155" customFormat="1">
      <c r="A67" s="1214"/>
      <c r="B67" s="1206"/>
      <c r="C67" s="1206"/>
      <c r="D67" s="1206"/>
      <c r="E67" s="1206"/>
      <c r="F67" s="1201"/>
      <c r="G67" s="1201"/>
      <c r="H67" s="1201"/>
      <c r="I67" s="1201"/>
      <c r="J67" s="1202"/>
    </row>
    <row r="68" spans="1:10" s="1155" customFormat="1">
      <c r="A68" s="1216"/>
      <c r="B68" s="1206"/>
      <c r="C68" s="1206"/>
      <c r="D68" s="1206"/>
      <c r="E68" s="1206"/>
      <c r="F68" s="1201"/>
      <c r="G68" s="1201"/>
      <c r="H68" s="1201"/>
      <c r="I68" s="1201"/>
      <c r="J68" s="1202"/>
    </row>
    <row r="69" spans="1:10" s="1155" customFormat="1">
      <c r="A69" s="1217"/>
      <c r="B69" s="1206"/>
      <c r="C69" s="1206"/>
      <c r="D69" s="1206"/>
      <c r="E69" s="1206"/>
      <c r="F69" s="1201"/>
      <c r="G69" s="1201"/>
      <c r="H69" s="1201"/>
      <c r="I69" s="1201"/>
      <c r="J69" s="1202"/>
    </row>
    <row r="70" spans="1:10" s="1155" customFormat="1" ht="27.75">
      <c r="A70" s="1218"/>
      <c r="B70" s="1208"/>
      <c r="C70" s="1208"/>
      <c r="D70" s="1208"/>
      <c r="E70" s="1208"/>
      <c r="J70" s="1202"/>
    </row>
    <row r="71" spans="1:10" s="1155" customFormat="1">
      <c r="A71" s="1219"/>
      <c r="B71" s="1208"/>
      <c r="C71" s="1208"/>
      <c r="D71" s="1208"/>
      <c r="E71" s="1208"/>
      <c r="J71" s="1202"/>
    </row>
    <row r="72" spans="1:10" s="1155" customFormat="1">
      <c r="A72" s="1220"/>
      <c r="B72" s="1208"/>
      <c r="C72" s="1208"/>
      <c r="D72" s="1208"/>
      <c r="E72" s="1208"/>
      <c r="J72" s="1202"/>
    </row>
    <row r="73" spans="1:10" s="1155" customFormat="1">
      <c r="A73" s="1221"/>
      <c r="B73" s="1208"/>
      <c r="C73" s="1208"/>
      <c r="D73" s="1208"/>
      <c r="E73" s="1208"/>
      <c r="J73" s="1202"/>
    </row>
    <row r="74" spans="1:10" s="1155" customFormat="1">
      <c r="A74" s="1219"/>
      <c r="B74" s="1208"/>
      <c r="C74" s="1208"/>
      <c r="D74" s="1208"/>
      <c r="E74" s="1208"/>
      <c r="J74" s="1202"/>
    </row>
    <row r="75" spans="1:10" s="1155" customFormat="1">
      <c r="A75" s="1222"/>
      <c r="B75" s="1208"/>
      <c r="C75" s="1208"/>
      <c r="D75" s="1208"/>
      <c r="E75" s="1208"/>
      <c r="J75" s="1202"/>
    </row>
    <row r="76" spans="1:10" s="1155" customFormat="1">
      <c r="A76" s="1223"/>
      <c r="B76" s="1208"/>
      <c r="C76" s="1208"/>
      <c r="D76" s="1208"/>
      <c r="E76" s="1208"/>
      <c r="J76" s="1202"/>
    </row>
    <row r="77" spans="1:10" s="1155" customFormat="1">
      <c r="A77" s="1223"/>
      <c r="B77" s="1208"/>
      <c r="C77" s="1208"/>
      <c r="D77" s="1208"/>
      <c r="E77" s="1208"/>
      <c r="J77" s="1202"/>
    </row>
    <row r="78" spans="1:10" s="1155" customFormat="1">
      <c r="A78" s="1223"/>
      <c r="B78" s="1208"/>
      <c r="C78" s="1208"/>
      <c r="D78" s="1208"/>
      <c r="E78" s="1208"/>
      <c r="J78" s="1202"/>
    </row>
    <row r="79" spans="1:10" s="1155" customFormat="1">
      <c r="A79" s="1128"/>
      <c r="J79" s="1202"/>
    </row>
    <row r="80" spans="1:10" s="1155" customFormat="1">
      <c r="A80" s="1128"/>
      <c r="J80" s="1202"/>
    </row>
    <row r="81" spans="1:10" s="1155" customFormat="1">
      <c r="A81" s="1129"/>
      <c r="B81" s="1201"/>
      <c r="C81" s="1201"/>
      <c r="D81" s="1201"/>
      <c r="E81" s="1201"/>
      <c r="F81" s="1201"/>
      <c r="G81" s="1201"/>
      <c r="H81" s="1201"/>
      <c r="I81" s="1201"/>
      <c r="J81" s="1202"/>
    </row>
    <row r="82" spans="1:10" s="1155" customFormat="1">
      <c r="A82" s="1129"/>
      <c r="B82" s="1201"/>
      <c r="C82" s="1201"/>
      <c r="D82" s="1201"/>
      <c r="E82" s="1201"/>
      <c r="F82" s="1201"/>
      <c r="G82" s="1201"/>
      <c r="H82" s="1201"/>
      <c r="I82" s="1201"/>
      <c r="J82" s="1202"/>
    </row>
    <row r="83" spans="1:10" s="1155" customFormat="1">
      <c r="A83" s="1129"/>
      <c r="B83" s="1201"/>
      <c r="C83" s="1201"/>
      <c r="D83" s="1201"/>
      <c r="E83" s="1201"/>
      <c r="F83" s="1201"/>
      <c r="G83" s="1201"/>
      <c r="H83" s="1201"/>
      <c r="I83" s="1201"/>
      <c r="J83" s="1202"/>
    </row>
    <row r="84" spans="1:10" s="1155" customFormat="1">
      <c r="A84" s="1129"/>
      <c r="B84" s="1201"/>
      <c r="C84" s="1201"/>
      <c r="D84" s="1201"/>
      <c r="E84" s="1201"/>
      <c r="F84" s="1201"/>
      <c r="G84" s="1201"/>
      <c r="H84" s="1201"/>
      <c r="I84" s="1201"/>
      <c r="J84" s="1202"/>
    </row>
    <row r="85" spans="1:10" s="1155" customFormat="1">
      <c r="A85" s="1129"/>
      <c r="B85" s="1201"/>
      <c r="C85" s="1201"/>
      <c r="D85" s="1201"/>
      <c r="E85" s="1201"/>
      <c r="F85" s="1201"/>
      <c r="G85" s="1201"/>
      <c r="H85" s="1201"/>
      <c r="I85" s="1201"/>
      <c r="J85" s="1202"/>
    </row>
    <row r="86" spans="1:10" s="1155" customFormat="1">
      <c r="A86" s="1129"/>
      <c r="B86" s="1201"/>
      <c r="C86" s="1201"/>
      <c r="D86" s="1201"/>
      <c r="E86" s="1201"/>
      <c r="F86" s="1201"/>
      <c r="G86" s="1201"/>
      <c r="H86" s="1201"/>
      <c r="I86" s="1201"/>
      <c r="J86" s="1202"/>
    </row>
    <row r="87" spans="1:10" s="1155" customFormat="1">
      <c r="A87" s="1129"/>
      <c r="B87" s="1201"/>
      <c r="C87" s="1201"/>
      <c r="D87" s="1201"/>
      <c r="E87" s="1201"/>
      <c r="F87" s="1201"/>
      <c r="G87" s="1201"/>
      <c r="H87" s="1201"/>
      <c r="I87" s="1201"/>
      <c r="J87" s="1202"/>
    </row>
    <row r="88" spans="1:10" s="1155" customFormat="1">
      <c r="A88" s="1129"/>
      <c r="B88" s="1201"/>
      <c r="C88" s="1201"/>
      <c r="D88" s="1201"/>
      <c r="E88" s="1201"/>
      <c r="F88" s="1201"/>
      <c r="G88" s="1201"/>
      <c r="H88" s="1201"/>
      <c r="I88" s="1201"/>
      <c r="J88" s="1202"/>
    </row>
    <row r="89" spans="1:10">
      <c r="A89" s="1129"/>
      <c r="B89" s="1224"/>
      <c r="C89" s="1224"/>
      <c r="D89" s="1224"/>
      <c r="E89" s="1224"/>
      <c r="F89" s="1224"/>
      <c r="G89" s="1224"/>
      <c r="H89" s="1224"/>
      <c r="I89" s="1224"/>
    </row>
  </sheetData>
  <mergeCells count="6">
    <mergeCell ref="A1:I1"/>
    <mergeCell ref="A2:I2"/>
    <mergeCell ref="A4:A6"/>
    <mergeCell ref="B4:B6"/>
    <mergeCell ref="C4:I4"/>
    <mergeCell ref="G5:H5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25" orientation="portrait" r:id="rId1"/>
  <headerFooter alignWithMargins="0">
    <oddHeader xml:space="preserve">&amp;R&amp;"Calibri,Félkövér"&amp;26  7.  melléklet a  ../2026.(.....) önkormányzati rendelethez&amp;"Calibri,Normál"&amp;14
</oddHeader>
  </headerFooter>
  <rowBreaks count="1" manualBreakCount="1">
    <brk id="49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8"/>
  <dimension ref="B1:G95"/>
  <sheetViews>
    <sheetView topLeftCell="B25" zoomScaleNormal="100" zoomScaleSheetLayoutView="100" workbookViewId="0">
      <selection activeCell="B2" sqref="B2:G2"/>
    </sheetView>
  </sheetViews>
  <sheetFormatPr defaultColWidth="9.33203125" defaultRowHeight="15" customHeight="1"/>
  <cols>
    <col min="1" max="1" width="9.33203125" style="1"/>
    <col min="2" max="2" width="14.1640625" style="1" customWidth="1"/>
    <col min="3" max="3" width="92.1640625" style="1" customWidth="1"/>
    <col min="4" max="7" width="18.83203125" style="1" customWidth="1"/>
    <col min="8" max="16384" width="9.33203125" style="1"/>
  </cols>
  <sheetData>
    <row r="1" spans="2:7" ht="15" customHeight="1">
      <c r="B1" s="54"/>
      <c r="C1" s="1968"/>
      <c r="D1" s="1968"/>
      <c r="E1" s="54"/>
      <c r="F1" s="54"/>
      <c r="G1" s="54"/>
    </row>
    <row r="2" spans="2:7" ht="24.75" customHeight="1">
      <c r="B2" s="54"/>
      <c r="C2" s="1883" t="s">
        <v>16</v>
      </c>
      <c r="D2" s="1883"/>
      <c r="E2" s="1883"/>
      <c r="F2" s="1883"/>
      <c r="G2" s="1883"/>
    </row>
    <row r="3" spans="2:7" ht="15" customHeight="1">
      <c r="B3" s="54"/>
      <c r="C3" s="53"/>
      <c r="D3" s="53"/>
      <c r="E3" s="54"/>
      <c r="F3" s="54"/>
      <c r="G3" s="54"/>
    </row>
    <row r="4" spans="2:7" s="33" customFormat="1" ht="24.75" customHeight="1" thickBot="1">
      <c r="B4" s="333"/>
      <c r="C4" s="1707" t="s">
        <v>113</v>
      </c>
      <c r="D4" s="1378"/>
      <c r="E4" s="1378"/>
      <c r="F4" s="1378"/>
      <c r="G4" s="1367" t="s">
        <v>12</v>
      </c>
    </row>
    <row r="5" spans="2:7" s="33" customFormat="1" ht="21" customHeight="1">
      <c r="B5" s="333"/>
      <c r="C5" s="1374" t="s">
        <v>25</v>
      </c>
      <c r="D5" s="1887" t="s">
        <v>442</v>
      </c>
      <c r="E5" s="1887"/>
      <c r="F5" s="97" t="s">
        <v>240</v>
      </c>
      <c r="G5" s="150" t="s">
        <v>77</v>
      </c>
    </row>
    <row r="6" spans="2:7" s="33" customFormat="1" ht="21" customHeight="1" thickBot="1">
      <c r="B6" s="333"/>
      <c r="C6" s="1375"/>
      <c r="D6" s="151" t="s">
        <v>147</v>
      </c>
      <c r="E6" s="151" t="s">
        <v>75</v>
      </c>
      <c r="F6" s="152" t="s">
        <v>76</v>
      </c>
      <c r="G6" s="102" t="s">
        <v>78</v>
      </c>
    </row>
    <row r="7" spans="2:7" ht="22.5" customHeight="1">
      <c r="B7" s="54"/>
      <c r="C7" s="1697" t="s">
        <v>64</v>
      </c>
      <c r="D7" s="291">
        <v>3540900</v>
      </c>
      <c r="E7" s="291">
        <v>3656914</v>
      </c>
      <c r="F7" s="272">
        <v>3462845</v>
      </c>
      <c r="G7" s="273">
        <f>+F7/E7*100</f>
        <v>94.693093685003262</v>
      </c>
    </row>
    <row r="8" spans="2:7" ht="22.5" customHeight="1">
      <c r="B8" s="54"/>
      <c r="C8" s="1423" t="s">
        <v>614</v>
      </c>
      <c r="D8" s="292">
        <v>2495269</v>
      </c>
      <c r="E8" s="292">
        <v>2578382</v>
      </c>
      <c r="F8" s="274">
        <v>2512740</v>
      </c>
      <c r="G8" s="404">
        <f t="shared" ref="G8:G26" si="0">+F8/E8*100</f>
        <v>97.454139844289941</v>
      </c>
    </row>
    <row r="9" spans="2:7" ht="22.5" customHeight="1" thickBot="1">
      <c r="B9" s="54"/>
      <c r="C9" s="1688" t="s">
        <v>7</v>
      </c>
      <c r="D9" s="155">
        <f>SUM(D7:D8)</f>
        <v>6036169</v>
      </c>
      <c r="E9" s="155">
        <f>SUM(E7:E8)</f>
        <v>6235296</v>
      </c>
      <c r="F9" s="155">
        <f>SUM(F7:F8)</f>
        <v>5975585</v>
      </c>
      <c r="G9" s="156">
        <f t="shared" si="0"/>
        <v>95.834824842317019</v>
      </c>
    </row>
    <row r="10" spans="2:7" ht="22.5" customHeight="1">
      <c r="B10" s="67"/>
      <c r="C10" s="1698" t="s">
        <v>241</v>
      </c>
      <c r="D10" s="272"/>
      <c r="E10" s="272">
        <v>1894</v>
      </c>
      <c r="F10" s="272">
        <v>144</v>
      </c>
      <c r="G10" s="403">
        <f t="shared" si="0"/>
        <v>7.6029567053854272</v>
      </c>
    </row>
    <row r="11" spans="2:7" ht="22.5" customHeight="1">
      <c r="B11" s="67"/>
      <c r="C11" s="1699" t="s">
        <v>583</v>
      </c>
      <c r="D11" s="113"/>
      <c r="E11" s="113">
        <v>7152</v>
      </c>
      <c r="F11" s="238">
        <v>7152</v>
      </c>
      <c r="G11" s="249">
        <f t="shared" si="0"/>
        <v>100</v>
      </c>
    </row>
    <row r="12" spans="2:7" ht="22.5" customHeight="1">
      <c r="B12" s="67"/>
      <c r="C12" s="1700" t="s">
        <v>324</v>
      </c>
      <c r="D12" s="113">
        <v>800</v>
      </c>
      <c r="E12" s="113">
        <v>0</v>
      </c>
      <c r="F12" s="113"/>
      <c r="G12" s="154"/>
    </row>
    <row r="13" spans="2:7" ht="22.5" customHeight="1">
      <c r="B13" s="67"/>
      <c r="C13" s="1701" t="s">
        <v>100</v>
      </c>
      <c r="D13" s="115">
        <v>500</v>
      </c>
      <c r="E13" s="115">
        <v>1000</v>
      </c>
      <c r="F13" s="89">
        <v>100</v>
      </c>
      <c r="G13" s="154">
        <f t="shared" si="0"/>
        <v>10</v>
      </c>
    </row>
    <row r="14" spans="2:7" ht="34.5">
      <c r="B14" s="67"/>
      <c r="C14" s="1702" t="s">
        <v>369</v>
      </c>
      <c r="D14" s="157">
        <v>1800</v>
      </c>
      <c r="E14" s="157">
        <v>2278</v>
      </c>
      <c r="F14" s="113">
        <v>1538</v>
      </c>
      <c r="G14" s="154">
        <f t="shared" si="0"/>
        <v>67.515364354697098</v>
      </c>
    </row>
    <row r="15" spans="2:7" ht="22.5" customHeight="1">
      <c r="B15" s="67"/>
      <c r="C15" s="1703" t="s">
        <v>170</v>
      </c>
      <c r="D15" s="402">
        <v>10000</v>
      </c>
      <c r="E15" s="402">
        <v>0</v>
      </c>
      <c r="F15" s="402"/>
      <c r="G15" s="403"/>
    </row>
    <row r="16" spans="2:7" ht="22.5" customHeight="1">
      <c r="B16" s="67"/>
      <c r="C16" s="1704" t="s">
        <v>352</v>
      </c>
      <c r="D16" s="248">
        <v>6000</v>
      </c>
      <c r="E16" s="248">
        <v>6800</v>
      </c>
      <c r="F16" s="238">
        <v>6755</v>
      </c>
      <c r="G16" s="249">
        <f t="shared" si="0"/>
        <v>99.338235294117652</v>
      </c>
    </row>
    <row r="17" spans="2:7" ht="22.5" customHeight="1">
      <c r="B17" s="67"/>
      <c r="C17" s="1701" t="s">
        <v>423</v>
      </c>
      <c r="D17" s="115">
        <v>4842</v>
      </c>
      <c r="E17" s="115">
        <v>5232</v>
      </c>
      <c r="F17" s="138">
        <v>4452</v>
      </c>
      <c r="G17" s="249">
        <f t="shared" si="0"/>
        <v>85.091743119266056</v>
      </c>
    </row>
    <row r="18" spans="2:7" ht="22.5" customHeight="1">
      <c r="B18" s="67"/>
      <c r="C18" s="1701" t="s">
        <v>73</v>
      </c>
      <c r="D18" s="115">
        <v>1250</v>
      </c>
      <c r="E18" s="115">
        <v>1250</v>
      </c>
      <c r="F18" s="138">
        <v>94</v>
      </c>
      <c r="G18" s="249">
        <f t="shared" si="0"/>
        <v>7.5200000000000005</v>
      </c>
    </row>
    <row r="19" spans="2:7" ht="22.5" customHeight="1">
      <c r="B19" s="67"/>
      <c r="C19" s="1701" t="s">
        <v>80</v>
      </c>
      <c r="D19" s="115">
        <v>3000</v>
      </c>
      <c r="E19" s="115">
        <v>3220</v>
      </c>
      <c r="F19" s="138">
        <v>2709</v>
      </c>
      <c r="G19" s="249">
        <f t="shared" si="0"/>
        <v>84.130434782608702</v>
      </c>
    </row>
    <row r="20" spans="2:7" ht="22.5" customHeight="1">
      <c r="B20" s="67"/>
      <c r="C20" s="1701" t="s">
        <v>1</v>
      </c>
      <c r="D20" s="115">
        <v>300</v>
      </c>
      <c r="E20" s="115">
        <v>350</v>
      </c>
      <c r="F20" s="324">
        <v>100</v>
      </c>
      <c r="G20" s="249">
        <f t="shared" si="0"/>
        <v>28.571428571428569</v>
      </c>
    </row>
    <row r="21" spans="2:7" ht="22.5" customHeight="1">
      <c r="B21" s="67"/>
      <c r="C21" s="1399" t="s">
        <v>10</v>
      </c>
      <c r="D21" s="115">
        <v>1500</v>
      </c>
      <c r="E21" s="115">
        <v>1773</v>
      </c>
      <c r="F21" s="138">
        <v>907</v>
      </c>
      <c r="G21" s="249">
        <f t="shared" si="0"/>
        <v>51.15623237450648</v>
      </c>
    </row>
    <row r="22" spans="2:7" ht="34.5" customHeight="1">
      <c r="B22" s="54"/>
      <c r="C22" s="1404" t="s">
        <v>231</v>
      </c>
      <c r="D22" s="115">
        <v>1000</v>
      </c>
      <c r="E22" s="115">
        <v>1626</v>
      </c>
      <c r="F22" s="324">
        <v>746</v>
      </c>
      <c r="G22" s="249">
        <f t="shared" si="0"/>
        <v>45.879458794587947</v>
      </c>
    </row>
    <row r="23" spans="2:7" ht="34.5" customHeight="1">
      <c r="B23" s="54"/>
      <c r="C23" s="1404" t="s">
        <v>484</v>
      </c>
      <c r="D23" s="115"/>
      <c r="E23" s="115">
        <v>2000</v>
      </c>
      <c r="F23" s="324">
        <v>1000</v>
      </c>
      <c r="G23" s="249">
        <f t="shared" si="0"/>
        <v>50</v>
      </c>
    </row>
    <row r="24" spans="2:7" ht="22.5" customHeight="1">
      <c r="B24" s="54"/>
      <c r="C24" s="1705" t="s">
        <v>325</v>
      </c>
      <c r="D24" s="158">
        <v>2900</v>
      </c>
      <c r="E24" s="158">
        <v>2119</v>
      </c>
      <c r="F24" s="457">
        <v>600</v>
      </c>
      <c r="G24" s="249">
        <f t="shared" si="0"/>
        <v>28.31524303916942</v>
      </c>
    </row>
    <row r="25" spans="2:7" ht="22.5" customHeight="1" thickBot="1">
      <c r="B25" s="54"/>
      <c r="C25" s="1706" t="s">
        <v>210</v>
      </c>
      <c r="D25" s="155">
        <f>SUM(D10:D24)</f>
        <v>33892</v>
      </c>
      <c r="E25" s="155">
        <f>SUM(E10:E24)</f>
        <v>36694</v>
      </c>
      <c r="F25" s="155">
        <f>SUM(F10:F24)</f>
        <v>26297</v>
      </c>
      <c r="G25" s="159">
        <f t="shared" si="0"/>
        <v>71.66566741156592</v>
      </c>
    </row>
    <row r="26" spans="2:7" s="4" customFormat="1" ht="22.5" customHeight="1" thickBot="1">
      <c r="B26" s="61"/>
      <c r="C26" s="1672" t="s">
        <v>246</v>
      </c>
      <c r="D26" s="108">
        <f>D9+D25</f>
        <v>6070061</v>
      </c>
      <c r="E26" s="108">
        <f>E9+E25</f>
        <v>6271990</v>
      </c>
      <c r="F26" s="108">
        <f>F9+F25</f>
        <v>6001882</v>
      </c>
      <c r="G26" s="160">
        <f t="shared" si="0"/>
        <v>95.693424256097344</v>
      </c>
    </row>
    <row r="27" spans="2:7" ht="21" customHeight="1">
      <c r="B27" s="54"/>
      <c r="C27" s="1605"/>
      <c r="D27" s="64"/>
      <c r="E27" s="54"/>
      <c r="F27" s="54"/>
      <c r="G27" s="54"/>
    </row>
    <row r="28" spans="2:7" ht="21" customHeight="1">
      <c r="B28" s="54"/>
      <c r="C28" s="1605"/>
      <c r="D28" s="64"/>
      <c r="E28" s="64"/>
      <c r="F28" s="64"/>
      <c r="G28" s="54"/>
    </row>
    <row r="29" spans="2:7" s="33" customFormat="1" ht="22.5" customHeight="1" thickBot="1">
      <c r="B29" s="333"/>
      <c r="C29" s="1623" t="s">
        <v>13</v>
      </c>
      <c r="D29" s="1377"/>
      <c r="E29" s="1377"/>
      <c r="F29" s="333"/>
      <c r="G29" s="1377"/>
    </row>
    <row r="30" spans="2:7" s="33" customFormat="1" ht="22.5" customHeight="1">
      <c r="B30" s="333"/>
      <c r="C30" s="1374" t="s">
        <v>25</v>
      </c>
      <c r="D30" s="1887" t="s">
        <v>442</v>
      </c>
      <c r="E30" s="1887"/>
      <c r="F30" s="97" t="s">
        <v>240</v>
      </c>
      <c r="G30" s="161" t="s">
        <v>77</v>
      </c>
    </row>
    <row r="31" spans="2:7" s="33" customFormat="1" ht="22.5" customHeight="1" thickBot="1">
      <c r="B31" s="333"/>
      <c r="C31" s="1419"/>
      <c r="D31" s="151" t="s">
        <v>147</v>
      </c>
      <c r="E31" s="151" t="s">
        <v>75</v>
      </c>
      <c r="F31" s="152" t="s">
        <v>76</v>
      </c>
      <c r="G31" s="162" t="s">
        <v>78</v>
      </c>
    </row>
    <row r="32" spans="2:7" ht="22.5" customHeight="1">
      <c r="B32" s="54"/>
      <c r="C32" s="1697" t="s">
        <v>64</v>
      </c>
      <c r="D32" s="272"/>
      <c r="E32" s="389">
        <v>39431</v>
      </c>
      <c r="F32" s="398">
        <v>27648</v>
      </c>
      <c r="G32" s="399">
        <f t="shared" ref="G32:G34" si="1">+F32/E32*100</f>
        <v>70.117420303821859</v>
      </c>
    </row>
    <row r="33" spans="2:7" ht="22.5" customHeight="1">
      <c r="B33" s="54"/>
      <c r="C33" s="1423" t="s">
        <v>614</v>
      </c>
      <c r="D33" s="400"/>
      <c r="E33" s="394">
        <v>72194</v>
      </c>
      <c r="F33" s="394">
        <v>63645</v>
      </c>
      <c r="G33" s="401">
        <f t="shared" si="1"/>
        <v>88.158295703244036</v>
      </c>
    </row>
    <row r="34" spans="2:7" ht="22.5" customHeight="1" thickBot="1">
      <c r="B34" s="54"/>
      <c r="C34" s="1688" t="s">
        <v>247</v>
      </c>
      <c r="D34" s="94">
        <f>SUM(D32:D33)</f>
        <v>0</v>
      </c>
      <c r="E34" s="94">
        <f>SUM(E32:E33)</f>
        <v>111625</v>
      </c>
      <c r="F34" s="94">
        <f>SUM(F32:F33)</f>
        <v>91293</v>
      </c>
      <c r="G34" s="95">
        <f t="shared" si="1"/>
        <v>81.785442329227322</v>
      </c>
    </row>
    <row r="35" spans="2:7" ht="22.5" customHeight="1" thickBot="1">
      <c r="B35" s="54"/>
      <c r="C35" s="1641"/>
      <c r="D35" s="147"/>
      <c r="E35" s="147"/>
      <c r="F35" s="163"/>
      <c r="G35" s="164"/>
    </row>
    <row r="36" spans="2:7" ht="22.5" customHeight="1" thickBot="1">
      <c r="B36" s="54"/>
      <c r="C36" s="1425" t="s">
        <v>248</v>
      </c>
      <c r="D36" s="165">
        <f>+D26+D34</f>
        <v>6070061</v>
      </c>
      <c r="E36" s="165">
        <f>+E26+E34</f>
        <v>6383615</v>
      </c>
      <c r="F36" s="165">
        <f>+F34+F26</f>
        <v>6093175</v>
      </c>
      <c r="G36" s="166">
        <f>+F36/E36*100</f>
        <v>95.450226869884858</v>
      </c>
    </row>
    <row r="37" spans="2:7" ht="21" customHeight="1">
      <c r="B37" s="54"/>
      <c r="C37" s="54"/>
      <c r="D37" s="54"/>
      <c r="E37" s="54"/>
      <c r="F37" s="54"/>
      <c r="G37" s="54"/>
    </row>
    <row r="38" spans="2:7" ht="15" customHeight="1">
      <c r="F38" s="3"/>
    </row>
    <row r="39" spans="2:7" ht="15" customHeight="1">
      <c r="E39" s="7"/>
      <c r="F39" s="3"/>
    </row>
    <row r="40" spans="2:7" ht="15" customHeight="1">
      <c r="F40" s="3"/>
    </row>
    <row r="42" spans="2:7" ht="15" customHeight="1">
      <c r="F42" s="3"/>
    </row>
    <row r="95" spans="5:7" ht="15" customHeight="1">
      <c r="E95" s="1">
        <v>3025199</v>
      </c>
      <c r="G95" s="1">
        <v>5396966</v>
      </c>
    </row>
  </sheetData>
  <mergeCells count="4">
    <mergeCell ref="C1:D1"/>
    <mergeCell ref="D5:E5"/>
    <mergeCell ref="D30:E30"/>
    <mergeCell ref="C2:G2"/>
  </mergeCells>
  <phoneticPr fontId="0" type="noConversion"/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70" orientation="portrait" r:id="rId1"/>
  <headerFooter alignWithMargins="0">
    <oddHeader xml:space="preserve">&amp;C&amp;"Times New Roman CE,Félkövér"&amp;14
&amp;R&amp;"Calibri,Félkövér"&amp;12 8. melléklet  a .../2026. (........)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3"/>
  <dimension ref="A1:H80"/>
  <sheetViews>
    <sheetView view="pageBreakPreview" zoomScaleNormal="100" zoomScaleSheetLayoutView="100" workbookViewId="0">
      <selection activeCell="B2" sqref="B2:F2"/>
    </sheetView>
  </sheetViews>
  <sheetFormatPr defaultColWidth="9.33203125" defaultRowHeight="15" customHeight="1"/>
  <cols>
    <col min="1" max="1" width="12.5" style="1" bestFit="1" customWidth="1"/>
    <col min="2" max="2" width="103.33203125" style="1" customWidth="1"/>
    <col min="3" max="5" width="20.6640625" style="1" customWidth="1"/>
    <col min="6" max="6" width="21.33203125" style="1" customWidth="1"/>
    <col min="7" max="7" width="10.83203125" style="49" bestFit="1" customWidth="1"/>
    <col min="8" max="8" width="59" style="49" customWidth="1"/>
    <col min="9" max="16384" width="9.33203125" style="1"/>
  </cols>
  <sheetData>
    <row r="1" spans="1:8" ht="15" customHeight="1">
      <c r="A1" s="54"/>
      <c r="B1" s="53"/>
      <c r="C1" s="54"/>
      <c r="D1" s="54"/>
      <c r="E1" s="54"/>
      <c r="F1" s="54"/>
    </row>
    <row r="2" spans="1:8" ht="24" customHeight="1">
      <c r="A2" s="54"/>
      <c r="B2" s="1969" t="s">
        <v>217</v>
      </c>
      <c r="C2" s="1969"/>
      <c r="D2" s="1969"/>
      <c r="E2" s="1969"/>
      <c r="F2" s="1969"/>
    </row>
    <row r="3" spans="1:8" ht="15" customHeight="1">
      <c r="A3" s="54"/>
      <c r="B3" s="53"/>
      <c r="C3" s="53"/>
      <c r="D3" s="54"/>
      <c r="E3" s="54"/>
      <c r="F3" s="54"/>
    </row>
    <row r="4" spans="1:8" s="33" customFormat="1" ht="24.75" customHeight="1" thickBot="1">
      <c r="A4" s="333"/>
      <c r="B4" s="1366" t="s">
        <v>113</v>
      </c>
      <c r="C4" s="1377"/>
      <c r="D4" s="333"/>
      <c r="E4" s="333"/>
      <c r="F4" s="1377" t="s">
        <v>12</v>
      </c>
      <c r="G4" s="1381"/>
      <c r="H4" s="1381"/>
    </row>
    <row r="5" spans="1:8" s="33" customFormat="1" ht="24.75" customHeight="1">
      <c r="A5" s="333"/>
      <c r="B5" s="1374" t="s">
        <v>25</v>
      </c>
      <c r="C5" s="1887" t="s">
        <v>442</v>
      </c>
      <c r="D5" s="1887"/>
      <c r="E5" s="97" t="s">
        <v>240</v>
      </c>
      <c r="F5" s="150" t="s">
        <v>77</v>
      </c>
      <c r="G5" s="1381"/>
      <c r="H5" s="1381"/>
    </row>
    <row r="6" spans="1:8" s="33" customFormat="1" ht="24.75" customHeight="1" thickBot="1">
      <c r="A6" s="333"/>
      <c r="B6" s="1379"/>
      <c r="C6" s="301" t="s">
        <v>147</v>
      </c>
      <c r="D6" s="151" t="s">
        <v>75</v>
      </c>
      <c r="E6" s="152" t="s">
        <v>76</v>
      </c>
      <c r="F6" s="153" t="s">
        <v>78</v>
      </c>
      <c r="G6" s="1381"/>
      <c r="H6" s="1381"/>
    </row>
    <row r="7" spans="1:8" ht="17.100000000000001" customHeight="1">
      <c r="A7" s="54"/>
      <c r="B7" s="1708" t="s">
        <v>452</v>
      </c>
      <c r="C7" s="378"/>
      <c r="D7" s="270"/>
      <c r="E7" s="270"/>
      <c r="F7" s="254"/>
    </row>
    <row r="8" spans="1:8" ht="24.95" customHeight="1" thickBot="1">
      <c r="A8" s="54"/>
      <c r="B8" s="1709" t="s">
        <v>372</v>
      </c>
      <c r="C8" s="176">
        <v>162526</v>
      </c>
      <c r="D8" s="125">
        <v>305116</v>
      </c>
      <c r="E8" s="125">
        <v>251831</v>
      </c>
      <c r="F8" s="377">
        <f>+E8/D8*100</f>
        <v>82.536150185503217</v>
      </c>
    </row>
    <row r="9" spans="1:8" ht="24.95" customHeight="1" thickBot="1">
      <c r="A9" s="54"/>
      <c r="B9" s="1710" t="s">
        <v>453</v>
      </c>
      <c r="C9" s="175">
        <v>581360</v>
      </c>
      <c r="D9" s="108">
        <v>1103510</v>
      </c>
      <c r="E9" s="108">
        <v>829196</v>
      </c>
      <c r="F9" s="166">
        <f t="shared" ref="F9:F59" si="0">+E9/D9*100</f>
        <v>75.141684262036591</v>
      </c>
    </row>
    <row r="10" spans="1:8" ht="24.95" customHeight="1" thickBot="1">
      <c r="A10" s="54"/>
      <c r="B10" s="1711" t="s">
        <v>351</v>
      </c>
      <c r="C10" s="388">
        <v>324895</v>
      </c>
      <c r="D10" s="386">
        <v>544762</v>
      </c>
      <c r="E10" s="386">
        <v>512344</v>
      </c>
      <c r="F10" s="387">
        <f t="shared" si="0"/>
        <v>94.049144397002721</v>
      </c>
    </row>
    <row r="11" spans="1:8" ht="24.95" customHeight="1" thickBot="1">
      <c r="A11" s="54"/>
      <c r="B11" s="1711" t="s">
        <v>454</v>
      </c>
      <c r="C11" s="388">
        <v>756427</v>
      </c>
      <c r="D11" s="386">
        <v>992247</v>
      </c>
      <c r="E11" s="386">
        <v>872382</v>
      </c>
      <c r="F11" s="387">
        <f t="shared" si="0"/>
        <v>87.919842539206471</v>
      </c>
    </row>
    <row r="12" spans="1:8" ht="24.95" customHeight="1" thickBot="1">
      <c r="A12" s="54"/>
      <c r="B12" s="1712" t="s">
        <v>455</v>
      </c>
      <c r="C12" s="145">
        <f>+C8+C9+C10+C11</f>
        <v>1825208</v>
      </c>
      <c r="D12" s="108">
        <f>+D8+D9+D10+D11</f>
        <v>2945635</v>
      </c>
      <c r="E12" s="108">
        <f>+E8+E9+E10+E11</f>
        <v>2465753</v>
      </c>
      <c r="F12" s="166">
        <f t="shared" si="0"/>
        <v>83.7087079695889</v>
      </c>
    </row>
    <row r="13" spans="1:8" ht="24.95" customHeight="1">
      <c r="A13" s="54"/>
      <c r="B13" s="1713" t="s">
        <v>456</v>
      </c>
      <c r="C13" s="110"/>
      <c r="D13" s="116"/>
      <c r="E13" s="116"/>
      <c r="F13" s="286"/>
    </row>
    <row r="14" spans="1:8" ht="27" customHeight="1">
      <c r="A14" s="54"/>
      <c r="B14" s="1398" t="s">
        <v>1239</v>
      </c>
      <c r="C14" s="157">
        <v>373897</v>
      </c>
      <c r="D14" s="113">
        <v>347387</v>
      </c>
      <c r="E14" s="113">
        <v>347387</v>
      </c>
      <c r="F14" s="114">
        <f t="shared" si="0"/>
        <v>100</v>
      </c>
    </row>
    <row r="15" spans="1:8" ht="42.75" customHeight="1">
      <c r="A15" s="54"/>
      <c r="B15" s="1705" t="s">
        <v>1240</v>
      </c>
      <c r="C15" s="158">
        <v>373897</v>
      </c>
      <c r="D15" s="87">
        <v>75519</v>
      </c>
      <c r="E15" s="87">
        <v>75519</v>
      </c>
      <c r="F15" s="171">
        <f t="shared" si="0"/>
        <v>100</v>
      </c>
    </row>
    <row r="16" spans="1:8" ht="42.75" customHeight="1" thickBot="1">
      <c r="A16" s="54"/>
      <c r="B16" s="1714" t="s">
        <v>485</v>
      </c>
      <c r="C16" s="290"/>
      <c r="D16" s="271">
        <v>71822</v>
      </c>
      <c r="E16" s="271">
        <v>71822</v>
      </c>
      <c r="F16" s="171">
        <f t="shared" si="0"/>
        <v>100</v>
      </c>
    </row>
    <row r="17" spans="1:8" s="12" customFormat="1" ht="24.95" customHeight="1" thickBot="1">
      <c r="B17" s="1425" t="s">
        <v>457</v>
      </c>
      <c r="C17" s="176">
        <f>SUM(C14:C15)</f>
        <v>747794</v>
      </c>
      <c r="D17" s="125">
        <f>SUM(D14:D16)</f>
        <v>494728</v>
      </c>
      <c r="E17" s="125">
        <f>SUM(E14:E16)</f>
        <v>494728</v>
      </c>
      <c r="F17" s="166">
        <f t="shared" si="0"/>
        <v>100</v>
      </c>
      <c r="G17" s="49"/>
      <c r="H17" s="49"/>
    </row>
    <row r="18" spans="1:8" s="321" customFormat="1" ht="24.95" customHeight="1" thickBot="1">
      <c r="A18" s="54"/>
      <c r="B18" s="1385" t="s">
        <v>458</v>
      </c>
      <c r="C18" s="293">
        <v>48651</v>
      </c>
      <c r="D18" s="180">
        <v>55405</v>
      </c>
      <c r="E18" s="319">
        <v>55405</v>
      </c>
      <c r="F18" s="320">
        <f>+E18/D18*100</f>
        <v>100</v>
      </c>
      <c r="G18" s="49"/>
      <c r="H18" s="49"/>
    </row>
    <row r="19" spans="1:8" s="321" customFormat="1" ht="24.95" customHeight="1" thickBot="1">
      <c r="A19" s="54"/>
      <c r="B19" s="1385" t="s">
        <v>459</v>
      </c>
      <c r="C19" s="293">
        <v>384000</v>
      </c>
      <c r="D19" s="180">
        <v>429570</v>
      </c>
      <c r="E19" s="180">
        <v>429570</v>
      </c>
      <c r="F19" s="320">
        <f t="shared" si="0"/>
        <v>100</v>
      </c>
      <c r="G19" s="49"/>
      <c r="H19" s="49"/>
    </row>
    <row r="20" spans="1:8" s="12" customFormat="1" ht="24.95" customHeight="1" thickBot="1">
      <c r="A20" s="61"/>
      <c r="B20" s="1425" t="s">
        <v>403</v>
      </c>
      <c r="C20" s="176">
        <f>+C17+C18+C19</f>
        <v>1180445</v>
      </c>
      <c r="D20" s="108">
        <f>+D17+D18+D19</f>
        <v>979703</v>
      </c>
      <c r="E20" s="108">
        <f>+E17+E18+E19</f>
        <v>979703</v>
      </c>
      <c r="F20" s="166">
        <f t="shared" si="0"/>
        <v>100</v>
      </c>
      <c r="G20" s="49"/>
      <c r="H20" s="49"/>
    </row>
    <row r="21" spans="1:8" ht="62.25" customHeight="1" thickBot="1">
      <c r="A21" s="54"/>
      <c r="B21" s="1715" t="s">
        <v>404</v>
      </c>
      <c r="C21" s="175">
        <f>+C12+C20</f>
        <v>3005653</v>
      </c>
      <c r="D21" s="108">
        <f>+D12+D20</f>
        <v>3925338</v>
      </c>
      <c r="E21" s="108">
        <f>+E12+E20</f>
        <v>3445456</v>
      </c>
      <c r="F21" s="166">
        <f t="shared" si="0"/>
        <v>87.77475977864836</v>
      </c>
    </row>
    <row r="22" spans="1:8" ht="24.95" customHeight="1">
      <c r="A22" s="54"/>
      <c r="B22" s="1716" t="s">
        <v>584</v>
      </c>
      <c r="C22" s="294"/>
      <c r="D22" s="167"/>
      <c r="E22" s="167"/>
      <c r="F22" s="169"/>
    </row>
    <row r="23" spans="1:8" ht="24.95" customHeight="1">
      <c r="A23" s="54"/>
      <c r="B23" s="1708" t="s">
        <v>466</v>
      </c>
      <c r="C23" s="158"/>
      <c r="D23" s="87"/>
      <c r="E23" s="87"/>
      <c r="F23" s="260"/>
    </row>
    <row r="24" spans="1:8" ht="24.95" customHeight="1">
      <c r="A24" s="54"/>
      <c r="B24" s="1398" t="s">
        <v>177</v>
      </c>
      <c r="C24" s="366">
        <v>3000</v>
      </c>
      <c r="D24" s="367">
        <v>3000</v>
      </c>
      <c r="E24" s="449">
        <v>3000</v>
      </c>
      <c r="F24" s="276">
        <f t="shared" si="0"/>
        <v>100</v>
      </c>
    </row>
    <row r="25" spans="1:8" ht="24.95" customHeight="1">
      <c r="A25" s="54"/>
      <c r="B25" s="1717" t="s">
        <v>2</v>
      </c>
      <c r="C25" s="366">
        <v>1200</v>
      </c>
      <c r="D25" s="367">
        <v>1200</v>
      </c>
      <c r="E25" s="449">
        <v>1200</v>
      </c>
      <c r="F25" s="276">
        <f t="shared" si="0"/>
        <v>100</v>
      </c>
    </row>
    <row r="26" spans="1:8" ht="24.95" customHeight="1">
      <c r="A26" s="54"/>
      <c r="B26" s="1718" t="s">
        <v>370</v>
      </c>
      <c r="C26" s="368">
        <v>3000</v>
      </c>
      <c r="D26" s="289">
        <v>3000</v>
      </c>
      <c r="E26" s="287">
        <v>3000</v>
      </c>
      <c r="F26" s="276">
        <f t="shared" si="0"/>
        <v>100</v>
      </c>
    </row>
    <row r="27" spans="1:8" ht="24.95" customHeight="1">
      <c r="A27" s="54"/>
      <c r="B27" s="1717" t="s">
        <v>101</v>
      </c>
      <c r="C27" s="366">
        <v>4000</v>
      </c>
      <c r="D27" s="367">
        <v>4000</v>
      </c>
      <c r="E27" s="449">
        <v>4000</v>
      </c>
      <c r="F27" s="276">
        <f>+E27/D27*100</f>
        <v>100</v>
      </c>
    </row>
    <row r="28" spans="1:8" ht="24.95" customHeight="1">
      <c r="A28" s="54"/>
      <c r="B28" s="1399" t="s">
        <v>102</v>
      </c>
      <c r="C28" s="368">
        <v>13000</v>
      </c>
      <c r="D28" s="289">
        <v>13000</v>
      </c>
      <c r="E28" s="287">
        <v>13000</v>
      </c>
      <c r="F28" s="276">
        <f t="shared" si="0"/>
        <v>100</v>
      </c>
    </row>
    <row r="29" spans="1:8" ht="24.95" customHeight="1">
      <c r="A29" s="54"/>
      <c r="B29" s="1717" t="s">
        <v>103</v>
      </c>
      <c r="C29" s="366">
        <v>1000</v>
      </c>
      <c r="D29" s="367">
        <v>1000</v>
      </c>
      <c r="E29" s="449">
        <v>1000</v>
      </c>
      <c r="F29" s="276">
        <f t="shared" si="0"/>
        <v>100</v>
      </c>
    </row>
    <row r="30" spans="1:8" ht="24.95" customHeight="1">
      <c r="A30" s="54"/>
      <c r="B30" s="1399" t="s">
        <v>460</v>
      </c>
      <c r="C30" s="379">
        <v>3000</v>
      </c>
      <c r="D30" s="289">
        <v>3000</v>
      </c>
      <c r="E30" s="287">
        <v>3000</v>
      </c>
      <c r="F30" s="276">
        <f t="shared" si="0"/>
        <v>100</v>
      </c>
    </row>
    <row r="31" spans="1:8" ht="24.95" customHeight="1">
      <c r="A31" s="54"/>
      <c r="B31" s="1718" t="s">
        <v>402</v>
      </c>
      <c r="C31" s="368">
        <v>2000</v>
      </c>
      <c r="D31" s="289">
        <v>2000</v>
      </c>
      <c r="E31" s="287">
        <v>2000</v>
      </c>
      <c r="F31" s="276">
        <f t="shared" si="0"/>
        <v>100</v>
      </c>
    </row>
    <row r="32" spans="1:8" ht="24.95" customHeight="1">
      <c r="A32" s="54"/>
      <c r="B32" s="1399" t="s">
        <v>3</v>
      </c>
      <c r="C32" s="369">
        <v>650</v>
      </c>
      <c r="D32" s="370">
        <v>650</v>
      </c>
      <c r="E32" s="278">
        <v>650</v>
      </c>
      <c r="F32" s="276">
        <f t="shared" si="0"/>
        <v>100</v>
      </c>
    </row>
    <row r="33" spans="1:6" ht="24.95" customHeight="1">
      <c r="A33" s="54"/>
      <c r="B33" s="1399" t="s">
        <v>11</v>
      </c>
      <c r="C33" s="371">
        <v>2000</v>
      </c>
      <c r="D33" s="372">
        <v>2000</v>
      </c>
      <c r="E33" s="450">
        <v>2000</v>
      </c>
      <c r="F33" s="276">
        <f t="shared" si="0"/>
        <v>100</v>
      </c>
    </row>
    <row r="34" spans="1:6" ht="24.95" customHeight="1">
      <c r="A34" s="54"/>
      <c r="B34" s="1399" t="s">
        <v>585</v>
      </c>
      <c r="C34" s="369">
        <v>6000</v>
      </c>
      <c r="D34" s="370">
        <v>6000</v>
      </c>
      <c r="E34" s="278">
        <v>6000</v>
      </c>
      <c r="F34" s="276">
        <f t="shared" si="0"/>
        <v>100</v>
      </c>
    </row>
    <row r="35" spans="1:6" ht="24.95" customHeight="1">
      <c r="A35" s="54"/>
      <c r="B35" s="1399" t="s">
        <v>306</v>
      </c>
      <c r="C35" s="369">
        <v>2000</v>
      </c>
      <c r="D35" s="370">
        <v>2000</v>
      </c>
      <c r="E35" s="278">
        <v>2000</v>
      </c>
      <c r="F35" s="276">
        <f t="shared" si="0"/>
        <v>100</v>
      </c>
    </row>
    <row r="36" spans="1:6" ht="24.95" customHeight="1">
      <c r="A36" s="54"/>
      <c r="B36" s="1718" t="s">
        <v>108</v>
      </c>
      <c r="C36" s="368">
        <v>2000</v>
      </c>
      <c r="D36" s="289">
        <v>2000</v>
      </c>
      <c r="E36" s="287">
        <v>2000</v>
      </c>
      <c r="F36" s="276">
        <f t="shared" si="0"/>
        <v>100</v>
      </c>
    </row>
    <row r="37" spans="1:6" ht="24.95" customHeight="1">
      <c r="A37" s="54"/>
      <c r="B37" s="1399" t="s">
        <v>161</v>
      </c>
      <c r="C37" s="369">
        <v>1600</v>
      </c>
      <c r="D37" s="370">
        <v>1600</v>
      </c>
      <c r="E37" s="278">
        <v>0</v>
      </c>
      <c r="F37" s="276">
        <f t="shared" si="0"/>
        <v>0</v>
      </c>
    </row>
    <row r="38" spans="1:6" ht="42.75" customHeight="1">
      <c r="A38" s="54"/>
      <c r="B38" s="1718" t="s">
        <v>586</v>
      </c>
      <c r="C38" s="369">
        <v>3500</v>
      </c>
      <c r="D38" s="370">
        <v>3500</v>
      </c>
      <c r="E38" s="278">
        <v>3500</v>
      </c>
      <c r="F38" s="276">
        <f t="shared" si="0"/>
        <v>100</v>
      </c>
    </row>
    <row r="39" spans="1:6" ht="42.75" customHeight="1">
      <c r="A39" s="54"/>
      <c r="B39" s="1718" t="s">
        <v>220</v>
      </c>
      <c r="C39" s="368">
        <v>1200</v>
      </c>
      <c r="D39" s="289">
        <v>1200</v>
      </c>
      <c r="E39" s="287">
        <v>1200</v>
      </c>
      <c r="F39" s="276">
        <f t="shared" si="0"/>
        <v>100</v>
      </c>
    </row>
    <row r="40" spans="1:6" ht="42.75" customHeight="1">
      <c r="A40" s="54"/>
      <c r="B40" s="1718" t="s">
        <v>221</v>
      </c>
      <c r="C40" s="368">
        <v>1500</v>
      </c>
      <c r="D40" s="289">
        <v>1500</v>
      </c>
      <c r="E40" s="287">
        <v>1500</v>
      </c>
      <c r="F40" s="276">
        <f t="shared" si="0"/>
        <v>100</v>
      </c>
    </row>
    <row r="41" spans="1:6" ht="24.75" customHeight="1">
      <c r="A41" s="67"/>
      <c r="B41" s="1625" t="s">
        <v>213</v>
      </c>
      <c r="C41" s="369">
        <v>1000</v>
      </c>
      <c r="D41" s="370">
        <v>1000</v>
      </c>
      <c r="E41" s="278">
        <v>1000</v>
      </c>
      <c r="F41" s="276">
        <f t="shared" si="0"/>
        <v>100</v>
      </c>
    </row>
    <row r="42" spans="1:6" ht="24.95" customHeight="1">
      <c r="A42" s="54"/>
      <c r="B42" s="1424" t="s">
        <v>394</v>
      </c>
      <c r="C42" s="373">
        <v>1000</v>
      </c>
      <c r="D42" s="374">
        <v>1000</v>
      </c>
      <c r="E42" s="451">
        <v>1000</v>
      </c>
      <c r="F42" s="276">
        <f t="shared" si="0"/>
        <v>100</v>
      </c>
    </row>
    <row r="43" spans="1:6" ht="24.95" customHeight="1">
      <c r="A43" s="54"/>
      <c r="B43" s="1424" t="s">
        <v>395</v>
      </c>
      <c r="C43" s="373">
        <v>1000</v>
      </c>
      <c r="D43" s="374">
        <v>1000</v>
      </c>
      <c r="E43" s="451">
        <v>1000</v>
      </c>
      <c r="F43" s="276">
        <f t="shared" si="0"/>
        <v>100</v>
      </c>
    </row>
    <row r="44" spans="1:6" ht="24.95" customHeight="1">
      <c r="A44" s="54"/>
      <c r="B44" s="1406" t="s">
        <v>587</v>
      </c>
      <c r="C44" s="373">
        <v>1000</v>
      </c>
      <c r="D44" s="374">
        <v>1000</v>
      </c>
      <c r="E44" s="451">
        <v>1000</v>
      </c>
      <c r="F44" s="380">
        <f t="shared" si="0"/>
        <v>100</v>
      </c>
    </row>
    <row r="45" spans="1:6" ht="24.95" customHeight="1">
      <c r="A45" s="54"/>
      <c r="B45" s="1719" t="s">
        <v>307</v>
      </c>
      <c r="C45" s="369">
        <v>300</v>
      </c>
      <c r="D45" s="370">
        <v>300</v>
      </c>
      <c r="E45" s="278">
        <v>300</v>
      </c>
      <c r="F45" s="285">
        <f t="shared" si="0"/>
        <v>100</v>
      </c>
    </row>
    <row r="46" spans="1:6" ht="24.95" customHeight="1" thickBot="1">
      <c r="A46" s="54"/>
      <c r="B46" s="1720" t="s">
        <v>405</v>
      </c>
      <c r="C46" s="381">
        <f>SUM(C24:C45)</f>
        <v>54950</v>
      </c>
      <c r="D46" s="381">
        <f>SUM(D24:D45)</f>
        <v>54950</v>
      </c>
      <c r="E46" s="381">
        <f>SUM(E24:E45)</f>
        <v>53350</v>
      </c>
      <c r="F46" s="382">
        <f t="shared" si="0"/>
        <v>97.088262056414919</v>
      </c>
    </row>
    <row r="47" spans="1:6" ht="24.95" customHeight="1" thickBot="1">
      <c r="A47" s="54"/>
      <c r="B47" s="1721" t="s">
        <v>406</v>
      </c>
      <c r="C47" s="297">
        <v>0</v>
      </c>
      <c r="D47" s="279">
        <v>14210</v>
      </c>
      <c r="E47" s="957">
        <v>2050</v>
      </c>
      <c r="F47" s="280">
        <f t="shared" si="0"/>
        <v>14.42646023926812</v>
      </c>
    </row>
    <row r="48" spans="1:6" ht="60.75" customHeight="1" thickBot="1">
      <c r="A48" s="54"/>
      <c r="B48" s="1722" t="s">
        <v>407</v>
      </c>
      <c r="C48" s="298">
        <f>+C46+C47</f>
        <v>54950</v>
      </c>
      <c r="D48" s="132">
        <f>+D46+D47</f>
        <v>69160</v>
      </c>
      <c r="E48" s="132">
        <f>+E46+E47</f>
        <v>55400</v>
      </c>
      <c r="F48" s="280">
        <f t="shared" si="0"/>
        <v>80.104106419895899</v>
      </c>
    </row>
    <row r="49" spans="1:7" ht="24.75" customHeight="1" thickBot="1">
      <c r="A49" s="54"/>
      <c r="B49" s="1723" t="s">
        <v>408</v>
      </c>
      <c r="C49" s="175">
        <v>0</v>
      </c>
      <c r="D49" s="108">
        <v>0</v>
      </c>
      <c r="E49" s="108"/>
      <c r="F49" s="280"/>
    </row>
    <row r="50" spans="1:7" ht="24.75" customHeight="1">
      <c r="A50" s="54"/>
      <c r="B50" s="1724" t="s">
        <v>461</v>
      </c>
      <c r="C50" s="194"/>
      <c r="D50" s="281"/>
      <c r="E50" s="281"/>
      <c r="F50" s="282"/>
    </row>
    <row r="51" spans="1:7" ht="24.75" customHeight="1">
      <c r="A51" s="54"/>
      <c r="B51" s="1725" t="s">
        <v>326</v>
      </c>
      <c r="C51" s="299">
        <v>0</v>
      </c>
      <c r="D51" s="283">
        <v>5534</v>
      </c>
      <c r="E51" s="283">
        <v>5324</v>
      </c>
      <c r="F51" s="284">
        <f t="shared" si="0"/>
        <v>96.205276472714132</v>
      </c>
    </row>
    <row r="52" spans="1:7" ht="24.75" customHeight="1">
      <c r="A52" s="67"/>
      <c r="B52" s="1726" t="s">
        <v>371</v>
      </c>
      <c r="C52" s="296">
        <v>27000</v>
      </c>
      <c r="D52" s="104">
        <v>32286</v>
      </c>
      <c r="E52" s="370">
        <v>22297</v>
      </c>
      <c r="F52" s="285">
        <f t="shared" ref="F52" si="1">+E52/D52*100</f>
        <v>69.060893266431265</v>
      </c>
      <c r="G52" s="3"/>
    </row>
    <row r="53" spans="1:7" ht="24.75" customHeight="1">
      <c r="A53" s="54"/>
      <c r="B53" s="1727" t="s">
        <v>327</v>
      </c>
      <c r="C53" s="158">
        <v>7500</v>
      </c>
      <c r="D53" s="87">
        <v>11095</v>
      </c>
      <c r="E53" s="956">
        <v>11095</v>
      </c>
      <c r="F53" s="260">
        <f t="shared" si="0"/>
        <v>100</v>
      </c>
      <c r="G53" s="3"/>
    </row>
    <row r="54" spans="1:7" ht="24.95" customHeight="1" thickBot="1">
      <c r="A54" s="54"/>
      <c r="B54" s="1728" t="s">
        <v>409</v>
      </c>
      <c r="C54" s="155">
        <f>SUM(C51:C53)</f>
        <v>34500</v>
      </c>
      <c r="D54" s="94">
        <f>SUM(D51:D53)</f>
        <v>48915</v>
      </c>
      <c r="E54" s="94">
        <f>SUM(E51:E53)</f>
        <v>38716</v>
      </c>
      <c r="F54" s="134">
        <f t="shared" si="0"/>
        <v>79.149545129305949</v>
      </c>
      <c r="G54" s="3"/>
    </row>
    <row r="55" spans="1:7" ht="24.95" customHeight="1" thickBot="1">
      <c r="A55" s="54"/>
      <c r="B55" s="1672" t="s">
        <v>410</v>
      </c>
      <c r="C55" s="155">
        <f>C49+C54</f>
        <v>34500</v>
      </c>
      <c r="D55" s="94">
        <f>D49+D54</f>
        <v>48915</v>
      </c>
      <c r="E55" s="94">
        <f>E49+E54</f>
        <v>38716</v>
      </c>
      <c r="F55" s="166">
        <f t="shared" si="0"/>
        <v>79.149545129305949</v>
      </c>
      <c r="G55" s="3"/>
    </row>
    <row r="56" spans="1:7" ht="24.95" customHeight="1">
      <c r="A56" s="54"/>
      <c r="B56" s="1729" t="s">
        <v>462</v>
      </c>
      <c r="C56" s="194"/>
      <c r="D56" s="281"/>
      <c r="E56" s="281"/>
      <c r="F56" s="282"/>
      <c r="G56" s="3"/>
    </row>
    <row r="57" spans="1:7" ht="24.95" customHeight="1">
      <c r="A57" s="54"/>
      <c r="B57" s="1717" t="s">
        <v>211</v>
      </c>
      <c r="C57" s="295">
        <v>2023</v>
      </c>
      <c r="D57" s="277">
        <v>2504</v>
      </c>
      <c r="E57" s="287">
        <v>1607</v>
      </c>
      <c r="F57" s="276">
        <f t="shared" si="0"/>
        <v>64.177316293929707</v>
      </c>
      <c r="G57" s="3"/>
    </row>
    <row r="58" spans="1:7" ht="24.95" customHeight="1">
      <c r="A58" s="54"/>
      <c r="B58" s="1730" t="s">
        <v>264</v>
      </c>
      <c r="C58" s="295">
        <v>5000</v>
      </c>
      <c r="D58" s="277">
        <v>5860</v>
      </c>
      <c r="E58" s="289">
        <v>5031</v>
      </c>
      <c r="F58" s="276">
        <f t="shared" si="0"/>
        <v>85.853242320819106</v>
      </c>
      <c r="G58" s="3"/>
    </row>
    <row r="59" spans="1:7" ht="24.95" customHeight="1">
      <c r="A59" s="54"/>
      <c r="B59" s="1719" t="s">
        <v>353</v>
      </c>
      <c r="C59" s="383">
        <v>0</v>
      </c>
      <c r="D59" s="384">
        <v>664</v>
      </c>
      <c r="E59" s="385">
        <v>664</v>
      </c>
      <c r="F59" s="285">
        <f t="shared" si="0"/>
        <v>100</v>
      </c>
    </row>
    <row r="60" spans="1:7" ht="19.5" thickBot="1">
      <c r="A60" s="54"/>
      <c r="B60" s="1672" t="s">
        <v>463</v>
      </c>
      <c r="C60" s="300">
        <f>SUM(C57:C59)</f>
        <v>7023</v>
      </c>
      <c r="D60" s="288">
        <f>SUM(D57:D59)</f>
        <v>9028</v>
      </c>
      <c r="E60" s="288">
        <f>SUM(E57:E59)</f>
        <v>7302</v>
      </c>
      <c r="F60" s="280">
        <f t="shared" ref="F60:F62" si="2">+E60/D60*100</f>
        <v>80.881701373504654</v>
      </c>
    </row>
    <row r="61" spans="1:7" ht="24.95" customHeight="1" thickBot="1">
      <c r="A61" s="54"/>
      <c r="B61" s="1688" t="s">
        <v>465</v>
      </c>
      <c r="C61" s="300">
        <f>+C48+C55+C60</f>
        <v>96473</v>
      </c>
      <c r="D61" s="300">
        <f t="shared" ref="D61:E61" si="3">+D48+D55+D60</f>
        <v>127103</v>
      </c>
      <c r="E61" s="300">
        <f t="shared" si="3"/>
        <v>101418</v>
      </c>
      <c r="F61" s="166">
        <f t="shared" si="2"/>
        <v>79.791979732972479</v>
      </c>
    </row>
    <row r="62" spans="1:7" ht="24.95" customHeight="1" thickBot="1">
      <c r="A62" s="54"/>
      <c r="B62" s="1425" t="s">
        <v>464</v>
      </c>
      <c r="C62" s="175">
        <f>+C21+C61</f>
        <v>3102126</v>
      </c>
      <c r="D62" s="108">
        <f>+D21+D61</f>
        <v>4052441</v>
      </c>
      <c r="E62" s="108">
        <f>+E21+E61</f>
        <v>3546874</v>
      </c>
      <c r="F62" s="166">
        <f t="shared" si="2"/>
        <v>87.524383451850369</v>
      </c>
    </row>
    <row r="63" spans="1:7" ht="15" customHeight="1">
      <c r="A63" s="54"/>
      <c r="B63" s="326"/>
      <c r="C63" s="54"/>
      <c r="D63" s="54"/>
      <c r="E63" s="54"/>
      <c r="F63" s="54"/>
    </row>
    <row r="64" spans="1:7" ht="15" customHeight="1">
      <c r="A64" s="54"/>
      <c r="B64" s="326"/>
      <c r="C64" s="54"/>
      <c r="D64" s="54"/>
      <c r="E64" s="64"/>
      <c r="F64" s="54"/>
    </row>
    <row r="65" spans="1:8" s="33" customFormat="1" ht="24.75" customHeight="1" thickBot="1">
      <c r="A65" s="333"/>
      <c r="B65" s="1376" t="s">
        <v>13</v>
      </c>
      <c r="C65" s="1377"/>
      <c r="D65" s="1377"/>
      <c r="E65" s="1377"/>
      <c r="F65" s="1377"/>
      <c r="G65" s="1381"/>
      <c r="H65" s="1381"/>
    </row>
    <row r="66" spans="1:8" s="33" customFormat="1" ht="24.75" customHeight="1">
      <c r="A66" s="333"/>
      <c r="B66" s="1374" t="s">
        <v>25</v>
      </c>
      <c r="C66" s="1887" t="s">
        <v>442</v>
      </c>
      <c r="D66" s="1887"/>
      <c r="E66" s="97" t="s">
        <v>240</v>
      </c>
      <c r="F66" s="302" t="s">
        <v>77</v>
      </c>
      <c r="G66" s="1381"/>
      <c r="H66" s="1381"/>
    </row>
    <row r="67" spans="1:8" s="33" customFormat="1" ht="24.75" customHeight="1" thickBot="1">
      <c r="A67" s="333"/>
      <c r="B67" s="1375"/>
      <c r="C67" s="151" t="s">
        <v>147</v>
      </c>
      <c r="D67" s="151" t="s">
        <v>75</v>
      </c>
      <c r="E67" s="152" t="s">
        <v>76</v>
      </c>
      <c r="F67" s="162" t="s">
        <v>78</v>
      </c>
      <c r="G67" s="1381"/>
      <c r="H67" s="1381"/>
    </row>
    <row r="68" spans="1:8" ht="24.75" customHeight="1">
      <c r="A68" s="54"/>
      <c r="B68" s="1731" t="s">
        <v>615</v>
      </c>
      <c r="C68" s="87">
        <v>0</v>
      </c>
      <c r="D68" s="87">
        <v>1877</v>
      </c>
      <c r="E68" s="87">
        <v>1877</v>
      </c>
      <c r="F68" s="303"/>
    </row>
    <row r="69" spans="1:8" ht="24.75" customHeight="1">
      <c r="A69" s="54"/>
      <c r="B69" s="1424" t="s">
        <v>616</v>
      </c>
      <c r="C69" s="89">
        <v>0</v>
      </c>
      <c r="D69" s="89">
        <v>95123</v>
      </c>
      <c r="E69" s="89">
        <v>49434</v>
      </c>
      <c r="F69" s="304"/>
    </row>
    <row r="70" spans="1:8" ht="24.75" customHeight="1">
      <c r="A70" s="54"/>
      <c r="B70" s="1732" t="s">
        <v>617</v>
      </c>
      <c r="C70" s="389">
        <v>0</v>
      </c>
      <c r="D70" s="389">
        <v>12782</v>
      </c>
      <c r="E70" s="389">
        <v>12781</v>
      </c>
      <c r="F70" s="390"/>
    </row>
    <row r="71" spans="1:8" ht="24.75" customHeight="1" thickBot="1">
      <c r="A71" s="54"/>
      <c r="B71" s="1732" t="s">
        <v>618</v>
      </c>
      <c r="C71" s="389">
        <v>0</v>
      </c>
      <c r="D71" s="389">
        <v>52484</v>
      </c>
      <c r="E71" s="389">
        <v>44391</v>
      </c>
      <c r="F71" s="390"/>
    </row>
    <row r="72" spans="1:8" ht="24.75" customHeight="1" thickBot="1">
      <c r="A72" s="54"/>
      <c r="B72" s="1425" t="s">
        <v>249</v>
      </c>
      <c r="C72" s="108">
        <f>SUM(C68:C71)</f>
        <v>0</v>
      </c>
      <c r="D72" s="108">
        <f>SUM(D68:D71)</f>
        <v>162266</v>
      </c>
      <c r="E72" s="108">
        <f>SUM(E68:E71)</f>
        <v>108483</v>
      </c>
      <c r="F72" s="166">
        <f t="shared" ref="F72:F74" si="4">+E72/D72*100</f>
        <v>66.855040489073488</v>
      </c>
    </row>
    <row r="73" spans="1:8" ht="15" customHeight="1" thickBot="1">
      <c r="A73" s="54"/>
      <c r="B73" s="1636"/>
      <c r="C73" s="147"/>
      <c r="D73" s="147"/>
      <c r="E73" s="163"/>
      <c r="F73" s="305"/>
    </row>
    <row r="74" spans="1:8" ht="21.75" customHeight="1" thickBot="1">
      <c r="A74" s="54"/>
      <c r="B74" s="1425" t="s">
        <v>250</v>
      </c>
      <c r="C74" s="108">
        <f>+C62+C72</f>
        <v>3102126</v>
      </c>
      <c r="D74" s="108">
        <f>+D62+D72</f>
        <v>4214707</v>
      </c>
      <c r="E74" s="108">
        <f>+E62+E72</f>
        <v>3655357</v>
      </c>
      <c r="F74" s="166">
        <f t="shared" si="4"/>
        <v>86.728614824233333</v>
      </c>
    </row>
    <row r="75" spans="1:8" ht="15" customHeight="1">
      <c r="E75" s="3"/>
    </row>
    <row r="76" spans="1:8" ht="15" customHeight="1">
      <c r="E76" s="259"/>
      <c r="F76" s="3"/>
    </row>
    <row r="77" spans="1:8" ht="15" customHeight="1">
      <c r="D77" s="3"/>
      <c r="E77" s="259"/>
      <c r="F77" s="3"/>
    </row>
    <row r="78" spans="1:8" ht="15" customHeight="1">
      <c r="E78" s="259"/>
    </row>
    <row r="79" spans="1:8" ht="15" customHeight="1">
      <c r="E79" s="259"/>
    </row>
    <row r="80" spans="1:8" ht="15" customHeight="1">
      <c r="E80" s="259"/>
    </row>
  </sheetData>
  <mergeCells count="3">
    <mergeCell ref="C5:D5"/>
    <mergeCell ref="C66:D66"/>
    <mergeCell ref="B2:F2"/>
  </mergeCells>
  <phoneticPr fontId="0" type="noConversion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>
    <oddHeader xml:space="preserve">&amp;R&amp;"Calibri,Félkövér"&amp;12 9. melléklet  a .../2026. (........) önkormányzati rendelethez&amp;11
</oddHeader>
  </headerFooter>
  <rowBreaks count="1" manualBreakCount="1">
    <brk id="4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39</vt:i4>
      </vt:variant>
    </vt:vector>
  </HeadingPairs>
  <TitlesOfParts>
    <vt:vector size="69" baseType="lpstr">
      <vt:lpstr>1 kiemelt előirányzatok telj. </vt:lpstr>
      <vt:lpstr>2 mérleg </vt:lpstr>
      <vt:lpstr>3 bev.részl</vt:lpstr>
      <vt:lpstr>4 int.bev.</vt:lpstr>
      <vt:lpstr>5 normativa</vt:lpstr>
      <vt:lpstr>6 int.kiad.</vt:lpstr>
      <vt:lpstr>7 létszám</vt:lpstr>
      <vt:lpstr>8 okt.</vt:lpstr>
      <vt:lpstr>9 kult.</vt:lpstr>
      <vt:lpstr>10 szoc.</vt:lpstr>
      <vt:lpstr>11 eü.</vt:lpstr>
      <vt:lpstr>12 Gyerm.</vt:lpstr>
      <vt:lpstr>13 egyéb</vt:lpstr>
      <vt:lpstr>14 sport</vt:lpstr>
      <vt:lpstr>15 város.ü.,körny</vt:lpstr>
      <vt:lpstr>16 út-híd</vt:lpstr>
      <vt:lpstr>17 fbev.</vt:lpstr>
      <vt:lpstr>18 fkia.</vt:lpstr>
      <vt:lpstr>19 pénzeszkváltsa</vt:lpstr>
      <vt:lpstr>20 közvetett támogatás</vt:lpstr>
      <vt:lpstr>21 Eu projektek</vt:lpstr>
      <vt:lpstr>22 többév1</vt:lpstr>
      <vt:lpstr>23 eszközök</vt:lpstr>
      <vt:lpstr>24 források</vt:lpstr>
      <vt:lpstr>25 lakásalapelsz</vt:lpstr>
      <vt:lpstr>26 segély</vt:lpstr>
      <vt:lpstr>27 kataszter</vt:lpstr>
      <vt:lpstr>28 vagyonkimutatás </vt:lpstr>
      <vt:lpstr>29 Részesedések</vt:lpstr>
      <vt:lpstr>30 Lízing</vt:lpstr>
      <vt:lpstr>'13 egyéb'!Nyomtatási_cím</vt:lpstr>
      <vt:lpstr>'14 sport'!Nyomtatási_cím</vt:lpstr>
      <vt:lpstr>'17 fbev.'!Nyomtatási_cím</vt:lpstr>
      <vt:lpstr>'18 fkia.'!Nyomtatási_cím</vt:lpstr>
      <vt:lpstr>'19 pénzeszkváltsa'!Nyomtatási_cím</vt:lpstr>
      <vt:lpstr>'28 vagyonkimutatás '!Nyomtatási_cím</vt:lpstr>
      <vt:lpstr>'3 bev.részl'!Nyomtatási_cím</vt:lpstr>
      <vt:lpstr>'5 normativa'!Nyomtatási_cím</vt:lpstr>
      <vt:lpstr>'7 létszám'!Nyomtatási_cím</vt:lpstr>
      <vt:lpstr>'9 kult.'!Nyomtatási_cím</vt:lpstr>
      <vt:lpstr>'1 kiemelt előirányzatok telj. '!Nyomtatási_terület</vt:lpstr>
      <vt:lpstr>'10 szoc.'!Nyomtatási_terület</vt:lpstr>
      <vt:lpstr>'11 eü.'!Nyomtatási_terület</vt:lpstr>
      <vt:lpstr>'12 Gyerm.'!Nyomtatási_terület</vt:lpstr>
      <vt:lpstr>'13 egyéb'!Nyomtatási_terület</vt:lpstr>
      <vt:lpstr>'14 sport'!Nyomtatási_terület</vt:lpstr>
      <vt:lpstr>'15 város.ü.,körny'!Nyomtatási_terület</vt:lpstr>
      <vt:lpstr>'16 út-híd'!Nyomtatási_terület</vt:lpstr>
      <vt:lpstr>'17 fbev.'!Nyomtatási_terület</vt:lpstr>
      <vt:lpstr>'18 fkia.'!Nyomtatási_terület</vt:lpstr>
      <vt:lpstr>'19 pénzeszkváltsa'!Nyomtatási_terület</vt:lpstr>
      <vt:lpstr>'2 mérleg '!Nyomtatási_terület</vt:lpstr>
      <vt:lpstr>'20 közvetett támogatás'!Nyomtatási_terület</vt:lpstr>
      <vt:lpstr>'21 Eu projektek'!Nyomtatási_terület</vt:lpstr>
      <vt:lpstr>'22 többév1'!Nyomtatási_terület</vt:lpstr>
      <vt:lpstr>'23 eszközök'!Nyomtatási_terület</vt:lpstr>
      <vt:lpstr>'24 források'!Nyomtatási_terület</vt:lpstr>
      <vt:lpstr>'25 lakásalapelsz'!Nyomtatási_terület</vt:lpstr>
      <vt:lpstr>'26 segély'!Nyomtatási_terület</vt:lpstr>
      <vt:lpstr>'27 kataszter'!Nyomtatási_terület</vt:lpstr>
      <vt:lpstr>'28 vagyonkimutatás '!Nyomtatási_terület</vt:lpstr>
      <vt:lpstr>'3 bev.részl'!Nyomtatási_terület</vt:lpstr>
      <vt:lpstr>'30 Lízing'!Nyomtatási_terület</vt:lpstr>
      <vt:lpstr>'4 int.bev.'!Nyomtatási_terület</vt:lpstr>
      <vt:lpstr>'5 normativa'!Nyomtatási_terület</vt:lpstr>
      <vt:lpstr>'6 int.kiad.'!Nyomtatási_terület</vt:lpstr>
      <vt:lpstr>'7 létszám'!Nyomtatási_terület</vt:lpstr>
      <vt:lpstr>'8 okt.'!Nyomtatási_terület</vt:lpstr>
      <vt:lpstr>'9 kult.'!Nyomtatási_terület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Horváth Ildikó dr.</cp:lastModifiedBy>
  <cp:lastPrinted>2026-05-13T07:18:49Z</cp:lastPrinted>
  <dcterms:created xsi:type="dcterms:W3CDTF">1998-01-10T07:52:54Z</dcterms:created>
  <dcterms:modified xsi:type="dcterms:W3CDTF">2026-05-19T09:04:28Z</dcterms:modified>
</cp:coreProperties>
</file>