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enzugy\2021\Beszámol\"/>
    </mc:Choice>
  </mc:AlternateContent>
  <xr:revisionPtr revIDLastSave="0" documentId="13_ncr:1_{1A271AAF-350C-49BA-82D9-E6A15FDE11D4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1 kiemelt előirányzatok telj. " sheetId="63" r:id="rId1"/>
    <sheet name="2 mérleg " sheetId="41" r:id="rId2"/>
    <sheet name="3 bev.részl" sheetId="39" r:id="rId3"/>
    <sheet name="4 int bevétel" sheetId="67" r:id="rId4"/>
    <sheet name="5 normatíva" sheetId="69" r:id="rId5"/>
    <sheet name="6 int kiadás" sheetId="68" r:id="rId6"/>
    <sheet name="7.létszám ei zárás 2021 év" sheetId="66" r:id="rId7"/>
    <sheet name="8 okt." sheetId="9" r:id="rId8"/>
    <sheet name="9 kult." sheetId="36" r:id="rId9"/>
    <sheet name="10 szoc." sheetId="11" r:id="rId10"/>
    <sheet name="11 eü." sheetId="12" r:id="rId11"/>
    <sheet name="12 Gyerm." sheetId="13" r:id="rId12"/>
    <sheet name="13 egyéb" sheetId="14" r:id="rId13"/>
    <sheet name="14 sport" sheetId="22" r:id="rId14"/>
    <sheet name="15 város.ü.,körny" sheetId="24" r:id="rId15"/>
    <sheet name="16 út-híd" sheetId="25" r:id="rId16"/>
    <sheet name="17 fbev." sheetId="40" r:id="rId17"/>
    <sheet name="18 fkia." sheetId="43" r:id="rId18"/>
    <sheet name="19 pénzeszkváltsa" sheetId="51" r:id="rId19"/>
    <sheet name="20 közvetett támogatás" sheetId="52" r:id="rId20"/>
    <sheet name="21 Eu projektek" sheetId="53" r:id="rId21"/>
    <sheet name="22 többév1" sheetId="54" r:id="rId22"/>
    <sheet name="23 eszközök" sheetId="55" r:id="rId23"/>
    <sheet name="24 források" sheetId="56" r:id="rId24"/>
    <sheet name="25 lakásalapelsz" sheetId="57" r:id="rId25"/>
    <sheet name="26 segély" sheetId="64" r:id="rId26"/>
    <sheet name="27 kataszter" sheetId="59" r:id="rId27"/>
    <sheet name="28 vagyonkimutatás " sheetId="60" r:id="rId28"/>
    <sheet name="29 Részesedések" sheetId="61" r:id="rId29"/>
    <sheet name="30 Lízing" sheetId="62" r:id="rId30"/>
  </sheets>
  <externalReferences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aaaaaaaaaaaaaaaaaaaaaaa" localSheetId="4">#REF!</definedName>
    <definedName name="aaaaaaaaaaaaaaaaaaaaaaa">#REF!</definedName>
    <definedName name="áfaössz16" localSheetId="4">#REF!</definedName>
    <definedName name="áfaössz16">#REF!</definedName>
    <definedName name="besz" localSheetId="0">#REF!</definedName>
    <definedName name="besz" localSheetId="17">#REF!</definedName>
    <definedName name="besz" localSheetId="28">#REF!</definedName>
    <definedName name="besz" localSheetId="6">#REF!</definedName>
    <definedName name="besz">#REF!</definedName>
    <definedName name="bk" localSheetId="0">#REF!</definedName>
    <definedName name="bk" localSheetId="17">#REF!</definedName>
    <definedName name="bk" localSheetId="4">#REF!</definedName>
    <definedName name="bk" localSheetId="6">#REF!</definedName>
    <definedName name="bk">#REF!</definedName>
    <definedName name="cel_c" localSheetId="0">#REF!</definedName>
    <definedName name="cel_c" localSheetId="17">#REF!</definedName>
    <definedName name="cel_c" localSheetId="6">#REF!</definedName>
    <definedName name="cel_c">#REF!</definedName>
    <definedName name="cel_g" localSheetId="0">#REF!</definedName>
    <definedName name="cel_g" localSheetId="17">#REF!</definedName>
    <definedName name="cel_g" localSheetId="6">#REF!</definedName>
    <definedName name="cel_g">#REF!</definedName>
    <definedName name="cel_k" localSheetId="17">#REF!</definedName>
    <definedName name="cel_k" localSheetId="6">#REF!</definedName>
    <definedName name="cel_k">#REF!</definedName>
    <definedName name="cel_m" localSheetId="17">#REF!</definedName>
    <definedName name="cel_m" localSheetId="6">#REF!</definedName>
    <definedName name="cel_m">#REF!</definedName>
    <definedName name="cel_p" localSheetId="17">#REF!</definedName>
    <definedName name="cel_p" localSheetId="6">#REF!</definedName>
    <definedName name="cel_p">#REF!</definedName>
    <definedName name="css" localSheetId="0">#REF!</definedName>
    <definedName name="css" localSheetId="16">#REF!</definedName>
    <definedName name="css" localSheetId="17">#REF!</definedName>
    <definedName name="css" localSheetId="1">#REF!</definedName>
    <definedName name="css" localSheetId="2">#REF!</definedName>
    <definedName name="css" localSheetId="29">#REF!</definedName>
    <definedName name="css" localSheetId="4">#REF!</definedName>
    <definedName name="css" localSheetId="6">#REF!</definedName>
    <definedName name="css" localSheetId="8">#REF!</definedName>
    <definedName name="css">#REF!</definedName>
    <definedName name="css_k" localSheetId="0">[1]Családsegítés!$C$27:$C$86</definedName>
    <definedName name="css_k" localSheetId="4">[1]Családsegítés!$C$27:$C$86</definedName>
    <definedName name="css_k">[2]Családsegítés!$C$27:$C$86</definedName>
    <definedName name="css_k_" localSheetId="0">#REF!</definedName>
    <definedName name="css_k_" localSheetId="16">#REF!</definedName>
    <definedName name="css_k_" localSheetId="17">#REF!</definedName>
    <definedName name="css_k_" localSheetId="1">#REF!</definedName>
    <definedName name="css_k_" localSheetId="2">#REF!</definedName>
    <definedName name="css_k_" localSheetId="29">#REF!</definedName>
    <definedName name="css_k_" localSheetId="4">#REF!</definedName>
    <definedName name="css_k_" localSheetId="6">#REF!</definedName>
    <definedName name="css_k_" localSheetId="8">#REF!</definedName>
    <definedName name="css_k_">#REF!</definedName>
    <definedName name="d" localSheetId="17">#REF!</definedName>
    <definedName name="d" localSheetId="4">#REF!</definedName>
    <definedName name="d" localSheetId="6">#REF!</definedName>
    <definedName name="d">#REF!</definedName>
    <definedName name="eredetiköltségvetés2017" localSheetId="4">#REF!</definedName>
    <definedName name="eredetiköltségvetés2017" localSheetId="6">#REF!</definedName>
    <definedName name="eredetiköltségvetés2017">#REF!</definedName>
    <definedName name="feljéc" localSheetId="4">#REF!</definedName>
    <definedName name="feljéc" localSheetId="6">#REF!</definedName>
    <definedName name="feljéc">#REF!</definedName>
    <definedName name="fff" localSheetId="4">#REF!</definedName>
    <definedName name="fff">#REF!</definedName>
    <definedName name="ffff" localSheetId="0">#REF!</definedName>
    <definedName name="ffff" localSheetId="17">#REF!</definedName>
    <definedName name="ffff" localSheetId="4">#REF!</definedName>
    <definedName name="ffff" localSheetId="6">#REF!</definedName>
    <definedName name="ffff">#REF!</definedName>
    <definedName name="g" localSheetId="0">#REF!</definedName>
    <definedName name="g" localSheetId="17">#REF!</definedName>
    <definedName name="g" localSheetId="6">#REF!</definedName>
    <definedName name="g">#REF!</definedName>
    <definedName name="gyj" localSheetId="0">#REF!</definedName>
    <definedName name="gyj" localSheetId="16">#REF!</definedName>
    <definedName name="gyj" localSheetId="17">#REF!</definedName>
    <definedName name="gyj" localSheetId="1">#REF!</definedName>
    <definedName name="gyj" localSheetId="2">#REF!</definedName>
    <definedName name="gyj" localSheetId="29">#REF!</definedName>
    <definedName name="gyj" localSheetId="4">#REF!</definedName>
    <definedName name="gyj" localSheetId="6">#REF!</definedName>
    <definedName name="gyj" localSheetId="8">#REF!</definedName>
    <definedName name="gyj">#REF!</definedName>
    <definedName name="gyj_k" localSheetId="0">[1]Gyermekjóléti!$C$27:$C$86</definedName>
    <definedName name="gyj_k" localSheetId="4">[1]Gyermekjóléti!$C$27:$C$86</definedName>
    <definedName name="gyj_k">[2]Gyermekjóléti!$C$27:$C$86</definedName>
    <definedName name="gyj_k_" localSheetId="0">#REF!</definedName>
    <definedName name="gyj_k_" localSheetId="16">#REF!</definedName>
    <definedName name="gyj_k_" localSheetId="17">#REF!</definedName>
    <definedName name="gyj_k_" localSheetId="1">#REF!</definedName>
    <definedName name="gyj_k_" localSheetId="2">#REF!</definedName>
    <definedName name="gyj_k_" localSheetId="29">#REF!</definedName>
    <definedName name="gyj_k_" localSheetId="4">#REF!</definedName>
    <definedName name="gyj_k_" localSheetId="6">#REF!</definedName>
    <definedName name="gyj_k_" localSheetId="8">#REF!</definedName>
    <definedName name="gyj_k_">#REF!</definedName>
    <definedName name="gyj_kl" localSheetId="0">#REF!</definedName>
    <definedName name="gyj_kl" localSheetId="17">#REF!</definedName>
    <definedName name="gyj_kl" localSheetId="6">#REF!</definedName>
    <definedName name="gyj_kl">#REF!</definedName>
    <definedName name="h" localSheetId="4">#REF!</definedName>
    <definedName name="h">#REF!</definedName>
    <definedName name="k" localSheetId="17">#REF!</definedName>
    <definedName name="k" localSheetId="6">#REF!</definedName>
    <definedName name="k">#REF!</definedName>
    <definedName name="kjz" localSheetId="0">#REF!</definedName>
    <definedName name="kjz" localSheetId="16">#REF!</definedName>
    <definedName name="kjz" localSheetId="17">#REF!</definedName>
    <definedName name="kjz" localSheetId="1">#REF!</definedName>
    <definedName name="kjz" localSheetId="2">#REF!</definedName>
    <definedName name="kjz" localSheetId="29">#REF!</definedName>
    <definedName name="kjz" localSheetId="4">#REF!</definedName>
    <definedName name="kjz" localSheetId="6">#REF!</definedName>
    <definedName name="kjz" localSheetId="8">#REF!</definedName>
    <definedName name="kjz">#REF!</definedName>
    <definedName name="kjz_k" localSheetId="0">[1]körjegyzőség!$C$9:$C$28</definedName>
    <definedName name="kjz_k" localSheetId="4">[1]körjegyzőség!$C$9:$C$28</definedName>
    <definedName name="kjz_k">[2]körjegyzőség!$C$9:$C$28</definedName>
    <definedName name="kjz_k_" localSheetId="0">#REF!</definedName>
    <definedName name="kjz_k_" localSheetId="16">#REF!</definedName>
    <definedName name="kjz_k_" localSheetId="17">#REF!</definedName>
    <definedName name="kjz_k_" localSheetId="1">#REF!</definedName>
    <definedName name="kjz_k_" localSheetId="2">#REF!</definedName>
    <definedName name="kjz_k_" localSheetId="29">#REF!</definedName>
    <definedName name="kjz_k_" localSheetId="4">#REF!</definedName>
    <definedName name="kjz_k_" localSheetId="6">#REF!</definedName>
    <definedName name="kjz_k_" localSheetId="8">#REF!</definedName>
    <definedName name="kjz_k_">#REF!</definedName>
    <definedName name="klj" localSheetId="17">#REF!</definedName>
    <definedName name="klj" localSheetId="6">#REF!</definedName>
    <definedName name="klj">#REF!</definedName>
    <definedName name="klj_k_" localSheetId="17">#REF!</definedName>
    <definedName name="klj_k_" localSheetId="6">#REF!</definedName>
    <definedName name="klj_k_">#REF!</definedName>
    <definedName name="nev_b" localSheetId="4">#REF!</definedName>
    <definedName name="nev_b" localSheetId="6">#REF!</definedName>
    <definedName name="nev_b">#REF!</definedName>
    <definedName name="nev_c" localSheetId="0">#REF!</definedName>
    <definedName name="nev_c" localSheetId="16">#REF!</definedName>
    <definedName name="nev_c" localSheetId="17">#REF!</definedName>
    <definedName name="nev_c" localSheetId="1">#REF!</definedName>
    <definedName name="nev_c" localSheetId="2">#REF!</definedName>
    <definedName name="nev_c" localSheetId="29">#REF!</definedName>
    <definedName name="nev_c" localSheetId="4">#REF!</definedName>
    <definedName name="nev_c" localSheetId="6">#REF!</definedName>
    <definedName name="nev_c" localSheetId="8">#REF!</definedName>
    <definedName name="nev_c">#REF!</definedName>
    <definedName name="nev_g" localSheetId="0">#REF!</definedName>
    <definedName name="nev_g" localSheetId="16">#REF!</definedName>
    <definedName name="nev_g" localSheetId="17">#REF!</definedName>
    <definedName name="nev_g" localSheetId="1">#REF!</definedName>
    <definedName name="nev_g" localSheetId="2">#REF!</definedName>
    <definedName name="nev_g" localSheetId="29">#REF!</definedName>
    <definedName name="nev_g" localSheetId="4">#REF!</definedName>
    <definedName name="nev_g" localSheetId="6">#REF!</definedName>
    <definedName name="nev_g" localSheetId="8">#REF!</definedName>
    <definedName name="nev_g">#REF!</definedName>
    <definedName name="nev_k" localSheetId="0">#REF!</definedName>
    <definedName name="nev_k" localSheetId="16">#REF!</definedName>
    <definedName name="nev_k" localSheetId="17">#REF!</definedName>
    <definedName name="nev_k" localSheetId="1">#REF!</definedName>
    <definedName name="nev_k" localSheetId="2">#REF!</definedName>
    <definedName name="nev_k" localSheetId="29">#REF!</definedName>
    <definedName name="nev_k" localSheetId="4">#REF!</definedName>
    <definedName name="nev_k" localSheetId="6">#REF!</definedName>
    <definedName name="nev_k" localSheetId="8">#REF!</definedName>
    <definedName name="nev_k">#REF!</definedName>
    <definedName name="nev_k1" localSheetId="4">#REF!</definedName>
    <definedName name="nev_k1">#REF!</definedName>
    <definedName name="normatíva">[3]Családsegítés!$C$27:$C$86</definedName>
    <definedName name="_xlnm.Print_Titles" localSheetId="12">'13 egyéb'!$4:$5</definedName>
    <definedName name="_xlnm.Print_Titles" localSheetId="13">'14 sport'!$5:$6</definedName>
    <definedName name="_xlnm.Print_Titles" localSheetId="16">'17 fbev.'!$2:$4</definedName>
    <definedName name="_xlnm.Print_Titles" localSheetId="17">'18 fkia.'!$1:$5</definedName>
    <definedName name="_xlnm.Print_Titles" localSheetId="18">'19 pénzeszkváltsa'!$3:$5</definedName>
    <definedName name="_xlnm.Print_Titles" localSheetId="27">'28 vagyonkimutatás '!$8:$8</definedName>
    <definedName name="_xlnm.Print_Titles" localSheetId="2">'3 bev.részl'!$4:$6</definedName>
    <definedName name="_xlnm.Print_Titles" localSheetId="4">'5 normatíva'!$5:$5</definedName>
    <definedName name="_xlnm.Print_Titles" localSheetId="6">'7.létszám ei zárás 2021 év'!$1:$7</definedName>
    <definedName name="_xlnm.Print_Titles" localSheetId="8">'9 kult.'!$4:$6</definedName>
    <definedName name="_xlnm.Print_Area" localSheetId="0">'1 kiemelt előirányzatok telj. '!$A$1:$K$23</definedName>
    <definedName name="_xlnm.Print_Area" localSheetId="9">'10 szoc.'!$B$2:$F$43</definedName>
    <definedName name="_xlnm.Print_Area" localSheetId="10">'11 eü.'!$B$2:$F$34</definedName>
    <definedName name="_xlnm.Print_Area" localSheetId="11">'12 Gyerm.'!$B$2:$F$25</definedName>
    <definedName name="_xlnm.Print_Area" localSheetId="12">'13 egyéb'!$B$2:$F$96</definedName>
    <definedName name="_xlnm.Print_Area" localSheetId="13">'14 sport'!$B$2:$F$24</definedName>
    <definedName name="_xlnm.Print_Area" localSheetId="14">'15 város.ü.,körny'!$B$2:$J$30</definedName>
    <definedName name="_xlnm.Print_Area" localSheetId="15">'16 út-híd'!$B$2:$F$29</definedName>
    <definedName name="_xlnm.Print_Area" localSheetId="16">'17 fbev.'!$B$1:$G$68</definedName>
    <definedName name="_xlnm.Print_Area" localSheetId="17">'18 fkia.'!$B$1:$G$152</definedName>
    <definedName name="_xlnm.Print_Area" localSheetId="18">'19 pénzeszkváltsa'!$B$1:$C$12</definedName>
    <definedName name="_xlnm.Print_Area" localSheetId="1">'2 mérleg '!$A$2:$M$63</definedName>
    <definedName name="_xlnm.Print_Area" localSheetId="19">'20 közvetett támogatás'!$A$1:$C$23</definedName>
    <definedName name="_xlnm.Print_Area" localSheetId="20">'21 Eu projektek'!$B$1:$D$105</definedName>
    <definedName name="_xlnm.Print_Area" localSheetId="21">'22 többév1'!$B$1:$H$27</definedName>
    <definedName name="_xlnm.Print_Area" localSheetId="22">'23 eszközök'!$B$4:$G$139</definedName>
    <definedName name="_xlnm.Print_Area" localSheetId="23">'24 források'!$B$2:$G$76</definedName>
    <definedName name="_xlnm.Print_Area" localSheetId="24">'25 lakásalapelsz'!$B$3:$F$218</definedName>
    <definedName name="_xlnm.Print_Area" localSheetId="25">'26 segély'!$B$3:$G$18</definedName>
    <definedName name="_xlnm.Print_Area" localSheetId="26">'27 kataszter'!$A$2:$K$38</definedName>
    <definedName name="_xlnm.Print_Area" localSheetId="27">'28 vagyonkimutatás '!$B$5:$G$91</definedName>
    <definedName name="_xlnm.Print_Area" localSheetId="28">'29 Részesedések'!$B$1:$K$32</definedName>
    <definedName name="_xlnm.Print_Area" localSheetId="2">'3 bev.részl'!$B$2:$J$125</definedName>
    <definedName name="_xlnm.Print_Area" localSheetId="29">'30 Lízing'!$B$2:$E$18</definedName>
    <definedName name="_xlnm.Print_Area" localSheetId="3">'4 int bevétel'!$A$3:$BG$51</definedName>
    <definedName name="_xlnm.Print_Area" localSheetId="4">'5 normatíva'!$A$1:$E$94</definedName>
    <definedName name="_xlnm.Print_Area" localSheetId="5">'6 int kiadás'!$A$1:$AV$50</definedName>
    <definedName name="_xlnm.Print_Area" localSheetId="6">'7.létszám ei zárás 2021 év'!$A$1:$G$49</definedName>
    <definedName name="_xlnm.Print_Area" localSheetId="7">'8 okt.'!$C$2:$G$37</definedName>
    <definedName name="_xlnm.Print_Area" localSheetId="8">'9 kult.'!$B$2:$F$120</definedName>
    <definedName name="polg" localSheetId="4">#REF!</definedName>
    <definedName name="polg">#REF!</definedName>
    <definedName name="polg.hiv." localSheetId="4">#REF!</definedName>
    <definedName name="polg.hiv.">#REF!</definedName>
    <definedName name="polg.hiv.2" localSheetId="4">#REF!</definedName>
    <definedName name="polg.hiv.2">#REF!</definedName>
    <definedName name="Projektek_2019ei" localSheetId="0">#REF!</definedName>
    <definedName name="Projektek_2019ei" localSheetId="25">#REF!</definedName>
    <definedName name="Projektek_2019ei" localSheetId="6">#REF!</definedName>
    <definedName name="Projektek_2019ei">#REF!</definedName>
    <definedName name="rmI" localSheetId="25">#REF!</definedName>
    <definedName name="rmI" localSheetId="4">#REF!</definedName>
    <definedName name="rmI" localSheetId="6">#REF!</definedName>
    <definedName name="rmI">#REF!</definedName>
    <definedName name="x" localSheetId="0">#REF!</definedName>
    <definedName name="x" localSheetId="17">#REF!</definedName>
    <definedName name="x" localSheetId="29">#REF!</definedName>
    <definedName name="x" localSheetId="4">#REF!</definedName>
    <definedName name="x" localSheetId="6">#REF!</definedName>
    <definedName name="x">#REF!</definedName>
    <definedName name="Z_186732C5_520C_4E06_B066_B4F3F0A3E322_.wvu.PrintArea" localSheetId="16" hidden="1">'17 fbev.'!$B$1:$C$53</definedName>
    <definedName name="Z_186732C5_520C_4E06_B066_B4F3F0A3E322_.wvu.PrintArea" localSheetId="1" hidden="1">'2 mérleg '!$A$2:$I$68</definedName>
    <definedName name="Z_186732C5_520C_4E06_B066_B4F3F0A3E322_.wvu.PrintArea" localSheetId="20" hidden="1">'21 Eu projektek'!$B$3:$C$30</definedName>
    <definedName name="Z_186732C5_520C_4E06_B066_B4F3F0A3E322_.wvu.PrintArea" localSheetId="2" hidden="1">'3 bev.részl'!$B$1:$F$125</definedName>
    <definedName name="Z_186732C5_520C_4E06_B066_B4F3F0A3E322_.wvu.PrintArea" localSheetId="8" hidden="1">'9 kult.'!$B$1:$B$92</definedName>
    <definedName name="Z_6D4B996F_8915_4E78_98C2_E7EAE9C4580C_.wvu.PrintArea" localSheetId="16" hidden="1">'17 fbev.'!$B$1:$C$53</definedName>
    <definedName name="Z_6D4B996F_8915_4E78_98C2_E7EAE9C4580C_.wvu.PrintArea" localSheetId="1" hidden="1">'2 mérleg '!$A$2:$I$68</definedName>
    <definedName name="Z_6D4B996F_8915_4E78_98C2_E7EAE9C4580C_.wvu.PrintArea" localSheetId="20" hidden="1">'21 Eu projektek'!$B$3:$C$30</definedName>
    <definedName name="Z_6D4B996F_8915_4E78_98C2_E7EAE9C4580C_.wvu.PrintArea" localSheetId="2" hidden="1">'3 bev.részl'!$B$1:$F$125</definedName>
    <definedName name="Z_6D4B996F_8915_4E78_98C2_E7EAE9C4580C_.wvu.PrintArea" localSheetId="8" hidden="1">'9 kult.'!$B$1:$B$92</definedName>
    <definedName name="Z_F05CDCE5_D631_41F9_80C7_3F3E8464BF12_.wvu.PrintArea" localSheetId="6" hidden="1">'7.létszám ei zárás 2021 év'!$A$1:$E$49</definedName>
    <definedName name="Z_F05CDCE5_D631_41F9_80C7_3F3E8464BF12_.wvu.PrintTitles" localSheetId="6" hidden="1">'7.létszám ei zárás 2021 év'!$1:$7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3" i="69" l="1"/>
  <c r="E92" i="69"/>
  <c r="D87" i="69"/>
  <c r="C87" i="69"/>
  <c r="B87" i="69"/>
  <c r="E86" i="69"/>
  <c r="E85" i="69"/>
  <c r="E84" i="69"/>
  <c r="E83" i="69"/>
  <c r="E82" i="69"/>
  <c r="E81" i="69"/>
  <c r="E80" i="69"/>
  <c r="D77" i="69"/>
  <c r="C77" i="69"/>
  <c r="B77" i="69"/>
  <c r="E76" i="69"/>
  <c r="E75" i="69"/>
  <c r="D73" i="69"/>
  <c r="C73" i="69"/>
  <c r="B73" i="69"/>
  <c r="E72" i="69"/>
  <c r="E71" i="69"/>
  <c r="E70" i="69"/>
  <c r="D66" i="69"/>
  <c r="C66" i="69"/>
  <c r="B66" i="69"/>
  <c r="E65" i="69"/>
  <c r="E64" i="69"/>
  <c r="D62" i="69"/>
  <c r="C62" i="69"/>
  <c r="B62" i="69"/>
  <c r="E61" i="69"/>
  <c r="E60" i="69"/>
  <c r="E59" i="69"/>
  <c r="D56" i="69"/>
  <c r="C56" i="69"/>
  <c r="B56" i="69"/>
  <c r="E55" i="69"/>
  <c r="E54" i="69"/>
  <c r="E53" i="69"/>
  <c r="E52" i="69"/>
  <c r="E51" i="69"/>
  <c r="E50" i="69"/>
  <c r="E49" i="69"/>
  <c r="D46" i="69"/>
  <c r="C46" i="69"/>
  <c r="B46" i="69"/>
  <c r="E45" i="69"/>
  <c r="E44" i="69"/>
  <c r="E43" i="69"/>
  <c r="E42" i="69"/>
  <c r="E41" i="69"/>
  <c r="E40" i="69"/>
  <c r="E39" i="69"/>
  <c r="E38" i="69"/>
  <c r="E37" i="69"/>
  <c r="E36" i="69"/>
  <c r="E35" i="69"/>
  <c r="E34" i="69"/>
  <c r="E33" i="69"/>
  <c r="E32" i="69"/>
  <c r="E31" i="69"/>
  <c r="E30" i="69"/>
  <c r="E29" i="69"/>
  <c r="E28" i="69"/>
  <c r="E27" i="69"/>
  <c r="E26" i="69"/>
  <c r="E25" i="69"/>
  <c r="E24" i="69"/>
  <c r="E23" i="69"/>
  <c r="E22" i="69"/>
  <c r="E21" i="69"/>
  <c r="E20" i="69"/>
  <c r="E19" i="69"/>
  <c r="E18" i="69"/>
  <c r="D15" i="69"/>
  <c r="B15" i="69"/>
  <c r="E14" i="69"/>
  <c r="C13" i="69"/>
  <c r="E13" i="69" s="1"/>
  <c r="C12" i="69"/>
  <c r="E12" i="69" s="1"/>
  <c r="E11" i="69"/>
  <c r="C10" i="69"/>
  <c r="E10" i="69" s="1"/>
  <c r="C9" i="69"/>
  <c r="E9" i="69" s="1"/>
  <c r="C8" i="69"/>
  <c r="E7" i="69"/>
  <c r="C15" i="69" l="1"/>
  <c r="B67" i="69"/>
  <c r="C67" i="69"/>
  <c r="E66" i="69"/>
  <c r="D67" i="69"/>
  <c r="D78" i="69" s="1"/>
  <c r="E77" i="69"/>
  <c r="E87" i="69"/>
  <c r="E56" i="69"/>
  <c r="E8" i="69"/>
  <c r="E15" i="69" s="1"/>
  <c r="E46" i="69"/>
  <c r="E62" i="69"/>
  <c r="E73" i="69"/>
  <c r="B78" i="69"/>
  <c r="C78" i="69" l="1"/>
  <c r="C88" i="69" s="1"/>
  <c r="E67" i="69"/>
  <c r="E78" i="69" s="1"/>
  <c r="E94" i="69" s="1"/>
  <c r="D94" i="69"/>
  <c r="D88" i="69"/>
  <c r="B88" i="69"/>
  <c r="B94" i="69"/>
  <c r="C94" i="69" l="1"/>
  <c r="E88" i="69"/>
  <c r="C5" i="51" l="1"/>
  <c r="L53" i="41"/>
  <c r="I19" i="63"/>
  <c r="L38" i="67"/>
  <c r="I42" i="39"/>
  <c r="F16" i="40"/>
  <c r="F39" i="40"/>
  <c r="I48" i="39"/>
  <c r="I41" i="39"/>
  <c r="D10" i="63"/>
  <c r="E50" i="14"/>
  <c r="E21" i="14" l="1"/>
  <c r="I9" i="63"/>
  <c r="C11" i="63"/>
  <c r="H45" i="67"/>
  <c r="D11" i="63" l="1"/>
  <c r="I78" i="39"/>
  <c r="D15" i="63"/>
  <c r="I114" i="39"/>
  <c r="E20" i="13" l="1"/>
  <c r="E29" i="12"/>
  <c r="E39" i="11"/>
  <c r="E114" i="36"/>
  <c r="E106" i="36"/>
  <c r="E102" i="36"/>
  <c r="E98" i="36"/>
  <c r="E7" i="13"/>
  <c r="E7" i="12"/>
  <c r="E7" i="11"/>
  <c r="E20" i="36"/>
  <c r="E13" i="36"/>
  <c r="E9" i="36"/>
  <c r="G66" i="40"/>
  <c r="G62" i="40"/>
  <c r="G63" i="40"/>
  <c r="G56" i="40"/>
  <c r="G57" i="40"/>
  <c r="G58" i="40"/>
  <c r="G59" i="40"/>
  <c r="G61" i="40"/>
  <c r="AL48" i="68" l="1"/>
  <c r="AH48" i="68"/>
  <c r="AD48" i="68"/>
  <c r="U48" i="68"/>
  <c r="Q48" i="68"/>
  <c r="L48" i="68"/>
  <c r="D48" i="68"/>
  <c r="AQ47" i="68"/>
  <c r="AK47" i="68"/>
  <c r="AJ47" i="68"/>
  <c r="AG47" i="68"/>
  <c r="AF47" i="68"/>
  <c r="AC47" i="68"/>
  <c r="AE47" i="68" s="1"/>
  <c r="AB47" i="68"/>
  <c r="T47" i="68"/>
  <c r="S47" i="68"/>
  <c r="P47" i="68"/>
  <c r="O47" i="68"/>
  <c r="K47" i="68"/>
  <c r="M47" i="68" s="1"/>
  <c r="J47" i="68"/>
  <c r="H47" i="68"/>
  <c r="G47" i="68"/>
  <c r="F47" i="68"/>
  <c r="C47" i="68"/>
  <c r="B47" i="68"/>
  <c r="AQ46" i="68"/>
  <c r="AK46" i="68"/>
  <c r="AJ46" i="68"/>
  <c r="AG46" i="68"/>
  <c r="AI46" i="68" s="1"/>
  <c r="AF46" i="68"/>
  <c r="AC46" i="68"/>
  <c r="AE46" i="68" s="1"/>
  <c r="AB46" i="68"/>
  <c r="Y46" i="68"/>
  <c r="T46" i="68"/>
  <c r="S46" i="68"/>
  <c r="P46" i="68"/>
  <c r="O46" i="68"/>
  <c r="K46" i="68"/>
  <c r="M46" i="68" s="1"/>
  <c r="J46" i="68"/>
  <c r="G46" i="68"/>
  <c r="F46" i="68"/>
  <c r="C46" i="68"/>
  <c r="B46" i="68"/>
  <c r="AQ44" i="68"/>
  <c r="AK44" i="68"/>
  <c r="AJ44" i="68"/>
  <c r="AG44" i="68"/>
  <c r="AI44" i="68" s="1"/>
  <c r="AF44" i="68"/>
  <c r="AC44" i="68"/>
  <c r="AE44" i="68" s="1"/>
  <c r="AB44" i="68"/>
  <c r="T44" i="68"/>
  <c r="S44" i="68"/>
  <c r="P44" i="68"/>
  <c r="O44" i="68"/>
  <c r="L44" i="68"/>
  <c r="K44" i="68"/>
  <c r="J44" i="68"/>
  <c r="G44" i="68"/>
  <c r="I44" i="68" s="1"/>
  <c r="F44" i="68"/>
  <c r="C44" i="68"/>
  <c r="B44" i="68"/>
  <c r="AQ42" i="68"/>
  <c r="AK42" i="68"/>
  <c r="AJ42" i="68"/>
  <c r="AG42" i="68"/>
  <c r="AI42" i="68" s="1"/>
  <c r="AF42" i="68"/>
  <c r="AC42" i="68"/>
  <c r="AE42" i="68" s="1"/>
  <c r="AB42" i="68"/>
  <c r="T42" i="68"/>
  <c r="S42" i="68"/>
  <c r="P42" i="68"/>
  <c r="O42" i="68"/>
  <c r="K42" i="68"/>
  <c r="M42" i="68" s="1"/>
  <c r="J42" i="68"/>
  <c r="G42" i="68"/>
  <c r="I42" i="68" s="1"/>
  <c r="F42" i="68"/>
  <c r="D42" i="68"/>
  <c r="Y42" i="68" s="1"/>
  <c r="C42" i="68"/>
  <c r="B42" i="68"/>
  <c r="AY41" i="68"/>
  <c r="AW41" i="68"/>
  <c r="AQ40" i="68"/>
  <c r="AK40" i="68"/>
  <c r="AJ40" i="68"/>
  <c r="AG40" i="68"/>
  <c r="AI40" i="68" s="1"/>
  <c r="AF40" i="68"/>
  <c r="AC40" i="68"/>
  <c r="AE40" i="68" s="1"/>
  <c r="AB40" i="68"/>
  <c r="T40" i="68"/>
  <c r="V40" i="68" s="1"/>
  <c r="S40" i="68"/>
  <c r="P40" i="68"/>
  <c r="O40" i="68"/>
  <c r="K40" i="68"/>
  <c r="M40" i="68" s="1"/>
  <c r="J40" i="68"/>
  <c r="H40" i="68"/>
  <c r="G40" i="68"/>
  <c r="F40" i="68"/>
  <c r="C40" i="68"/>
  <c r="E40" i="68" s="1"/>
  <c r="B40" i="68"/>
  <c r="AL38" i="68"/>
  <c r="AH38" i="68"/>
  <c r="AD38" i="68"/>
  <c r="U38" i="68"/>
  <c r="Q38" i="68"/>
  <c r="Q49" i="68" s="1"/>
  <c r="L38" i="68"/>
  <c r="D38" i="68"/>
  <c r="AQ37" i="68"/>
  <c r="AK37" i="68"/>
  <c r="AJ37" i="68"/>
  <c r="AG37" i="68"/>
  <c r="AF37" i="68"/>
  <c r="AC37" i="68"/>
  <c r="AB37" i="68"/>
  <c r="Y37" i="68"/>
  <c r="T37" i="68"/>
  <c r="V37" i="68" s="1"/>
  <c r="S37" i="68"/>
  <c r="P37" i="68"/>
  <c r="O37" i="68"/>
  <c r="K37" i="68"/>
  <c r="M37" i="68" s="1"/>
  <c r="J37" i="68"/>
  <c r="G37" i="68"/>
  <c r="I37" i="68" s="1"/>
  <c r="F37" i="68"/>
  <c r="C37" i="68"/>
  <c r="E37" i="68" s="1"/>
  <c r="B37" i="68"/>
  <c r="AQ36" i="68"/>
  <c r="AK36" i="68"/>
  <c r="AJ36" i="68"/>
  <c r="AG36" i="68"/>
  <c r="AF36" i="68"/>
  <c r="AC36" i="68"/>
  <c r="AB36" i="68"/>
  <c r="T36" i="68"/>
  <c r="S36" i="68"/>
  <c r="P36" i="68"/>
  <c r="O36" i="68"/>
  <c r="K36" i="68"/>
  <c r="M36" i="68" s="1"/>
  <c r="J36" i="68"/>
  <c r="H36" i="68"/>
  <c r="G36" i="68"/>
  <c r="F36" i="68"/>
  <c r="C36" i="68"/>
  <c r="E36" i="68" s="1"/>
  <c r="B36" i="68"/>
  <c r="AQ35" i="68"/>
  <c r="AK35" i="68"/>
  <c r="AJ35" i="68"/>
  <c r="AG35" i="68"/>
  <c r="AF35" i="68"/>
  <c r="AC35" i="68"/>
  <c r="AE35" i="68" s="1"/>
  <c r="AB35" i="68"/>
  <c r="T35" i="68"/>
  <c r="S35" i="68"/>
  <c r="P35" i="68"/>
  <c r="O35" i="68"/>
  <c r="K35" i="68"/>
  <c r="M35" i="68" s="1"/>
  <c r="J35" i="68"/>
  <c r="H35" i="68"/>
  <c r="G35" i="68"/>
  <c r="F35" i="68"/>
  <c r="C35" i="68"/>
  <c r="E35" i="68" s="1"/>
  <c r="B35" i="68"/>
  <c r="AQ34" i="68"/>
  <c r="AK34" i="68"/>
  <c r="AJ34" i="68"/>
  <c r="AG34" i="68"/>
  <c r="AF34" i="68"/>
  <c r="AC34" i="68"/>
  <c r="AE34" i="68" s="1"/>
  <c r="AB34" i="68"/>
  <c r="Y34" i="68"/>
  <c r="T34" i="68"/>
  <c r="S34" i="68"/>
  <c r="P34" i="68"/>
  <c r="O34" i="68"/>
  <c r="K34" i="68"/>
  <c r="M34" i="68" s="1"/>
  <c r="J34" i="68"/>
  <c r="G34" i="68"/>
  <c r="I34" i="68" s="1"/>
  <c r="F34" i="68"/>
  <c r="C34" i="68"/>
  <c r="B34" i="68"/>
  <c r="AQ33" i="68"/>
  <c r="AK33" i="68"/>
  <c r="AJ33" i="68"/>
  <c r="AG33" i="68"/>
  <c r="AF33" i="68"/>
  <c r="AC33" i="68"/>
  <c r="AB33" i="68"/>
  <c r="Y33" i="68"/>
  <c r="T33" i="68"/>
  <c r="V33" i="68" s="1"/>
  <c r="S33" i="68"/>
  <c r="P33" i="68"/>
  <c r="O33" i="68"/>
  <c r="K33" i="68"/>
  <c r="J33" i="68"/>
  <c r="G33" i="68"/>
  <c r="F33" i="68"/>
  <c r="C33" i="68"/>
  <c r="B33" i="68"/>
  <c r="AK29" i="68"/>
  <c r="AJ29" i="68"/>
  <c r="AH29" i="68"/>
  <c r="AG29" i="68"/>
  <c r="AF29" i="68"/>
  <c r="AD29" i="68"/>
  <c r="AC29" i="68"/>
  <c r="AB29" i="68"/>
  <c r="Y29" i="68"/>
  <c r="T29" i="68"/>
  <c r="S29" i="68"/>
  <c r="P29" i="68"/>
  <c r="O29" i="68"/>
  <c r="K29" i="68"/>
  <c r="M29" i="68" s="1"/>
  <c r="J29" i="68"/>
  <c r="G29" i="68"/>
  <c r="I29" i="68" s="1"/>
  <c r="F29" i="68"/>
  <c r="C29" i="68"/>
  <c r="E29" i="68" s="1"/>
  <c r="B29" i="68"/>
  <c r="AL28" i="68"/>
  <c r="AL30" i="68" s="1"/>
  <c r="AH28" i="68"/>
  <c r="AD28" i="68"/>
  <c r="U28" i="68"/>
  <c r="U30" i="68" s="1"/>
  <c r="Q28" i="68"/>
  <c r="Q30" i="68" s="1"/>
  <c r="AQ27" i="68"/>
  <c r="AK27" i="68"/>
  <c r="AJ27" i="68"/>
  <c r="AG27" i="68"/>
  <c r="AF27" i="68"/>
  <c r="AC27" i="68"/>
  <c r="AB27" i="68"/>
  <c r="T27" i="68"/>
  <c r="S27" i="68"/>
  <c r="P27" i="68"/>
  <c r="O27" i="68"/>
  <c r="K27" i="68"/>
  <c r="M27" i="68" s="1"/>
  <c r="J27" i="68"/>
  <c r="H27" i="68"/>
  <c r="H28" i="68" s="1"/>
  <c r="H30" i="68" s="1"/>
  <c r="G27" i="68"/>
  <c r="F27" i="68"/>
  <c r="C27" i="68"/>
  <c r="E27" i="68" s="1"/>
  <c r="B27" i="68"/>
  <c r="AQ26" i="68"/>
  <c r="AK26" i="68"/>
  <c r="AJ26" i="68"/>
  <c r="AG26" i="68"/>
  <c r="AF26" i="68"/>
  <c r="AC26" i="68"/>
  <c r="AB26" i="68"/>
  <c r="T26" i="68"/>
  <c r="S26" i="68"/>
  <c r="P26" i="68"/>
  <c r="O26" i="68"/>
  <c r="L26" i="68"/>
  <c r="K26" i="68"/>
  <c r="J26" i="68"/>
  <c r="G26" i="68"/>
  <c r="I26" i="68" s="1"/>
  <c r="F26" i="68"/>
  <c r="C26" i="68"/>
  <c r="E26" i="68" s="1"/>
  <c r="B26" i="68"/>
  <c r="AQ25" i="68"/>
  <c r="AK25" i="68"/>
  <c r="AJ25" i="68"/>
  <c r="AG25" i="68"/>
  <c r="AI25" i="68" s="1"/>
  <c r="AF25" i="68"/>
  <c r="AC25" i="68"/>
  <c r="AB25" i="68"/>
  <c r="Y25" i="68"/>
  <c r="T25" i="68"/>
  <c r="S25" i="68"/>
  <c r="P25" i="68"/>
  <c r="O25" i="68"/>
  <c r="K25" i="68"/>
  <c r="J25" i="68"/>
  <c r="G25" i="68"/>
  <c r="I25" i="68" s="1"/>
  <c r="F25" i="68"/>
  <c r="C25" i="68"/>
  <c r="E25" i="68" s="1"/>
  <c r="B25" i="68"/>
  <c r="AQ24" i="68"/>
  <c r="AK24" i="68"/>
  <c r="AJ24" i="68"/>
  <c r="AG24" i="68"/>
  <c r="AF24" i="68"/>
  <c r="AC24" i="68"/>
  <c r="AE24" i="68" s="1"/>
  <c r="AB24" i="68"/>
  <c r="T24" i="68"/>
  <c r="S24" i="68"/>
  <c r="P24" i="68"/>
  <c r="O24" i="68"/>
  <c r="L24" i="68"/>
  <c r="Y24" i="68" s="1"/>
  <c r="K24" i="68"/>
  <c r="J24" i="68"/>
  <c r="G24" i="68"/>
  <c r="I24" i="68" s="1"/>
  <c r="F24" i="68"/>
  <c r="C24" i="68"/>
  <c r="E24" i="68" s="1"/>
  <c r="B24" i="68"/>
  <c r="AQ23" i="68"/>
  <c r="AK23" i="68"/>
  <c r="AJ23" i="68"/>
  <c r="AG23" i="68"/>
  <c r="AI23" i="68" s="1"/>
  <c r="AF23" i="68"/>
  <c r="AC23" i="68"/>
  <c r="AB23" i="68"/>
  <c r="Y23" i="68"/>
  <c r="T23" i="68"/>
  <c r="S23" i="68"/>
  <c r="P23" i="68"/>
  <c r="O23" i="68"/>
  <c r="K23" i="68"/>
  <c r="M23" i="68" s="1"/>
  <c r="J23" i="68"/>
  <c r="G23" i="68"/>
  <c r="I23" i="68" s="1"/>
  <c r="F23" i="68"/>
  <c r="C23" i="68"/>
  <c r="E23" i="68" s="1"/>
  <c r="B23" i="68"/>
  <c r="AQ22" i="68"/>
  <c r="AK22" i="68"/>
  <c r="AJ22" i="68"/>
  <c r="AG22" i="68"/>
  <c r="AF22" i="68"/>
  <c r="AC22" i="68"/>
  <c r="AE22" i="68" s="1"/>
  <c r="AB22" i="68"/>
  <c r="Y22" i="68"/>
  <c r="T22" i="68"/>
  <c r="S22" i="68"/>
  <c r="P22" i="68"/>
  <c r="O22" i="68"/>
  <c r="K22" i="68"/>
  <c r="M22" i="68" s="1"/>
  <c r="J22" i="68"/>
  <c r="G22" i="68"/>
  <c r="I22" i="68" s="1"/>
  <c r="F22" i="68"/>
  <c r="C22" i="68"/>
  <c r="B22" i="68"/>
  <c r="AQ21" i="68"/>
  <c r="AK21" i="68"/>
  <c r="AJ21" i="68"/>
  <c r="AG21" i="68"/>
  <c r="AI21" i="68" s="1"/>
  <c r="AF21" i="68"/>
  <c r="AC21" i="68"/>
  <c r="AE21" i="68" s="1"/>
  <c r="AB21" i="68"/>
  <c r="Y21" i="68"/>
  <c r="T21" i="68"/>
  <c r="S21" i="68"/>
  <c r="P21" i="68"/>
  <c r="O21" i="68"/>
  <c r="K21" i="68"/>
  <c r="M21" i="68" s="1"/>
  <c r="J21" i="68"/>
  <c r="G21" i="68"/>
  <c r="I21" i="68" s="1"/>
  <c r="F21" i="68"/>
  <c r="C21" i="68"/>
  <c r="B21" i="68"/>
  <c r="AQ20" i="68"/>
  <c r="AK20" i="68"/>
  <c r="AJ20" i="68"/>
  <c r="AG20" i="68"/>
  <c r="AF20" i="68"/>
  <c r="AC20" i="68"/>
  <c r="AE20" i="68" s="1"/>
  <c r="AB20" i="68"/>
  <c r="T20" i="68"/>
  <c r="S20" i="68"/>
  <c r="P20" i="68"/>
  <c r="O20" i="68"/>
  <c r="L20" i="68"/>
  <c r="K20" i="68"/>
  <c r="J20" i="68"/>
  <c r="G20" i="68"/>
  <c r="I20" i="68" s="1"/>
  <c r="F20" i="68"/>
  <c r="C20" i="68"/>
  <c r="B20" i="68"/>
  <c r="AQ19" i="68"/>
  <c r="AK19" i="68"/>
  <c r="AJ19" i="68"/>
  <c r="AG19" i="68"/>
  <c r="AI19" i="68" s="1"/>
  <c r="AF19" i="68"/>
  <c r="AC19" i="68"/>
  <c r="AE19" i="68" s="1"/>
  <c r="AB19" i="68"/>
  <c r="Y19" i="68"/>
  <c r="T19" i="68"/>
  <c r="S19" i="68"/>
  <c r="P19" i="68"/>
  <c r="O19" i="68"/>
  <c r="K19" i="68"/>
  <c r="M19" i="68" s="1"/>
  <c r="J19" i="68"/>
  <c r="G19" i="68"/>
  <c r="I19" i="68" s="1"/>
  <c r="F19" i="68"/>
  <c r="C19" i="68"/>
  <c r="B19" i="68"/>
  <c r="AQ18" i="68"/>
  <c r="AK18" i="68"/>
  <c r="AJ18" i="68"/>
  <c r="AG18" i="68"/>
  <c r="AF18" i="68"/>
  <c r="AC18" i="68"/>
  <c r="AE18" i="68" s="1"/>
  <c r="AB18" i="68"/>
  <c r="Y18" i="68"/>
  <c r="T18" i="68"/>
  <c r="S18" i="68"/>
  <c r="P18" i="68"/>
  <c r="O18" i="68"/>
  <c r="K18" i="68"/>
  <c r="M18" i="68" s="1"/>
  <c r="J18" i="68"/>
  <c r="G18" i="68"/>
  <c r="F18" i="68"/>
  <c r="C18" i="68"/>
  <c r="E18" i="68" s="1"/>
  <c r="B18" i="68"/>
  <c r="AQ17" i="68"/>
  <c r="AK17" i="68"/>
  <c r="AJ17" i="68"/>
  <c r="AG17" i="68"/>
  <c r="AF17" i="68"/>
  <c r="AC17" i="68"/>
  <c r="AE17" i="68" s="1"/>
  <c r="AB17" i="68"/>
  <c r="Y17" i="68"/>
  <c r="T17" i="68"/>
  <c r="S17" i="68"/>
  <c r="P17" i="68"/>
  <c r="O17" i="68"/>
  <c r="K17" i="68"/>
  <c r="M17" i="68" s="1"/>
  <c r="J17" i="68"/>
  <c r="G17" i="68"/>
  <c r="I17" i="68" s="1"/>
  <c r="F17" i="68"/>
  <c r="C17" i="68"/>
  <c r="B17" i="68"/>
  <c r="AQ16" i="68"/>
  <c r="AK16" i="68"/>
  <c r="AJ16" i="68"/>
  <c r="AG16" i="68"/>
  <c r="AF16" i="68"/>
  <c r="AC16" i="68"/>
  <c r="AB16" i="68"/>
  <c r="Y16" i="68"/>
  <c r="T16" i="68"/>
  <c r="S16" i="68"/>
  <c r="P16" i="68"/>
  <c r="O16" i="68"/>
  <c r="K16" i="68"/>
  <c r="M16" i="68" s="1"/>
  <c r="J16" i="68"/>
  <c r="G16" i="68"/>
  <c r="I16" i="68" s="1"/>
  <c r="F16" i="68"/>
  <c r="C16" i="68"/>
  <c r="B16" i="68"/>
  <c r="AQ15" i="68"/>
  <c r="AK15" i="68"/>
  <c r="AJ15" i="68"/>
  <c r="AG15" i="68"/>
  <c r="AI15" i="68" s="1"/>
  <c r="AF15" i="68"/>
  <c r="AC15" i="68"/>
  <c r="AE15" i="68" s="1"/>
  <c r="AB15" i="68"/>
  <c r="T15" i="68"/>
  <c r="S15" i="68"/>
  <c r="P15" i="68"/>
  <c r="O15" i="68"/>
  <c r="K15" i="68"/>
  <c r="M15" i="68" s="1"/>
  <c r="J15" i="68"/>
  <c r="G15" i="68"/>
  <c r="I15" i="68" s="1"/>
  <c r="F15" i="68"/>
  <c r="D15" i="68"/>
  <c r="D28" i="68" s="1"/>
  <c r="D30" i="68" s="1"/>
  <c r="C15" i="68"/>
  <c r="B15" i="68"/>
  <c r="AQ14" i="68"/>
  <c r="AK14" i="68"/>
  <c r="AJ14" i="68"/>
  <c r="AG14" i="68"/>
  <c r="AI14" i="68" s="1"/>
  <c r="AF14" i="68"/>
  <c r="AC14" i="68"/>
  <c r="AE14" i="68" s="1"/>
  <c r="AB14" i="68"/>
  <c r="Y14" i="68"/>
  <c r="T14" i="68"/>
  <c r="S14" i="68"/>
  <c r="P14" i="68"/>
  <c r="O14" i="68"/>
  <c r="K14" i="68"/>
  <c r="M14" i="68" s="1"/>
  <c r="J14" i="68"/>
  <c r="G14" i="68"/>
  <c r="I14" i="68" s="1"/>
  <c r="F14" i="68"/>
  <c r="C14" i="68"/>
  <c r="B14" i="68"/>
  <c r="AQ13" i="68"/>
  <c r="AK13" i="68"/>
  <c r="AJ13" i="68"/>
  <c r="AG13" i="68"/>
  <c r="AF13" i="68"/>
  <c r="AC13" i="68"/>
  <c r="AB13" i="68"/>
  <c r="Y13" i="68"/>
  <c r="T13" i="68"/>
  <c r="S13" i="68"/>
  <c r="P13" i="68"/>
  <c r="O13" i="68"/>
  <c r="K13" i="68"/>
  <c r="M13" i="68" s="1"/>
  <c r="J13" i="68"/>
  <c r="G13" i="68"/>
  <c r="I13" i="68" s="1"/>
  <c r="F13" i="68"/>
  <c r="C13" i="68"/>
  <c r="E13" i="68" s="1"/>
  <c r="B13" i="68"/>
  <c r="AQ12" i="68"/>
  <c r="AK12" i="68"/>
  <c r="AJ12" i="68"/>
  <c r="AG12" i="68"/>
  <c r="AI12" i="68" s="1"/>
  <c r="AF12" i="68"/>
  <c r="AC12" i="68"/>
  <c r="AE12" i="68" s="1"/>
  <c r="AB12" i="68"/>
  <c r="Y12" i="68"/>
  <c r="T12" i="68"/>
  <c r="S12" i="68"/>
  <c r="P12" i="68"/>
  <c r="O12" i="68"/>
  <c r="K12" i="68"/>
  <c r="M12" i="68" s="1"/>
  <c r="J12" i="68"/>
  <c r="G12" i="68"/>
  <c r="I12" i="68" s="1"/>
  <c r="F12" i="68"/>
  <c r="C12" i="68"/>
  <c r="E12" i="68" s="1"/>
  <c r="B12" i="68"/>
  <c r="AQ11" i="68"/>
  <c r="AK11" i="68"/>
  <c r="AJ11" i="68"/>
  <c r="AG11" i="68"/>
  <c r="AF11" i="68"/>
  <c r="AC11" i="68"/>
  <c r="AE11" i="68" s="1"/>
  <c r="AB11" i="68"/>
  <c r="Y11" i="68"/>
  <c r="T11" i="68"/>
  <c r="S11" i="68"/>
  <c r="P11" i="68"/>
  <c r="O11" i="68"/>
  <c r="K11" i="68"/>
  <c r="M11" i="68" s="1"/>
  <c r="J11" i="68"/>
  <c r="G11" i="68"/>
  <c r="I11" i="68" s="1"/>
  <c r="F11" i="68"/>
  <c r="C11" i="68"/>
  <c r="B11" i="68"/>
  <c r="AQ10" i="68"/>
  <c r="AK10" i="68"/>
  <c r="AJ10" i="68"/>
  <c r="AG10" i="68"/>
  <c r="AF10" i="68"/>
  <c r="AC10" i="68"/>
  <c r="AE10" i="68" s="1"/>
  <c r="AB10" i="68"/>
  <c r="Y10" i="68"/>
  <c r="T10" i="68"/>
  <c r="S10" i="68"/>
  <c r="P10" i="68"/>
  <c r="O10" i="68"/>
  <c r="K10" i="68"/>
  <c r="M10" i="68" s="1"/>
  <c r="J10" i="68"/>
  <c r="G10" i="68"/>
  <c r="F10" i="68"/>
  <c r="C10" i="68"/>
  <c r="E10" i="68" s="1"/>
  <c r="B10" i="68"/>
  <c r="AX49" i="67"/>
  <c r="AO49" i="67"/>
  <c r="AM49" i="67"/>
  <c r="AG49" i="67"/>
  <c r="AC49" i="67"/>
  <c r="Y49" i="67"/>
  <c r="P49" i="67"/>
  <c r="L49" i="67"/>
  <c r="H49" i="67"/>
  <c r="D49" i="67"/>
  <c r="AW48" i="67"/>
  <c r="AY48" i="67" s="1"/>
  <c r="AV48" i="67"/>
  <c r="AT48" i="67"/>
  <c r="AT49" i="67" s="1"/>
  <c r="AS48" i="67"/>
  <c r="AR48" i="67"/>
  <c r="AN48" i="67"/>
  <c r="AP48" i="67" s="1"/>
  <c r="AK48" i="67"/>
  <c r="AF48" i="67"/>
  <c r="AE48" i="67"/>
  <c r="AB48" i="67"/>
  <c r="AA48" i="67"/>
  <c r="X48" i="67"/>
  <c r="Z48" i="67" s="1"/>
  <c r="W48" i="67"/>
  <c r="T48" i="67"/>
  <c r="O48" i="67"/>
  <c r="Q48" i="67" s="1"/>
  <c r="N48" i="67"/>
  <c r="K48" i="67"/>
  <c r="J48" i="67"/>
  <c r="G48" i="67"/>
  <c r="I48" i="67" s="1"/>
  <c r="F48" i="67"/>
  <c r="C48" i="67"/>
  <c r="B48" i="67"/>
  <c r="BB47" i="67"/>
  <c r="AW47" i="67"/>
  <c r="AY47" i="67" s="1"/>
  <c r="AV47" i="67"/>
  <c r="AS47" i="67"/>
  <c r="AR47" i="67"/>
  <c r="AN47" i="67"/>
  <c r="AP47" i="67" s="1"/>
  <c r="AK47" i="67"/>
  <c r="AF47" i="67"/>
  <c r="AE47" i="67"/>
  <c r="AB47" i="67"/>
  <c r="AA47" i="67"/>
  <c r="X47" i="67"/>
  <c r="W47" i="67"/>
  <c r="T47" i="67"/>
  <c r="O47" i="67"/>
  <c r="N47" i="67"/>
  <c r="K47" i="67"/>
  <c r="J47" i="67"/>
  <c r="G47" i="67"/>
  <c r="F47" i="67"/>
  <c r="C47" i="67"/>
  <c r="B47" i="67"/>
  <c r="AW45" i="67"/>
  <c r="AY45" i="67" s="1"/>
  <c r="AV45" i="67"/>
  <c r="AT45" i="67"/>
  <c r="AS45" i="67"/>
  <c r="AR45" i="67"/>
  <c r="AN45" i="67"/>
  <c r="AP45" i="67" s="1"/>
  <c r="AK45" i="67"/>
  <c r="AF45" i="67"/>
  <c r="AE45" i="67"/>
  <c r="AB45" i="67"/>
  <c r="AA45" i="67"/>
  <c r="X45" i="67"/>
  <c r="Z45" i="67" s="1"/>
  <c r="W45" i="67"/>
  <c r="T45" i="67"/>
  <c r="O45" i="67"/>
  <c r="N45" i="67"/>
  <c r="K45" i="67"/>
  <c r="J45" i="67"/>
  <c r="G45" i="67"/>
  <c r="I45" i="67" s="1"/>
  <c r="F45" i="67"/>
  <c r="C45" i="67"/>
  <c r="B45" i="67"/>
  <c r="AW43" i="67"/>
  <c r="AY43" i="67" s="1"/>
  <c r="AV43" i="67"/>
  <c r="AT43" i="67"/>
  <c r="AS43" i="67"/>
  <c r="AR43" i="67"/>
  <c r="AN43" i="67"/>
  <c r="AP43" i="67" s="1"/>
  <c r="AK43" i="67"/>
  <c r="AF43" i="67"/>
  <c r="AE43" i="67"/>
  <c r="AB43" i="67"/>
  <c r="AD43" i="67" s="1"/>
  <c r="AA43" i="67"/>
  <c r="X43" i="67"/>
  <c r="Z43" i="67" s="1"/>
  <c r="W43" i="67"/>
  <c r="T43" i="67"/>
  <c r="O43" i="67"/>
  <c r="N43" i="67"/>
  <c r="K43" i="67"/>
  <c r="J43" i="67"/>
  <c r="G43" i="67"/>
  <c r="I43" i="67" s="1"/>
  <c r="F43" i="67"/>
  <c r="C43" i="67"/>
  <c r="E43" i="67" s="1"/>
  <c r="B43" i="67"/>
  <c r="AW41" i="67"/>
  <c r="AY41" i="67" s="1"/>
  <c r="AV41" i="67"/>
  <c r="AT41" i="67"/>
  <c r="BB41" i="67" s="1"/>
  <c r="AS41" i="67"/>
  <c r="AR41" i="67"/>
  <c r="AN41" i="67"/>
  <c r="AP41" i="67" s="1"/>
  <c r="AK41" i="67"/>
  <c r="AF41" i="67"/>
  <c r="AE41" i="67"/>
  <c r="AB41" i="67"/>
  <c r="AA41" i="67"/>
  <c r="X41" i="67"/>
  <c r="Z41" i="67" s="1"/>
  <c r="W41" i="67"/>
  <c r="T41" i="67"/>
  <c r="O41" i="67"/>
  <c r="N41" i="67"/>
  <c r="K41" i="67"/>
  <c r="J41" i="67"/>
  <c r="G41" i="67"/>
  <c r="I41" i="67" s="1"/>
  <c r="F41" i="67"/>
  <c r="C41" i="67"/>
  <c r="E41" i="67" s="1"/>
  <c r="B41" i="67"/>
  <c r="AO39" i="67"/>
  <c r="AM39" i="67"/>
  <c r="AG39" i="67"/>
  <c r="AC39" i="67"/>
  <c r="P39" i="67"/>
  <c r="H39" i="67"/>
  <c r="D39" i="67"/>
  <c r="AX38" i="67"/>
  <c r="AW38" i="67"/>
  <c r="AV38" i="67"/>
  <c r="AT38" i="67"/>
  <c r="AS38" i="67"/>
  <c r="AR38" i="67"/>
  <c r="AN38" i="67"/>
  <c r="AP38" i="67" s="1"/>
  <c r="AF38" i="67"/>
  <c r="AE38" i="67"/>
  <c r="AB38" i="67"/>
  <c r="AD38" i="67" s="1"/>
  <c r="AA38" i="67"/>
  <c r="Y38" i="67"/>
  <c r="Y39" i="67" s="1"/>
  <c r="X38" i="67"/>
  <c r="W38" i="67"/>
  <c r="O38" i="67"/>
  <c r="N38" i="67"/>
  <c r="K38" i="67"/>
  <c r="J38" i="67"/>
  <c r="G38" i="67"/>
  <c r="F38" i="67"/>
  <c r="C38" i="67"/>
  <c r="E38" i="67" s="1"/>
  <c r="B38" i="67"/>
  <c r="AW37" i="67"/>
  <c r="AY37" i="67" s="1"/>
  <c r="AV37" i="67"/>
  <c r="AT37" i="67"/>
  <c r="AS37" i="67"/>
  <c r="AR37" i="67"/>
  <c r="AN37" i="67"/>
  <c r="AP37" i="67" s="1"/>
  <c r="AK37" i="67"/>
  <c r="AF37" i="67"/>
  <c r="AE37" i="67"/>
  <c r="AB37" i="67"/>
  <c r="AA37" i="67"/>
  <c r="X37" i="67"/>
  <c r="W37" i="67"/>
  <c r="T37" i="67"/>
  <c r="O37" i="67"/>
  <c r="N37" i="67"/>
  <c r="K37" i="67"/>
  <c r="J37" i="67"/>
  <c r="G37" i="67"/>
  <c r="I37" i="67" s="1"/>
  <c r="F37" i="67"/>
  <c r="C37" i="67"/>
  <c r="E37" i="67" s="1"/>
  <c r="B37" i="67"/>
  <c r="AW36" i="67"/>
  <c r="AY36" i="67" s="1"/>
  <c r="AV36" i="67"/>
  <c r="AT36" i="67"/>
  <c r="BB36" i="67" s="1"/>
  <c r="AS36" i="67"/>
  <c r="AR36" i="67"/>
  <c r="AN36" i="67"/>
  <c r="AP36" i="67" s="1"/>
  <c r="AK36" i="67"/>
  <c r="AF36" i="67"/>
  <c r="AE36" i="67"/>
  <c r="AB36" i="67"/>
  <c r="AD36" i="67" s="1"/>
  <c r="AA36" i="67"/>
  <c r="X36" i="67"/>
  <c r="W36" i="67"/>
  <c r="T36" i="67"/>
  <c r="O36" i="67"/>
  <c r="N36" i="67"/>
  <c r="K36" i="67"/>
  <c r="M36" i="67" s="1"/>
  <c r="J36" i="67"/>
  <c r="G36" i="67"/>
  <c r="I36" i="67" s="1"/>
  <c r="F36" i="67"/>
  <c r="C36" i="67"/>
  <c r="E36" i="67" s="1"/>
  <c r="B36" i="67"/>
  <c r="AW35" i="67"/>
  <c r="AY35" i="67" s="1"/>
  <c r="AV35" i="67"/>
  <c r="AT35" i="67"/>
  <c r="AS35" i="67"/>
  <c r="AR35" i="67"/>
  <c r="AN35" i="67"/>
  <c r="AP35" i="67" s="1"/>
  <c r="AK35" i="67"/>
  <c r="AF35" i="67"/>
  <c r="AE35" i="67"/>
  <c r="AB35" i="67"/>
  <c r="AD35" i="67" s="1"/>
  <c r="AA35" i="67"/>
  <c r="X35" i="67"/>
  <c r="W35" i="67"/>
  <c r="T35" i="67"/>
  <c r="O35" i="67"/>
  <c r="N35" i="67"/>
  <c r="K35" i="67"/>
  <c r="J35" i="67"/>
  <c r="G35" i="67"/>
  <c r="I35" i="67" s="1"/>
  <c r="F35" i="67"/>
  <c r="C35" i="67"/>
  <c r="B35" i="67"/>
  <c r="AW34" i="67"/>
  <c r="AY34" i="67" s="1"/>
  <c r="AV34" i="67"/>
  <c r="AT34" i="67"/>
  <c r="BB34" i="67" s="1"/>
  <c r="AS34" i="67"/>
  <c r="AR34" i="67"/>
  <c r="AN34" i="67"/>
  <c r="AK34" i="67"/>
  <c r="AF34" i="67"/>
  <c r="AH34" i="67" s="1"/>
  <c r="AE34" i="67"/>
  <c r="AB34" i="67"/>
  <c r="AD34" i="67" s="1"/>
  <c r="AA34" i="67"/>
  <c r="X34" i="67"/>
  <c r="W34" i="67"/>
  <c r="T34" i="67"/>
  <c r="O34" i="67"/>
  <c r="N34" i="67"/>
  <c r="K34" i="67"/>
  <c r="J34" i="67"/>
  <c r="G34" i="67"/>
  <c r="I34" i="67" s="1"/>
  <c r="F34" i="67"/>
  <c r="C34" i="67"/>
  <c r="E34" i="67" s="1"/>
  <c r="B34" i="67"/>
  <c r="AW30" i="67"/>
  <c r="AY30" i="67" s="1"/>
  <c r="AV30" i="67"/>
  <c r="AT30" i="67"/>
  <c r="BB30" i="67" s="1"/>
  <c r="AS30" i="67"/>
  <c r="AR30" i="67"/>
  <c r="AN30" i="67"/>
  <c r="AP30" i="67" s="1"/>
  <c r="AK30" i="67"/>
  <c r="AF30" i="67"/>
  <c r="AE30" i="67"/>
  <c r="AB30" i="67"/>
  <c r="AA30" i="67"/>
  <c r="X30" i="67"/>
  <c r="W30" i="67"/>
  <c r="T30" i="67"/>
  <c r="O30" i="67"/>
  <c r="N30" i="67"/>
  <c r="K30" i="67"/>
  <c r="J30" i="67"/>
  <c r="G30" i="67"/>
  <c r="I30" i="67" s="1"/>
  <c r="F30" i="67"/>
  <c r="C30" i="67"/>
  <c r="B30" i="67"/>
  <c r="AX29" i="67"/>
  <c r="AO29" i="67"/>
  <c r="AM29" i="67"/>
  <c r="AM31" i="67" s="1"/>
  <c r="AG29" i="67"/>
  <c r="AG31" i="67" s="1"/>
  <c r="AC29" i="67"/>
  <c r="AC31" i="67" s="1"/>
  <c r="Y29" i="67"/>
  <c r="Y31" i="67" s="1"/>
  <c r="P29" i="67"/>
  <c r="P31" i="67" s="1"/>
  <c r="L29" i="67"/>
  <c r="L31" i="67" s="1"/>
  <c r="H29" i="67"/>
  <c r="H31" i="67" s="1"/>
  <c r="D29" i="67"/>
  <c r="D31" i="67" s="1"/>
  <c r="AW28" i="67"/>
  <c r="AY28" i="67" s="1"/>
  <c r="AV28" i="67"/>
  <c r="AT28" i="67"/>
  <c r="AS28" i="67"/>
  <c r="AR28" i="67"/>
  <c r="AN28" i="67"/>
  <c r="AP28" i="67" s="1"/>
  <c r="AK28" i="67"/>
  <c r="AF28" i="67"/>
  <c r="AE28" i="67"/>
  <c r="AB28" i="67"/>
  <c r="AA28" i="67"/>
  <c r="X28" i="67"/>
  <c r="W28" i="67"/>
  <c r="T28" i="67"/>
  <c r="O28" i="67"/>
  <c r="N28" i="67"/>
  <c r="K28" i="67"/>
  <c r="J28" i="67"/>
  <c r="G28" i="67"/>
  <c r="F28" i="67"/>
  <c r="C28" i="67"/>
  <c r="B28" i="67"/>
  <c r="AW27" i="67"/>
  <c r="AY27" i="67" s="1"/>
  <c r="AV27" i="67"/>
  <c r="AT27" i="67"/>
  <c r="BB27" i="67" s="1"/>
  <c r="AS27" i="67"/>
  <c r="AR27" i="67"/>
  <c r="AN27" i="67"/>
  <c r="AP27" i="67" s="1"/>
  <c r="AK27" i="67"/>
  <c r="AF27" i="67"/>
  <c r="AE27" i="67"/>
  <c r="AB27" i="67"/>
  <c r="AA27" i="67"/>
  <c r="X27" i="67"/>
  <c r="W27" i="67"/>
  <c r="T27" i="67"/>
  <c r="O27" i="67"/>
  <c r="N27" i="67"/>
  <c r="K27" i="67"/>
  <c r="J27" i="67"/>
  <c r="G27" i="67"/>
  <c r="F27" i="67"/>
  <c r="C27" i="67"/>
  <c r="B27" i="67"/>
  <c r="AW26" i="67"/>
  <c r="AY26" i="67" s="1"/>
  <c r="AV26" i="67"/>
  <c r="AT26" i="67"/>
  <c r="BB26" i="67" s="1"/>
  <c r="AS26" i="67"/>
  <c r="AR26" i="67"/>
  <c r="AN26" i="67"/>
  <c r="AP26" i="67" s="1"/>
  <c r="AK26" i="67"/>
  <c r="AF26" i="67"/>
  <c r="AE26" i="67"/>
  <c r="AB26" i="67"/>
  <c r="AA26" i="67"/>
  <c r="X26" i="67"/>
  <c r="W26" i="67"/>
  <c r="T26" i="67"/>
  <c r="O26" i="67"/>
  <c r="N26" i="67"/>
  <c r="K26" i="67"/>
  <c r="J26" i="67"/>
  <c r="G26" i="67"/>
  <c r="F26" i="67"/>
  <c r="C26" i="67"/>
  <c r="B26" i="67"/>
  <c r="AW25" i="67"/>
  <c r="AY25" i="67" s="1"/>
  <c r="AV25" i="67"/>
  <c r="AT25" i="67"/>
  <c r="BB25" i="67" s="1"/>
  <c r="AS25" i="67"/>
  <c r="AR25" i="67"/>
  <c r="AN25" i="67"/>
  <c r="AP25" i="67" s="1"/>
  <c r="AK25" i="67"/>
  <c r="AF25" i="67"/>
  <c r="AE25" i="67"/>
  <c r="AB25" i="67"/>
  <c r="AA25" i="67"/>
  <c r="X25" i="67"/>
  <c r="W25" i="67"/>
  <c r="T25" i="67"/>
  <c r="O25" i="67"/>
  <c r="N25" i="67"/>
  <c r="K25" i="67"/>
  <c r="J25" i="67"/>
  <c r="G25" i="67"/>
  <c r="F25" i="67"/>
  <c r="C25" i="67"/>
  <c r="B25" i="67"/>
  <c r="AW24" i="67"/>
  <c r="AY24" i="67" s="1"/>
  <c r="AV24" i="67"/>
  <c r="AT24" i="67"/>
  <c r="AS24" i="67"/>
  <c r="AR24" i="67"/>
  <c r="AN24" i="67"/>
  <c r="AP24" i="67" s="1"/>
  <c r="AK24" i="67"/>
  <c r="AF24" i="67"/>
  <c r="AE24" i="67"/>
  <c r="AB24" i="67"/>
  <c r="AA24" i="67"/>
  <c r="X24" i="67"/>
  <c r="W24" i="67"/>
  <c r="T24" i="67"/>
  <c r="O24" i="67"/>
  <c r="N24" i="67"/>
  <c r="K24" i="67"/>
  <c r="J24" i="67"/>
  <c r="G24" i="67"/>
  <c r="I24" i="67" s="1"/>
  <c r="F24" i="67"/>
  <c r="C24" i="67"/>
  <c r="E24" i="67" s="1"/>
  <c r="B24" i="67"/>
  <c r="AW23" i="67"/>
  <c r="AY23" i="67" s="1"/>
  <c r="AV23" i="67"/>
  <c r="AT23" i="67"/>
  <c r="BB23" i="67" s="1"/>
  <c r="AS23" i="67"/>
  <c r="AR23" i="67"/>
  <c r="AN23" i="67"/>
  <c r="AP23" i="67" s="1"/>
  <c r="AK23" i="67"/>
  <c r="AF23" i="67"/>
  <c r="AE23" i="67"/>
  <c r="AB23" i="67"/>
  <c r="AA23" i="67"/>
  <c r="X23" i="67"/>
  <c r="W23" i="67"/>
  <c r="T23" i="67"/>
  <c r="O23" i="67"/>
  <c r="N23" i="67"/>
  <c r="K23" i="67"/>
  <c r="J23" i="67"/>
  <c r="G23" i="67"/>
  <c r="F23" i="67"/>
  <c r="C23" i="67"/>
  <c r="B23" i="67"/>
  <c r="AW22" i="67"/>
  <c r="AY22" i="67" s="1"/>
  <c r="AV22" i="67"/>
  <c r="AT22" i="67"/>
  <c r="BB22" i="67" s="1"/>
  <c r="AS22" i="67"/>
  <c r="AR22" i="67"/>
  <c r="AN22" i="67"/>
  <c r="AP22" i="67" s="1"/>
  <c r="AK22" i="67"/>
  <c r="AF22" i="67"/>
  <c r="AE22" i="67"/>
  <c r="AB22" i="67"/>
  <c r="AA22" i="67"/>
  <c r="X22" i="67"/>
  <c r="W22" i="67"/>
  <c r="T22" i="67"/>
  <c r="O22" i="67"/>
  <c r="N22" i="67"/>
  <c r="K22" i="67"/>
  <c r="J22" i="67"/>
  <c r="G22" i="67"/>
  <c r="F22" i="67"/>
  <c r="C22" i="67"/>
  <c r="E22" i="67" s="1"/>
  <c r="B22" i="67"/>
  <c r="AW21" i="67"/>
  <c r="AY21" i="67" s="1"/>
  <c r="AV21" i="67"/>
  <c r="AT21" i="67"/>
  <c r="BB21" i="67" s="1"/>
  <c r="AS21" i="67"/>
  <c r="AR21" i="67"/>
  <c r="AN21" i="67"/>
  <c r="AP21" i="67" s="1"/>
  <c r="AK21" i="67"/>
  <c r="AF21" i="67"/>
  <c r="AE21" i="67"/>
  <c r="AB21" i="67"/>
  <c r="AA21" i="67"/>
  <c r="X21" i="67"/>
  <c r="W21" i="67"/>
  <c r="T21" i="67"/>
  <c r="O21" i="67"/>
  <c r="N21" i="67"/>
  <c r="K21" i="67"/>
  <c r="J21" i="67"/>
  <c r="G21" i="67"/>
  <c r="F21" i="67"/>
  <c r="C21" i="67"/>
  <c r="B21" i="67"/>
  <c r="AW20" i="67"/>
  <c r="AY20" i="67" s="1"/>
  <c r="AV20" i="67"/>
  <c r="AT20" i="67"/>
  <c r="AS20" i="67"/>
  <c r="AR20" i="67"/>
  <c r="AN20" i="67"/>
  <c r="AP20" i="67" s="1"/>
  <c r="AK20" i="67"/>
  <c r="AF20" i="67"/>
  <c r="AE20" i="67"/>
  <c r="AB20" i="67"/>
  <c r="AA20" i="67"/>
  <c r="X20" i="67"/>
  <c r="W20" i="67"/>
  <c r="T20" i="67"/>
  <c r="O20" i="67"/>
  <c r="N20" i="67"/>
  <c r="K20" i="67"/>
  <c r="J20" i="67"/>
  <c r="G20" i="67"/>
  <c r="F20" i="67"/>
  <c r="C20" i="67"/>
  <c r="B20" i="67"/>
  <c r="AW19" i="67"/>
  <c r="AY19" i="67" s="1"/>
  <c r="AV19" i="67"/>
  <c r="AT19" i="67"/>
  <c r="BB19" i="67" s="1"/>
  <c r="AS19" i="67"/>
  <c r="AR19" i="67"/>
  <c r="AN19" i="67"/>
  <c r="AP19" i="67" s="1"/>
  <c r="AK19" i="67"/>
  <c r="AF19" i="67"/>
  <c r="AE19" i="67"/>
  <c r="AB19" i="67"/>
  <c r="AA19" i="67"/>
  <c r="X19" i="67"/>
  <c r="W19" i="67"/>
  <c r="T19" i="67"/>
  <c r="O19" i="67"/>
  <c r="N19" i="67"/>
  <c r="K19" i="67"/>
  <c r="J19" i="67"/>
  <c r="G19" i="67"/>
  <c r="F19" i="67"/>
  <c r="C19" i="67"/>
  <c r="E19" i="67" s="1"/>
  <c r="B19" i="67"/>
  <c r="AW18" i="67"/>
  <c r="AY18" i="67" s="1"/>
  <c r="AV18" i="67"/>
  <c r="AT18" i="67"/>
  <c r="BB18" i="67" s="1"/>
  <c r="AS18" i="67"/>
  <c r="AR18" i="67"/>
  <c r="AN18" i="67"/>
  <c r="AP18" i="67" s="1"/>
  <c r="AK18" i="67"/>
  <c r="AF18" i="67"/>
  <c r="AE18" i="67"/>
  <c r="AB18" i="67"/>
  <c r="AA18" i="67"/>
  <c r="X18" i="67"/>
  <c r="W18" i="67"/>
  <c r="T18" i="67"/>
  <c r="O18" i="67"/>
  <c r="N18" i="67"/>
  <c r="K18" i="67"/>
  <c r="J18" i="67"/>
  <c r="G18" i="67"/>
  <c r="F18" i="67"/>
  <c r="C18" i="67"/>
  <c r="B18" i="67"/>
  <c r="AW17" i="67"/>
  <c r="AY17" i="67" s="1"/>
  <c r="AV17" i="67"/>
  <c r="AT17" i="67"/>
  <c r="BB17" i="67" s="1"/>
  <c r="AS17" i="67"/>
  <c r="AR17" i="67"/>
  <c r="AN17" i="67"/>
  <c r="AP17" i="67" s="1"/>
  <c r="AK17" i="67"/>
  <c r="AF17" i="67"/>
  <c r="AE17" i="67"/>
  <c r="AB17" i="67"/>
  <c r="AA17" i="67"/>
  <c r="X17" i="67"/>
  <c r="W17" i="67"/>
  <c r="T17" i="67"/>
  <c r="O17" i="67"/>
  <c r="N17" i="67"/>
  <c r="K17" i="67"/>
  <c r="J17" i="67"/>
  <c r="G17" i="67"/>
  <c r="F17" i="67"/>
  <c r="C17" i="67"/>
  <c r="B17" i="67"/>
  <c r="AW16" i="67"/>
  <c r="AY16" i="67" s="1"/>
  <c r="AV16" i="67"/>
  <c r="AT16" i="67"/>
  <c r="BB16" i="67" s="1"/>
  <c r="AS16" i="67"/>
  <c r="AR16" i="67"/>
  <c r="AN16" i="67"/>
  <c r="AP16" i="67" s="1"/>
  <c r="AK16" i="67"/>
  <c r="AF16" i="67"/>
  <c r="AE16" i="67"/>
  <c r="AB16" i="67"/>
  <c r="AA16" i="67"/>
  <c r="X16" i="67"/>
  <c r="W16" i="67"/>
  <c r="T16" i="67"/>
  <c r="O16" i="67"/>
  <c r="N16" i="67"/>
  <c r="K16" i="67"/>
  <c r="J16" i="67"/>
  <c r="G16" i="67"/>
  <c r="F16" i="67"/>
  <c r="C16" i="67"/>
  <c r="E16" i="67" s="1"/>
  <c r="B16" i="67"/>
  <c r="AW15" i="67"/>
  <c r="AY15" i="67" s="1"/>
  <c r="AV15" i="67"/>
  <c r="AT15" i="67"/>
  <c r="BB15" i="67" s="1"/>
  <c r="AS15" i="67"/>
  <c r="AR15" i="67"/>
  <c r="AN15" i="67"/>
  <c r="AP15" i="67" s="1"/>
  <c r="AK15" i="67"/>
  <c r="AF15" i="67"/>
  <c r="AE15" i="67"/>
  <c r="AB15" i="67"/>
  <c r="AA15" i="67"/>
  <c r="X15" i="67"/>
  <c r="W15" i="67"/>
  <c r="T15" i="67"/>
  <c r="O15" i="67"/>
  <c r="N15" i="67"/>
  <c r="K15" i="67"/>
  <c r="J15" i="67"/>
  <c r="G15" i="67"/>
  <c r="F15" i="67"/>
  <c r="C15" i="67"/>
  <c r="B15" i="67"/>
  <c r="AW14" i="67"/>
  <c r="AY14" i="67" s="1"/>
  <c r="AV14" i="67"/>
  <c r="AT14" i="67"/>
  <c r="BB14" i="67" s="1"/>
  <c r="AS14" i="67"/>
  <c r="AR14" i="67"/>
  <c r="AN14" i="67"/>
  <c r="AP14" i="67" s="1"/>
  <c r="AK14" i="67"/>
  <c r="AF14" i="67"/>
  <c r="AE14" i="67"/>
  <c r="AB14" i="67"/>
  <c r="AA14" i="67"/>
  <c r="X14" i="67"/>
  <c r="W14" i="67"/>
  <c r="T14" i="67"/>
  <c r="O14" i="67"/>
  <c r="N14" i="67"/>
  <c r="K14" i="67"/>
  <c r="J14" i="67"/>
  <c r="G14" i="67"/>
  <c r="F14" i="67"/>
  <c r="C14" i="67"/>
  <c r="B14" i="67"/>
  <c r="AW13" i="67"/>
  <c r="AY13" i="67" s="1"/>
  <c r="AV13" i="67"/>
  <c r="AT13" i="67"/>
  <c r="BB13" i="67" s="1"/>
  <c r="AS13" i="67"/>
  <c r="AR13" i="67"/>
  <c r="AN13" i="67"/>
  <c r="AP13" i="67" s="1"/>
  <c r="AK13" i="67"/>
  <c r="AF13" i="67"/>
  <c r="AE13" i="67"/>
  <c r="AB13" i="67"/>
  <c r="AA13" i="67"/>
  <c r="X13" i="67"/>
  <c r="W13" i="67"/>
  <c r="T13" i="67"/>
  <c r="O13" i="67"/>
  <c r="N13" i="67"/>
  <c r="K13" i="67"/>
  <c r="J13" i="67"/>
  <c r="G13" i="67"/>
  <c r="I13" i="67" s="1"/>
  <c r="F13" i="67"/>
  <c r="C13" i="67"/>
  <c r="E13" i="67" s="1"/>
  <c r="B13" i="67"/>
  <c r="AW12" i="67"/>
  <c r="AY12" i="67" s="1"/>
  <c r="AV12" i="67"/>
  <c r="AT12" i="67"/>
  <c r="BB12" i="67" s="1"/>
  <c r="AS12" i="67"/>
  <c r="AR12" i="67"/>
  <c r="AN12" i="67"/>
  <c r="AP12" i="67" s="1"/>
  <c r="AK12" i="67"/>
  <c r="AF12" i="67"/>
  <c r="AE12" i="67"/>
  <c r="AB12" i="67"/>
  <c r="AA12" i="67"/>
  <c r="X12" i="67"/>
  <c r="W12" i="67"/>
  <c r="T12" i="67"/>
  <c r="O12" i="67"/>
  <c r="N12" i="67"/>
  <c r="K12" i="67"/>
  <c r="J12" i="67"/>
  <c r="G12" i="67"/>
  <c r="F12" i="67"/>
  <c r="C12" i="67"/>
  <c r="B12" i="67"/>
  <c r="AW11" i="67"/>
  <c r="AV11" i="67"/>
  <c r="AT11" i="67"/>
  <c r="BB11" i="67" s="1"/>
  <c r="AS11" i="67"/>
  <c r="AR11" i="67"/>
  <c r="AN11" i="67"/>
  <c r="AK11" i="67"/>
  <c r="AF11" i="67"/>
  <c r="AE11" i="67"/>
  <c r="AB11" i="67"/>
  <c r="AA11" i="67"/>
  <c r="X11" i="67"/>
  <c r="W11" i="67"/>
  <c r="T11" i="67"/>
  <c r="O11" i="67"/>
  <c r="N11" i="67"/>
  <c r="K11" i="67"/>
  <c r="J11" i="67"/>
  <c r="G11" i="67"/>
  <c r="F11" i="67"/>
  <c r="C11" i="67"/>
  <c r="B11" i="67"/>
  <c r="E46" i="66"/>
  <c r="D46" i="66"/>
  <c r="C46" i="66"/>
  <c r="B46" i="66"/>
  <c r="E45" i="66"/>
  <c r="D45" i="66"/>
  <c r="C45" i="66"/>
  <c r="B45" i="66"/>
  <c r="B47" i="66" s="1"/>
  <c r="E43" i="66"/>
  <c r="D43" i="66"/>
  <c r="C43" i="66"/>
  <c r="B43" i="66"/>
  <c r="E41" i="66"/>
  <c r="D41" i="66"/>
  <c r="C41" i="66"/>
  <c r="B41" i="66"/>
  <c r="E39" i="66"/>
  <c r="D39" i="66"/>
  <c r="C39" i="66"/>
  <c r="B39" i="66"/>
  <c r="E36" i="66"/>
  <c r="D36" i="66"/>
  <c r="C36" i="66"/>
  <c r="B36" i="66"/>
  <c r="E35" i="66"/>
  <c r="D35" i="66"/>
  <c r="C35" i="66"/>
  <c r="B35" i="66"/>
  <c r="E34" i="66"/>
  <c r="D34" i="66"/>
  <c r="C34" i="66"/>
  <c r="B34" i="66"/>
  <c r="E33" i="66"/>
  <c r="D33" i="66"/>
  <c r="C33" i="66"/>
  <c r="B33" i="66"/>
  <c r="E32" i="66"/>
  <c r="D32" i="66"/>
  <c r="C32" i="66"/>
  <c r="B32" i="66"/>
  <c r="E28" i="66"/>
  <c r="D28" i="66"/>
  <c r="C28" i="66"/>
  <c r="B28" i="66"/>
  <c r="E26" i="66"/>
  <c r="D26" i="66"/>
  <c r="C26" i="66"/>
  <c r="B26" i="66"/>
  <c r="E25" i="66"/>
  <c r="D25" i="66"/>
  <c r="C25" i="66"/>
  <c r="B25" i="66"/>
  <c r="E24" i="66"/>
  <c r="D24" i="66"/>
  <c r="C24" i="66"/>
  <c r="B24" i="66"/>
  <c r="E23" i="66"/>
  <c r="D23" i="66"/>
  <c r="C23" i="66"/>
  <c r="B23" i="66"/>
  <c r="E22" i="66"/>
  <c r="D22" i="66"/>
  <c r="C22" i="66"/>
  <c r="B22" i="66"/>
  <c r="E21" i="66"/>
  <c r="D21" i="66"/>
  <c r="C21" i="66"/>
  <c r="B21" i="66"/>
  <c r="E20" i="66"/>
  <c r="D20" i="66"/>
  <c r="C20" i="66"/>
  <c r="B20" i="66"/>
  <c r="E19" i="66"/>
  <c r="D19" i="66"/>
  <c r="C19" i="66"/>
  <c r="B19" i="66"/>
  <c r="E18" i="66"/>
  <c r="D18" i="66"/>
  <c r="C18" i="66"/>
  <c r="B18" i="66"/>
  <c r="E17" i="66"/>
  <c r="D17" i="66"/>
  <c r="C17" i="66"/>
  <c r="B17" i="66"/>
  <c r="E16" i="66"/>
  <c r="D16" i="66"/>
  <c r="C16" i="66"/>
  <c r="B16" i="66"/>
  <c r="E15" i="66"/>
  <c r="D15" i="66"/>
  <c r="C15" i="66"/>
  <c r="B15" i="66"/>
  <c r="E14" i="66"/>
  <c r="D14" i="66"/>
  <c r="C14" i="66"/>
  <c r="B14" i="66"/>
  <c r="E13" i="66"/>
  <c r="D13" i="66"/>
  <c r="C13" i="66"/>
  <c r="B13" i="66"/>
  <c r="E12" i="66"/>
  <c r="D12" i="66"/>
  <c r="C12" i="66"/>
  <c r="B12" i="66"/>
  <c r="E11" i="66"/>
  <c r="D11" i="66"/>
  <c r="C11" i="66"/>
  <c r="B11" i="66"/>
  <c r="E10" i="66"/>
  <c r="D10" i="66"/>
  <c r="C10" i="66"/>
  <c r="B10" i="66"/>
  <c r="E9" i="66"/>
  <c r="D9" i="66"/>
  <c r="C9" i="66"/>
  <c r="C27" i="66" s="1"/>
  <c r="C29" i="66" s="1"/>
  <c r="B9" i="66"/>
  <c r="L28" i="68" l="1"/>
  <c r="L30" i="68" s="1"/>
  <c r="D47" i="66"/>
  <c r="AU36" i="67"/>
  <c r="D50" i="67"/>
  <c r="Q50" i="68"/>
  <c r="AK38" i="68"/>
  <c r="H38" i="68"/>
  <c r="AJ48" i="68"/>
  <c r="E47" i="66"/>
  <c r="D27" i="66"/>
  <c r="D29" i="66" s="1"/>
  <c r="AP33" i="68"/>
  <c r="C37" i="66"/>
  <c r="C47" i="66"/>
  <c r="AG50" i="67"/>
  <c r="AG51" i="67" s="1"/>
  <c r="AK49" i="67"/>
  <c r="BB38" i="67"/>
  <c r="AZ41" i="67"/>
  <c r="AU21" i="67"/>
  <c r="AH49" i="68"/>
  <c r="I27" i="68"/>
  <c r="BF15" i="67"/>
  <c r="BA19" i="67"/>
  <c r="BC19" i="67" s="1"/>
  <c r="AU20" i="67"/>
  <c r="G10" i="66"/>
  <c r="G12" i="66"/>
  <c r="G13" i="66"/>
  <c r="G14" i="66"/>
  <c r="G15" i="66"/>
  <c r="G16" i="66"/>
  <c r="G17" i="66"/>
  <c r="G18" i="66"/>
  <c r="G19" i="66"/>
  <c r="G20" i="66"/>
  <c r="AI19" i="67"/>
  <c r="AO50" i="67"/>
  <c r="BA15" i="67"/>
  <c r="BC15" i="67" s="1"/>
  <c r="AZ30" i="67"/>
  <c r="G11" i="66"/>
  <c r="R17" i="67"/>
  <c r="AJ17" i="67"/>
  <c r="AU23" i="67"/>
  <c r="N49" i="67"/>
  <c r="X49" i="67"/>
  <c r="Z49" i="67" s="1"/>
  <c r="D51" i="67"/>
  <c r="AM50" i="67"/>
  <c r="J48" i="68"/>
  <c r="S48" i="68"/>
  <c r="S27" i="67"/>
  <c r="U27" i="67" s="1"/>
  <c r="AZ27" i="67"/>
  <c r="P50" i="67"/>
  <c r="P51" i="67" s="1"/>
  <c r="AF48" i="68"/>
  <c r="AQ48" i="68"/>
  <c r="AM51" i="67"/>
  <c r="AU17" i="67"/>
  <c r="AU11" i="67"/>
  <c r="BF12" i="67"/>
  <c r="BA27" i="67"/>
  <c r="BC27" i="67" s="1"/>
  <c r="AZ36" i="67"/>
  <c r="AZ37" i="67"/>
  <c r="AK38" i="67"/>
  <c r="AC50" i="67"/>
  <c r="AC51" i="67" s="1"/>
  <c r="BF47" i="67"/>
  <c r="BB48" i="67"/>
  <c r="BB49" i="67" s="1"/>
  <c r="AU37" i="68"/>
  <c r="AY37" i="68" s="1"/>
  <c r="E42" i="68"/>
  <c r="F17" i="66"/>
  <c r="F19" i="66"/>
  <c r="F21" i="66"/>
  <c r="F23" i="66"/>
  <c r="F25" i="66"/>
  <c r="F28" i="66"/>
  <c r="F33" i="66"/>
  <c r="F35" i="66"/>
  <c r="F39" i="66"/>
  <c r="F43" i="66"/>
  <c r="F46" i="66"/>
  <c r="T29" i="67"/>
  <c r="T31" i="67" s="1"/>
  <c r="BF25" i="67"/>
  <c r="BA36" i="67"/>
  <c r="BC36" i="67" s="1"/>
  <c r="K49" i="67"/>
  <c r="W49" i="67"/>
  <c r="AE49" i="67"/>
  <c r="AO22" i="68"/>
  <c r="AH30" i="68"/>
  <c r="AO35" i="68"/>
  <c r="L49" i="68"/>
  <c r="F48" i="68"/>
  <c r="F16" i="66"/>
  <c r="F18" i="66"/>
  <c r="F20" i="66"/>
  <c r="F22" i="66"/>
  <c r="F24" i="66"/>
  <c r="F26" i="66"/>
  <c r="F32" i="66"/>
  <c r="F34" i="66"/>
  <c r="F36" i="66"/>
  <c r="F41" i="66"/>
  <c r="BA16" i="67"/>
  <c r="BF18" i="67"/>
  <c r="BB20" i="67"/>
  <c r="BF22" i="67"/>
  <c r="AZ23" i="67"/>
  <c r="BF26" i="67"/>
  <c r="AU30" i="67"/>
  <c r="H50" i="67"/>
  <c r="H51" i="67" s="1"/>
  <c r="AU23" i="68"/>
  <c r="AZ12" i="67"/>
  <c r="AZ19" i="67"/>
  <c r="BA30" i="67"/>
  <c r="BC30" i="67" s="1"/>
  <c r="BA41" i="67"/>
  <c r="BA43" i="67"/>
  <c r="BA47" i="67"/>
  <c r="BC47" i="67" s="1"/>
  <c r="AU27" i="67"/>
  <c r="BA38" i="67"/>
  <c r="AU13" i="67"/>
  <c r="BA18" i="67"/>
  <c r="BC18" i="67" s="1"/>
  <c r="AZ22" i="67"/>
  <c r="AZ26" i="67"/>
  <c r="R28" i="67"/>
  <c r="O49" i="67"/>
  <c r="Q49" i="67" s="1"/>
  <c r="AA49" i="67"/>
  <c r="R13" i="67"/>
  <c r="S14" i="67"/>
  <c r="U14" i="67" s="1"/>
  <c r="AI14" i="67"/>
  <c r="AZ14" i="67"/>
  <c r="AZ15" i="67"/>
  <c r="AI18" i="67"/>
  <c r="AJ22" i="67"/>
  <c r="S28" i="67"/>
  <c r="U28" i="67" s="1"/>
  <c r="AZ38" i="67"/>
  <c r="J49" i="67"/>
  <c r="R12" i="67"/>
  <c r="AJ12" i="67"/>
  <c r="R18" i="67"/>
  <c r="AJ18" i="67"/>
  <c r="AZ18" i="67"/>
  <c r="S37" i="67"/>
  <c r="U37" i="67" s="1"/>
  <c r="AI37" i="67"/>
  <c r="B29" i="67"/>
  <c r="B31" i="67" s="1"/>
  <c r="J29" i="67"/>
  <c r="J31" i="67" s="1"/>
  <c r="AB29" i="67"/>
  <c r="AB31" i="67" s="1"/>
  <c r="AN29" i="67"/>
  <c r="AN31" i="67" s="1"/>
  <c r="AV29" i="67"/>
  <c r="AV31" i="67" s="1"/>
  <c r="BA14" i="67"/>
  <c r="BC14" i="67" s="1"/>
  <c r="AU16" i="67"/>
  <c r="BA25" i="67"/>
  <c r="BC25" i="67" s="1"/>
  <c r="BA26" i="67"/>
  <c r="BC26" i="67" s="1"/>
  <c r="E27" i="67"/>
  <c r="E28" i="67"/>
  <c r="AZ28" i="67"/>
  <c r="AZ35" i="67"/>
  <c r="R38" i="67"/>
  <c r="AZ45" i="67"/>
  <c r="F49" i="67"/>
  <c r="P48" i="68"/>
  <c r="E37" i="66"/>
  <c r="E27" i="66"/>
  <c r="E29" i="66" s="1"/>
  <c r="G21" i="66"/>
  <c r="G22" i="66"/>
  <c r="G23" i="66"/>
  <c r="G24" i="66"/>
  <c r="G25" i="66"/>
  <c r="G26" i="66"/>
  <c r="G28" i="66"/>
  <c r="G33" i="66"/>
  <c r="G34" i="66"/>
  <c r="G35" i="66"/>
  <c r="G36" i="66"/>
  <c r="G39" i="66"/>
  <c r="G41" i="66"/>
  <c r="G43" i="66"/>
  <c r="G46" i="66"/>
  <c r="BA12" i="67"/>
  <c r="BC12" i="67" s="1"/>
  <c r="BA13" i="67"/>
  <c r="BC13" i="67" s="1"/>
  <c r="AU14" i="67"/>
  <c r="R15" i="67"/>
  <c r="AJ15" i="67"/>
  <c r="R16" i="67"/>
  <c r="S17" i="67"/>
  <c r="U17" i="67" s="1"/>
  <c r="AI17" i="67"/>
  <c r="AJ20" i="67"/>
  <c r="BA20" i="67"/>
  <c r="BA23" i="67"/>
  <c r="BC23" i="67" s="1"/>
  <c r="S24" i="67"/>
  <c r="U24" i="67" s="1"/>
  <c r="AI24" i="67"/>
  <c r="AZ24" i="67"/>
  <c r="AI26" i="67"/>
  <c r="AI34" i="67"/>
  <c r="AZ34" i="67"/>
  <c r="AI43" i="67"/>
  <c r="BA45" i="67"/>
  <c r="G49" i="67"/>
  <c r="I49" i="67" s="1"/>
  <c r="AV49" i="67"/>
  <c r="R48" i="67"/>
  <c r="AZ48" i="67"/>
  <c r="B27" i="66"/>
  <c r="B29" i="66" s="1"/>
  <c r="F10" i="66"/>
  <c r="F11" i="66"/>
  <c r="F12" i="66"/>
  <c r="F13" i="66"/>
  <c r="F14" i="66"/>
  <c r="F15" i="66"/>
  <c r="D37" i="66"/>
  <c r="D48" i="66" s="1"/>
  <c r="D49" i="66" s="1"/>
  <c r="AI12" i="67"/>
  <c r="R14" i="67"/>
  <c r="AJ14" i="67"/>
  <c r="S15" i="67"/>
  <c r="U15" i="67" s="1"/>
  <c r="AU15" i="67"/>
  <c r="S16" i="67"/>
  <c r="U16" i="67" s="1"/>
  <c r="R21" i="67"/>
  <c r="AJ21" i="67"/>
  <c r="R24" i="67"/>
  <c r="AJ24" i="67"/>
  <c r="R25" i="67"/>
  <c r="AJ25" i="67"/>
  <c r="AU28" i="67"/>
  <c r="F39" i="67"/>
  <c r="N39" i="67"/>
  <c r="AU41" i="67"/>
  <c r="AI45" i="67"/>
  <c r="AB49" i="67"/>
  <c r="AU11" i="68"/>
  <c r="AY11" i="68" s="1"/>
  <c r="I35" i="68"/>
  <c r="AP22" i="68"/>
  <c r="AO42" i="68"/>
  <c r="AU10" i="68"/>
  <c r="AY10" i="68" s="1"/>
  <c r="AU13" i="68"/>
  <c r="AY13" i="68" s="1"/>
  <c r="AO14" i="68"/>
  <c r="AO19" i="68"/>
  <c r="M20" i="68"/>
  <c r="AO21" i="68"/>
  <c r="AU33" i="68"/>
  <c r="AY33" i="68" s="1"/>
  <c r="AO34" i="68"/>
  <c r="O48" i="68"/>
  <c r="W47" i="68"/>
  <c r="AP35" i="68"/>
  <c r="AR35" i="68" s="1"/>
  <c r="I40" i="68"/>
  <c r="G48" i="68"/>
  <c r="AO13" i="68"/>
  <c r="AR22" i="68"/>
  <c r="W23" i="68"/>
  <c r="M44" i="68"/>
  <c r="AP15" i="68"/>
  <c r="AR15" i="68" s="1"/>
  <c r="AO17" i="68"/>
  <c r="AP17" i="68"/>
  <c r="AR17" i="68" s="1"/>
  <c r="W18" i="68"/>
  <c r="W27" i="68"/>
  <c r="F38" i="68"/>
  <c r="K38" i="68"/>
  <c r="M38" i="68" s="1"/>
  <c r="AF38" i="68"/>
  <c r="AQ38" i="68"/>
  <c r="AQ49" i="68" s="1"/>
  <c r="D49" i="68"/>
  <c r="D50" i="68" s="1"/>
  <c r="AB48" i="68"/>
  <c r="AC48" i="68"/>
  <c r="AE48" i="68" s="1"/>
  <c r="AF28" i="68"/>
  <c r="AF30" i="68" s="1"/>
  <c r="W15" i="68"/>
  <c r="AO24" i="68"/>
  <c r="AO29" i="68"/>
  <c r="G38" i="68"/>
  <c r="I38" i="68" s="1"/>
  <c r="B48" i="68"/>
  <c r="E15" i="68"/>
  <c r="X16" i="68"/>
  <c r="Z16" i="68" s="1"/>
  <c r="AD30" i="68"/>
  <c r="I33" i="68"/>
  <c r="Y35" i="68"/>
  <c r="AL49" i="68"/>
  <c r="AL50" i="68" s="1"/>
  <c r="AO40" i="68"/>
  <c r="AG28" i="68"/>
  <c r="AG30" i="68" s="1"/>
  <c r="W11" i="68"/>
  <c r="AP11" i="68"/>
  <c r="AR11" i="68" s="1"/>
  <c r="AP12" i="68"/>
  <c r="AR12" i="68" s="1"/>
  <c r="AP14" i="68"/>
  <c r="AR14" i="68" s="1"/>
  <c r="X15" i="68"/>
  <c r="E16" i="68"/>
  <c r="X17" i="68"/>
  <c r="Z17" i="68" s="1"/>
  <c r="X19" i="68"/>
  <c r="AP19" i="68"/>
  <c r="AR19" i="68" s="1"/>
  <c r="X20" i="68"/>
  <c r="X21" i="68"/>
  <c r="Z21" i="68" s="1"/>
  <c r="AP21" i="68"/>
  <c r="AR21" i="68" s="1"/>
  <c r="X22" i="68"/>
  <c r="X23" i="68"/>
  <c r="Z23" i="68" s="1"/>
  <c r="AO23" i="68"/>
  <c r="W25" i="68"/>
  <c r="W26" i="68"/>
  <c r="M26" i="68"/>
  <c r="AP29" i="68"/>
  <c r="AI29" i="68"/>
  <c r="O38" i="68"/>
  <c r="W34" i="68"/>
  <c r="AP40" i="68"/>
  <c r="AR40" i="68" s="1"/>
  <c r="X42" i="68"/>
  <c r="Z42" i="68" s="1"/>
  <c r="AO44" i="68"/>
  <c r="I46" i="68"/>
  <c r="AO47" i="68"/>
  <c r="AO11" i="68"/>
  <c r="X12" i="68"/>
  <c r="AO12" i="68"/>
  <c r="AO15" i="68"/>
  <c r="W20" i="68"/>
  <c r="AP23" i="68"/>
  <c r="AR23" i="68" s="1"/>
  <c r="W24" i="68"/>
  <c r="AP25" i="68"/>
  <c r="AR25" i="68" s="1"/>
  <c r="AO26" i="68"/>
  <c r="X27" i="68"/>
  <c r="B38" i="68"/>
  <c r="P38" i="68"/>
  <c r="AP34" i="68"/>
  <c r="AR34" i="68" s="1"/>
  <c r="AO36" i="68"/>
  <c r="W40" i="68"/>
  <c r="X44" i="68"/>
  <c r="W44" i="68"/>
  <c r="AG48" i="68"/>
  <c r="AI48" i="68" s="1"/>
  <c r="S28" i="68"/>
  <c r="S30" i="68" s="1"/>
  <c r="AK28" i="68"/>
  <c r="AK30" i="68" s="1"/>
  <c r="X13" i="68"/>
  <c r="Z13" i="68" s="1"/>
  <c r="W16" i="68"/>
  <c r="AO16" i="68"/>
  <c r="AO18" i="68"/>
  <c r="W19" i="68"/>
  <c r="AO20" i="68"/>
  <c r="W21" i="68"/>
  <c r="W22" i="68"/>
  <c r="AP24" i="68"/>
  <c r="AR24" i="68" s="1"/>
  <c r="AE25" i="68"/>
  <c r="X26" i="68"/>
  <c r="AO27" i="68"/>
  <c r="J38" i="68"/>
  <c r="S38" i="68"/>
  <c r="AJ38" i="68"/>
  <c r="X35" i="68"/>
  <c r="W35" i="68"/>
  <c r="W42" i="68"/>
  <c r="AP42" i="68"/>
  <c r="AR42" i="68" s="1"/>
  <c r="E44" i="68"/>
  <c r="AK48" i="68"/>
  <c r="AK49" i="68" s="1"/>
  <c r="C29" i="67"/>
  <c r="C31" i="67" s="1"/>
  <c r="E31" i="67" s="1"/>
  <c r="AE29" i="67"/>
  <c r="AE31" i="67" s="1"/>
  <c r="AR29" i="67"/>
  <c r="AR31" i="67" s="1"/>
  <c r="AW29" i="67"/>
  <c r="AW31" i="67" s="1"/>
  <c r="S12" i="67"/>
  <c r="AU12" i="67"/>
  <c r="S13" i="67"/>
  <c r="U13" i="67" s="1"/>
  <c r="AI13" i="67"/>
  <c r="AZ13" i="67"/>
  <c r="AI16" i="67"/>
  <c r="AZ16" i="67"/>
  <c r="AZ17" i="67"/>
  <c r="S18" i="67"/>
  <c r="AU18" i="67"/>
  <c r="S19" i="67"/>
  <c r="U19" i="67" s="1"/>
  <c r="R20" i="67"/>
  <c r="S21" i="67"/>
  <c r="AI21" i="67"/>
  <c r="R22" i="67"/>
  <c r="BA22" i="67"/>
  <c r="BC22" i="67" s="1"/>
  <c r="AI23" i="67"/>
  <c r="AU24" i="67"/>
  <c r="AI25" i="67"/>
  <c r="AJ26" i="67"/>
  <c r="R27" i="67"/>
  <c r="AJ27" i="67"/>
  <c r="AI28" i="67"/>
  <c r="R30" i="67"/>
  <c r="AI30" i="67"/>
  <c r="AJ35" i="67"/>
  <c r="R36" i="67"/>
  <c r="AJ37" i="67"/>
  <c r="R45" i="67"/>
  <c r="AF49" i="67"/>
  <c r="N29" i="67"/>
  <c r="N31" i="67" s="1"/>
  <c r="X29" i="67"/>
  <c r="X31" i="67" s="1"/>
  <c r="AS29" i="67"/>
  <c r="AS31" i="67" s="1"/>
  <c r="BA11" i="67"/>
  <c r="BC11" i="67" s="1"/>
  <c r="F29" i="67"/>
  <c r="F31" i="67" s="1"/>
  <c r="AJ13" i="67"/>
  <c r="AI15" i="67"/>
  <c r="AJ16" i="67"/>
  <c r="BA17" i="67"/>
  <c r="BC17" i="67" s="1"/>
  <c r="AJ19" i="67"/>
  <c r="S20" i="67"/>
  <c r="U20" i="67" s="1"/>
  <c r="AI20" i="67"/>
  <c r="AZ20" i="67"/>
  <c r="AZ21" i="67"/>
  <c r="S22" i="67"/>
  <c r="U22" i="67" s="1"/>
  <c r="R23" i="67"/>
  <c r="AJ23" i="67"/>
  <c r="AZ25" i="67"/>
  <c r="AU26" i="67"/>
  <c r="AI27" i="67"/>
  <c r="AJ28" i="67"/>
  <c r="AJ30" i="67"/>
  <c r="J39" i="67"/>
  <c r="R35" i="67"/>
  <c r="AA39" i="67"/>
  <c r="AI38" i="67"/>
  <c r="AU38" i="67"/>
  <c r="R41" i="67"/>
  <c r="AZ43" i="67"/>
  <c r="R47" i="67"/>
  <c r="I47" i="67"/>
  <c r="AI48" i="67"/>
  <c r="G29" i="67"/>
  <c r="G31" i="67" s="1"/>
  <c r="I31" i="67" s="1"/>
  <c r="O29" i="67"/>
  <c r="O31" i="67" s="1"/>
  <c r="R19" i="67"/>
  <c r="BA21" i="67"/>
  <c r="BC21" i="67" s="1"/>
  <c r="R34" i="67"/>
  <c r="R37" i="67"/>
  <c r="AI41" i="67"/>
  <c r="AJ41" i="67"/>
  <c r="S43" i="67"/>
  <c r="R43" i="67"/>
  <c r="AJ47" i="67"/>
  <c r="AW49" i="67"/>
  <c r="AY49" i="67" s="1"/>
  <c r="AJ48" i="67"/>
  <c r="B49" i="67"/>
  <c r="T28" i="68"/>
  <c r="T30" i="68" s="1"/>
  <c r="AP13" i="68"/>
  <c r="AE13" i="68"/>
  <c r="W14" i="68"/>
  <c r="AU14" i="68"/>
  <c r="AU16" i="68"/>
  <c r="W17" i="68"/>
  <c r="X18" i="68"/>
  <c r="I18" i="68"/>
  <c r="B28" i="68"/>
  <c r="B30" i="68" s="1"/>
  <c r="W10" i="68"/>
  <c r="G28" i="68"/>
  <c r="G30" i="68" s="1"/>
  <c r="I30" i="68" s="1"/>
  <c r="I10" i="68"/>
  <c r="AO10" i="68"/>
  <c r="W12" i="68"/>
  <c r="X14" i="68"/>
  <c r="AU17" i="68"/>
  <c r="AY23" i="68"/>
  <c r="AQ28" i="68"/>
  <c r="X11" i="68"/>
  <c r="E11" i="68"/>
  <c r="W13" i="68"/>
  <c r="AP16" i="68"/>
  <c r="AR16" i="68" s="1"/>
  <c r="AE16" i="68"/>
  <c r="X25" i="68"/>
  <c r="Z25" i="68" s="1"/>
  <c r="M25" i="68"/>
  <c r="C28" i="68"/>
  <c r="C30" i="68" s="1"/>
  <c r="E30" i="68" s="1"/>
  <c r="O28" i="68"/>
  <c r="O30" i="68" s="1"/>
  <c r="AB28" i="68"/>
  <c r="AB30" i="68" s="1"/>
  <c r="AP10" i="68"/>
  <c r="AU12" i="68"/>
  <c r="Y15" i="68"/>
  <c r="AP18" i="68"/>
  <c r="AR18" i="68" s="1"/>
  <c r="E19" i="68"/>
  <c r="E20" i="68"/>
  <c r="AP20" i="68"/>
  <c r="AR20" i="68" s="1"/>
  <c r="E21" i="68"/>
  <c r="E22" i="68"/>
  <c r="AU22" i="68"/>
  <c r="AE23" i="68"/>
  <c r="X24" i="68"/>
  <c r="AC28" i="68"/>
  <c r="AC30" i="68" s="1"/>
  <c r="AQ29" i="68"/>
  <c r="AU29" i="68" s="1"/>
  <c r="AE29" i="68"/>
  <c r="AO33" i="68"/>
  <c r="AP37" i="68"/>
  <c r="AR37" i="68" s="1"/>
  <c r="AE37" i="68"/>
  <c r="W46" i="68"/>
  <c r="AP36" i="68"/>
  <c r="AR36" i="68" s="1"/>
  <c r="AE36" i="68"/>
  <c r="J28" i="68"/>
  <c r="J30" i="68" s="1"/>
  <c r="P28" i="68"/>
  <c r="P30" i="68" s="1"/>
  <c r="X10" i="68"/>
  <c r="AJ28" i="68"/>
  <c r="AJ30" i="68" s="1"/>
  <c r="AU18" i="68"/>
  <c r="AU19" i="68"/>
  <c r="AU21" i="68"/>
  <c r="AO25" i="68"/>
  <c r="AP27" i="68"/>
  <c r="AR27" i="68" s="1"/>
  <c r="AE27" i="68"/>
  <c r="W29" i="68"/>
  <c r="C38" i="68"/>
  <c r="X33" i="68"/>
  <c r="E33" i="68"/>
  <c r="X34" i="68"/>
  <c r="E34" i="68"/>
  <c r="F28" i="68"/>
  <c r="F30" i="68" s="1"/>
  <c r="K28" i="68"/>
  <c r="E14" i="68"/>
  <c r="E17" i="68"/>
  <c r="Y20" i="68"/>
  <c r="M24" i="68"/>
  <c r="AU24" i="68"/>
  <c r="AU25" i="68"/>
  <c r="AP26" i="68"/>
  <c r="AR26" i="68" s="1"/>
  <c r="AE26" i="68"/>
  <c r="X29" i="68"/>
  <c r="AB38" i="68"/>
  <c r="V47" i="68"/>
  <c r="T48" i="68"/>
  <c r="V48" i="68" s="1"/>
  <c r="Y26" i="68"/>
  <c r="Y27" i="68"/>
  <c r="W33" i="68"/>
  <c r="AG38" i="68"/>
  <c r="AU34" i="68"/>
  <c r="W36" i="68"/>
  <c r="I36" i="68"/>
  <c r="Y36" i="68"/>
  <c r="X36" i="68"/>
  <c r="W37" i="68"/>
  <c r="X37" i="68"/>
  <c r="AO37" i="68"/>
  <c r="AO46" i="68"/>
  <c r="H48" i="68"/>
  <c r="I47" i="68"/>
  <c r="Y47" i="68"/>
  <c r="Y48" i="68" s="1"/>
  <c r="AC38" i="68"/>
  <c r="AU42" i="68"/>
  <c r="C48" i="68"/>
  <c r="E48" i="68" s="1"/>
  <c r="X46" i="68"/>
  <c r="E46" i="68"/>
  <c r="X47" i="68"/>
  <c r="E47" i="68"/>
  <c r="M33" i="68"/>
  <c r="T38" i="68"/>
  <c r="AE33" i="68"/>
  <c r="AR33" i="68"/>
  <c r="AP44" i="68"/>
  <c r="AR44" i="68" s="1"/>
  <c r="AP46" i="68"/>
  <c r="AP47" i="68"/>
  <c r="AR47" i="68" s="1"/>
  <c r="X40" i="68"/>
  <c r="K48" i="68"/>
  <c r="Y40" i="68"/>
  <c r="Y44" i="68"/>
  <c r="AU46" i="68"/>
  <c r="U49" i="68"/>
  <c r="U50" i="68" s="1"/>
  <c r="AD49" i="68"/>
  <c r="BC16" i="67"/>
  <c r="BF19" i="67"/>
  <c r="BF13" i="67"/>
  <c r="BF16" i="67"/>
  <c r="BF20" i="67"/>
  <c r="K29" i="67"/>
  <c r="K31" i="67" s="1"/>
  <c r="M31" i="67" s="1"/>
  <c r="AO31" i="67"/>
  <c r="AX31" i="67"/>
  <c r="S35" i="67"/>
  <c r="U35" i="67" s="1"/>
  <c r="E35" i="67"/>
  <c r="S38" i="67"/>
  <c r="I38" i="67"/>
  <c r="Z38" i="67"/>
  <c r="AJ38" i="67"/>
  <c r="AR49" i="67"/>
  <c r="AZ47" i="67"/>
  <c r="R11" i="67"/>
  <c r="W29" i="67"/>
  <c r="W31" i="67" s="1"/>
  <c r="AK29" i="67"/>
  <c r="BF11" i="67"/>
  <c r="BF14" i="67"/>
  <c r="M16" i="67"/>
  <c r="BF17" i="67"/>
  <c r="AU19" i="67"/>
  <c r="E20" i="67"/>
  <c r="BF21" i="67"/>
  <c r="AU22" i="67"/>
  <c r="BF23" i="67"/>
  <c r="S25" i="67"/>
  <c r="E25" i="67"/>
  <c r="BB28" i="67"/>
  <c r="BF28" i="67" s="1"/>
  <c r="K39" i="67"/>
  <c r="M34" i="67"/>
  <c r="BF34" i="67"/>
  <c r="AJ36" i="67"/>
  <c r="X39" i="67"/>
  <c r="Y50" i="67"/>
  <c r="S45" i="67"/>
  <c r="E45" i="67"/>
  <c r="AJ11" i="67"/>
  <c r="E11" i="67"/>
  <c r="S11" i="67"/>
  <c r="AF29" i="67"/>
  <c r="AF31" i="67" s="1"/>
  <c r="AY11" i="67"/>
  <c r="E14" i="67"/>
  <c r="E17" i="67"/>
  <c r="E21" i="67"/>
  <c r="AI22" i="67"/>
  <c r="S23" i="67"/>
  <c r="AU25" i="67"/>
  <c r="R26" i="67"/>
  <c r="BF27" i="67"/>
  <c r="AT29" i="67"/>
  <c r="G39" i="67"/>
  <c r="AT39" i="67"/>
  <c r="AU34" i="67"/>
  <c r="AF39" i="67"/>
  <c r="S36" i="67"/>
  <c r="Z36" i="67"/>
  <c r="AE39" i="67"/>
  <c r="BA37" i="67"/>
  <c r="B39" i="67"/>
  <c r="W39" i="67"/>
  <c r="BB24" i="67"/>
  <c r="AA29" i="67"/>
  <c r="AA31" i="67" s="1"/>
  <c r="AI11" i="67"/>
  <c r="AP11" i="67"/>
  <c r="AZ11" i="67"/>
  <c r="E12" i="67"/>
  <c r="E15" i="67"/>
  <c r="E18" i="67"/>
  <c r="BA24" i="67"/>
  <c r="S26" i="67"/>
  <c r="BA28" i="67"/>
  <c r="AN39" i="67"/>
  <c r="AP34" i="67"/>
  <c r="AI35" i="67"/>
  <c r="L39" i="67"/>
  <c r="T38" i="67"/>
  <c r="M38" i="67"/>
  <c r="AB39" i="67"/>
  <c r="BA48" i="67"/>
  <c r="AU48" i="67"/>
  <c r="S30" i="67"/>
  <c r="E30" i="67"/>
  <c r="BF30" i="67"/>
  <c r="C39" i="67"/>
  <c r="O39" i="67"/>
  <c r="BA35" i="67"/>
  <c r="BF36" i="67"/>
  <c r="AU37" i="67"/>
  <c r="BB37" i="67"/>
  <c r="AW39" i="67"/>
  <c r="E23" i="67"/>
  <c r="E26" i="67"/>
  <c r="AJ34" i="67"/>
  <c r="BA34" i="67"/>
  <c r="AS39" i="67"/>
  <c r="AU35" i="67"/>
  <c r="BB35" i="67"/>
  <c r="BF35" i="67" s="1"/>
  <c r="AI36" i="67"/>
  <c r="AX39" i="67"/>
  <c r="AY38" i="67"/>
  <c r="BB43" i="67"/>
  <c r="AU43" i="67"/>
  <c r="S34" i="67"/>
  <c r="AJ43" i="67"/>
  <c r="BB45" i="67"/>
  <c r="AU45" i="67"/>
  <c r="S47" i="67"/>
  <c r="C49" i="67"/>
  <c r="E49" i="67" s="1"/>
  <c r="E47" i="67"/>
  <c r="AS49" i="67"/>
  <c r="AU49" i="67" s="1"/>
  <c r="AR39" i="67"/>
  <c r="AV39" i="67"/>
  <c r="BC41" i="67"/>
  <c r="S48" i="67"/>
  <c r="E48" i="67"/>
  <c r="S41" i="67"/>
  <c r="AJ45" i="67"/>
  <c r="T49" i="67"/>
  <c r="BF41" i="67"/>
  <c r="AN49" i="67"/>
  <c r="AP49" i="67" s="1"/>
  <c r="AI47" i="67"/>
  <c r="F9" i="66"/>
  <c r="B37" i="66"/>
  <c r="B48" i="66" s="1"/>
  <c r="F45" i="66"/>
  <c r="G32" i="66"/>
  <c r="G9" i="66"/>
  <c r="G45" i="66"/>
  <c r="L50" i="68" l="1"/>
  <c r="AH50" i="68"/>
  <c r="E48" i="66"/>
  <c r="E49" i="66" s="1"/>
  <c r="AJ49" i="68"/>
  <c r="BC38" i="67"/>
  <c r="G47" i="66"/>
  <c r="B49" i="66"/>
  <c r="AT35" i="68"/>
  <c r="AX35" i="68" s="1"/>
  <c r="AS15" i="68"/>
  <c r="AW15" i="68" s="1"/>
  <c r="C48" i="66"/>
  <c r="C49" i="66" s="1"/>
  <c r="BF48" i="67"/>
  <c r="AI49" i="67"/>
  <c r="BE41" i="67"/>
  <c r="BG41" i="67" s="1"/>
  <c r="AL35" i="67"/>
  <c r="F50" i="67"/>
  <c r="F51" i="67" s="1"/>
  <c r="F49" i="68"/>
  <c r="AZ49" i="67"/>
  <c r="AD50" i="68"/>
  <c r="W50" i="67"/>
  <c r="W51" i="67" s="1"/>
  <c r="AL48" i="67"/>
  <c r="AS21" i="68"/>
  <c r="AW21" i="68" s="1"/>
  <c r="N50" i="67"/>
  <c r="N51" i="67" s="1"/>
  <c r="BE18" i="67"/>
  <c r="BG18" i="67" s="1"/>
  <c r="J49" i="68"/>
  <c r="J50" i="68" s="1"/>
  <c r="AF49" i="68"/>
  <c r="AF50" i="68" s="1"/>
  <c r="BB29" i="67"/>
  <c r="BB31" i="67" s="1"/>
  <c r="AS40" i="68"/>
  <c r="AW40" i="68" s="1"/>
  <c r="X50" i="67"/>
  <c r="X51" i="67" s="1"/>
  <c r="K50" i="67"/>
  <c r="K51" i="67" s="1"/>
  <c r="AS14" i="68"/>
  <c r="AW14" i="68" s="1"/>
  <c r="BF49" i="67"/>
  <c r="AV50" i="67"/>
  <c r="AV51" i="67" s="1"/>
  <c r="AS22" i="68"/>
  <c r="AW22" i="68" s="1"/>
  <c r="AK39" i="67"/>
  <c r="BC48" i="67"/>
  <c r="BE20" i="67"/>
  <c r="BG20" i="67" s="1"/>
  <c r="S49" i="68"/>
  <c r="S50" i="68" s="1"/>
  <c r="BE15" i="67"/>
  <c r="BG15" i="67" s="1"/>
  <c r="BD37" i="67"/>
  <c r="BD19" i="67"/>
  <c r="AI30" i="68"/>
  <c r="AW50" i="67"/>
  <c r="AW51" i="67" s="1"/>
  <c r="AT24" i="68"/>
  <c r="AX24" i="68" s="1"/>
  <c r="AY29" i="67"/>
  <c r="AT13" i="68"/>
  <c r="AX13" i="68" s="1"/>
  <c r="BD13" i="67"/>
  <c r="BD21" i="67"/>
  <c r="BC20" i="67"/>
  <c r="BD35" i="67"/>
  <c r="AE50" i="67"/>
  <c r="AE51" i="67" s="1"/>
  <c r="AG49" i="68"/>
  <c r="AI49" i="68" s="1"/>
  <c r="AS35" i="68"/>
  <c r="AW35" i="68" s="1"/>
  <c r="BE30" i="67"/>
  <c r="BG30" i="67" s="1"/>
  <c r="J50" i="67"/>
  <c r="J51" i="67" s="1"/>
  <c r="BD28" i="67"/>
  <c r="BD17" i="67"/>
  <c r="BD15" i="67"/>
  <c r="BA49" i="67"/>
  <c r="BC49" i="67" s="1"/>
  <c r="BD18" i="67"/>
  <c r="BD36" i="67"/>
  <c r="B50" i="67"/>
  <c r="B51" i="67" s="1"/>
  <c r="AI28" i="68"/>
  <c r="AO48" i="68"/>
  <c r="AS17" i="68"/>
  <c r="AW17" i="68" s="1"/>
  <c r="B49" i="68"/>
  <c r="B50" i="68" s="1"/>
  <c r="BD12" i="67"/>
  <c r="BE22" i="67"/>
  <c r="BG22" i="67" s="1"/>
  <c r="F37" i="66"/>
  <c r="BD34" i="67"/>
  <c r="AA50" i="67"/>
  <c r="AA51" i="67" s="1"/>
  <c r="BD45" i="67"/>
  <c r="AT23" i="68"/>
  <c r="AX23" i="68" s="1"/>
  <c r="R49" i="67"/>
  <c r="AZ39" i="67"/>
  <c r="BC43" i="67"/>
  <c r="F47" i="66"/>
  <c r="M29" i="67"/>
  <c r="I29" i="67"/>
  <c r="AT40" i="68"/>
  <c r="AX40" i="68" s="1"/>
  <c r="AT22" i="68"/>
  <c r="AX22" i="68" s="1"/>
  <c r="Y38" i="68"/>
  <c r="Y49" i="68" s="1"/>
  <c r="AL36" i="67"/>
  <c r="AS44" i="68"/>
  <c r="AW44" i="68" s="1"/>
  <c r="O49" i="68"/>
  <c r="O50" i="68" s="1"/>
  <c r="BE36" i="67"/>
  <c r="BG36" i="67" s="1"/>
  <c r="BE14" i="67"/>
  <c r="BG14" i="67" s="1"/>
  <c r="AC49" i="68"/>
  <c r="AC50" i="68" s="1"/>
  <c r="AR50" i="67"/>
  <c r="AR51" i="67" s="1"/>
  <c r="AL41" i="67"/>
  <c r="I48" i="68"/>
  <c r="AS36" i="68"/>
  <c r="AW36" i="68" s="1"/>
  <c r="AS29" i="68"/>
  <c r="AW29" i="68" s="1"/>
  <c r="Z24" i="68"/>
  <c r="AS18" i="68"/>
  <c r="AW18" i="68" s="1"/>
  <c r="P49" i="68"/>
  <c r="P50" i="68" s="1"/>
  <c r="U36" i="67"/>
  <c r="O50" i="67"/>
  <c r="Q50" i="67" s="1"/>
  <c r="BD25" i="67"/>
  <c r="BD16" i="67"/>
  <c r="AS47" i="68"/>
  <c r="AW47" i="68" s="1"/>
  <c r="BD48" i="67"/>
  <c r="BD14" i="67"/>
  <c r="U30" i="67"/>
  <c r="BE27" i="67"/>
  <c r="BG27" i="67" s="1"/>
  <c r="BD23" i="67"/>
  <c r="BE21" i="67"/>
  <c r="BG21" i="67" s="1"/>
  <c r="BE12" i="67"/>
  <c r="BG12" i="67" s="1"/>
  <c r="BE37" i="67"/>
  <c r="AS13" i="68"/>
  <c r="AW13" i="68" s="1"/>
  <c r="BE28" i="67"/>
  <c r="BG28" i="67" s="1"/>
  <c r="G37" i="66"/>
  <c r="BD22" i="67"/>
  <c r="AR13" i="68"/>
  <c r="BD38" i="67"/>
  <c r="BD24" i="67"/>
  <c r="BD27" i="67"/>
  <c r="BC45" i="67"/>
  <c r="BA39" i="67"/>
  <c r="E29" i="67"/>
  <c r="AZ29" i="67"/>
  <c r="AZ31" i="67" s="1"/>
  <c r="U18" i="67"/>
  <c r="BE17" i="67"/>
  <c r="BG17" i="67" s="1"/>
  <c r="AE28" i="68"/>
  <c r="BD43" i="67"/>
  <c r="BE23" i="67"/>
  <c r="BG23" i="67" s="1"/>
  <c r="U12" i="67"/>
  <c r="AP29" i="67"/>
  <c r="G49" i="68"/>
  <c r="G50" i="68" s="1"/>
  <c r="BE43" i="67"/>
  <c r="AT15" i="68"/>
  <c r="AX15" i="68" s="1"/>
  <c r="AS23" i="68"/>
  <c r="AW23" i="68" s="1"/>
  <c r="G27" i="66"/>
  <c r="G29" i="66" s="1"/>
  <c r="F27" i="66"/>
  <c r="F29" i="66" s="1"/>
  <c r="BD26" i="67"/>
  <c r="AS12" i="68"/>
  <c r="AW12" i="68" s="1"/>
  <c r="AS27" i="68"/>
  <c r="AW27" i="68" s="1"/>
  <c r="AS42" i="68"/>
  <c r="AW42" i="68" s="1"/>
  <c r="AS34" i="68"/>
  <c r="AW34" i="68" s="1"/>
  <c r="AS19" i="68"/>
  <c r="AW19" i="68" s="1"/>
  <c r="AT12" i="68"/>
  <c r="AX12" i="68" s="1"/>
  <c r="I28" i="68"/>
  <c r="AU35" i="68"/>
  <c r="AY35" i="68" s="1"/>
  <c r="Z35" i="68"/>
  <c r="AT25" i="68"/>
  <c r="AX25" i="68" s="1"/>
  <c r="AT17" i="68"/>
  <c r="AX17" i="68" s="1"/>
  <c r="AP48" i="68"/>
  <c r="AR48" i="68" s="1"/>
  <c r="H49" i="68"/>
  <c r="H50" i="68" s="1"/>
  <c r="AB49" i="68"/>
  <c r="AB50" i="68" s="1"/>
  <c r="Z22" i="68"/>
  <c r="AS24" i="68"/>
  <c r="AW24" i="68" s="1"/>
  <c r="AT19" i="68"/>
  <c r="AX19" i="68" s="1"/>
  <c r="E28" i="68"/>
  <c r="K49" i="68"/>
  <c r="M49" i="68" s="1"/>
  <c r="AS20" i="68"/>
  <c r="AW20" i="68" s="1"/>
  <c r="AK50" i="68"/>
  <c r="AT29" i="68"/>
  <c r="AX29" i="68" s="1"/>
  <c r="AT27" i="68"/>
  <c r="AX27" i="68" s="1"/>
  <c r="AO38" i="68"/>
  <c r="AR29" i="68"/>
  <c r="AT14" i="68"/>
  <c r="AX14" i="68" s="1"/>
  <c r="AS16" i="68"/>
  <c r="AW16" i="68" s="1"/>
  <c r="AT21" i="68"/>
  <c r="AX21" i="68" s="1"/>
  <c r="AS37" i="68"/>
  <c r="AW37" i="68" s="1"/>
  <c r="AS25" i="68"/>
  <c r="AW25" i="68" s="1"/>
  <c r="AT20" i="68"/>
  <c r="AX20" i="68" s="1"/>
  <c r="Z19" i="68"/>
  <c r="AT42" i="68"/>
  <c r="AX42" i="68" s="1"/>
  <c r="AS26" i="68"/>
  <c r="AW26" i="68" s="1"/>
  <c r="AT44" i="68"/>
  <c r="AX44" i="68" s="1"/>
  <c r="AT34" i="68"/>
  <c r="AX34" i="68" s="1"/>
  <c r="AJ50" i="68"/>
  <c r="Z12" i="68"/>
  <c r="AS11" i="68"/>
  <c r="AW11" i="68" s="1"/>
  <c r="BE48" i="67"/>
  <c r="BG48" i="67" s="1"/>
  <c r="AL45" i="67"/>
  <c r="U21" i="67"/>
  <c r="BD30" i="67"/>
  <c r="AJ49" i="67"/>
  <c r="AL49" i="67" s="1"/>
  <c r="BA29" i="67"/>
  <c r="BA31" i="67" s="1"/>
  <c r="R39" i="67"/>
  <c r="BD41" i="67"/>
  <c r="BD20" i="67"/>
  <c r="U43" i="67"/>
  <c r="AL43" i="67"/>
  <c r="BC35" i="67"/>
  <c r="AI39" i="67"/>
  <c r="AI50" i="67" s="1"/>
  <c r="BE38" i="67"/>
  <c r="BE16" i="67"/>
  <c r="BG16" i="67" s="1"/>
  <c r="BE19" i="67"/>
  <c r="BG19" i="67" s="1"/>
  <c r="BE13" i="67"/>
  <c r="BG13" i="67" s="1"/>
  <c r="AP38" i="68"/>
  <c r="AQ30" i="68"/>
  <c r="AY46" i="68"/>
  <c r="T49" i="68"/>
  <c r="T50" i="68" s="1"/>
  <c r="AT46" i="68"/>
  <c r="X48" i="68"/>
  <c r="Z48" i="68" s="1"/>
  <c r="AY42" i="68"/>
  <c r="Z46" i="68"/>
  <c r="AS33" i="68"/>
  <c r="W38" i="68"/>
  <c r="AU20" i="68"/>
  <c r="Z20" i="68"/>
  <c r="F50" i="68"/>
  <c r="Z29" i="68"/>
  <c r="AY18" i="68"/>
  <c r="AY16" i="68"/>
  <c r="AT16" i="68"/>
  <c r="AX16" i="68" s="1"/>
  <c r="AT37" i="68"/>
  <c r="Z37" i="68"/>
  <c r="M28" i="68"/>
  <c r="K30" i="68"/>
  <c r="W28" i="68"/>
  <c r="W30" i="68" s="1"/>
  <c r="AS10" i="68"/>
  <c r="Z44" i="68"/>
  <c r="AU44" i="68"/>
  <c r="AT47" i="68"/>
  <c r="AX47" i="68" s="1"/>
  <c r="AT36" i="68"/>
  <c r="AX36" i="68" s="1"/>
  <c r="Z27" i="68"/>
  <c r="AU27" i="68"/>
  <c r="AY25" i="68"/>
  <c r="X38" i="68"/>
  <c r="AT33" i="68"/>
  <c r="Z33" i="68"/>
  <c r="AY29" i="68"/>
  <c r="W48" i="68"/>
  <c r="AS46" i="68"/>
  <c r="AE30" i="68"/>
  <c r="Z15" i="68"/>
  <c r="AU15" i="68"/>
  <c r="M48" i="68"/>
  <c r="AY17" i="68"/>
  <c r="AO28" i="68"/>
  <c r="AO30" i="68" s="1"/>
  <c r="AT26" i="68"/>
  <c r="AX26" i="68" s="1"/>
  <c r="AY14" i="68"/>
  <c r="Z14" i="68"/>
  <c r="AU47" i="68"/>
  <c r="Z47" i="68"/>
  <c r="AY19" i="68"/>
  <c r="AP28" i="68"/>
  <c r="AP30" i="68" s="1"/>
  <c r="AR10" i="68"/>
  <c r="Z40" i="68"/>
  <c r="AU40" i="68"/>
  <c r="V38" i="68"/>
  <c r="AR46" i="68"/>
  <c r="AE38" i="68"/>
  <c r="AU36" i="68"/>
  <c r="Z36" i="68"/>
  <c r="AY34" i="68"/>
  <c r="Z26" i="68"/>
  <c r="AU26" i="68"/>
  <c r="AY24" i="68"/>
  <c r="Y28" i="68"/>
  <c r="C49" i="68"/>
  <c r="E49" i="68" s="1"/>
  <c r="E38" i="68"/>
  <c r="AY21" i="68"/>
  <c r="AT10" i="68"/>
  <c r="X28" i="68"/>
  <c r="X30" i="68" s="1"/>
  <c r="Z10" i="68"/>
  <c r="Z34" i="68"/>
  <c r="AY22" i="68"/>
  <c r="AY12" i="68"/>
  <c r="Z11" i="68"/>
  <c r="AT11" i="68"/>
  <c r="AT18" i="68"/>
  <c r="AX18" i="68" s="1"/>
  <c r="Z18" i="68"/>
  <c r="BD47" i="67"/>
  <c r="C50" i="67"/>
  <c r="E39" i="67"/>
  <c r="U38" i="67"/>
  <c r="BF38" i="67"/>
  <c r="AF50" i="67"/>
  <c r="AH50" i="67" s="1"/>
  <c r="AH39" i="67"/>
  <c r="U41" i="67"/>
  <c r="AJ39" i="67"/>
  <c r="AL39" i="67" s="1"/>
  <c r="AL34" i="67"/>
  <c r="L50" i="67"/>
  <c r="M39" i="67"/>
  <c r="Y51" i="67"/>
  <c r="U11" i="67"/>
  <c r="S29" i="67"/>
  <c r="BE11" i="67"/>
  <c r="BG11" i="67" s="1"/>
  <c r="BB39" i="67"/>
  <c r="BC28" i="67"/>
  <c r="BE47" i="67"/>
  <c r="U47" i="67"/>
  <c r="S49" i="67"/>
  <c r="U49" i="67" s="1"/>
  <c r="AB50" i="67"/>
  <c r="AD39" i="67"/>
  <c r="AN50" i="67"/>
  <c r="AP39" i="67"/>
  <c r="U26" i="67"/>
  <c r="BE26" i="67"/>
  <c r="BG26" i="67" s="1"/>
  <c r="AI29" i="67"/>
  <c r="AI31" i="67" s="1"/>
  <c r="T39" i="67"/>
  <c r="BC24" i="67"/>
  <c r="AT31" i="67"/>
  <c r="AU29" i="67"/>
  <c r="BF24" i="67"/>
  <c r="BF29" i="67" s="1"/>
  <c r="BE35" i="67"/>
  <c r="BG35" i="67" s="1"/>
  <c r="AO51" i="67"/>
  <c r="AP31" i="67"/>
  <c r="AY31" i="67"/>
  <c r="BC37" i="67"/>
  <c r="BF37" i="67"/>
  <c r="AT50" i="67"/>
  <c r="AU39" i="67"/>
  <c r="AJ29" i="67"/>
  <c r="AJ31" i="67" s="1"/>
  <c r="BE45" i="67"/>
  <c r="U45" i="67"/>
  <c r="BE25" i="67"/>
  <c r="BG25" i="67" s="1"/>
  <c r="U25" i="67"/>
  <c r="AK31" i="67"/>
  <c r="AL38" i="67"/>
  <c r="U48" i="67"/>
  <c r="AK50" i="67"/>
  <c r="BE34" i="67"/>
  <c r="S39" i="67"/>
  <c r="U34" i="67"/>
  <c r="AX50" i="67"/>
  <c r="AY39" i="67"/>
  <c r="AS50" i="67"/>
  <c r="AS51" i="67" s="1"/>
  <c r="BF43" i="67"/>
  <c r="BC34" i="67"/>
  <c r="G50" i="67"/>
  <c r="I39" i="67"/>
  <c r="U23" i="67"/>
  <c r="BF45" i="67"/>
  <c r="Z39" i="67"/>
  <c r="R29" i="67"/>
  <c r="R31" i="67" s="1"/>
  <c r="BD11" i="67"/>
  <c r="BE24" i="67"/>
  <c r="G48" i="66" l="1"/>
  <c r="G49" i="66" s="1"/>
  <c r="AY50" i="67"/>
  <c r="AV13" i="68"/>
  <c r="R50" i="67"/>
  <c r="R51" i="67" s="1"/>
  <c r="AV21" i="68"/>
  <c r="AV34" i="68"/>
  <c r="AZ50" i="67"/>
  <c r="AZ51" i="67" s="1"/>
  <c r="AV24" i="68"/>
  <c r="AV25" i="68"/>
  <c r="AV22" i="68"/>
  <c r="Z38" i="68"/>
  <c r="BA50" i="67"/>
  <c r="BA51" i="67" s="1"/>
  <c r="Z50" i="67"/>
  <c r="BD49" i="67"/>
  <c r="AE49" i="68"/>
  <c r="O51" i="67"/>
  <c r="AV35" i="68"/>
  <c r="AG50" i="68"/>
  <c r="AI50" i="68" s="1"/>
  <c r="F48" i="66"/>
  <c r="F49" i="66" s="1"/>
  <c r="BD39" i="67"/>
  <c r="AU38" i="68"/>
  <c r="AY38" i="68" s="1"/>
  <c r="AV17" i="68"/>
  <c r="AO49" i="68"/>
  <c r="AO50" i="68" s="1"/>
  <c r="BG37" i="67"/>
  <c r="AV23" i="68"/>
  <c r="AV12" i="68"/>
  <c r="BE39" i="67"/>
  <c r="AF51" i="67"/>
  <c r="BC29" i="67"/>
  <c r="BG38" i="67"/>
  <c r="BG43" i="67"/>
  <c r="BG45" i="67"/>
  <c r="S50" i="67"/>
  <c r="V49" i="68"/>
  <c r="AV29" i="68"/>
  <c r="AV42" i="68"/>
  <c r="AI51" i="67"/>
  <c r="BD29" i="67"/>
  <c r="BD31" i="67" s="1"/>
  <c r="AV14" i="68"/>
  <c r="AU28" i="68"/>
  <c r="AY28" i="68" s="1"/>
  <c r="I49" i="68"/>
  <c r="AV19" i="68"/>
  <c r="C50" i="68"/>
  <c r="AV18" i="68"/>
  <c r="AJ50" i="67"/>
  <c r="AL50" i="67" s="1"/>
  <c r="AV44" i="68"/>
  <c r="AY44" i="68"/>
  <c r="AE50" i="68"/>
  <c r="AY47" i="68"/>
  <c r="AV47" i="68"/>
  <c r="AV15" i="68"/>
  <c r="AY15" i="68"/>
  <c r="AS48" i="68"/>
  <c r="AW48" i="68" s="1"/>
  <c r="AW46" i="68"/>
  <c r="K50" i="68"/>
  <c r="M30" i="68"/>
  <c r="AT48" i="68"/>
  <c r="AX48" i="68" s="1"/>
  <c r="AX46" i="68"/>
  <c r="AV46" i="68"/>
  <c r="AX37" i="68"/>
  <c r="AV37" i="68"/>
  <c r="AS38" i="68"/>
  <c r="AW33" i="68"/>
  <c r="AP49" i="68"/>
  <c r="AR49" i="68" s="1"/>
  <c r="AR38" i="68"/>
  <c r="AT28" i="68"/>
  <c r="AX10" i="68"/>
  <c r="AV10" i="68"/>
  <c r="AV26" i="68"/>
  <c r="AY26" i="68"/>
  <c r="AT38" i="68"/>
  <c r="AX33" i="68"/>
  <c r="AV33" i="68"/>
  <c r="AV27" i="68"/>
  <c r="AY27" i="68"/>
  <c r="AS28" i="68"/>
  <c r="AW10" i="68"/>
  <c r="AV20" i="68"/>
  <c r="AY20" i="68"/>
  <c r="AR28" i="68"/>
  <c r="V50" i="68"/>
  <c r="AX11" i="68"/>
  <c r="AV11" i="68"/>
  <c r="Y30" i="68"/>
  <c r="Z28" i="68"/>
  <c r="AV36" i="68"/>
  <c r="AY36" i="68"/>
  <c r="AV40" i="68"/>
  <c r="AY40" i="68"/>
  <c r="I50" i="68"/>
  <c r="X49" i="68"/>
  <c r="Z49" i="68" s="1"/>
  <c r="AV16" i="68"/>
  <c r="W49" i="68"/>
  <c r="W50" i="68" s="1"/>
  <c r="AU48" i="68"/>
  <c r="AQ50" i="68"/>
  <c r="AR30" i="68"/>
  <c r="BF31" i="67"/>
  <c r="BE49" i="67"/>
  <c r="BG49" i="67" s="1"/>
  <c r="BG47" i="67"/>
  <c r="AK51" i="67"/>
  <c r="AU50" i="67"/>
  <c r="BG24" i="67"/>
  <c r="T50" i="67"/>
  <c r="U39" i="67"/>
  <c r="BB50" i="67"/>
  <c r="BC39" i="67"/>
  <c r="Z51" i="67"/>
  <c r="BC31" i="67"/>
  <c r="G51" i="67"/>
  <c r="I50" i="67"/>
  <c r="AX51" i="67"/>
  <c r="AN51" i="67"/>
  <c r="AP50" i="67"/>
  <c r="BE29" i="67"/>
  <c r="BE31" i="67" s="1"/>
  <c r="BG34" i="67"/>
  <c r="E50" i="67"/>
  <c r="C51" i="67"/>
  <c r="AB51" i="67"/>
  <c r="AD50" i="67"/>
  <c r="AT51" i="67"/>
  <c r="AU31" i="67"/>
  <c r="S31" i="67"/>
  <c r="U29" i="67"/>
  <c r="M50" i="67"/>
  <c r="L51" i="67"/>
  <c r="BF39" i="67"/>
  <c r="AU30" i="68" l="1"/>
  <c r="AY30" i="68" s="1"/>
  <c r="BC50" i="67"/>
  <c r="BD50" i="67"/>
  <c r="BD51" i="67" s="1"/>
  <c r="Q51" i="67"/>
  <c r="AH51" i="67"/>
  <c r="AV38" i="68"/>
  <c r="AV28" i="68"/>
  <c r="E50" i="68"/>
  <c r="AP51" i="67"/>
  <c r="AJ51" i="67"/>
  <c r="AS49" i="68"/>
  <c r="AW49" i="68" s="1"/>
  <c r="AW38" i="68"/>
  <c r="AV48" i="68"/>
  <c r="AY48" i="68"/>
  <c r="AU49" i="68"/>
  <c r="AW28" i="68"/>
  <c r="AS30" i="68"/>
  <c r="AX38" i="68"/>
  <c r="AT49" i="68"/>
  <c r="AX49" i="68" s="1"/>
  <c r="M50" i="68"/>
  <c r="X50" i="68"/>
  <c r="AX28" i="68"/>
  <c r="AT30" i="68"/>
  <c r="Y50" i="68"/>
  <c r="Z30" i="68"/>
  <c r="AP50" i="68"/>
  <c r="S51" i="67"/>
  <c r="U31" i="67"/>
  <c r="BG29" i="67"/>
  <c r="AY51" i="67"/>
  <c r="BF50" i="67"/>
  <c r="BF51" i="67" s="1"/>
  <c r="BG39" i="67"/>
  <c r="I51" i="67"/>
  <c r="U50" i="67"/>
  <c r="T51" i="67"/>
  <c r="BG31" i="67"/>
  <c r="BB51" i="67"/>
  <c r="AD51" i="67"/>
  <c r="M51" i="67"/>
  <c r="E51" i="67"/>
  <c r="AU51" i="67"/>
  <c r="BE50" i="67"/>
  <c r="BE51" i="67" s="1"/>
  <c r="AL51" i="67" l="1"/>
  <c r="AT50" i="68"/>
  <c r="AX30" i="68"/>
  <c r="AV30" i="68"/>
  <c r="AV49" i="68"/>
  <c r="AY49" i="68"/>
  <c r="Z50" i="68"/>
  <c r="AU50" i="68"/>
  <c r="AS50" i="68"/>
  <c r="AW30" i="68"/>
  <c r="AR50" i="68"/>
  <c r="BG51" i="67"/>
  <c r="BG50" i="67"/>
  <c r="U51" i="67"/>
  <c r="BC51" i="67"/>
  <c r="AV50" i="68" l="1"/>
  <c r="AY50" i="68"/>
  <c r="AW50" i="68"/>
  <c r="AX50" i="68"/>
  <c r="E73" i="60" l="1"/>
  <c r="E49" i="60" l="1"/>
  <c r="G27" i="55"/>
  <c r="G35" i="55"/>
  <c r="E47" i="60"/>
  <c r="E11" i="60"/>
  <c r="F67" i="60" l="1"/>
  <c r="F42" i="60"/>
  <c r="E42" i="60"/>
  <c r="F37" i="60"/>
  <c r="F34" i="60"/>
  <c r="E32" i="60"/>
  <c r="F25" i="60"/>
  <c r="E25" i="60"/>
  <c r="F23" i="60"/>
  <c r="E21" i="60"/>
  <c r="F12" i="60"/>
  <c r="F15" i="60"/>
  <c r="E15" i="60"/>
  <c r="F38" i="60" l="1"/>
  <c r="E38" i="60"/>
  <c r="E34" i="60"/>
  <c r="G16" i="60"/>
  <c r="F15" i="64"/>
  <c r="F17" i="64" s="1"/>
  <c r="F13" i="64"/>
  <c r="F11" i="64"/>
  <c r="F18" i="64" l="1"/>
  <c r="G38" i="60"/>
  <c r="G14" i="64" l="1"/>
  <c r="G13" i="64"/>
  <c r="G10" i="64"/>
  <c r="G11" i="64"/>
  <c r="G12" i="64"/>
  <c r="G18" i="64"/>
  <c r="G16" i="64"/>
  <c r="G15" i="64"/>
  <c r="G17" i="64"/>
  <c r="E218" i="57" l="1"/>
  <c r="C218" i="57"/>
  <c r="D105" i="53" l="1"/>
  <c r="C103" i="53"/>
  <c r="C102" i="53"/>
  <c r="C97" i="53"/>
  <c r="C96" i="53"/>
  <c r="C93" i="53"/>
  <c r="C69" i="53"/>
  <c r="C68" i="53"/>
  <c r="C67" i="53"/>
  <c r="C66" i="53"/>
  <c r="D30" i="53"/>
  <c r="C30" i="53"/>
  <c r="C105" i="53" l="1"/>
  <c r="F71" i="56"/>
  <c r="F68" i="56"/>
  <c r="F64" i="56"/>
  <c r="F58" i="56"/>
  <c r="F60" i="56" s="1"/>
  <c r="F56" i="56"/>
  <c r="F50" i="56"/>
  <c r="F49" i="56"/>
  <c r="F47" i="56"/>
  <c r="F43" i="56"/>
  <c r="F39" i="56"/>
  <c r="F33" i="56"/>
  <c r="F31" i="56"/>
  <c r="F27" i="56"/>
  <c r="F22" i="56"/>
  <c r="F34" i="56" s="1"/>
  <c r="F19" i="56"/>
  <c r="F15" i="56"/>
  <c r="F11" i="56"/>
  <c r="F134" i="55"/>
  <c r="F133" i="55"/>
  <c r="F131" i="55"/>
  <c r="F127" i="55"/>
  <c r="F123" i="55"/>
  <c r="F118" i="55"/>
  <c r="F119" i="55" s="1"/>
  <c r="F114" i="55"/>
  <c r="F113" i="55"/>
  <c r="F111" i="55"/>
  <c r="F107" i="55"/>
  <c r="F103" i="55"/>
  <c r="F98" i="55"/>
  <c r="F94" i="55"/>
  <c r="F88" i="55"/>
  <c r="F90" i="55" s="1"/>
  <c r="F86" i="55"/>
  <c r="F82" i="55"/>
  <c r="F72" i="55"/>
  <c r="F71" i="55"/>
  <c r="F69" i="55"/>
  <c r="F65" i="55"/>
  <c r="F57" i="55"/>
  <c r="F52" i="55"/>
  <c r="F51" i="55"/>
  <c r="F49" i="55"/>
  <c r="F45" i="55"/>
  <c r="F39" i="55"/>
  <c r="F36" i="55"/>
  <c r="F37" i="55" s="1"/>
  <c r="F33" i="55"/>
  <c r="F29" i="55"/>
  <c r="F24" i="55"/>
  <c r="F25" i="55" s="1"/>
  <c r="F20" i="55"/>
  <c r="F17" i="55"/>
  <c r="F11" i="55"/>
  <c r="F19" i="55" s="1"/>
  <c r="J19" i="63"/>
  <c r="E19" i="63"/>
  <c r="I17" i="63"/>
  <c r="H17" i="63"/>
  <c r="J16" i="63"/>
  <c r="D17" i="63"/>
  <c r="C17" i="63"/>
  <c r="J15" i="63"/>
  <c r="E15" i="63"/>
  <c r="J14" i="63"/>
  <c r="E14" i="63"/>
  <c r="I13" i="63"/>
  <c r="H13" i="63"/>
  <c r="D13" i="63"/>
  <c r="C13" i="63"/>
  <c r="J12" i="63"/>
  <c r="J11" i="63"/>
  <c r="E11" i="63"/>
  <c r="J10" i="63"/>
  <c r="E10" i="63"/>
  <c r="J9" i="63"/>
  <c r="E9" i="63"/>
  <c r="J8" i="63"/>
  <c r="E8" i="63"/>
  <c r="D18" i="62"/>
  <c r="C18" i="62"/>
  <c r="E17" i="62"/>
  <c r="E16" i="62"/>
  <c r="E15" i="62"/>
  <c r="E14" i="62"/>
  <c r="E13" i="62"/>
  <c r="E12" i="62"/>
  <c r="E11" i="62"/>
  <c r="E10" i="62"/>
  <c r="E9" i="62"/>
  <c r="E8" i="62"/>
  <c r="J31" i="61"/>
  <c r="I31" i="61"/>
  <c r="H31" i="61"/>
  <c r="K30" i="61"/>
  <c r="K29" i="61"/>
  <c r="K28" i="61"/>
  <c r="J27" i="61"/>
  <c r="I27" i="61"/>
  <c r="K26" i="61"/>
  <c r="K25" i="61"/>
  <c r="K24" i="61"/>
  <c r="H23" i="61"/>
  <c r="K23" i="61" s="1"/>
  <c r="K22" i="61"/>
  <c r="H21" i="61"/>
  <c r="K20" i="61"/>
  <c r="K19" i="61"/>
  <c r="K18" i="61"/>
  <c r="H17" i="61"/>
  <c r="K17" i="61" s="1"/>
  <c r="F17" i="61"/>
  <c r="K16" i="61"/>
  <c r="J15" i="61"/>
  <c r="I15" i="61"/>
  <c r="K14" i="61"/>
  <c r="K13" i="61"/>
  <c r="K12" i="61"/>
  <c r="K11" i="61"/>
  <c r="H10" i="61"/>
  <c r="H15" i="61" s="1"/>
  <c r="F10" i="61"/>
  <c r="K9" i="61"/>
  <c r="G90" i="60"/>
  <c r="G89" i="60"/>
  <c r="G88" i="60"/>
  <c r="G87" i="60"/>
  <c r="F86" i="60"/>
  <c r="E86" i="60"/>
  <c r="G76" i="60"/>
  <c r="G75" i="60"/>
  <c r="G74" i="60"/>
  <c r="F73" i="60"/>
  <c r="G71" i="60"/>
  <c r="G70" i="60"/>
  <c r="G69" i="60"/>
  <c r="G68" i="60"/>
  <c r="E67" i="60"/>
  <c r="G59" i="60"/>
  <c r="G55" i="60"/>
  <c r="G54" i="60"/>
  <c r="G53" i="60" s="1"/>
  <c r="F53" i="60"/>
  <c r="E53" i="60"/>
  <c r="G49" i="60"/>
  <c r="G48" i="60"/>
  <c r="E45" i="60"/>
  <c r="G46" i="60"/>
  <c r="F45" i="60"/>
  <c r="G44" i="60"/>
  <c r="G42" i="60"/>
  <c r="G41" i="60"/>
  <c r="E40" i="60"/>
  <c r="G39" i="60"/>
  <c r="F36" i="60"/>
  <c r="G37" i="60"/>
  <c r="E36" i="60"/>
  <c r="G35" i="60"/>
  <c r="G33" i="60"/>
  <c r="F32" i="60"/>
  <c r="G32" i="60" s="1"/>
  <c r="G31" i="60"/>
  <c r="G30" i="60"/>
  <c r="G29" i="60"/>
  <c r="G28" i="60"/>
  <c r="G26" i="60"/>
  <c r="G25" i="60"/>
  <c r="G24" i="60"/>
  <c r="G23" i="60"/>
  <c r="G22" i="60"/>
  <c r="G21" i="60"/>
  <c r="F20" i="60"/>
  <c r="G17" i="60"/>
  <c r="G15" i="60" s="1"/>
  <c r="G14" i="60"/>
  <c r="G13" i="60"/>
  <c r="G12" i="60"/>
  <c r="F11" i="60"/>
  <c r="E212" i="57"/>
  <c r="C212" i="57"/>
  <c r="E206" i="57"/>
  <c r="C206" i="57"/>
  <c r="E200" i="57"/>
  <c r="C200" i="57"/>
  <c r="E194" i="57"/>
  <c r="C194" i="57"/>
  <c r="E187" i="57"/>
  <c r="C187" i="57"/>
  <c r="E180" i="57"/>
  <c r="C180" i="57"/>
  <c r="E172" i="57"/>
  <c r="C172" i="57"/>
  <c r="E164" i="57"/>
  <c r="C164" i="57"/>
  <c r="E158" i="57"/>
  <c r="C158" i="57"/>
  <c r="E152" i="57"/>
  <c r="C152" i="57"/>
  <c r="E146" i="57"/>
  <c r="C146" i="57"/>
  <c r="C140" i="57"/>
  <c r="E139" i="57"/>
  <c r="E140" i="57" s="1"/>
  <c r="C134" i="57"/>
  <c r="E133" i="57"/>
  <c r="E134" i="57" s="1"/>
  <c r="C128" i="57"/>
  <c r="E127" i="57"/>
  <c r="E128" i="57" s="1"/>
  <c r="C121" i="57"/>
  <c r="E118" i="57"/>
  <c r="E121" i="57" s="1"/>
  <c r="C114" i="57"/>
  <c r="E113" i="57"/>
  <c r="E111" i="57"/>
  <c r="E114" i="57" s="1"/>
  <c r="E106" i="57"/>
  <c r="C106" i="57"/>
  <c r="E98" i="57"/>
  <c r="C98" i="57"/>
  <c r="E88" i="57"/>
  <c r="E91" i="57" s="1"/>
  <c r="C86" i="57"/>
  <c r="C91" i="57" s="1"/>
  <c r="E84" i="57"/>
  <c r="C84" i="57"/>
  <c r="C77" i="57"/>
  <c r="E74" i="57"/>
  <c r="E77" i="57" s="1"/>
  <c r="C70" i="57"/>
  <c r="E69" i="57"/>
  <c r="E66" i="57"/>
  <c r="E65" i="57"/>
  <c r="C65" i="57"/>
  <c r="C57" i="57"/>
  <c r="E54" i="57"/>
  <c r="E57" i="57" s="1"/>
  <c r="C48" i="57"/>
  <c r="E45" i="57"/>
  <c r="E43" i="57"/>
  <c r="E42" i="57"/>
  <c r="E41" i="57"/>
  <c r="C34" i="57"/>
  <c r="E28" i="57"/>
  <c r="E34" i="57" s="1"/>
  <c r="E17" i="57"/>
  <c r="C17" i="57"/>
  <c r="G71" i="56"/>
  <c r="G68" i="56"/>
  <c r="G64" i="56"/>
  <c r="G70" i="56"/>
  <c r="G56" i="56"/>
  <c r="G50" i="56"/>
  <c r="G49" i="56"/>
  <c r="G47" i="56"/>
  <c r="G43" i="56"/>
  <c r="G39" i="56"/>
  <c r="G33" i="56"/>
  <c r="G31" i="56"/>
  <c r="G27" i="56"/>
  <c r="G23" i="56"/>
  <c r="G19" i="56"/>
  <c r="G15" i="56"/>
  <c r="G11" i="56"/>
  <c r="G134" i="55"/>
  <c r="G133" i="55"/>
  <c r="G131" i="55"/>
  <c r="G127" i="55"/>
  <c r="G123" i="55"/>
  <c r="G119" i="55"/>
  <c r="G114" i="55"/>
  <c r="G113" i="55"/>
  <c r="G111" i="55"/>
  <c r="G107" i="55"/>
  <c r="G103" i="55"/>
  <c r="G98" i="55"/>
  <c r="G94" i="55"/>
  <c r="G97" i="55"/>
  <c r="G86" i="55"/>
  <c r="G82" i="55"/>
  <c r="G72" i="55"/>
  <c r="G71" i="55"/>
  <c r="G69" i="55"/>
  <c r="G65" i="55"/>
  <c r="G57" i="55"/>
  <c r="G52" i="55"/>
  <c r="G51" i="55"/>
  <c r="G49" i="55"/>
  <c r="G45" i="55"/>
  <c r="G37" i="55"/>
  <c r="G33" i="55"/>
  <c r="G29" i="55"/>
  <c r="G41" i="55"/>
  <c r="G20" i="55"/>
  <c r="G17" i="55"/>
  <c r="G19" i="55"/>
  <c r="H21" i="54"/>
  <c r="G21" i="54"/>
  <c r="F21" i="54"/>
  <c r="E21" i="54"/>
  <c r="D21" i="54"/>
  <c r="H18" i="54"/>
  <c r="G18" i="54"/>
  <c r="F18" i="54"/>
  <c r="E18" i="54"/>
  <c r="D18" i="54"/>
  <c r="H15" i="54"/>
  <c r="G15" i="54"/>
  <c r="F15" i="54"/>
  <c r="E15" i="54"/>
  <c r="D15" i="54"/>
  <c r="H12" i="54"/>
  <c r="G12" i="54"/>
  <c r="F12" i="54"/>
  <c r="E12" i="54"/>
  <c r="D12" i="54"/>
  <c r="H9" i="54"/>
  <c r="G9" i="54"/>
  <c r="F9" i="54"/>
  <c r="E9" i="54"/>
  <c r="D9" i="54"/>
  <c r="C16" i="52"/>
  <c r="F73" i="55" l="1"/>
  <c r="D22" i="54"/>
  <c r="G53" i="55"/>
  <c r="F17" i="57"/>
  <c r="F135" i="55"/>
  <c r="H18" i="63"/>
  <c r="H20" i="63" s="1"/>
  <c r="H22" i="54"/>
  <c r="F53" i="55"/>
  <c r="G22" i="54"/>
  <c r="G135" i="55"/>
  <c r="E70" i="57"/>
  <c r="G11" i="60"/>
  <c r="G10" i="60" s="1"/>
  <c r="G67" i="60"/>
  <c r="G86" i="60"/>
  <c r="K10" i="61"/>
  <c r="K15" i="61" s="1"/>
  <c r="F51" i="56"/>
  <c r="E22" i="54"/>
  <c r="F97" i="55"/>
  <c r="F99" i="55" s="1"/>
  <c r="F22" i="54"/>
  <c r="F115" i="55"/>
  <c r="G72" i="56"/>
  <c r="F40" i="55"/>
  <c r="F41" i="55" s="1"/>
  <c r="F40" i="60"/>
  <c r="E10" i="60"/>
  <c r="E27" i="60"/>
  <c r="G34" i="60"/>
  <c r="F75" i="56"/>
  <c r="F35" i="56"/>
  <c r="F70" i="56"/>
  <c r="F72" i="56" s="1"/>
  <c r="F23" i="56"/>
  <c r="G115" i="55"/>
  <c r="G99" i="55"/>
  <c r="F59" i="55"/>
  <c r="F21" i="55"/>
  <c r="F13" i="55"/>
  <c r="G25" i="55"/>
  <c r="G34" i="56"/>
  <c r="G75" i="56" s="1"/>
  <c r="F10" i="60"/>
  <c r="G20" i="60"/>
  <c r="F27" i="60"/>
  <c r="F19" i="60" s="1"/>
  <c r="G40" i="60"/>
  <c r="E18" i="62"/>
  <c r="C18" i="63"/>
  <c r="C20" i="63" s="1"/>
  <c r="E16" i="63"/>
  <c r="F34" i="57"/>
  <c r="G73" i="55"/>
  <c r="G51" i="56"/>
  <c r="I32" i="61"/>
  <c r="K31" i="61"/>
  <c r="D18" i="63"/>
  <c r="D20" i="63" s="1"/>
  <c r="I18" i="63"/>
  <c r="I20" i="63" s="1"/>
  <c r="E48" i="57"/>
  <c r="G73" i="60"/>
  <c r="H27" i="61"/>
  <c r="H32" i="61" s="1"/>
  <c r="J32" i="61"/>
  <c r="J13" i="63"/>
  <c r="J17" i="63"/>
  <c r="E13" i="63"/>
  <c r="G59" i="55"/>
  <c r="G21" i="55"/>
  <c r="G60" i="55"/>
  <c r="G138" i="55" s="1"/>
  <c r="G13" i="55"/>
  <c r="G90" i="55"/>
  <c r="G60" i="56"/>
  <c r="G74" i="56"/>
  <c r="K21" i="61"/>
  <c r="K27" i="61" s="1"/>
  <c r="E20" i="60"/>
  <c r="G47" i="60"/>
  <c r="G45" i="60" s="1"/>
  <c r="F48" i="57" l="1"/>
  <c r="F57" i="57" s="1"/>
  <c r="F65" i="57" s="1"/>
  <c r="F70" i="57" s="1"/>
  <c r="F77" i="57" s="1"/>
  <c r="F84" i="57" s="1"/>
  <c r="F91" i="57" s="1"/>
  <c r="F98" i="57" s="1"/>
  <c r="F106" i="57" s="1"/>
  <c r="F114" i="57" s="1"/>
  <c r="F121" i="57" s="1"/>
  <c r="F128" i="57" s="1"/>
  <c r="F134" i="57" s="1"/>
  <c r="F140" i="57" s="1"/>
  <c r="F146" i="57" s="1"/>
  <c r="F152" i="57" s="1"/>
  <c r="F158" i="57" s="1"/>
  <c r="F164" i="57" s="1"/>
  <c r="F172" i="57" s="1"/>
  <c r="F180" i="57" s="1"/>
  <c r="F187" i="57" s="1"/>
  <c r="F194" i="57" s="1"/>
  <c r="F200" i="57" s="1"/>
  <c r="F206" i="57" s="1"/>
  <c r="F212" i="57" s="1"/>
  <c r="F218" i="57" s="1"/>
  <c r="E17" i="63"/>
  <c r="F18" i="60"/>
  <c r="F9" i="60" s="1"/>
  <c r="E19" i="60"/>
  <c r="E18" i="60" s="1"/>
  <c r="E9" i="60" s="1"/>
  <c r="G27" i="60"/>
  <c r="G36" i="60"/>
  <c r="F60" i="55"/>
  <c r="F138" i="55" s="1"/>
  <c r="G76" i="56"/>
  <c r="F74" i="56"/>
  <c r="F76" i="56" s="1"/>
  <c r="F137" i="55"/>
  <c r="E20" i="63"/>
  <c r="C4" i="51" s="1"/>
  <c r="K32" i="61"/>
  <c r="G35" i="56"/>
  <c r="J18" i="63"/>
  <c r="G61" i="55"/>
  <c r="G137" i="55"/>
  <c r="G139" i="55" s="1"/>
  <c r="G78" i="56" s="1"/>
  <c r="F61" i="55" l="1"/>
  <c r="E18" i="63"/>
  <c r="G18" i="60"/>
  <c r="G19" i="60"/>
  <c r="F139" i="55"/>
  <c r="F78" i="56" s="1"/>
  <c r="F79" i="56" s="1"/>
  <c r="G79" i="56"/>
  <c r="J20" i="63"/>
  <c r="C8" i="51" l="1"/>
  <c r="C9" i="51" s="1"/>
  <c r="G9" i="60"/>
  <c r="D31" i="11" l="1"/>
  <c r="E31" i="11"/>
  <c r="C31" i="11"/>
  <c r="E81" i="36"/>
  <c r="C81" i="36"/>
  <c r="G138" i="43"/>
  <c r="E131" i="43" l="1"/>
  <c r="E141" i="43" l="1"/>
  <c r="E140" i="43"/>
  <c r="E135" i="43"/>
  <c r="E134" i="43"/>
  <c r="E29" i="25" l="1"/>
  <c r="C29" i="25"/>
  <c r="J106" i="39"/>
  <c r="J107" i="39"/>
  <c r="G27" i="43" l="1"/>
  <c r="G44" i="43" l="1"/>
  <c r="G43" i="43"/>
  <c r="G42" i="43"/>
  <c r="G41" i="43"/>
  <c r="D11" i="40"/>
  <c r="E13" i="40"/>
  <c r="F13" i="40"/>
  <c r="D13" i="40"/>
  <c r="F11" i="40"/>
  <c r="E11" i="40"/>
  <c r="G10" i="40"/>
  <c r="F28" i="25"/>
  <c r="D29" i="25"/>
  <c r="F30" i="11"/>
  <c r="F80" i="36"/>
  <c r="D81" i="36"/>
  <c r="G66" i="39"/>
  <c r="H66" i="39"/>
  <c r="M18" i="41" l="1"/>
  <c r="M19" i="41"/>
  <c r="E69" i="36" l="1"/>
  <c r="D69" i="36"/>
  <c r="C69" i="36"/>
  <c r="G55" i="41" l="1"/>
  <c r="G56" i="41"/>
  <c r="J37" i="39"/>
  <c r="J38" i="39"/>
  <c r="F66" i="14"/>
  <c r="G36" i="43" l="1"/>
  <c r="E33" i="14" l="1"/>
  <c r="F25" i="14" l="1"/>
  <c r="F30" i="14"/>
  <c r="F53" i="14" l="1"/>
  <c r="D52" i="40" l="1"/>
  <c r="E52" i="40"/>
  <c r="F52" i="40"/>
  <c r="G51" i="40"/>
  <c r="F13" i="43"/>
  <c r="G6" i="40" l="1"/>
  <c r="G7" i="40"/>
  <c r="G8" i="40"/>
  <c r="G9" i="40"/>
  <c r="G89" i="43" l="1"/>
  <c r="G11" i="43" l="1"/>
  <c r="G135" i="43" l="1"/>
  <c r="D13" i="43"/>
  <c r="E13" i="43"/>
  <c r="F143" i="43"/>
  <c r="G141" i="43"/>
  <c r="G45" i="43"/>
  <c r="G87" i="43"/>
  <c r="G60" i="43"/>
  <c r="G59" i="43"/>
  <c r="G58" i="43"/>
  <c r="G57" i="43"/>
  <c r="G10" i="43" l="1"/>
  <c r="G12" i="43"/>
  <c r="E36" i="40"/>
  <c r="E37" i="40" s="1"/>
  <c r="F36" i="40"/>
  <c r="D36" i="40"/>
  <c r="D37" i="40" s="1"/>
  <c r="J27" i="24"/>
  <c r="J14" i="24"/>
  <c r="F12" i="22"/>
  <c r="F13" i="22"/>
  <c r="F10" i="22"/>
  <c r="F78" i="36"/>
  <c r="F77" i="36"/>
  <c r="H109" i="39"/>
  <c r="J24" i="39"/>
  <c r="F37" i="40" l="1"/>
  <c r="D10" i="13"/>
  <c r="F82" i="14" l="1"/>
  <c r="J42" i="39"/>
  <c r="G7" i="43"/>
  <c r="G79" i="43" l="1"/>
  <c r="G80" i="43"/>
  <c r="G32" i="40"/>
  <c r="F23" i="22" l="1"/>
  <c r="J45" i="39" l="1"/>
  <c r="J104" i="39"/>
  <c r="J105" i="39"/>
  <c r="G24" i="43" l="1"/>
  <c r="D43" i="40" l="1"/>
  <c r="E43" i="40"/>
  <c r="F43" i="40"/>
  <c r="G42" i="40"/>
  <c r="G25" i="43" l="1"/>
  <c r="G35" i="40"/>
  <c r="F16" i="22"/>
  <c r="J48" i="39"/>
  <c r="G50" i="40" l="1"/>
  <c r="I35" i="39" l="1"/>
  <c r="H35" i="39"/>
  <c r="G35" i="39"/>
  <c r="I32" i="39"/>
  <c r="H32" i="39"/>
  <c r="G32" i="39"/>
  <c r="I29" i="39"/>
  <c r="H29" i="39"/>
  <c r="G29" i="39"/>
  <c r="I26" i="39"/>
  <c r="H26" i="39"/>
  <c r="G26" i="39"/>
  <c r="I13" i="39"/>
  <c r="I16" i="39" s="1"/>
  <c r="H13" i="39"/>
  <c r="H16" i="39" s="1"/>
  <c r="G13" i="39"/>
  <c r="G16" i="39" s="1"/>
  <c r="G33" i="39" l="1"/>
  <c r="H33" i="39"/>
  <c r="I33" i="39"/>
  <c r="I95" i="39"/>
  <c r="I66" i="39"/>
  <c r="J108" i="39"/>
  <c r="I109" i="39"/>
  <c r="J65" i="39"/>
  <c r="J12" i="24" l="1"/>
  <c r="G85" i="43"/>
  <c r="G86" i="43"/>
  <c r="J23" i="39" l="1"/>
  <c r="J12" i="39"/>
  <c r="G142" i="43" l="1"/>
  <c r="G133" i="43" l="1"/>
  <c r="G131" i="43"/>
  <c r="E96" i="43" l="1"/>
  <c r="E95" i="43"/>
  <c r="E94" i="43"/>
  <c r="E93" i="43"/>
  <c r="E143" i="43" l="1"/>
  <c r="G71" i="43"/>
  <c r="G72" i="43"/>
  <c r="G73" i="43"/>
  <c r="G74" i="43"/>
  <c r="G75" i="43"/>
  <c r="G76" i="43"/>
  <c r="G77" i="43"/>
  <c r="G78" i="43"/>
  <c r="G81" i="43"/>
  <c r="G82" i="43"/>
  <c r="G83" i="43"/>
  <c r="G84" i="43"/>
  <c r="G37" i="43"/>
  <c r="G40" i="40"/>
  <c r="G34" i="40"/>
  <c r="G33" i="40"/>
  <c r="G31" i="40"/>
  <c r="G30" i="40"/>
  <c r="G29" i="40"/>
  <c r="G28" i="40"/>
  <c r="J21" i="39" l="1"/>
  <c r="J14" i="39"/>
  <c r="J15" i="39"/>
  <c r="J13" i="39" l="1"/>
  <c r="F36" i="14"/>
  <c r="G96" i="43" l="1"/>
  <c r="G50" i="43"/>
  <c r="F21" i="22"/>
  <c r="F52" i="14"/>
  <c r="F54" i="14"/>
  <c r="G58" i="41"/>
  <c r="M54" i="41"/>
  <c r="J86" i="39" l="1"/>
  <c r="E24" i="22" l="1"/>
  <c r="G40" i="43" l="1"/>
  <c r="G56" i="43" l="1"/>
  <c r="G9" i="43" l="1"/>
  <c r="F76" i="36"/>
  <c r="H25" i="24" l="1"/>
  <c r="I25" i="24"/>
  <c r="G25" i="24"/>
  <c r="G30" i="24" s="1"/>
  <c r="E150" i="43"/>
  <c r="F150" i="43"/>
  <c r="D150" i="43"/>
  <c r="D84" i="14"/>
  <c r="E84" i="14"/>
  <c r="C84" i="14"/>
  <c r="I30" i="24" l="1"/>
  <c r="H30" i="24"/>
  <c r="C17" i="36" l="1"/>
  <c r="J20" i="24" l="1"/>
  <c r="G13" i="9" l="1"/>
  <c r="G49" i="40" l="1"/>
  <c r="F81" i="14" l="1"/>
  <c r="J73" i="39" l="1"/>
  <c r="G55" i="43" l="1"/>
  <c r="G62" i="43"/>
  <c r="G63" i="43"/>
  <c r="G65" i="43"/>
  <c r="G132" i="43" l="1"/>
  <c r="G127" i="43"/>
  <c r="J41" i="39" l="1"/>
  <c r="F88" i="36" l="1"/>
  <c r="J74" i="39" l="1"/>
  <c r="F20" i="22" l="1"/>
  <c r="J76" i="39" l="1"/>
  <c r="G139" i="43"/>
  <c r="G136" i="43"/>
  <c r="F80" i="14"/>
  <c r="G27" i="40"/>
  <c r="F42" i="14"/>
  <c r="J28" i="24"/>
  <c r="J44" i="39" l="1"/>
  <c r="J43" i="39"/>
  <c r="J31" i="39" l="1"/>
  <c r="G129" i="43" l="1"/>
  <c r="G26" i="40"/>
  <c r="D72" i="14"/>
  <c r="F46" i="14"/>
  <c r="D23" i="12" l="1"/>
  <c r="D36" i="36"/>
  <c r="C36" i="36"/>
  <c r="F35" i="36"/>
  <c r="F15" i="36"/>
  <c r="E23" i="12" l="1"/>
  <c r="G137" i="43" l="1"/>
  <c r="F21" i="12" l="1"/>
  <c r="F18" i="12"/>
  <c r="J23" i="24"/>
  <c r="G140" i="43" l="1"/>
  <c r="F79" i="14" l="1"/>
  <c r="G35" i="43"/>
  <c r="F57" i="14"/>
  <c r="F22" i="11"/>
  <c r="E70" i="36" l="1"/>
  <c r="J60" i="41" l="1"/>
  <c r="G8" i="43"/>
  <c r="G26" i="43"/>
  <c r="F11" i="22" l="1"/>
  <c r="F14" i="22"/>
  <c r="F15" i="22"/>
  <c r="F17" i="22"/>
  <c r="F18" i="22"/>
  <c r="F19" i="22"/>
  <c r="D24" i="22"/>
  <c r="F40" i="14"/>
  <c r="F64" i="14"/>
  <c r="F67" i="14"/>
  <c r="F68" i="14"/>
  <c r="C23" i="12"/>
  <c r="F23" i="12" l="1"/>
  <c r="D70" i="36"/>
  <c r="F58" i="36"/>
  <c r="M26" i="41" l="1"/>
  <c r="G122" i="43" l="1"/>
  <c r="G54" i="43"/>
  <c r="E32" i="11" l="1"/>
  <c r="C32" i="11"/>
  <c r="D32" i="11" l="1"/>
  <c r="G124" i="43" l="1"/>
  <c r="F29" i="11" l="1"/>
  <c r="F8" i="22" l="1"/>
  <c r="D23" i="13" l="1"/>
  <c r="E23" i="13"/>
  <c r="C23" i="13"/>
  <c r="D32" i="12"/>
  <c r="E32" i="12"/>
  <c r="C32" i="12"/>
  <c r="F7" i="13" l="1"/>
  <c r="G134" i="43" l="1"/>
  <c r="G104" i="43"/>
  <c r="G52" i="43" l="1"/>
  <c r="G39" i="43"/>
  <c r="J68" i="39" l="1"/>
  <c r="E59" i="36"/>
  <c r="J82" i="39" l="1"/>
  <c r="J83" i="39"/>
  <c r="J84" i="39"/>
  <c r="G95" i="43" l="1"/>
  <c r="G130" i="43"/>
  <c r="E94" i="14"/>
  <c r="E9" i="14"/>
  <c r="E10" i="13"/>
  <c r="E10" i="12"/>
  <c r="F34" i="9"/>
  <c r="E41" i="11"/>
  <c r="E10" i="11"/>
  <c r="F10" i="9"/>
  <c r="F9" i="12"/>
  <c r="F8" i="12"/>
  <c r="F7" i="12"/>
  <c r="E24" i="36"/>
  <c r="E23" i="36" s="1"/>
  <c r="E29" i="36"/>
  <c r="E28" i="36" s="1"/>
  <c r="E19" i="36"/>
  <c r="G41" i="40"/>
  <c r="J93" i="39"/>
  <c r="E18" i="36" l="1"/>
  <c r="J36" i="39"/>
  <c r="J40" i="39" l="1"/>
  <c r="J46" i="39"/>
  <c r="F92" i="14" l="1"/>
  <c r="F91" i="14"/>
  <c r="F7" i="14"/>
  <c r="F6" i="14"/>
  <c r="F20" i="13"/>
  <c r="F21" i="13"/>
  <c r="F9" i="13"/>
  <c r="F8" i="13"/>
  <c r="F29" i="12"/>
  <c r="F30" i="12"/>
  <c r="G33" i="9"/>
  <c r="G32" i="9"/>
  <c r="G8" i="9"/>
  <c r="G7" i="9"/>
  <c r="F39" i="11"/>
  <c r="F38" i="11"/>
  <c r="F9" i="11"/>
  <c r="F8" i="11"/>
  <c r="F7" i="11"/>
  <c r="F115" i="36"/>
  <c r="F114" i="36"/>
  <c r="F110" i="36"/>
  <c r="F107" i="36"/>
  <c r="F106" i="36"/>
  <c r="F103" i="36"/>
  <c r="F102" i="36"/>
  <c r="F98" i="36"/>
  <c r="E117" i="36"/>
  <c r="E113" i="36"/>
  <c r="E109" i="36"/>
  <c r="E105" i="36"/>
  <c r="E101" i="36"/>
  <c r="F99" i="36"/>
  <c r="E32" i="36"/>
  <c r="E27" i="36"/>
  <c r="E22" i="36"/>
  <c r="E17" i="36"/>
  <c r="E12" i="36"/>
  <c r="F31" i="36"/>
  <c r="F30" i="36"/>
  <c r="F29" i="36"/>
  <c r="F28" i="36"/>
  <c r="F26" i="36"/>
  <c r="F25" i="36"/>
  <c r="F24" i="36"/>
  <c r="F23" i="36"/>
  <c r="F21" i="36"/>
  <c r="F20" i="36"/>
  <c r="F19" i="36"/>
  <c r="F18" i="36"/>
  <c r="F16" i="36"/>
  <c r="F14" i="36"/>
  <c r="F13" i="36"/>
  <c r="F11" i="36"/>
  <c r="F10" i="36"/>
  <c r="F9" i="36"/>
  <c r="E118" i="36" l="1"/>
  <c r="E33" i="36"/>
  <c r="J98" i="39" l="1"/>
  <c r="F79" i="36" l="1"/>
  <c r="G20" i="40" l="1"/>
  <c r="C24" i="22"/>
  <c r="E72" i="14" l="1"/>
  <c r="C72" i="14"/>
  <c r="F71" i="14"/>
  <c r="F19" i="14" l="1"/>
  <c r="F62" i="14" l="1"/>
  <c r="M53" i="41"/>
  <c r="E17" i="14" l="1"/>
  <c r="E85" i="14" l="1"/>
  <c r="F55" i="36" l="1"/>
  <c r="F56" i="36"/>
  <c r="F57" i="36"/>
  <c r="F54" i="36"/>
  <c r="F46" i="36"/>
  <c r="G24" i="40" l="1"/>
  <c r="G23" i="40"/>
  <c r="F28" i="11"/>
  <c r="F32" i="14" l="1"/>
  <c r="F13" i="12"/>
  <c r="F14" i="12"/>
  <c r="F15" i="12"/>
  <c r="F17" i="12"/>
  <c r="F19" i="12"/>
  <c r="I51" i="39" l="1"/>
  <c r="J103" i="39" l="1"/>
  <c r="E36" i="36" l="1"/>
  <c r="F20" i="11"/>
  <c r="J7" i="24" l="1"/>
  <c r="J22" i="24"/>
  <c r="G38" i="43"/>
  <c r="G47" i="43"/>
  <c r="G48" i="43"/>
  <c r="G49" i="43"/>
  <c r="G51" i="43"/>
  <c r="G68" i="43"/>
  <c r="G69" i="43"/>
  <c r="G88" i="43"/>
  <c r="G90" i="43"/>
  <c r="G91" i="43"/>
  <c r="G93" i="43"/>
  <c r="G94" i="43"/>
  <c r="G98" i="43"/>
  <c r="G100" i="43"/>
  <c r="G103" i="43"/>
  <c r="G106" i="43"/>
  <c r="G107" i="43"/>
  <c r="G108" i="43"/>
  <c r="G109" i="43"/>
  <c r="G111" i="43"/>
  <c r="G113" i="43"/>
  <c r="G115" i="43"/>
  <c r="G116" i="43"/>
  <c r="G117" i="43"/>
  <c r="G119" i="43"/>
  <c r="G121" i="43"/>
  <c r="G123" i="43"/>
  <c r="G126" i="43"/>
  <c r="G128" i="43"/>
  <c r="G32" i="43"/>
  <c r="G33" i="43"/>
  <c r="E17" i="43" l="1"/>
  <c r="F17" i="43"/>
  <c r="D17" i="43"/>
  <c r="G17" i="43" l="1"/>
  <c r="G109" i="39" l="1"/>
  <c r="H95" i="39" l="1"/>
  <c r="G23" i="43" l="1"/>
  <c r="G24" i="9" l="1"/>
  <c r="E25" i="9" l="1"/>
  <c r="F25" i="9"/>
  <c r="D25" i="9"/>
  <c r="F26" i="9" l="1"/>
  <c r="F36" i="9" s="1"/>
  <c r="F26" i="11" l="1"/>
  <c r="J16" i="39" l="1"/>
  <c r="F13" i="13" l="1"/>
  <c r="F27" i="11" l="1"/>
  <c r="D22" i="36" l="1"/>
  <c r="F22" i="36" l="1"/>
  <c r="G19" i="40" l="1"/>
  <c r="K47" i="41" l="1"/>
  <c r="L47" i="41"/>
  <c r="J47" i="41"/>
  <c r="E89" i="36" l="1"/>
  <c r="G151" i="43" l="1"/>
  <c r="L46" i="41"/>
  <c r="K46" i="41"/>
  <c r="J46" i="41"/>
  <c r="D143" i="43"/>
  <c r="F29" i="43"/>
  <c r="L44" i="41" s="1"/>
  <c r="E29" i="43"/>
  <c r="D29" i="43"/>
  <c r="J44" i="41" s="1"/>
  <c r="G28" i="43"/>
  <c r="G22" i="43"/>
  <c r="F20" i="43"/>
  <c r="E20" i="43"/>
  <c r="D20" i="43"/>
  <c r="J43" i="41" s="1"/>
  <c r="G19" i="43"/>
  <c r="L42" i="41"/>
  <c r="K42" i="41"/>
  <c r="J42" i="41"/>
  <c r="G15" i="43"/>
  <c r="L41" i="41"/>
  <c r="K41" i="41"/>
  <c r="J41" i="41"/>
  <c r="F152" i="43" l="1"/>
  <c r="K43" i="41"/>
  <c r="K44" i="41"/>
  <c r="E152" i="43"/>
  <c r="L43" i="41"/>
  <c r="K45" i="41"/>
  <c r="L45" i="41"/>
  <c r="J45" i="41"/>
  <c r="D152" i="43"/>
  <c r="G29" i="43"/>
  <c r="G143" i="43"/>
  <c r="G20" i="43"/>
  <c r="G13" i="43"/>
  <c r="G152" i="43" l="1"/>
  <c r="J47" i="39" l="1"/>
  <c r="F83" i="14" l="1"/>
  <c r="F63" i="14"/>
  <c r="E67" i="40"/>
  <c r="F67" i="40"/>
  <c r="D67" i="40"/>
  <c r="G124" i="39"/>
  <c r="H124" i="39"/>
  <c r="I124" i="39"/>
  <c r="J116" i="39"/>
  <c r="J71" i="39" l="1"/>
  <c r="F70" i="14" l="1"/>
  <c r="F12" i="14" l="1"/>
  <c r="F56" i="14"/>
  <c r="G12" i="9" l="1"/>
  <c r="F26" i="14" l="1"/>
  <c r="E90" i="36"/>
  <c r="F23" i="14" l="1"/>
  <c r="F51" i="14" l="1"/>
  <c r="L35" i="41"/>
  <c r="D105" i="36"/>
  <c r="D109" i="36"/>
  <c r="C117" i="36"/>
  <c r="D113" i="36"/>
  <c r="C113" i="36"/>
  <c r="C109" i="36"/>
  <c r="C105" i="36"/>
  <c r="C101" i="36"/>
  <c r="F113" i="36" l="1"/>
  <c r="F109" i="36"/>
  <c r="F105" i="36"/>
  <c r="D117" i="36"/>
  <c r="D101" i="36"/>
  <c r="C118" i="36"/>
  <c r="J35" i="41" s="1"/>
  <c r="F117" i="36" l="1"/>
  <c r="F101" i="36"/>
  <c r="D118" i="36"/>
  <c r="F118" i="36" l="1"/>
  <c r="K35" i="41"/>
  <c r="F34" i="14" l="1"/>
  <c r="J29" i="24"/>
  <c r="G11" i="40" l="1"/>
  <c r="H51" i="39"/>
  <c r="G51" i="39"/>
  <c r="D59" i="36"/>
  <c r="G52" i="39" l="1"/>
  <c r="F68" i="40"/>
  <c r="H52" i="39"/>
  <c r="J26" i="39"/>
  <c r="C59" i="36"/>
  <c r="I52" i="39" l="1"/>
  <c r="J33" i="39"/>
  <c r="L27" i="41" l="1"/>
  <c r="J27" i="41"/>
  <c r="K27" i="41"/>
  <c r="G16" i="40"/>
  <c r="J21" i="24"/>
  <c r="E6" i="41"/>
  <c r="F78" i="14"/>
  <c r="F76" i="14"/>
  <c r="G18" i="40"/>
  <c r="G21" i="40"/>
  <c r="G22" i="40"/>
  <c r="G25" i="40"/>
  <c r="F75" i="14"/>
  <c r="F77" i="14"/>
  <c r="J102" i="39"/>
  <c r="G17" i="40"/>
  <c r="C89" i="36"/>
  <c r="C90" i="36" s="1"/>
  <c r="D89" i="36"/>
  <c r="G221" i="41"/>
  <c r="F35" i="41"/>
  <c r="F15" i="14"/>
  <c r="E35" i="41"/>
  <c r="F24" i="11"/>
  <c r="F33" i="41"/>
  <c r="J85" i="39"/>
  <c r="F9" i="41"/>
  <c r="F8" i="41"/>
  <c r="F10" i="41"/>
  <c r="J99" i="39"/>
  <c r="D10" i="12"/>
  <c r="E10" i="9"/>
  <c r="E34" i="9"/>
  <c r="D10" i="11"/>
  <c r="D41" i="11"/>
  <c r="D12" i="36"/>
  <c r="D17" i="36"/>
  <c r="D32" i="36"/>
  <c r="D27" i="36"/>
  <c r="D84" i="36"/>
  <c r="D9" i="14"/>
  <c r="D17" i="14"/>
  <c r="D94" i="14"/>
  <c r="E84" i="36"/>
  <c r="J39" i="39"/>
  <c r="F22" i="12"/>
  <c r="F12" i="13"/>
  <c r="E9" i="41"/>
  <c r="D9" i="41"/>
  <c r="E14" i="13"/>
  <c r="L36" i="41"/>
  <c r="L37" i="41"/>
  <c r="L39" i="41"/>
  <c r="L60" i="41"/>
  <c r="F60" i="14"/>
  <c r="F50" i="14"/>
  <c r="G23" i="9"/>
  <c r="G15" i="9"/>
  <c r="C70" i="36"/>
  <c r="F27" i="25"/>
  <c r="F23" i="11"/>
  <c r="C32" i="36"/>
  <c r="G52" i="41"/>
  <c r="F75" i="36"/>
  <c r="J122" i="39"/>
  <c r="E8" i="41"/>
  <c r="C17" i="14"/>
  <c r="F21" i="11"/>
  <c r="F25" i="11"/>
  <c r="F36" i="41"/>
  <c r="F60" i="41"/>
  <c r="J22" i="39"/>
  <c r="J75" i="39"/>
  <c r="J64" i="39"/>
  <c r="J8" i="39"/>
  <c r="J91" i="39"/>
  <c r="F58" i="14"/>
  <c r="F59" i="14"/>
  <c r="F61" i="14"/>
  <c r="G17" i="9"/>
  <c r="G18" i="9"/>
  <c r="G19" i="9"/>
  <c r="G20" i="9"/>
  <c r="G21" i="9"/>
  <c r="G22" i="9"/>
  <c r="G14" i="9"/>
  <c r="D8" i="41"/>
  <c r="D10" i="41"/>
  <c r="G95" i="39"/>
  <c r="E10" i="41"/>
  <c r="C10" i="11"/>
  <c r="F52" i="36"/>
  <c r="F53" i="36"/>
  <c r="E60" i="41"/>
  <c r="F51" i="36"/>
  <c r="F50" i="36"/>
  <c r="J10" i="24"/>
  <c r="F17" i="25"/>
  <c r="D10" i="9"/>
  <c r="D14" i="13"/>
  <c r="L38" i="41"/>
  <c r="J12" i="41"/>
  <c r="C9" i="14"/>
  <c r="C12" i="36"/>
  <c r="C22" i="36"/>
  <c r="C27" i="36"/>
  <c r="C84" i="36"/>
  <c r="J14" i="41"/>
  <c r="C94" i="14"/>
  <c r="J39" i="41" s="1"/>
  <c r="C10" i="12"/>
  <c r="G15" i="40"/>
  <c r="G39" i="40"/>
  <c r="G46" i="40"/>
  <c r="G47" i="40"/>
  <c r="D35" i="41"/>
  <c r="D36" i="41"/>
  <c r="F7" i="25"/>
  <c r="F8" i="25"/>
  <c r="F9" i="25"/>
  <c r="F10" i="25"/>
  <c r="F11" i="25"/>
  <c r="F12" i="25"/>
  <c r="F13" i="25"/>
  <c r="F14" i="25"/>
  <c r="F15" i="25"/>
  <c r="F16" i="25"/>
  <c r="F18" i="25"/>
  <c r="F19" i="25"/>
  <c r="F20" i="25"/>
  <c r="F21" i="25"/>
  <c r="F22" i="25"/>
  <c r="F23" i="25"/>
  <c r="F24" i="25"/>
  <c r="F25" i="25"/>
  <c r="F26" i="25"/>
  <c r="J8" i="24"/>
  <c r="J9" i="24"/>
  <c r="J11" i="24"/>
  <c r="J15" i="24"/>
  <c r="J16" i="24"/>
  <c r="J17" i="24"/>
  <c r="J18" i="24"/>
  <c r="J19" i="24"/>
  <c r="J26" i="24"/>
  <c r="F7" i="22"/>
  <c r="F9" i="22"/>
  <c r="F11" i="14"/>
  <c r="F14" i="14"/>
  <c r="F16" i="14"/>
  <c r="F44" i="14"/>
  <c r="F20" i="14"/>
  <c r="F21" i="14"/>
  <c r="F22" i="14"/>
  <c r="F45" i="14"/>
  <c r="F24" i="14"/>
  <c r="F47" i="14"/>
  <c r="F27" i="14"/>
  <c r="F28" i="14"/>
  <c r="F38" i="14"/>
  <c r="F29" i="14"/>
  <c r="F39" i="14"/>
  <c r="F31" i="14"/>
  <c r="F48" i="14"/>
  <c r="F49" i="14"/>
  <c r="C10" i="13"/>
  <c r="C14" i="13"/>
  <c r="J38" i="41"/>
  <c r="F11" i="13"/>
  <c r="J37" i="41"/>
  <c r="F12" i="11"/>
  <c r="F13" i="11"/>
  <c r="F14" i="11"/>
  <c r="F15" i="11"/>
  <c r="F16" i="11"/>
  <c r="F18" i="11"/>
  <c r="F19" i="11"/>
  <c r="C41" i="11"/>
  <c r="J36" i="41" s="1"/>
  <c r="F39" i="36"/>
  <c r="F40" i="36"/>
  <c r="F41" i="36"/>
  <c r="F42" i="36"/>
  <c r="F43" i="36"/>
  <c r="F44" i="36"/>
  <c r="F45" i="36"/>
  <c r="F47" i="36"/>
  <c r="F48" i="36"/>
  <c r="F49" i="36"/>
  <c r="F63" i="36"/>
  <c r="F73" i="36"/>
  <c r="F74" i="36"/>
  <c r="F83" i="36"/>
  <c r="F87" i="36"/>
  <c r="G11" i="9"/>
  <c r="D34" i="9"/>
  <c r="J34" i="41" s="1"/>
  <c r="J9" i="39"/>
  <c r="J10" i="39"/>
  <c r="J18" i="39"/>
  <c r="J19" i="39"/>
  <c r="J55" i="39"/>
  <c r="J57" i="39"/>
  <c r="J59" i="39"/>
  <c r="J60" i="39"/>
  <c r="J62" i="39"/>
  <c r="J63" i="39"/>
  <c r="J69" i="39"/>
  <c r="J70" i="39"/>
  <c r="J72" i="39"/>
  <c r="J77" i="39"/>
  <c r="J78" i="39"/>
  <c r="J79" i="39"/>
  <c r="J80" i="39"/>
  <c r="J81" i="39"/>
  <c r="J88" i="39"/>
  <c r="J90" i="39"/>
  <c r="J111" i="39"/>
  <c r="J112" i="39"/>
  <c r="J113" i="39"/>
  <c r="J114" i="39"/>
  <c r="J115" i="39"/>
  <c r="J117" i="39"/>
  <c r="J118" i="39"/>
  <c r="J119" i="39"/>
  <c r="J120" i="39"/>
  <c r="J121" i="39"/>
  <c r="D60" i="41"/>
  <c r="K60" i="41"/>
  <c r="J89" i="39"/>
  <c r="F33" i="14"/>
  <c r="J20" i="39"/>
  <c r="D90" i="36" l="1"/>
  <c r="D85" i="14"/>
  <c r="D33" i="41"/>
  <c r="D68" i="40"/>
  <c r="E33" i="41"/>
  <c r="G33" i="41" s="1"/>
  <c r="E68" i="40"/>
  <c r="F94" i="14"/>
  <c r="F9" i="14"/>
  <c r="K38" i="41"/>
  <c r="M38" i="41" s="1"/>
  <c r="F23" i="13"/>
  <c r="F10" i="13"/>
  <c r="F32" i="12"/>
  <c r="F10" i="12"/>
  <c r="F32" i="36"/>
  <c r="F27" i="36"/>
  <c r="F17" i="36"/>
  <c r="F12" i="36"/>
  <c r="K34" i="41"/>
  <c r="G34" i="9"/>
  <c r="G10" i="9"/>
  <c r="K36" i="41"/>
  <c r="M36" i="41" s="1"/>
  <c r="F41" i="11"/>
  <c r="F10" i="11"/>
  <c r="K12" i="41"/>
  <c r="L14" i="41"/>
  <c r="C33" i="36"/>
  <c r="C37" i="36" s="1"/>
  <c r="C60" i="36" s="1"/>
  <c r="D33" i="36"/>
  <c r="K39" i="41"/>
  <c r="M39" i="41" s="1"/>
  <c r="D86" i="14"/>
  <c r="K37" i="41"/>
  <c r="M37" i="41" s="1"/>
  <c r="F6" i="41"/>
  <c r="G6" i="41" s="1"/>
  <c r="D6" i="41"/>
  <c r="G125" i="39"/>
  <c r="F31" i="11"/>
  <c r="G60" i="41"/>
  <c r="E36" i="41"/>
  <c r="G36" i="41" s="1"/>
  <c r="D24" i="12"/>
  <c r="E85" i="36"/>
  <c r="F29" i="25"/>
  <c r="J25" i="24"/>
  <c r="F17" i="14"/>
  <c r="C85" i="14"/>
  <c r="C86" i="14" s="1"/>
  <c r="J11" i="41" s="1"/>
  <c r="D15" i="13"/>
  <c r="K10" i="41" s="1"/>
  <c r="E26" i="9"/>
  <c r="C24" i="12"/>
  <c r="C34" i="12" s="1"/>
  <c r="M27" i="41"/>
  <c r="M60" i="41"/>
  <c r="J48" i="41"/>
  <c r="K48" i="41"/>
  <c r="M43" i="41"/>
  <c r="M44" i="41"/>
  <c r="M47" i="41"/>
  <c r="G35" i="41"/>
  <c r="G43" i="40"/>
  <c r="G52" i="40"/>
  <c r="J13" i="41"/>
  <c r="F24" i="22"/>
  <c r="F72" i="14"/>
  <c r="C15" i="13"/>
  <c r="J10" i="41" s="1"/>
  <c r="E15" i="13"/>
  <c r="F14" i="13"/>
  <c r="E24" i="12"/>
  <c r="E34" i="12" s="1"/>
  <c r="C33" i="11"/>
  <c r="C85" i="36"/>
  <c r="C91" i="36" s="1"/>
  <c r="F84" i="36"/>
  <c r="F81" i="36"/>
  <c r="M35" i="41"/>
  <c r="J40" i="41"/>
  <c r="F59" i="36"/>
  <c r="D85" i="36"/>
  <c r="J66" i="39"/>
  <c r="F34" i="36"/>
  <c r="J95" i="39"/>
  <c r="G10" i="41"/>
  <c r="J124" i="39"/>
  <c r="G8" i="41"/>
  <c r="G9" i="41"/>
  <c r="J109" i="39"/>
  <c r="L34" i="41"/>
  <c r="L40" i="41" s="1"/>
  <c r="D26" i="9"/>
  <c r="F89" i="36"/>
  <c r="G25" i="9"/>
  <c r="K14" i="41"/>
  <c r="M45" i="41"/>
  <c r="L12" i="41"/>
  <c r="F84" i="14"/>
  <c r="D91" i="36" l="1"/>
  <c r="D33" i="11"/>
  <c r="E91" i="36"/>
  <c r="M12" i="41"/>
  <c r="D37" i="36"/>
  <c r="F33" i="36"/>
  <c r="K9" i="41"/>
  <c r="M14" i="41"/>
  <c r="F15" i="13"/>
  <c r="K40" i="41"/>
  <c r="K49" i="41" s="1"/>
  <c r="K11" i="41"/>
  <c r="K6" i="41"/>
  <c r="D34" i="12"/>
  <c r="J9" i="41"/>
  <c r="G67" i="40"/>
  <c r="D25" i="13"/>
  <c r="E36" i="9"/>
  <c r="E86" i="14"/>
  <c r="F32" i="11"/>
  <c r="L10" i="41"/>
  <c r="M10" i="41" s="1"/>
  <c r="F85" i="14"/>
  <c r="F24" i="12"/>
  <c r="L9" i="41"/>
  <c r="M41" i="41"/>
  <c r="D7" i="41"/>
  <c r="D28" i="41" s="1"/>
  <c r="C25" i="13"/>
  <c r="D96" i="14"/>
  <c r="C96" i="14"/>
  <c r="E25" i="13"/>
  <c r="E33" i="11"/>
  <c r="L8" i="41" s="1"/>
  <c r="J49" i="41"/>
  <c r="F34" i="41"/>
  <c r="F49" i="41" s="1"/>
  <c r="D34" i="41"/>
  <c r="D49" i="41" s="1"/>
  <c r="G26" i="9"/>
  <c r="J8" i="41"/>
  <c r="C43" i="11"/>
  <c r="C92" i="36"/>
  <c r="C120" i="36" s="1"/>
  <c r="F85" i="36"/>
  <c r="F36" i="36"/>
  <c r="L6" i="41"/>
  <c r="M34" i="41"/>
  <c r="J6" i="41"/>
  <c r="D36" i="9"/>
  <c r="F90" i="36"/>
  <c r="L48" i="41"/>
  <c r="M42" i="41"/>
  <c r="E37" i="36"/>
  <c r="E60" i="36" s="1"/>
  <c r="F7" i="41"/>
  <c r="I125" i="39"/>
  <c r="D43" i="11" l="1"/>
  <c r="D60" i="36"/>
  <c r="K8" i="41"/>
  <c r="M8" i="41" s="1"/>
  <c r="M9" i="41"/>
  <c r="G36" i="9"/>
  <c r="F25" i="13"/>
  <c r="F34" i="12"/>
  <c r="E92" i="36"/>
  <c r="L11" i="41"/>
  <c r="M11" i="41" s="1"/>
  <c r="M40" i="41"/>
  <c r="M6" i="41"/>
  <c r="K13" i="41"/>
  <c r="F86" i="14"/>
  <c r="E96" i="14"/>
  <c r="D63" i="41"/>
  <c r="H125" i="39"/>
  <c r="J125" i="39" s="1"/>
  <c r="J51" i="39"/>
  <c r="J52" i="39"/>
  <c r="J7" i="41"/>
  <c r="J28" i="41" s="1"/>
  <c r="J63" i="41" s="1"/>
  <c r="E43" i="11"/>
  <c r="F33" i="11"/>
  <c r="E7" i="41"/>
  <c r="E28" i="41" s="1"/>
  <c r="L49" i="41"/>
  <c r="M48" i="41"/>
  <c r="F28" i="41"/>
  <c r="F91" i="36"/>
  <c r="D92" i="36" l="1"/>
  <c r="F96" i="14"/>
  <c r="F43" i="11"/>
  <c r="G7" i="41"/>
  <c r="G28" i="41"/>
  <c r="F63" i="41"/>
  <c r="F37" i="36"/>
  <c r="M49" i="41"/>
  <c r="D120" i="36" l="1"/>
  <c r="K7" i="41"/>
  <c r="K28" i="41" s="1"/>
  <c r="K63" i="41" s="1"/>
  <c r="F60" i="36"/>
  <c r="E120" i="36" l="1"/>
  <c r="L7" i="41"/>
  <c r="F92" i="36"/>
  <c r="F120" i="36" l="1"/>
  <c r="M7" i="41"/>
  <c r="G36" i="40" l="1"/>
  <c r="E34" i="41" l="1"/>
  <c r="G34" i="41" s="1"/>
  <c r="G68" i="40"/>
  <c r="G37" i="40"/>
  <c r="E49" i="41" l="1"/>
  <c r="G49" i="41" s="1"/>
  <c r="E63" i="41" l="1"/>
  <c r="G63" i="41" l="1"/>
  <c r="L13" i="41" l="1"/>
  <c r="L28" i="41" s="1"/>
  <c r="J30" i="24"/>
  <c r="L63" i="41" l="1"/>
  <c r="M13" i="41"/>
  <c r="M28" i="41"/>
  <c r="M63" i="41" l="1"/>
</calcChain>
</file>

<file path=xl/sharedStrings.xml><?xml version="1.0" encoding="utf-8"?>
<sst xmlns="http://schemas.openxmlformats.org/spreadsheetml/2006/main" count="2679" uniqueCount="1420">
  <si>
    <t>FELHALMOZÁSI CÉLÚ ÁTVETT PÉNZESZKÖZÖK ÖSSZESEN</t>
  </si>
  <si>
    <t>Arany János ösztöndíj</t>
  </si>
  <si>
    <t>Savaria Múzeum összesen</t>
  </si>
  <si>
    <t>Berzsenyi Dániel könyvtár központi támogatásból fedezett kiadás</t>
  </si>
  <si>
    <t>Capella Savaria</t>
  </si>
  <si>
    <t>Ferrum Színházi Társulat</t>
  </si>
  <si>
    <t>Lakás bérleti díj támogatása</t>
  </si>
  <si>
    <t>Parkolásgazdálkodási kiadás</t>
  </si>
  <si>
    <t>Joska Ola Alapítvány</t>
  </si>
  <si>
    <t>Külterületi utak fenntartása</t>
  </si>
  <si>
    <t>Áfa befizetés (saját bevételből)</t>
  </si>
  <si>
    <t>Intézményi vagyonbiztosítások</t>
  </si>
  <si>
    <t>Oktatási intézmények összesen:</t>
  </si>
  <si>
    <t xml:space="preserve">Oktatási ágazat </t>
  </si>
  <si>
    <t>Sportágazat kiadásai mindösszesen</t>
  </si>
  <si>
    <t>Helyi iparűzési adó</t>
  </si>
  <si>
    <t>Helyettes szülői hálózat</t>
  </si>
  <si>
    <t>Városi pedagógus nap, tanévnyító ünnepség</t>
  </si>
  <si>
    <t>Szombathely Város Fúvószenekar támogatása</t>
  </si>
  <si>
    <t>ezer forintban</t>
  </si>
  <si>
    <t>Felhalmozási kiadások</t>
  </si>
  <si>
    <t>Önkormányzat egyéb kiadásai (informatikai kiadások)</t>
  </si>
  <si>
    <t>Informatikai fejlesztések</t>
  </si>
  <si>
    <t>Oktatási ágazat kiadásai</t>
  </si>
  <si>
    <t>Szociális ágazat kiadásai</t>
  </si>
  <si>
    <t>Egészségügyi ágazat kiadásai</t>
  </si>
  <si>
    <t>Sport ágazat kiadásai</t>
  </si>
  <si>
    <t>Köztemetés költségeinek megtérítése</t>
  </si>
  <si>
    <t>Kiszámlázott és befizetendő áfa</t>
  </si>
  <si>
    <t>Vas megye és Szombathely Megyei Jogú Város Nyugdíjas Közösségeinek Szövetsége támogatása</t>
  </si>
  <si>
    <t>Önkormányzat egyéb kiadásai</t>
  </si>
  <si>
    <t>Önkormányzat egyéb kiadásai (Hatósági kiadások)</t>
  </si>
  <si>
    <t>Önkormányzat egyéb kiadásai (Főépítészi kiadások)</t>
  </si>
  <si>
    <t>Megnevezés</t>
  </si>
  <si>
    <t>Épitményadó</t>
  </si>
  <si>
    <t>Működési célú maradvány</t>
  </si>
  <si>
    <t>Költségvetési szervek beruházásai és felújításai</t>
  </si>
  <si>
    <t>2.</t>
  </si>
  <si>
    <t>Nagyprojektek, projektek</t>
  </si>
  <si>
    <t>Bérleti díj</t>
  </si>
  <si>
    <t>Lakáskölcsöntörlesztés</t>
  </si>
  <si>
    <t>Nyugdíjasok háza befizetés</t>
  </si>
  <si>
    <t xml:space="preserve">     Beruházások  összesen</t>
  </si>
  <si>
    <t>Hézagkiöntés</t>
  </si>
  <si>
    <t>Közvilágítás</t>
  </si>
  <si>
    <t>Hídfenntartás</t>
  </si>
  <si>
    <t>Idegenforgalmi adó</t>
  </si>
  <si>
    <t>Polgármesteri Hivatal</t>
  </si>
  <si>
    <t>Pálos K. Szociális Szolgáltató Központ és Gyermekjóléti Szolgálat</t>
  </si>
  <si>
    <t>Esőemberke Alapítvány támogatása</t>
  </si>
  <si>
    <t>Háziorvosi rendelők karbantartása</t>
  </si>
  <si>
    <t>Lelkisegély szolgálat támogatása  (szerződés) - Telehumanitas Szombathelyi Mentálhigiénés Egyesület</t>
  </si>
  <si>
    <t>Víziközmű és szennyvízközmű használati díjbevételhez kapcsolódó áfa visszaigénylés</t>
  </si>
  <si>
    <t>Gyermek és ifjúsági sport támogatása</t>
  </si>
  <si>
    <t>Gyermek és ifjúsági kitüntetések</t>
  </si>
  <si>
    <t>Éves hídvizsgálat</t>
  </si>
  <si>
    <t>Önkormányzati sport kitüntetés</t>
  </si>
  <si>
    <t>Környezetvédelmi birság</t>
  </si>
  <si>
    <t>Tartalékok</t>
  </si>
  <si>
    <t xml:space="preserve"> </t>
  </si>
  <si>
    <t>Munkáltatói kölcsön</t>
  </si>
  <si>
    <t>Szombathelyi Hospice Alapítvány</t>
  </si>
  <si>
    <t>Közterület felügyelet</t>
  </si>
  <si>
    <t>Közterület foglalás</t>
  </si>
  <si>
    <t>Egyéb feladatok</t>
  </si>
  <si>
    <t>Jelzőlámpák</t>
  </si>
  <si>
    <t>Burkolati jelek festése</t>
  </si>
  <si>
    <t>Posta költség</t>
  </si>
  <si>
    <t>Egyesített Bölcsődei Intézmény</t>
  </si>
  <si>
    <t>Vásárcsarnok</t>
  </si>
  <si>
    <t xml:space="preserve">Pedagógus kituntetések </t>
  </si>
  <si>
    <t>Helyiségek és lakások bérleti díja</t>
  </si>
  <si>
    <t>Földhaszonbérlet</t>
  </si>
  <si>
    <t>Egészség-hét</t>
  </si>
  <si>
    <t>Humán Civil ház</t>
  </si>
  <si>
    <t>Segély önkormányzati támogatásból</t>
  </si>
  <si>
    <t>Szociális ágazat</t>
  </si>
  <si>
    <t>Kulturális intézmények támogatása</t>
  </si>
  <si>
    <t>Városi kulturális intézmények</t>
  </si>
  <si>
    <t>Weöres Sándor Színház Nonprofit Kft. összesen</t>
  </si>
  <si>
    <t>Városi kulturális intézmények és Weöres S. Színház összesen</t>
  </si>
  <si>
    <t>KULTURÁLIS INTÉZMÉNYEK TÁMOGATÁSA ÖSSZESEN</t>
  </si>
  <si>
    <t>Rendezvények támogatása</t>
  </si>
  <si>
    <t>Kiemelt rendezvények</t>
  </si>
  <si>
    <t>Kiemelt rendezvények összesen</t>
  </si>
  <si>
    <t>RENDEZVÉNYEK ÖSSZESEN</t>
  </si>
  <si>
    <t>Egészségügyi civil szervezetek támogatása</t>
  </si>
  <si>
    <t>Óvodák</t>
  </si>
  <si>
    <t>Finanszírozási műveletek</t>
  </si>
  <si>
    <t>Finanszírozási műveletek összesen</t>
  </si>
  <si>
    <t>Szemünk fénye program - bérleti díj 12 hónapra</t>
  </si>
  <si>
    <t>Felhalmozási célú visszatérítendő támogatások, kölcsönök visszatérülése államháztartáson kívülről</t>
  </si>
  <si>
    <t>Egészségügyi ágazat</t>
  </si>
  <si>
    <t>összesen</t>
  </si>
  <si>
    <t>Pénzeszközátadás</t>
  </si>
  <si>
    <t>Kalandváros és Műjégpálya óvodai és iskolai csoportok által történő szervezett látogatásának támogatása</t>
  </si>
  <si>
    <t>KULTURÁLIS ÉS CIVIL ALAP ÖSSZESEN</t>
  </si>
  <si>
    <t xml:space="preserve">Kommunális városüzemeltetési és környezetvédelmi kiadások  </t>
  </si>
  <si>
    <t>Közhatalmi bevételek</t>
  </si>
  <si>
    <t>Közterület-felügyelet átjátszó bérleti díj</t>
  </si>
  <si>
    <t>Petz ösztöndíj</t>
  </si>
  <si>
    <t>Erdőgazdálkodási költség</t>
  </si>
  <si>
    <t>Önkormányzati konferenciák, rendezvények, fogadások</t>
  </si>
  <si>
    <t>Vizhasználati dij</t>
  </si>
  <si>
    <t>Szolgalmi joggal terhelt épületrész karbantartása</t>
  </si>
  <si>
    <t>mód.ei.</t>
  </si>
  <si>
    <t>teljesítés</t>
  </si>
  <si>
    <t>Teljesítés</t>
  </si>
  <si>
    <t>%-a</t>
  </si>
  <si>
    <t>KÖLTSÉGVETÉSI SZERVEK FELHALMOZÁSI BEVÉTELEI ÖSSZESEN</t>
  </si>
  <si>
    <t>"Szombathely visszavár" ösztöndíjrendszer</t>
  </si>
  <si>
    <t>Működési célú nagyprojektek, projektek</t>
  </si>
  <si>
    <t>FALCO KC Kft. támogatás</t>
  </si>
  <si>
    <t>Jelzőtáblák (forgalmi rend változás)</t>
  </si>
  <si>
    <t>Kátyúkár - önerő biztosítás</t>
  </si>
  <si>
    <t>Környezetvédelmi kiadások</t>
  </si>
  <si>
    <t>Kommunális és vároüzemeltetési kiadások összesen</t>
  </si>
  <si>
    <t>Városfejlesztési alap</t>
  </si>
  <si>
    <t>ÖNKORMÁNYZATOK MŰKÖDÉSI TÁMOGATÁSAI</t>
  </si>
  <si>
    <t>JÖVEDELEMADÓK</t>
  </si>
  <si>
    <t>VAGYONI TÍPUSÚ ADÓK</t>
  </si>
  <si>
    <t>TERMÉK ÉS SZOLGÁLTATÁSOK ADÓI</t>
  </si>
  <si>
    <t>EGYÉB KÖZHATALMI BEVÉTELEK</t>
  </si>
  <si>
    <t>KÖLTSÉGVETÉSI SZERVEK MŰKÖDÉSI BEVÉTELEI</t>
  </si>
  <si>
    <t xml:space="preserve">Felhalmozási célú önkormányzati támogatások </t>
  </si>
  <si>
    <t>Egyéb felhalmozási célú támogatások bevételei államháztartáson belülről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</si>
  <si>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</si>
  <si>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</si>
  <si>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</si>
  <si>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EGYÉB MŰKÖDÉSI CÉLÚ TÁMOGATÁSOK BEVÉTELEI ÁLLAMHÁZTARTÁSON BELÜLRŐL</t>
  </si>
  <si>
    <t>ELVONÁSOK ÉS BEFIZETÉSEK BEVÉTELEI</t>
  </si>
  <si>
    <t>Kiszámlázott általános forgalmi adó és áfa visszatérítése</t>
  </si>
  <si>
    <t>Kamatbevételek</t>
  </si>
  <si>
    <t>SOS Gyermekfalu Magyarországi Alapítvány támogatása (átmeneti vagy tartós nevelésbe vett gyermekek, fiatal felnőttek gyermekvédelmi szakellátása)</t>
  </si>
  <si>
    <t>Versenyek rendezvények, támogatások</t>
  </si>
  <si>
    <t>Zanati Kulturális és Sportegyesület</t>
  </si>
  <si>
    <t>Gyöngyöshermán-Szentkirályi Polgári Kör</t>
  </si>
  <si>
    <t>Herényi Kulturális és Sportegyesület</t>
  </si>
  <si>
    <t>Petőfi Telepért Egyesület</t>
  </si>
  <si>
    <t>Derkovits Városrészért Közhasznú Egyesület</t>
  </si>
  <si>
    <t>Könyvvizsgálói költség</t>
  </si>
  <si>
    <t>Állami és önkormányzati adatbázisok használati, továbbvezetési, karbantartási és szolgáltatási díja</t>
  </si>
  <si>
    <t>Közösségi közlekedés (buszmegállók kialakítása, leszálló szigetek helyreállítása, kialakítása)</t>
  </si>
  <si>
    <t>vagyongazdálkodási kiadások (ingatlan kisajátítás, vásárlás)</t>
  </si>
  <si>
    <t>Szombathelyi Köznevelési GAMESZ</t>
  </si>
  <si>
    <t>Működési célú költségvetési támogatások és kiegészítő támogatások</t>
  </si>
  <si>
    <t>Elszámolásból származó bevételek</t>
  </si>
  <si>
    <t>Felhalmozási célú visszatérítendő támogatások, kölcsönök visszatérülése államháztartáson belülről</t>
  </si>
  <si>
    <t>Folyékony hulladékgyűjtés</t>
  </si>
  <si>
    <t>ISIS Big Band támogatása</t>
  </si>
  <si>
    <t>Office 365 rendszer működtetése</t>
  </si>
  <si>
    <t>Integrált pénzügyi rendszer üzemeltetés az intézményekben</t>
  </si>
  <si>
    <t>Költségvetési szervek beruházásai és felújításai összesen:</t>
  </si>
  <si>
    <t xml:space="preserve">Önkormányzati bérlakások felújítása </t>
  </si>
  <si>
    <t>Önkormányzati bevételekkel fedezett kiadások</t>
  </si>
  <si>
    <t>Szociális hét</t>
  </si>
  <si>
    <t>Önkormányzati bevételekkel fedezett kiadások összesen intézményi kiadások nélkül</t>
  </si>
  <si>
    <t>Szociális intézmény összesen</t>
  </si>
  <si>
    <t>Működési kiadások</t>
  </si>
  <si>
    <t>Egészségügyi intézmény összesen</t>
  </si>
  <si>
    <t>Önkormányzati gyermekvédelmi kiadások összesen</t>
  </si>
  <si>
    <t xml:space="preserve">Áfa visszaigénylés </t>
  </si>
  <si>
    <t>Önkormányzati szociális kiadások összesen</t>
  </si>
  <si>
    <t>Önkormányzati egészségügyi kiadások összesen</t>
  </si>
  <si>
    <t>Gyermekvédelmi intézmény összesen</t>
  </si>
  <si>
    <t>Berzsenyi Dániel Könyvtár összesen</t>
  </si>
  <si>
    <t>Önkormányzati felhalmozási kiadások mindösszesen</t>
  </si>
  <si>
    <t>Működési célú támogatások ÁH-on belülről</t>
  </si>
  <si>
    <t>Szent Márton kártya értékesítése</t>
  </si>
  <si>
    <t>Érzékenyítő programok - Helyi esélyegyenlőségi program keretében</t>
  </si>
  <si>
    <t>Szociális önkormányzati kitüntetések</t>
  </si>
  <si>
    <t>Egészségügyi dolgozók kitüntetése</t>
  </si>
  <si>
    <t>TOP projektek auditálási kiadásai</t>
  </si>
  <si>
    <t>Kulturális kiadások, média</t>
  </si>
  <si>
    <t>Működési célú átvett pénzeszközök</t>
  </si>
  <si>
    <t>Kommunális, városüzemeltetési és környezetvédelmi kiadások</t>
  </si>
  <si>
    <t>Tartalékok össszesen</t>
  </si>
  <si>
    <t xml:space="preserve"> Működési célú bevételek összesen :</t>
  </si>
  <si>
    <t>FELHALMOZÁSI KIADÁSOK</t>
  </si>
  <si>
    <t>Intézményi felhalmozási kiadások</t>
  </si>
  <si>
    <t>Felhalmozási célú támogatások államháztartáson belülről</t>
  </si>
  <si>
    <t>Felhalmozási célú átvett péneszközök</t>
  </si>
  <si>
    <t>Intézményi felhalmozási kiadások össszesen</t>
  </si>
  <si>
    <t>Önkormányzati felhalmozási kiadások össszesen</t>
  </si>
  <si>
    <t xml:space="preserve">Központi költségvetés részére visszafizetési kötelezettség </t>
  </si>
  <si>
    <t>Felhalmozási bevételek</t>
  </si>
  <si>
    <t>Közbeszerzési kiadások</t>
  </si>
  <si>
    <t>Vízelnyelők tisztítása</t>
  </si>
  <si>
    <t>Közhasznú információk támogatása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</si>
  <si>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</si>
  <si>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</si>
  <si>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</si>
  <si>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</si>
  <si>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</si>
  <si>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3.</t>
  </si>
  <si>
    <t>4.</t>
  </si>
  <si>
    <t>Vagyongazdálkodás</t>
  </si>
  <si>
    <t>5.</t>
  </si>
  <si>
    <t>Pénzeszközátadás összesen:</t>
  </si>
  <si>
    <t>Lakásalap összesen:</t>
  </si>
  <si>
    <t>Beruházások</t>
  </si>
  <si>
    <t xml:space="preserve">SZOMBATHELY MEGYEI JOGÚ VÁROS ÖNKORMÁNYZATÁNAK  PÉNZÜGYI  MÉRLEGE        </t>
  </si>
  <si>
    <t>Út-híd fenntartás</t>
  </si>
  <si>
    <t>Közhasznú információk támogatása összesen</t>
  </si>
  <si>
    <t>EGYÉB TÁMOGATÁSOK MINDÖSSZESEN</t>
  </si>
  <si>
    <t>Média</t>
  </si>
  <si>
    <t>Média összesen</t>
  </si>
  <si>
    <t>MÉDIA MINDÖSSZESEN</t>
  </si>
  <si>
    <t>Rendőrség támogatása</t>
  </si>
  <si>
    <t>Szökőkutak előre nem látható hibaelhárítása</t>
  </si>
  <si>
    <t xml:space="preserve"> Működési célú kiadások összesen :</t>
  </si>
  <si>
    <t>Fejlesztési céltartalék</t>
  </si>
  <si>
    <t>Sport</t>
  </si>
  <si>
    <t>eredeti ei.</t>
  </si>
  <si>
    <t>Foltos bevonat</t>
  </si>
  <si>
    <t>Helyreállítások (teljes pályaszerkezet csere)</t>
  </si>
  <si>
    <t>Hidak, műtárgyak üzemeltetése (lemosása)</t>
  </si>
  <si>
    <t>Járdafenntartás</t>
  </si>
  <si>
    <t>Polgármesteri keret</t>
  </si>
  <si>
    <t xml:space="preserve">Technikai, bevétellel 100%-ig fedezett tételek 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</si>
  <si>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</si>
  <si>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</si>
  <si>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</si>
  <si>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</si>
  <si>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Egyéb, más ágazathoz nem sorolható intézmények és feladatok kiadásai</t>
  </si>
  <si>
    <t>MŰKÖDÉSI BEVÉTELEK</t>
  </si>
  <si>
    <t>MŰKÖDÉSI KIADÁSOK</t>
  </si>
  <si>
    <t>Egyéb fejlesztések</t>
  </si>
  <si>
    <t>Egyéb adó és bírságok, pótlékok</t>
  </si>
  <si>
    <t>Légszennyezettségi mérőállomások villamos energia ellátása</t>
  </si>
  <si>
    <t>Szombathelyi Civil Kerekasztal támogatása</t>
  </si>
  <si>
    <t>Víziközmű és szennyvízközmű használati díjbevétel</t>
  </si>
  <si>
    <t>Működési bevételek</t>
  </si>
  <si>
    <t>Közművelődési kiegészítő támogatás - Berzsenyi D. Könyvtár</t>
  </si>
  <si>
    <t>Települési hulladékkezelés és köztisztasági tevékenység, és hóeltakarítás</t>
  </si>
  <si>
    <t>Megyei hatókörű városi múzeumok feladatainak támogatása - Savaria Múzeum feladatainak támogatása</t>
  </si>
  <si>
    <t>Berzsenyi Dániel megyei könyvtár kistelepülési könyvtári célú kiegészítő támogatása</t>
  </si>
  <si>
    <t>Megyeszékhely megyei jogú városok közművelődési feladatainak támogatása</t>
  </si>
  <si>
    <t>Szombathely a segítés városa program</t>
  </si>
  <si>
    <t>Környezetállapot értékelés (talaj, víz, levegő)</t>
  </si>
  <si>
    <t>Egészségügyi és Kulturális intézmények GESZ</t>
  </si>
  <si>
    <t>Általános tartalék</t>
  </si>
  <si>
    <t>Útigénybevételi díj</t>
  </si>
  <si>
    <t>Vásárok bevétele</t>
  </si>
  <si>
    <t>Munkáltatói kölcsön visszatérülése</t>
  </si>
  <si>
    <t>Mesebolt Bábszínház</t>
  </si>
  <si>
    <t>Szombathelyi Szimfónikus Zenekar</t>
  </si>
  <si>
    <t>Önkormányzati napközis tábor megszervezése</t>
  </si>
  <si>
    <t>Tavak haszonbérbe adása</t>
  </si>
  <si>
    <t>SZOVA Zrt. Parkolásgazdálkodásból származó bevétel</t>
  </si>
  <si>
    <t>SZOVA Zrt. Parkolásgazdálkodásból származó ÁFA visszatérülés</t>
  </si>
  <si>
    <t>Vagyongazdálkodásból származó bevétel</t>
  </si>
  <si>
    <t>Mesebolt Bábszínház összesen</t>
  </si>
  <si>
    <t>Savaria Szimfónikus Zenekar összesen</t>
  </si>
  <si>
    <t>Kulturális és Civil Alap</t>
  </si>
  <si>
    <t>Támogatás kulturális pályázatokhoz, egyéb szervezetek, társaságok támogatása</t>
  </si>
  <si>
    <t>Nemzetiségi Önkormányzatok támogatása</t>
  </si>
  <si>
    <t xml:space="preserve">Polgárőr szervezetek támogatása </t>
  </si>
  <si>
    <t>Internet alapú városi hálózat</t>
  </si>
  <si>
    <t>Ungaresca Táncegyüttes</t>
  </si>
  <si>
    <t>Köztemetés bevétele</t>
  </si>
  <si>
    <t>Önkormányzati felhalmozási kiadások</t>
  </si>
  <si>
    <t>Költségvetési működési bevételek</t>
  </si>
  <si>
    <t>ELAMEN RT, és egyéb  bérleti díjak</t>
  </si>
  <si>
    <t xml:space="preserve">Önkormányzat </t>
  </si>
  <si>
    <t>MŰKÖDÉSI CÉLÚ TÁMOGATÁSOK ÁLLAMHÁZTARTÁSON BELÜLRŐL</t>
  </si>
  <si>
    <t>Egyéb kiadások</t>
  </si>
  <si>
    <t xml:space="preserve">Vagyongazdálkodási kiadások - szakértők igénybevétele, ügyvédi munkadíj, egyéb kiadások </t>
  </si>
  <si>
    <t>Intézményi működési maradvány</t>
  </si>
  <si>
    <t>Szünidei gyermekétkeztetés</t>
  </si>
  <si>
    <t>MŰKÖDÉSI CÉLÚ ÁTVETT PÉNZESZKÖZÖK</t>
  </si>
  <si>
    <t>KÖZHATALMI BEVÉTELEK</t>
  </si>
  <si>
    <t>KÖZHATALMI BEVÉTELEK ÖSSZESEN</t>
  </si>
  <si>
    <t>KÖLTSÉGVETÉSI SZERVEK BEVÉTELEI</t>
  </si>
  <si>
    <t>AGORA Szombathelyi Kulturális Központ</t>
  </si>
  <si>
    <t xml:space="preserve">Savaria Múzeum </t>
  </si>
  <si>
    <t xml:space="preserve">Berzsenyi Dániel könyvtár </t>
  </si>
  <si>
    <t>Zárt csapadék csatorna fenntartása</t>
  </si>
  <si>
    <t>évközi tervezések, útfelújítás tervezések</t>
  </si>
  <si>
    <t>MŰKÖDÉSI BEVÉTELEK ÖSSZESEN</t>
  </si>
  <si>
    <t>FELHALMOZÁSI BEVÉTELEK</t>
  </si>
  <si>
    <t>FELHALMOZÁSI BEVÉTELEK ÖSSZESEN</t>
  </si>
  <si>
    <t xml:space="preserve"> MŰKÖDÉSI BEVÉTELEK</t>
  </si>
  <si>
    <t>Mesebolt Bábszínház saját bevételéből fedezett kiadás</t>
  </si>
  <si>
    <t>FELHALMZÁSI CÉLÚ TÁMOGATÁSOK ÁLLAMHÁZTARTÁSON BELÜLRŐL ÖSSZESEN</t>
  </si>
  <si>
    <t>FELHALMOZÁSI CÉLÚ ÁTVETT PÉNZESZKÖZÖK</t>
  </si>
  <si>
    <t>TOP-6.9.1-15 Társadalmi együttműködést elősegítő  komplex programok az Óperint városrészen</t>
  </si>
  <si>
    <t>TOP-6.8.2-15 Gazdaság- és fogl.fejl.partnerség a szhelyi járás területén</t>
  </si>
  <si>
    <t>TOP-6.4.1-15 SZMJV kerékpárosbarát fejlesztése</t>
  </si>
  <si>
    <t>TOP-6.3.2-15 A szombathelyi Sportliget fejlesztése</t>
  </si>
  <si>
    <t>TOP-6.1.1-15-00002 Szombathely, Sárdi-ér úti terület alapinfrastruktúrájának kiépítése</t>
  </si>
  <si>
    <t>TOP-6.1.3-15- Szombathelyi Vásárcsarnok felújítása</t>
  </si>
  <si>
    <t>TOP-6.1.5-15 SZMJV közúthálózati elemeinek gazdaságfejlesztési célú megújítása</t>
  </si>
  <si>
    <t>TOP-6.3.1-15 Szombathely Szent László Király utcai felhagyott iparterület fejlesztése</t>
  </si>
  <si>
    <t>TOP-6.3.3-15 Szombathely bel- és csapadékvíz védelmi rendszerének fejlesztése</t>
  </si>
  <si>
    <t>TOP-6.5.1-15-00002 AGORA Központ energetikai korszerűsítés</t>
  </si>
  <si>
    <t>TOP-6.6.2-15 Szociális alapszolgáltatások fejlesztése Szombathelyen</t>
  </si>
  <si>
    <t>TOP-6.7.1-15 Szociális városrehabilitáció II. ütem</t>
  </si>
  <si>
    <t>TOP-6.5.2-1-15 Megújuló Szombathely - tiszta energia saját erőből</t>
  </si>
  <si>
    <t>TOP-6.2.1-15-00002 Óvoda fejlesztések Szombathelyen</t>
  </si>
  <si>
    <t>TOP-6.1.3-15 Szombathelyi Vásárcsarnok felújítása</t>
  </si>
  <si>
    <t>Szombathelyi Kézilabda klub és Akadémia támogatása</t>
  </si>
  <si>
    <t>Vízközmű- és szennyvízközmű használati díj terhére végzett beruházás</t>
  </si>
  <si>
    <t>FELHALMOZÁSI CÉLÚ TÁMOGATÁSOK ÁLLAMHÁZTARTÁSON BELÜLRŐL</t>
  </si>
  <si>
    <t>Egyéb működési célú bevétel</t>
  </si>
  <si>
    <t>GAMESZ</t>
  </si>
  <si>
    <t>Szombathelyi Egészségügyi és Kulturális Intézmények GESZ</t>
  </si>
  <si>
    <t>Szombathelyi Médiaközpont Nonprofit Kft. támogatása</t>
  </si>
  <si>
    <t>Működési célú költségvetési támogatások és kiegészítő támogatások összesen:</t>
  </si>
  <si>
    <t>Elszámolásból származó bevételek összesen</t>
  </si>
  <si>
    <t>a.)</t>
  </si>
  <si>
    <t>b.)</t>
  </si>
  <si>
    <t>Elvonások és befizetések bevételei</t>
  </si>
  <si>
    <t>c.)</t>
  </si>
  <si>
    <t>MŰKÖDÉSI CÉLÚ ÁTVETT PÉNZESZKÖZÖK ÖSSZESEN:</t>
  </si>
  <si>
    <t>KÖLTSÉGVETÉSI SZERVEK MŰKÖDÉSI BEVÉTELEI ÖSSZESEN</t>
  </si>
  <si>
    <t>KLIK által működtetett többcélú intézmények és kollégiumok működési hozzájárulás</t>
  </si>
  <si>
    <t>SNI gyermekek (Óvoda) szakszolgálati ellátása</t>
  </si>
  <si>
    <t xml:space="preserve">Önkormányzati oktatási kiadások összesen </t>
  </si>
  <si>
    <t>Agora Szombathelyi Kulturális Központ összesen</t>
  </si>
  <si>
    <t>Nem önkormányzati kulturális és civil szervezetek támogatása</t>
  </si>
  <si>
    <t xml:space="preserve">Nem önkormányzati kulturális és civil szervezetek támogatása </t>
  </si>
  <si>
    <t xml:space="preserve">Kulturális kitüntetés díja, Év Civil Szervezete díja …. </t>
  </si>
  <si>
    <t>ÖNKORMÁNYZATI KULTURÁLIS KIADÁSOK ÖSSZESEN</t>
  </si>
  <si>
    <t>Szolidaritási adó</t>
  </si>
  <si>
    <t>Savaria Szimfonikus Zenekar összesen</t>
  </si>
  <si>
    <t>TOP-6.1.3-15- Szombathelyi Vásárcsarnok felújítása  -fordított áfa</t>
  </si>
  <si>
    <t>TOP-6.1.3-15- Szombathelyi Vásárcsarnok felújítása - hozzájárulás</t>
  </si>
  <si>
    <t>TOP-6.4.1-15 SZMJV kerékpárosbarát fejlesztése - hozzájárulás</t>
  </si>
  <si>
    <t>TOP-6.1.4-00004 Schrammel Imre életművének méltó elhelyezése Szombathelyen</t>
  </si>
  <si>
    <t>Szombathely Szent László Király utcai felhagyott iparterület fejlesztése(BMSK támogatás)</t>
  </si>
  <si>
    <t xml:space="preserve">Modern Városok Program  - Szent Márton Terv II.ütem </t>
  </si>
  <si>
    <t>Modern Városok Program - Gothard kastély fejlesztése</t>
  </si>
  <si>
    <t>Szent Márton Esélyegyenlőségi Támogatási Program</t>
  </si>
  <si>
    <t>Fogyatékos emberek Világnapja, Föld Napi Gála, egyéb rendezvények</t>
  </si>
  <si>
    <t>Vasi Honvéd Bajtársi Egyesület támogatása</t>
  </si>
  <si>
    <t>Illegális hulladéklerakás</t>
  </si>
  <si>
    <t xml:space="preserve">ELTE - Bolyai J. Ált.Isk. és  Gimn. - felújítási pályázati önrész </t>
  </si>
  <si>
    <t>Út-híd fenntartási kiadások</t>
  </si>
  <si>
    <t>Központi támogatás elszámolás alapján</t>
  </si>
  <si>
    <t>Kulturális ágazat, média kiadásai</t>
  </si>
  <si>
    <t>Kulturális intézmények működési kiadásai össezesen:</t>
  </si>
  <si>
    <t>Városi térfigyelő kamera rendszer fejlesztése</t>
  </si>
  <si>
    <t>I. Helyi önkormányzatok működésének általános támogatása</t>
  </si>
  <si>
    <t>II. Települési önkormányzatok egyes köznevelési feladatainak támogatása</t>
  </si>
  <si>
    <t>Szociális ágazati összevont pótlék</t>
  </si>
  <si>
    <t>Oladi Városrészért Egyesület</t>
  </si>
  <si>
    <t>Hátrányos Helyzetű Roma Fiatalokat Támogató Közhasznú Egyesület támogatása</t>
  </si>
  <si>
    <t>Vas Megyei Hegypásztor Kör Egyesület - Civil információs centrum</t>
  </si>
  <si>
    <t>Vas Megyei Tudományos Ismeretterjesztő Egyesület támogatása - közművelődési megállapodás</t>
  </si>
  <si>
    <t>Önkormányzati tulajdonú területek kaszálása</t>
  </si>
  <si>
    <t>Kerékpárút fenntartás</t>
  </si>
  <si>
    <t>Nyilt árok tisztítás, árokrendezés (árvízvédelmi művek, berendezések karbantartása)</t>
  </si>
  <si>
    <t>Térfigyelő Kamerarendszer üzemeltetése és  adatátviteli hálózat üzemeltetés</t>
  </si>
  <si>
    <t>Intézményi felújítások</t>
  </si>
  <si>
    <t>Játszótér felújítások</t>
  </si>
  <si>
    <t>Kámoni Fiókkönyvtár építése</t>
  </si>
  <si>
    <t>Integrált településfejlesztési stratégia</t>
  </si>
  <si>
    <t>Működési célú maradvány - projektekhez</t>
  </si>
  <si>
    <t xml:space="preserve">Felhalmozási célú maradvány </t>
  </si>
  <si>
    <t>Felhalmozási célú maradvány - projektekhez</t>
  </si>
  <si>
    <t>Önkormányzati pavilonok tárolása, felújítása</t>
  </si>
  <si>
    <t>HÁROFIT Közhasznú Egyesület - közfoglalkoztatás támogatása</t>
  </si>
  <si>
    <t>Haladás Sportkomlexum Nkft - GDPR költségek megtérítése</t>
  </si>
  <si>
    <t>TOP-6.5.1-16 - SH1-2018-00001 Önkormányzati épületek energetikai korszerűsítése - Maros és Pipitér Óvoda</t>
  </si>
  <si>
    <t>TOP-6.5.1-16 - SH1-2018-00002 Önkormányzati épületek energetikai korszerűsítése - Oladi Szakgimnázizum és Szakközépiskola</t>
  </si>
  <si>
    <t>TOP-6.5.1.16-SH1-2018-00002  Önkormányzati épületek energetikai korszerűsítése - Oladi Szakgimnázium és Szakközépiskola</t>
  </si>
  <si>
    <t>TOP-6.5.1.16-SH1-2018-00001  Önkormányzati épületek energetikai korszerűsítése - Maros és Pipitér Óvoda</t>
  </si>
  <si>
    <t>Egységes ügyiratkezelő szoftver az önkormányzat által működtetett intézményekben</t>
  </si>
  <si>
    <t>SZMJV Diákönkormányzat - rendezvények, programok, támogatások, egyéb kiadások</t>
  </si>
  <si>
    <t>KULTURÁLIS MŰKÖDÉSI CÉLÚ KIADÁSOK ÖSSZESEN</t>
  </si>
  <si>
    <t>Önkormányzati, egyéb más ágazathoz nem sorolható kiadások összesen</t>
  </si>
  <si>
    <t>Savaria Városfejlesztési Nonprofit Kft. támogatása</t>
  </si>
  <si>
    <t>Önkormányzat által kijelölt bérlők lakbértámogatásából eredő bérleti díjbvétel kiesés kompenzálása a SZOVA Zrt.részére</t>
  </si>
  <si>
    <t>Csaba úti felüljáró fenntartása, karbantartása</t>
  </si>
  <si>
    <t xml:space="preserve">TOP-6.3.1-15 Szombathely Szent László Király utcai felhagyott iparterület fejlesztése  - BMSK Vívóterem napelemes rendszer 2019. évi </t>
  </si>
  <si>
    <t>FELHALMOZÁSI CÉLÚ BEVÉTELEK MINDÖSSZESEN</t>
  </si>
  <si>
    <t>Közvilágitás díja</t>
  </si>
  <si>
    <r>
      <t xml:space="preserve">Agora Szombathelyi Kulturális Központ </t>
    </r>
    <r>
      <rPr>
        <b/>
        <i/>
        <sz val="13"/>
        <rFont val="Arial CE"/>
        <family val="2"/>
        <charset val="238"/>
      </rPr>
      <t>önkormányzati támogatásból fedezett kiadás</t>
    </r>
  </si>
  <si>
    <r>
      <t xml:space="preserve">Agora Szombathelyi Kulturális Központ </t>
    </r>
    <r>
      <rPr>
        <i/>
        <sz val="13"/>
        <rFont val="Arial CE"/>
        <family val="2"/>
        <charset val="238"/>
      </rPr>
      <t>saját bevételből fedezett kiadás</t>
    </r>
  </si>
  <si>
    <r>
      <t xml:space="preserve">Mesebolt Bábszínház </t>
    </r>
    <r>
      <rPr>
        <b/>
        <i/>
        <sz val="13"/>
        <rFont val="Arial"/>
        <family val="2"/>
        <charset val="238"/>
      </rPr>
      <t xml:space="preserve">önkormányzati támogatásból fedezett kiadása </t>
    </r>
  </si>
  <si>
    <r>
      <t xml:space="preserve">Savaria Szimfonikus Zenekar </t>
    </r>
    <r>
      <rPr>
        <b/>
        <i/>
        <sz val="13"/>
        <rFont val="Arial"/>
        <family val="2"/>
        <charset val="238"/>
      </rPr>
      <t>önkormányzati támogatásból fedezett kiadás</t>
    </r>
  </si>
  <si>
    <r>
      <t xml:space="preserve">Savaria Szimfonikus Zenekar </t>
    </r>
    <r>
      <rPr>
        <i/>
        <sz val="13"/>
        <rFont val="Arial"/>
        <family val="2"/>
        <charset val="238"/>
      </rPr>
      <t>központi támogatásból fedezett kiadás</t>
    </r>
  </si>
  <si>
    <r>
      <t xml:space="preserve">Savaria Szimfonikus Zenekar </t>
    </r>
    <r>
      <rPr>
        <i/>
        <sz val="13"/>
        <rFont val="Arial"/>
        <family val="2"/>
        <charset val="238"/>
      </rPr>
      <t>saját bevételéből fedezett kiadás</t>
    </r>
  </si>
  <si>
    <r>
      <t>Berzsenyi Dániel könyvtár</t>
    </r>
    <r>
      <rPr>
        <b/>
        <sz val="13"/>
        <rFont val="Arial CE"/>
        <family val="2"/>
        <charset val="238"/>
      </rPr>
      <t xml:space="preserve"> önkormányzati támogatásból fedezett kiadás</t>
    </r>
  </si>
  <si>
    <r>
      <t xml:space="preserve">Berzsenyi Dániel könyvtár </t>
    </r>
    <r>
      <rPr>
        <i/>
        <sz val="13"/>
        <rFont val="Arial CE"/>
        <family val="2"/>
        <charset val="238"/>
      </rPr>
      <t>saját bevételből fedezett kiadás</t>
    </r>
  </si>
  <si>
    <r>
      <t xml:space="preserve">Savaria Múzeum </t>
    </r>
    <r>
      <rPr>
        <b/>
        <i/>
        <sz val="13"/>
        <rFont val="Arial CE"/>
        <family val="2"/>
        <charset val="238"/>
      </rPr>
      <t>önkormányzati támogatásból fedezett kiadás</t>
    </r>
  </si>
  <si>
    <r>
      <t xml:space="preserve">Savaria Múzeum </t>
    </r>
    <r>
      <rPr>
        <i/>
        <sz val="13"/>
        <rFont val="Arial CE"/>
        <family val="2"/>
        <charset val="238"/>
      </rPr>
      <t>központi támogatásból fedezett kiadás</t>
    </r>
  </si>
  <si>
    <r>
      <t xml:space="preserve">Savaria Múzeum </t>
    </r>
    <r>
      <rPr>
        <i/>
        <sz val="13"/>
        <rFont val="Arial CE"/>
        <family val="2"/>
        <charset val="238"/>
      </rPr>
      <t>saját bevételből fedezett kiadás</t>
    </r>
  </si>
  <si>
    <r>
      <t>Weöres Sándor Színház Nonprofit Kft.</t>
    </r>
    <r>
      <rPr>
        <b/>
        <i/>
        <sz val="13"/>
        <rFont val="Arial CE"/>
        <charset val="238"/>
      </rPr>
      <t xml:space="preserve"> önkormányzati támogatása</t>
    </r>
  </si>
  <si>
    <r>
      <t xml:space="preserve">Agora Szombathelyi Kulturális Központ </t>
    </r>
    <r>
      <rPr>
        <b/>
        <i/>
        <sz val="13"/>
        <rFont val="Arial CE"/>
        <charset val="238"/>
      </rPr>
      <t>önkormányzati támogatásból fedezett kiadás</t>
    </r>
  </si>
  <si>
    <r>
      <t xml:space="preserve">Agora Szombathelyi Kulturális Központ </t>
    </r>
    <r>
      <rPr>
        <b/>
        <i/>
        <sz val="13"/>
        <rFont val="Arial CE"/>
        <charset val="238"/>
      </rPr>
      <t>saját bevételből fedezett kiadás</t>
    </r>
  </si>
  <si>
    <r>
      <t xml:space="preserve">Mesebolt Bábszínház </t>
    </r>
    <r>
      <rPr>
        <b/>
        <i/>
        <sz val="13"/>
        <rFont val="Arial"/>
        <family val="2"/>
        <charset val="238"/>
      </rPr>
      <t>önkormányzati támogatásból fedezett kiadás</t>
    </r>
  </si>
  <si>
    <r>
      <t xml:space="preserve">Mesebolt Bábszínház </t>
    </r>
    <r>
      <rPr>
        <b/>
        <i/>
        <sz val="13"/>
        <rFont val="Arial"/>
        <family val="2"/>
        <charset val="238"/>
      </rPr>
      <t>saját bevételéből fedezett kiadás</t>
    </r>
  </si>
  <si>
    <r>
      <t xml:space="preserve">Savaria Szimfonikus Zenekar </t>
    </r>
    <r>
      <rPr>
        <b/>
        <i/>
        <sz val="13"/>
        <rFont val="Arial"/>
        <family val="2"/>
        <charset val="238"/>
      </rPr>
      <t>saját bevételből fedezett kiadás</t>
    </r>
  </si>
  <si>
    <r>
      <t xml:space="preserve">Berzsenyi Dániel könyvtár </t>
    </r>
    <r>
      <rPr>
        <b/>
        <i/>
        <sz val="13"/>
        <rFont val="Arial CE"/>
        <charset val="238"/>
      </rPr>
      <t>önkormányzati támogatásból fedezett kiadás</t>
    </r>
  </si>
  <si>
    <r>
      <t xml:space="preserve">Berzsenyi Dániel könyvtár </t>
    </r>
    <r>
      <rPr>
        <b/>
        <i/>
        <sz val="13"/>
        <rFont val="Arial CE"/>
        <charset val="238"/>
      </rPr>
      <t>saját bevételből fedezett kiadás</t>
    </r>
  </si>
  <si>
    <r>
      <t xml:space="preserve">Savaria Múzeum </t>
    </r>
    <r>
      <rPr>
        <b/>
        <i/>
        <sz val="13"/>
        <rFont val="Arial CE"/>
        <charset val="238"/>
      </rPr>
      <t>önkormányzati támogatásból fedezett kiadás</t>
    </r>
  </si>
  <si>
    <r>
      <t xml:space="preserve">Savaria Múzeum </t>
    </r>
    <r>
      <rPr>
        <b/>
        <i/>
        <sz val="13"/>
        <rFont val="Arial CE"/>
        <charset val="238"/>
      </rPr>
      <t>saját bevételből fedezett kiadás</t>
    </r>
  </si>
  <si>
    <r>
      <t xml:space="preserve">Pálos Károly Szociális Szolgáltató Központ és Gyermekjóléti Szolgálat </t>
    </r>
    <r>
      <rPr>
        <b/>
        <i/>
        <sz val="13"/>
        <rFont val="Arial CE"/>
        <charset val="238"/>
      </rPr>
      <t>önkormányzati támogatásból fedezett kiadás</t>
    </r>
  </si>
  <si>
    <r>
      <t xml:space="preserve">Pálos Károly Szociális Szolgáltató Központ és Gyermekjóléti Szolgálat </t>
    </r>
    <r>
      <rPr>
        <b/>
        <i/>
        <sz val="13"/>
        <rFont val="Arial CE"/>
        <charset val="238"/>
      </rPr>
      <t>intézmény saját bevételéből fedezett kiadás</t>
    </r>
  </si>
  <si>
    <r>
      <t xml:space="preserve">Pálos Károly Szociális Szolgáltató Központ és Gyermekjóléti Szolgálat </t>
    </r>
    <r>
      <rPr>
        <b/>
        <sz val="13"/>
        <rFont val="Arial CE"/>
        <charset val="238"/>
      </rPr>
      <t>intézményi saját bevételből fedezett kiadás</t>
    </r>
  </si>
  <si>
    <r>
      <t xml:space="preserve">Pálos Károly Szociális Szolgáltató Központ és Gyermekjóléti Szolgálat </t>
    </r>
    <r>
      <rPr>
        <b/>
        <sz val="13"/>
        <rFont val="Arial CE"/>
        <charset val="238"/>
      </rPr>
      <t>önkormányzati támogatásból fedezett kiadás</t>
    </r>
  </si>
  <si>
    <r>
      <t>Szombathelyi Egészségügyi és Kulturális Intézmények GESZ</t>
    </r>
    <r>
      <rPr>
        <b/>
        <sz val="13"/>
        <rFont val="Arial CE"/>
        <family val="2"/>
        <charset val="238"/>
      </rPr>
      <t xml:space="preserve"> </t>
    </r>
    <r>
      <rPr>
        <b/>
        <i/>
        <sz val="13"/>
        <rFont val="Arial CE"/>
        <family val="2"/>
        <charset val="238"/>
      </rPr>
      <t>önkormányzati támogatásból fedezett kiadás</t>
    </r>
  </si>
  <si>
    <r>
      <t xml:space="preserve">Egyesített Bölcsődei Intézmény </t>
    </r>
    <r>
      <rPr>
        <b/>
        <i/>
        <sz val="13"/>
        <rFont val="Arial CE"/>
        <family val="2"/>
        <charset val="238"/>
      </rPr>
      <t>önkormányzati támogatásból fedezett kiadás</t>
    </r>
  </si>
  <si>
    <r>
      <t>Egyesített Bölcsődei Intézmény</t>
    </r>
    <r>
      <rPr>
        <b/>
        <i/>
        <sz val="13"/>
        <rFont val="Arial CE"/>
        <family val="2"/>
        <charset val="238"/>
      </rPr>
      <t xml:space="preserve"> saját bevételéből fedezett kiadás</t>
    </r>
  </si>
  <si>
    <t>Felhalmozási célú bevételek összesen :</t>
  </si>
  <si>
    <t>Felhalmozási célú kiadások összesen :</t>
  </si>
  <si>
    <t>Kiadások és finanszírozási műveletek összesen</t>
  </si>
  <si>
    <t>Bevételek és finanszírozási műveletek összesen</t>
  </si>
  <si>
    <t>I-XII.hó</t>
  </si>
  <si>
    <t>TOP-6.1.4-00004 Schrammel Imre életművének méltó elhelyezése Szombathelyen - fordított áfa</t>
  </si>
  <si>
    <t>Jelzőrendszeres házi segítségnyújtás támogatása</t>
  </si>
  <si>
    <t>Szent Márton szellemiségével összefüggő nemzetközi projekt - árfolyam nyereség</t>
  </si>
  <si>
    <t>Óvoda Intézményi karbantartás</t>
  </si>
  <si>
    <t>Polgármester, Alpolgármesterek, Tanácsnokok, választott képviselők és bizottsági tagok juttatásai</t>
  </si>
  <si>
    <t>Kátyúzás</t>
  </si>
  <si>
    <t>Külső Nárai úton hiányzó járdaszakasz terveztetése</t>
  </si>
  <si>
    <t>Északi iparterület fejlesztése (villamosenergia kiépítése, kerítés építése)</t>
  </si>
  <si>
    <t>Kéményseprő ipari közszolgáltatás ellátásának támogatása</t>
  </si>
  <si>
    <t>MŰKÖDÉSI CÉLÚ TÁMOGATÁSOK ÁLLAMHÁZTARTÁSON BELÜLRŐL ÖSSZESEN (a.)+b.)+c.))</t>
  </si>
  <si>
    <t>Köznevelési GAMESZ</t>
  </si>
  <si>
    <t>OKTATÁSI MŰKÖDÉSI CÉLÚ KIADÁSOK ÖSSZESEN</t>
  </si>
  <si>
    <t>OKTATÁSI FELHALMOZÁSI CÉLÚ KIADÁSOK ÖSSZESEN</t>
  </si>
  <si>
    <t>OKTATÁSI ÁGAZAT KIADÁSAI MINDÖSSZESEN</t>
  </si>
  <si>
    <t>KULTURÁLIS INTÉZMÉNYEK FELHALMOZÁSI KIADÁSAI ÖSSZESEN</t>
  </si>
  <si>
    <t>KULTURÁLIS ÁGAZAT, MÉDAI KIADÁSAI MINDÖSSZESEN</t>
  </si>
  <si>
    <t>SZOCIÁLIS MŰKÖDÉSI CÉLÚ KIADÁSOK ÖSSZESEN</t>
  </si>
  <si>
    <t>SZOCIÁLIS FELHALMOZÁSI CÉLÚ KIADÁSOK ÖSSZESEN</t>
  </si>
  <si>
    <t>SZOCIÁLIS ÁGAZAT KIADÁSAI MINDÖSSZESEN</t>
  </si>
  <si>
    <t>EGÉSZSÉGÜGYI MŰKÖDÉSI CÉLÚ KIADÁSOK ÖSSZESEN</t>
  </si>
  <si>
    <t>EGÉSZSÉGÜGYI FELHALMOZÁSI CÉLÚ KIADÁSOK ÖSSZESEN</t>
  </si>
  <si>
    <t>EGÉSZSÉGÜGYI ÁGAZAT KIADÁSAI MINDÖSSZESEN</t>
  </si>
  <si>
    <r>
      <t xml:space="preserve">Szombathelyi Egészségügyi és Kulturális Intézmények GESZ </t>
    </r>
    <r>
      <rPr>
        <b/>
        <i/>
        <sz val="13"/>
        <rFont val="Arial CE"/>
        <family val="2"/>
        <charset val="238"/>
      </rPr>
      <t>saját bevételéből és NEAK támogatásból fedezett kiadás</t>
    </r>
  </si>
  <si>
    <t>GYERMEKVÉDELMI MŰKÖDÉSI CÉLÚ KIADÁSOK ÖSSZESEN</t>
  </si>
  <si>
    <t>GYERMEKVÉDELMI FELHALMOZÁSI CÉLÚ KIADÁSOK ÖSSZESEN</t>
  </si>
  <si>
    <t>GYERMEKVÉDELMI ÁGAZAT KIADÁSAI MINDÖSSZESEN</t>
  </si>
  <si>
    <t>EGYÉB, MÁS ÁGAZATHOZ NEM SOROLHATÓ INTÉZMÉNYEK ÉS FELADATOK MŰKÖDÉSI CÉLÚ KIADÁSAI ÖSSZESEN</t>
  </si>
  <si>
    <t>EGYÉB, MÁS ÁGAZATHOZ NEM SOROLHATÓ INTÉZMÉNYEK ÉS FELADATOK FELHALMOZÁSI CÉLÚ KIADÁSAI ÖSSZESEN</t>
  </si>
  <si>
    <t>EGYÉB, MÁS ÁGAZATHOZ NEM SOROLHATÓ INÉTZMÉNYEK ÉS FELADATOK KIADÁSAI MINDÖSSZESEN</t>
  </si>
  <si>
    <t>Lakás és helységüzemeltetés veszteségpótlás</t>
  </si>
  <si>
    <t>KOMMUNÁLIS, VÁROSÜZEMELTETÉSI ÉS KÖRNYEZETVÉDELMI KIADÁSOK MINDÖSSZESEN</t>
  </si>
  <si>
    <t>ÚT-HÍD FENNTARTÁSI KIADÁSOK MINDÖSSZESEN</t>
  </si>
  <si>
    <t>Herényi temető bővítés, növénytelepítés</t>
  </si>
  <si>
    <t xml:space="preserve">TOP-6.2.1-00002 Óvoda fejlesztések Szombathelyen - hozzájárulás - fordított áfa </t>
  </si>
  <si>
    <t>TOP-6.4.1-15 SZMJV kerékpárosbarát fejlesztése - fordított áfa</t>
  </si>
  <si>
    <t>TOP-6.6.1-16-SH1-2018-00002 Egészségügyi alapellátás infrastruktúrális fejlesztése - Új Egészségügyi Alapellátó Központ</t>
  </si>
  <si>
    <t>TOP-6.6.1-16-SH1-2018-00002 Egészségügyi alapellátás infrastruktúrális fejlesztése - Új Egészségügyi Alapellátó Központ - fordított áfa</t>
  </si>
  <si>
    <t>Komplex akadálymentesítés - Helyi esélyegyenlőségi program keretében</t>
  </si>
  <si>
    <t>Hatósági díjak, egyéb kiadások, szakértői feladatok</t>
  </si>
  <si>
    <t xml:space="preserve">Gyermekvédelmi ágazat </t>
  </si>
  <si>
    <t>Egyéb más ágazathoz nem sorolható intézmények és feladatok</t>
  </si>
  <si>
    <t>Költségvetési szervek működési bevételei</t>
  </si>
  <si>
    <t>Költségvetési szervek felhalmozási bevételei</t>
  </si>
  <si>
    <t>Gyermekvédelmi ágazat</t>
  </si>
  <si>
    <t>Egyéb pénzügyi műveletek bevétele</t>
  </si>
  <si>
    <t>Támogatások elszámolása - ÁH kívülről</t>
  </si>
  <si>
    <t>Felhalmozási célú bevételek</t>
  </si>
  <si>
    <t>Vízközmű- és szennyvízközmű használati díj terhére végzett beruházás - fordított áfa</t>
  </si>
  <si>
    <t>Jedlik Ányos Terv - "A" típusú elektromos autótöltő állomások telepítése pályázat (támogatás+önrész)</t>
  </si>
  <si>
    <t>TOP-6.1.1-15-00001 A szombathelyi Északi Iparterület fejlesztése - hozzájárulás</t>
  </si>
  <si>
    <t>TOP-6.1.4-16-SH1-2017-00001 Képtár turisztikai célú felújítása</t>
  </si>
  <si>
    <t>TOP-6.1.4-16-SH1-2017-00003 Víztorony és környezetének turisztikai célú fejlesztése</t>
  </si>
  <si>
    <t>TOP-6.1.4-16-SH1-2017-00003 Víztorony és környezetének turisztikai célú fejlesztése - fordított áfa</t>
  </si>
  <si>
    <t>TOP-6.2.1-15-00002 Óvoda fejlesztések Szombathelyen - fordított áfa</t>
  </si>
  <si>
    <t>TOP-6.2.1-15-00002 Óvoda fejlesztések Szombathelyen - hozzájárulás</t>
  </si>
  <si>
    <t>6.</t>
  </si>
  <si>
    <t xml:space="preserve">7. </t>
  </si>
  <si>
    <t>Egyéb, más ágazathoz nem sorolható intézmények összesen</t>
  </si>
  <si>
    <t>"Szombathely Szent Márton városa"  Gyebrovszki János Alapítvány támogatás</t>
  </si>
  <si>
    <t>Kariatida tanulmányi támogatás rendszerének működtetése - "Szombathely Szent Márton városa" Gyebrovszki János Alapítvány</t>
  </si>
  <si>
    <t>Szombathelyi Egyházmegyei Karitász - Hársfa-ház Pszichiátriai- és Szenvedélybetegek Nappali Ellátója és Átmeneti Otthona, RÉV Szenvedélybeteg-segítő Szolgálat és Közösségi Gondozó</t>
  </si>
  <si>
    <t>Gyermekvédelmi ágazat kiadásai</t>
  </si>
  <si>
    <t>Közösségi Bérlakás Rendszer</t>
  </si>
  <si>
    <t>Egyéb lakásgazdálkodási és szociális kiadások</t>
  </si>
  <si>
    <t>Háziorvosi életpálya modell</t>
  </si>
  <si>
    <t>Bankköltség</t>
  </si>
  <si>
    <t xml:space="preserve">Közvilágítás - pénügyi lízing - kamat </t>
  </si>
  <si>
    <t>Bűnmegelőzési és katasztrófavédelmi kiadások</t>
  </si>
  <si>
    <t>Vas Megyei Katasztrófavédelmi Igazgatóság - Tűzoltóság támogatása</t>
  </si>
  <si>
    <t>ELTE támogatás</t>
  </si>
  <si>
    <t>Önkormányzati intézmények fűtéskorszerűsítés - bérleti díj 12 hónapra</t>
  </si>
  <si>
    <t>Szombathelyi Parkfenntartási Kft. - GDPR költségek megtérítése</t>
  </si>
  <si>
    <t>Szent Márton plasztik kártya készítés</t>
  </si>
  <si>
    <t>Állatvédők Vasi Egyesülete és a Kutyamenhely Alapítvány által közösen működtetett állatmenhely fenntartási költségei, 1 fő alkalmazott bér és járulékainak költsége a Kutyamenhely Alapítvány részére</t>
  </si>
  <si>
    <t>Szombathelyi  Asztalitenisz Klub támogatása - asztalitenisz csarnok éves bérleti díj finanszírozására</t>
  </si>
  <si>
    <t>Szombathelyi Vívó Akadémia Egyesület támogatása - vívócsarnok éves bérleti díj finanszírozására</t>
  </si>
  <si>
    <t>Elektromos töltőállomás fenntartása (Zeneiskola)</t>
  </si>
  <si>
    <t>SZMJV Fenntartható Energia- és Klíma akcióterve (SECAP)</t>
  </si>
  <si>
    <t>Padkarendezés</t>
  </si>
  <si>
    <t>Szegélyek javítása, akadálymentesítés</t>
  </si>
  <si>
    <t xml:space="preserve">Temetők bővítéséhez területek megszerzése </t>
  </si>
  <si>
    <t>Út, járda, híd, kerékpárút, parkoló, közvilágítási építési és felújítási program, játszótér felújítások, tervezések, térfigyelő kamera rendszer fejlesztések</t>
  </si>
  <si>
    <t>Közvilágítás - alkony kapcsolók felszerelése</t>
  </si>
  <si>
    <t>Projektek előkészítése</t>
  </si>
  <si>
    <t>Finanszírozási kiadás - közvilágítás pénzügyi lízing tőke</t>
  </si>
  <si>
    <t>Tartalék - Vásárcsarnok GDPR költség</t>
  </si>
  <si>
    <t>Koronavírus alap</t>
  </si>
  <si>
    <t>TOP-6.1.5-2019-00002 Ferenczy u. hiányzó szakaszának kiépítése</t>
  </si>
  <si>
    <t>Önkormányzati fenntartású Weöres Sándor Színház közös működtetési támogatása</t>
  </si>
  <si>
    <t>Önkormányzati fenntartású Mesebolt Bábszínház közös működtetési támogatása</t>
  </si>
  <si>
    <t>Szombathelyi Szabadidősport Szövetség támogatása és Szilveszter Kupa megrendezése</t>
  </si>
  <si>
    <t>TOP-6.1.3-15- Szombathelyi Vásárcsarnok felújítása - hozzájárulás - fordított áfa</t>
  </si>
  <si>
    <t>TOP-6.5.1.16-SH1-2018-00001  Önkormányzati épületek energetikai korszerűsítése - Maros és Pipitér Óvoda - hozzájárulás</t>
  </si>
  <si>
    <t>TOP-6.2.1-19-SH1-2019-00001 Új bölcsőde építése Szombathelyen</t>
  </si>
  <si>
    <t>Savaria Turizmus Nonprofit Kft - támogatása és pályázati önrész</t>
  </si>
  <si>
    <t>Köztemetés költségeinek megtérítése más önkormányzatoktól</t>
  </si>
  <si>
    <t>Hajléktalan otthon elhelyezésére vonatkozó koncepcióterv</t>
  </si>
  <si>
    <t>TOP-6.5.1.16-SH1-2018-00002  Önkormányzati épületek energetikai korszerűsítése - Oladi Szakgimnázium és Szakközépiskola - hozzájárulás</t>
  </si>
  <si>
    <t>TOP-6.2.1-19-SH1-2019-00001 Új bölcsőde építése Szombathelyen - Hozzájárulás</t>
  </si>
  <si>
    <t xml:space="preserve">TOP-6.2.1-19-SH1-2019-00001 Új bölcsőde építése Szombathelyen </t>
  </si>
  <si>
    <t>Közösségi Bérlakás Rendszer lakbér bevétel</t>
  </si>
  <si>
    <t>Projektekhez kapcsolódó továbbszámlázott költségek</t>
  </si>
  <si>
    <t>TOP-7.1.1-16-HESZA-2020-01683 Haladjunk együtt a digitalizáció borostyánkő útján</t>
  </si>
  <si>
    <t>2021.évi</t>
  </si>
  <si>
    <t>2021. évi</t>
  </si>
  <si>
    <t>Tartalék - kulturális költségvetési szerveknél foglalkoztatottak 6%-os bérfejlesztése</t>
  </si>
  <si>
    <t>Tartalék - minimálbér, garantált bérminimum növekmény</t>
  </si>
  <si>
    <t>Tartalék - eltérő üzleti éves cég - FALCO KC Kft. támogatása</t>
  </si>
  <si>
    <t>Tartalék - eltérő üzleti éves cég - Szombathelyi Sportközpont és Sportiskola Nkft. támogatása</t>
  </si>
  <si>
    <t>Tartalék - kormányzati támogatás terhére teljesíthető kiadások</t>
  </si>
  <si>
    <t>Egyéb finanszírozási célú kiadás - 2021.évi költségvetési támogatási előleg</t>
  </si>
  <si>
    <t>Egyéb finanszírozási célú bevétel a 2021. évi költségvetési támogatási előleghez</t>
  </si>
  <si>
    <t>Kormányzati támogatás</t>
  </si>
  <si>
    <t>Babaköszöntő csomag</t>
  </si>
  <si>
    <t>Olimpiai kvótát szerző egyesületek támogatása</t>
  </si>
  <si>
    <t>Egyéb sportcélú kiadások, támogatások</t>
  </si>
  <si>
    <t>Cserkészház - bérleti díj támogatás - Boldogulás Ösvényein Alapítvány részére</t>
  </si>
  <si>
    <t>Tervezések hatósági díja lejáró engedélyekhez, egyéb díjak</t>
  </si>
  <si>
    <t>Előző évi maradvány terhére teljesíthető működési célú projekt kiadások</t>
  </si>
  <si>
    <t>Parkfenntartás - SZOMPARK Kft.</t>
  </si>
  <si>
    <t>Parkfenntartás - FÉHE Nkft</t>
  </si>
  <si>
    <t>Parkfenntartás - SZOVA NZrt</t>
  </si>
  <si>
    <t>útfelújítások</t>
  </si>
  <si>
    <t>ELTE - Bolyai J. Ált.Isk. és Gimn. - felújítási pályázati önrész</t>
  </si>
  <si>
    <t>képviselői keret</t>
  </si>
  <si>
    <t>Munkáltató kölcsön</t>
  </si>
  <si>
    <t xml:space="preserve">Felhalmozási tartalék </t>
  </si>
  <si>
    <t>Felhalmozási tartalék összesen</t>
  </si>
  <si>
    <t>Előző évi maradvány terhére teljesíthető felhalmozási célú projekt kiadások</t>
  </si>
  <si>
    <t>Külső Söptei útnak további szakaszának megépítése, felújítása</t>
  </si>
  <si>
    <t>Okos Zebra gyalogosvédelmi rendszer kialakítása pályázat önrész</t>
  </si>
  <si>
    <t xml:space="preserve">Ernuszt kripta felújításához felmérés és értékeltár készítés </t>
  </si>
  <si>
    <t>5487/31. hrsz.-ú kivett iparterület megnevezésű ingatlan hasznosítása érdekében a 11. és 16. sz. épület bontás</t>
  </si>
  <si>
    <t>Szent Kvirin Szalézi Plébánia elszámolatlan támogatás visszafizetése</t>
  </si>
  <si>
    <t>Vas Megyei Kereskedelmi és Iparkamara - támogatás visszafizetése</t>
  </si>
  <si>
    <t>Önkormányzati nagyrendezvények</t>
  </si>
  <si>
    <t>Sport nagyrendezvények</t>
  </si>
  <si>
    <t>TOP-6.6.1-15 Új Egészségügyi Alapellátó központ kialakítása - hozzájárulás  - fordított áfa</t>
  </si>
  <si>
    <t xml:space="preserve">Roma Nemzetiségi Önkormányzat támogatása </t>
  </si>
  <si>
    <t>ELTE támogatás és gazdaságfejlesztés</t>
  </si>
  <si>
    <t>Önkormányzat egyéb kiadásai (Városüzemeltetési, vagyongazdálkodási
 kiadások)</t>
  </si>
  <si>
    <t>III. Települési önkormányzatok egyes szociális és gyermekjóléti feladatainak támogatás</t>
  </si>
  <si>
    <t>IV. Települési önkormányzatok gyermekétkeztetési feladatainak támogatása</t>
  </si>
  <si>
    <t>V. Települési önkormányzatok kulturális feladatainak támogatása</t>
  </si>
  <si>
    <t>Zeneművészeti szervek támogatása - Savaria Szimfónikus zenekar központi támogatása</t>
  </si>
  <si>
    <t>Óvodai és iskolai szociális segítő tevékenység támogatása</t>
  </si>
  <si>
    <t>Savaria Városfejlesztési Kft. - tagi kölcsön visszatérülése</t>
  </si>
  <si>
    <r>
      <t xml:space="preserve">Agora Szombathelyi Kulturális Központ </t>
    </r>
    <r>
      <rPr>
        <i/>
        <sz val="13"/>
        <rFont val="Arial CE"/>
        <family val="2"/>
        <charset val="238"/>
      </rPr>
      <t>2020. évi maradványból fedezett kiadás</t>
    </r>
  </si>
  <si>
    <r>
      <t xml:space="preserve">Mesebolt Bábszínház </t>
    </r>
    <r>
      <rPr>
        <i/>
        <sz val="13"/>
        <rFont val="Arial"/>
        <family val="2"/>
        <charset val="238"/>
      </rPr>
      <t>2020.évi maradványból fedezett kiadás</t>
    </r>
  </si>
  <si>
    <r>
      <t xml:space="preserve">Savaria Szimfónikus Zenekar </t>
    </r>
    <r>
      <rPr>
        <i/>
        <sz val="13"/>
        <rFont val="Arial"/>
        <family val="2"/>
        <charset val="238"/>
      </rPr>
      <t>2020.évi maradványból fedezett kiadás</t>
    </r>
  </si>
  <si>
    <r>
      <t xml:space="preserve">Berzsenyi Dániel könyvtár </t>
    </r>
    <r>
      <rPr>
        <i/>
        <sz val="13"/>
        <rFont val="Arial CE"/>
        <family val="2"/>
        <charset val="238"/>
      </rPr>
      <t>2020.évi maradványból fedezett kiadás</t>
    </r>
  </si>
  <si>
    <t>Savaria Múzeum 2020. évi maradványból fedezett kiadás</t>
  </si>
  <si>
    <r>
      <t>Agora Szombathelyi Kulturális Központ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>2020.évi maradványból fedezett kiadás</t>
    </r>
  </si>
  <si>
    <r>
      <t>Mesebolt Bábszínház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>2020.évi maradványból fedezett kiadás</t>
    </r>
  </si>
  <si>
    <r>
      <t xml:space="preserve">Savaria Szimfonikus Zenekar </t>
    </r>
    <r>
      <rPr>
        <b/>
        <i/>
        <sz val="13"/>
        <rFont val="Arial"/>
        <family val="2"/>
        <charset val="238"/>
      </rPr>
      <t>2020.évi maradványból fedezett kiadás</t>
    </r>
  </si>
  <si>
    <r>
      <t>Berzsenyi Dániel könyvtár</t>
    </r>
    <r>
      <rPr>
        <b/>
        <sz val="13"/>
        <rFont val="Arial CE"/>
        <charset val="238"/>
      </rPr>
      <t xml:space="preserve"> </t>
    </r>
    <r>
      <rPr>
        <b/>
        <i/>
        <sz val="13"/>
        <rFont val="Arial CE"/>
        <charset val="238"/>
      </rPr>
      <t>2020.évi maradványból fedezett kiadás</t>
    </r>
  </si>
  <si>
    <r>
      <t xml:space="preserve">Savaria Múzeum 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>2020.évi maradványból fedezett kiadás</t>
    </r>
  </si>
  <si>
    <r>
      <t xml:space="preserve">Pálos Károly Szociális Szolgáltató Központ és Gyermekjóléti Szolgálat </t>
    </r>
    <r>
      <rPr>
        <b/>
        <i/>
        <sz val="13"/>
        <rFont val="Arial CE"/>
        <charset val="238"/>
      </rPr>
      <t>intézmény 2020. évi maradványból fedezett kiadás</t>
    </r>
  </si>
  <si>
    <r>
      <t xml:space="preserve">Szombathelyi Egészségügyi és Kulturális Intézmények GESZ  </t>
    </r>
    <r>
      <rPr>
        <b/>
        <i/>
        <sz val="13"/>
        <rFont val="Arial CE"/>
        <family val="2"/>
        <charset val="238"/>
      </rPr>
      <t>2020. évi maradványból fedezett kiadás</t>
    </r>
  </si>
  <si>
    <t>Orvosi Ügyelet működtetése</t>
  </si>
  <si>
    <r>
      <t xml:space="preserve">Egyesített Bölcsődei Intézmény </t>
    </r>
    <r>
      <rPr>
        <b/>
        <i/>
        <sz val="13"/>
        <rFont val="Arial CE"/>
        <family val="2"/>
        <charset val="238"/>
      </rPr>
      <t>2020.évi maradványából fedezett kiadás</t>
    </r>
  </si>
  <si>
    <t>TOP-7.1.1-16-H-ERFA-2020-00750 A 11-es Huszár úti lakótelepen lévő közpark közösségi célú fejlesztése</t>
  </si>
  <si>
    <t>TOP-7.1.1-16-H-ERFA-2020-00749 Közösségi terek sportfunkciókkal való bővítése</t>
  </si>
  <si>
    <t>TOP-7.1.1-16-H-ERFA-2020-00780 A Szedreskert szabadtéri közösségi rendezvénytérré fejlesztése</t>
  </si>
  <si>
    <t>TOP-7.1.1-16-H-ERFA-2020-00781 A gyöngyösszőlősi klubház fejlesztése</t>
  </si>
  <si>
    <t>TOP-7.1.1-16-H-ERFA-2020-00792 A Zarkaházi Szily-kastély fejlesztése a gyöngyöshermán-szentkirályi közösség számára</t>
  </si>
  <si>
    <t>TOP-7.1.1-16-H-ERFA-2020-00783 Játszóterek fejlesztése</t>
  </si>
  <si>
    <t>Ferenczy i. ingatlan csere</t>
  </si>
  <si>
    <t xml:space="preserve">Ferenczy u. - ingatlan csere </t>
  </si>
  <si>
    <t>TOP-7.1.1-16-H-ERFA-2020-00750 A 11-es Huszár úti lakótelepen lévő közpark közösségi célú fejlesztése - hozzájárulás</t>
  </si>
  <si>
    <t>TOP-7.1.1-16-H-ERFA-2020-00749 Közösségi terek sportfunkciókkal való bővítése - hozzájárulás</t>
  </si>
  <si>
    <t>TOP-7.1.1-16-H-ERFA-2020-00780 A Szedreskert szabadtéri közösségi rendezvénytérré fejlesztése - hozzájárulás</t>
  </si>
  <si>
    <t>TOP-7.1.1-16-H-ERFA-2020-00781 A gyöngyösszőlősi klubház fejlesztése - hozzájárulás</t>
  </si>
  <si>
    <t>TOP-7.1.1-16-H-ERFA-2020-00792 A Zarkaházi Szily-kastély fejlesztése a gyöngyöshermán-szentkirályi közösség számára - hozzájárulás</t>
  </si>
  <si>
    <t>TOP-7.1.1-16-H-ERFA-2020-00783 Játszóterek fejlesztése - hozzájárulás</t>
  </si>
  <si>
    <t>TOP-6.4.1-15 2019-00003 Szombathely-Vép településeket összekötő kerékpárút megépítése</t>
  </si>
  <si>
    <t>TOP-6.4.1-15 2019-00003 Szhely-Vép településeket összekötő kerékpárút megépítése - hozzájárulása</t>
  </si>
  <si>
    <t>TOP-6.4.1-2019-00004 Szombathely és Balogunyom településeket összekötő kerékpárút megépítése</t>
  </si>
  <si>
    <t>TOP-6.4.1-2019-00004 Szhely és Balogunyom településeket összekötő kerékpárút megépítése - hozzájárulás</t>
  </si>
  <si>
    <t>Tartalék - 2021. évi költségvetéshez</t>
  </si>
  <si>
    <t>TOP-6.2.1-19-SH1-2019-00001 Új bölcsőde építése Szombathelyen - fordított áfa</t>
  </si>
  <si>
    <t>TOP-6.2.1-19-SH1-2019-00001 Új bölcsőde építése Szombathelyen - Hozzájárulás - fordított áfa</t>
  </si>
  <si>
    <t xml:space="preserve">KISZ Lakótelepért Egyesület </t>
  </si>
  <si>
    <t>Szombathelyi Siker Könyvtár Alapítvány támogatása</t>
  </si>
  <si>
    <t>Savaria Történelmi Karnevál Közhasznú Közalapítvány működési támogatása</t>
  </si>
  <si>
    <t>Kulturális rendezvények</t>
  </si>
  <si>
    <t>Településrendezési terv felülvizsgálata, egyéb főépítészi kiadások</t>
  </si>
  <si>
    <t>TOP-6.3.1-15-SH1-2016-00001 Szombathely Szent László Király utcai felhagyott iparterület fejlesztése - szabálytalansági döntésben meghozott korrekció</t>
  </si>
  <si>
    <t>TOP-6.6.1-15 Új Egészségügyi Alapellátó központ kialakítása - hozzájárulás</t>
  </si>
  <si>
    <t>ÖSSZESEN (I.+II.+III.+IV.+V.)</t>
  </si>
  <si>
    <t>Színház (Hemo) épülétenek bérbeadása</t>
  </si>
  <si>
    <t>Helyi önkormányzatok kiegészítő támogatásai</t>
  </si>
  <si>
    <t>Megyei hatókörű városi könyvtárak feladatainak támogatása - Berzsenyi Dániel könyvtár feladatainak támogatása</t>
  </si>
  <si>
    <t>Helyi önkormányzatok kiegészítő támogatásai összesen</t>
  </si>
  <si>
    <t>Bursa Hungarica felsőoktatási ösztöndíj</t>
  </si>
  <si>
    <t>Fogyatékkal Élőket és Hajléktalanokat ellátó Nkft. Támogatása</t>
  </si>
  <si>
    <t>VOLÁNBUSZ Zrt.megállapodás alapján helyközi autóbuszjáratok helyi tarifával történő igénybevétele - Szombathely Petőfi telep</t>
  </si>
  <si>
    <t>Illegális hulladéklerakók felszámolása - központi támogatásból</t>
  </si>
  <si>
    <t>Szent Kvirin Szalézi plébánia - Szalézi templom felújítása</t>
  </si>
  <si>
    <t>TOP-7.1.1-16-H-ERFA-00825 Tószer téri sportpálya közösségi célú fejlesztése</t>
  </si>
  <si>
    <t>TOP-7.1.1-16-H-ERFA-00825 Tószer téri sportpálya közösségi célú fejlesztése - hozzájárulás</t>
  </si>
  <si>
    <t>Vásárok, karácsonyi díszkivilágítás</t>
  </si>
  <si>
    <t>Fapótlási díj</t>
  </si>
  <si>
    <t>Okos Zebra gyalogosvédelmi rendszer kialakítása pályázati támogatása</t>
  </si>
  <si>
    <t>TOP-7.1.1-16-H-ESZA-2020-02011 DigIT-AGORA - Okos város, okos közösségek</t>
  </si>
  <si>
    <t>TOP-7.1.1-16-H-ERFA-2021-00825 A Tószer téri sportpálya közösségi célú fejlesztése</t>
  </si>
  <si>
    <t>Aptiv Service Hungary támogatás</t>
  </si>
  <si>
    <t>Részesedések megszűnéséhez kapcsolódó bevétel</t>
  </si>
  <si>
    <t>Vak Bottyán u. 2.sz. alatti ingatlan vásárlás (Brenner villa)</t>
  </si>
  <si>
    <t>Vak Bottyán u. 2.sz. alatti ingatlan vásárlás (Brenner villa) - fordított áfa</t>
  </si>
  <si>
    <t>Szombathelyi Pingvinek Jégkorong Klub támogatás</t>
  </si>
  <si>
    <t>TOP-7.1.1-16-H-ERFA-2020-00782 Belvárosi közösségi tér fejlesztése</t>
  </si>
  <si>
    <t>TOP-7.1.1-16-H-ERFA-2020-00782 Belvárosi közösségi tér fejlesztése - hozzájárulás</t>
  </si>
  <si>
    <t>EMMI - EMT-TE-B-A-21 Tér-Zene 2021 projekt</t>
  </si>
  <si>
    <t>Kulturális célú támogatás</t>
  </si>
  <si>
    <t>Haladás Sportkomplexum Nkft. - tagi kölcsön visszatérülése</t>
  </si>
  <si>
    <t>Vasutas Települések Szövetsége támogatás</t>
  </si>
  <si>
    <t>Ír nagykövetség támogatása</t>
  </si>
  <si>
    <t>Nyugdíjba vonuló vezetők ped. Szolg. emlékérme és juttatása</t>
  </si>
  <si>
    <t>Szombathelyi Képző Központ Nonprofit Kft. Támogatása</t>
  </si>
  <si>
    <t>Kulturális célú támogatás (WSSZ, Savaria Turizmus Nkft.)</t>
  </si>
  <si>
    <t>Szombathelyi Médiaközpont Nonprofit Kft. pótbefizetés</t>
  </si>
  <si>
    <t xml:space="preserve">WHO Egészséges városok tagdij, elnökséget adó városi cím és projektváros cím </t>
  </si>
  <si>
    <t>Kéményseprő ipari közszolgáltatás elllátásának támogatása</t>
  </si>
  <si>
    <t>VOLÁNBUSZ Zrt. helyi közlekedés 2020. évi elszámolása</t>
  </si>
  <si>
    <t>Szent Márton Smartcity város és portálrendszer üzemeltetése</t>
  </si>
  <si>
    <t>Szent Márton szellemiségével összefüggő nemzetközi projekt támogatás és önrész (INTERREG)</t>
  </si>
  <si>
    <t>ELTE SZOESE támogatás</t>
  </si>
  <si>
    <t>Haladás VSE utánpótlás támogatása</t>
  </si>
  <si>
    <t>Fa ültetés</t>
  </si>
  <si>
    <t>Klímapolitikai és fenntarthatósági kiadások</t>
  </si>
  <si>
    <t xml:space="preserve">BM támogatás -  Belterületi útfejlesztések </t>
  </si>
  <si>
    <t>BM támogatás - Gyöngyös patak hídrekonstrukció</t>
  </si>
  <si>
    <t>BM támogatás - A vásárcsarnok környékének rekonstrukciója, kapcsolódó parkolók kialakítása</t>
  </si>
  <si>
    <t>BM támogatás - Víztorony és környezetének fejlesztése II.ütem</t>
  </si>
  <si>
    <t>ITM támogatás - Zanati kerékpárút fejlesztése</t>
  </si>
  <si>
    <t>Szombathelyi Evangélikus Diakónia Központ  támogatása - hajléktalan és idősotthoni ellátás biztosítását szolgáló fejlesztés támogatása</t>
  </si>
  <si>
    <t>Söpte Önkormányzata támogatás</t>
  </si>
  <si>
    <t>Szombathelyi Pingvinek Jégkorong Klub - jégcsarnok projekt beruházási támogatása</t>
  </si>
  <si>
    <t>Ipari park tudományos technológiai parkká minősítés</t>
  </si>
  <si>
    <t>CLLD projektek önerő</t>
  </si>
  <si>
    <t>NKA támogatás - Hangfoglaló könnyűzenei támogató program - Szhely város zenei koncepciójának kidolgozására</t>
  </si>
  <si>
    <t>NKA támogatás - Hangfoglaló könnyűzenei támogató program - Szombathely város zenei koncepciójának kidolgozására</t>
  </si>
  <si>
    <t>Szent Márton projekt elszámolás visszafizetése kamattal</t>
  </si>
  <si>
    <t>JUSTNature projekt</t>
  </si>
  <si>
    <t>Savaria Városfejlesztési Nonprofit Kft. tagi kölcsön</t>
  </si>
  <si>
    <t>7mérföld a Közösségért Közhasznú Nonprofit Kft. támogatása</t>
  </si>
  <si>
    <t>Egyéb finanszírozási célú bevétel a 2022. évi költségvetési támogatási előleghez</t>
  </si>
  <si>
    <t>Egyéb finanszírozási célú kiadás - 2022.évi költségvetési támogatási előleg</t>
  </si>
  <si>
    <t>Tartalék - VOLÁNBUSZ elszámolás</t>
  </si>
  <si>
    <t>Tartalék - iparűzési adóelőleg visszafizetése</t>
  </si>
  <si>
    <t>Kulturális illetménypótlék (NKA)</t>
  </si>
  <si>
    <t>Népszámlálás támogatása (KSH-tól)</t>
  </si>
  <si>
    <t>Agora Szombathelyi Kulturális Központ megszűnés miatt átvett pénzeszköz</t>
  </si>
  <si>
    <t>Szociális és köznevelési intézmények év végi karácsonyi ajándékozás és rászoruló kiskorú gyermekeket nevelő családok év végi karácsonyi ajándékozása</t>
  </si>
  <si>
    <t>"Legjobb Önkormányzati Gyakorlat Programja 2021"</t>
  </si>
  <si>
    <t>Szombathelyi Haladás Labdarúgó és Sporszolgátlató Kft tőkeemelés</t>
  </si>
  <si>
    <t>Szombathelyi Neumann J.Ált.Isk.területén 3 db műfüves labdarúgó pálya éves karbantartás</t>
  </si>
  <si>
    <t>Szentkirály Gyöngyös patak híd felújítása miatti mentesítő út kialakítása</t>
  </si>
  <si>
    <t>PRENOR Kft. által bérelt önk.tulajdonban lévő ingatlan felújítása</t>
  </si>
  <si>
    <t>TOP-6.4.1-2019-00004 Szombathely és Balogunyom településeket összekötő kerékpárút megépítése - fordított áfa</t>
  </si>
  <si>
    <t>Könyvtári érdekeltségnövelő támogatás</t>
  </si>
  <si>
    <t>AGORA Szombathelyi Kulturális Központ  megszünés miatt átvett pénzeszköz</t>
  </si>
  <si>
    <t>Támogatások elszámolása ÁH-on belül</t>
  </si>
  <si>
    <t>Termőföld bérbeadásából származó jövedelemadó</t>
  </si>
  <si>
    <t>Biztosító térítése, egyéb kártérítés, kötbér</t>
  </si>
  <si>
    <t>Egyéb bevétel</t>
  </si>
  <si>
    <t>Kéményseprő ipari közszolgáltatási támogatás visszafizetése</t>
  </si>
  <si>
    <t>KÖLTSÉGVETÉSI MŰKÖDÉSI BEVÉTELEK MINDÖSSZESEN</t>
  </si>
  <si>
    <t>Városi nagyrendezvények</t>
  </si>
  <si>
    <t>Egyéb támogatások, egyéb kiadások</t>
  </si>
  <si>
    <t>Támogatás kulturális pályázatokhoz, egyéb szervezetek, társaságok támogatása összesen; egyéb kiadások</t>
  </si>
  <si>
    <t>TOP-6.4.1-2019-00002 Szombathely fenntartható mobilitási tervének elkészítése</t>
  </si>
  <si>
    <t>TOP-6.4.1-2019-00002 Szombathely fenntartható mobilitási tervének elkészítése - hozzájárulás</t>
  </si>
  <si>
    <t>TOP-7.1.1-ESZA-02011 DIGIT-AGORA - Okos város, okos közösségek</t>
  </si>
  <si>
    <t>FALCO KC Kft. pótbefizetés</t>
  </si>
  <si>
    <t>Szombathelyi Sportközpont és Sportiskola Nonprofit Kft. támogatása</t>
  </si>
  <si>
    <t>TOP-6.3.3-15 Szombathely bel- és csapadékvíz védelmi rendszer fejlesztése</t>
  </si>
  <si>
    <t>vagyongazdálkodási kiadások (ingatlan kisajátítás, vásárlás) fordított áfa kiadás</t>
  </si>
  <si>
    <t>Ferenczy u. - ingatlan csere - fordított áfa kiadás</t>
  </si>
  <si>
    <t>Külső Söptei útnak további szakaszának megépítése, felújítása - fordított áfa kiadás</t>
  </si>
  <si>
    <t>Északi iparterület fejlesztése (villamosenergia kiépítése, kerítés építése) - fordított áfa kiadás</t>
  </si>
  <si>
    <t>Északi iparterület áram ellátás kiépítése, Szent L. király u. ingatlan áramhálózatra kapcsolás</t>
  </si>
  <si>
    <t>TOP-6.4.1-15 2019-00003 Szombathely-Vép településeket összekötő kerékpárút megépítése - fordított áfa kiadása</t>
  </si>
  <si>
    <t>TOP-6.1.5-2019-00002 Ferenczy u. hiányzó szakaszának építése</t>
  </si>
  <si>
    <t>TOP-6.1.5-2019-00002 Ferenczy u. hiányzó szakaszának építése - fordított áfa</t>
  </si>
  <si>
    <t>TOP-6.2.1-19-SH1-2019-00001 Új Bölcsőde építése Szombathelyen hozzájárulás</t>
  </si>
  <si>
    <t>Kompenzációs fapótlási díjbevétel</t>
  </si>
  <si>
    <r>
      <t>Pálos Károly Szociális Szolgáltató Központ és Gyermekjóléti Szolgálat intézményi</t>
    </r>
    <r>
      <rPr>
        <b/>
        <sz val="13"/>
        <rFont val="Arial CE"/>
        <family val="2"/>
        <charset val="238"/>
      </rPr>
      <t xml:space="preserve"> 2020. évi maradványból fedezett kiadás</t>
    </r>
  </si>
  <si>
    <r>
      <t xml:space="preserve">Szombathelyi Egészségügyi és Kulturális Intézmények  GESZ </t>
    </r>
    <r>
      <rPr>
        <b/>
        <i/>
        <sz val="13"/>
        <rFont val="Arial CE"/>
        <family val="2"/>
        <charset val="238"/>
      </rPr>
      <t>2020. évi maradványából fedezett kiadás</t>
    </r>
  </si>
  <si>
    <t>Összesen</t>
  </si>
  <si>
    <t>Pénzeszközök változásának bemutatása</t>
  </si>
  <si>
    <t>Nyitó pénzkészlet</t>
  </si>
  <si>
    <t>+ Bevételek 1.sz.melléklet szerinti összege</t>
  </si>
  <si>
    <t>+-Sajátos elszámolások</t>
  </si>
  <si>
    <t>+Egyéb pénzeszközök és sajátos elszámolások mérlegfordulónapi értékelése során megállapított (nem realizált) árfolyamnyeresége (9352)</t>
  </si>
  <si>
    <t>- Kiadások 1.sz.melléklet szerinti összege</t>
  </si>
  <si>
    <t>Záró pénzkészlet</t>
  </si>
  <si>
    <t>Ebből</t>
  </si>
  <si>
    <t xml:space="preserve">   - intézmények</t>
  </si>
  <si>
    <t xml:space="preserve">   - önkormányzat</t>
  </si>
  <si>
    <t>TÁJÉKOZTATÓ</t>
  </si>
  <si>
    <t>Szombathely Megyei Jogú Város Önkormányzata</t>
  </si>
  <si>
    <t>Sorszám</t>
  </si>
  <si>
    <t>ellátottak térítési díjának, illetve kártérítésének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</si>
  <si>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</si>
  <si>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 mentesség
összege adónemenként</t>
  </si>
  <si>
    <t xml:space="preserve">  - építményadó elengedés méltányosságból</t>
  </si>
  <si>
    <t xml:space="preserve">  - gépjárműadó elengedés méltányosságból</t>
  </si>
  <si>
    <t xml:space="preserve">  - talajterhelési díj elengedés méltányosságból</t>
  </si>
  <si>
    <t xml:space="preserve">  - helyi iparűzési adómentesség</t>
  </si>
  <si>
    <t xml:space="preserve">  - helyi iparűzési adó elengedés méltányosságból</t>
  </si>
  <si>
    <t>helyiségek eszközök hasznosításából származó bevételből nyújott
kedvezmény, mentesség összeg</t>
  </si>
  <si>
    <t>egyéb nyújtott kedvezmény vagy kölcsön elengedésének összege:</t>
  </si>
  <si>
    <t>Mindösszen</t>
  </si>
  <si>
    <t>SZÖVEGES INDOKLÁS</t>
  </si>
  <si>
    <t>1. Az ÁHT-ra való hivatkozással, a személyes gondoskodást nyújtó szociális és gyermekjóléti ellátások térítési díjáról szóló   11/1993. (VI.I.) sz. önkormányzati rendelet alapján a térítési díj méltányossági alapon történő csökkentése, illetve elengedése.</t>
  </si>
  <si>
    <t>3. SZMJV Önkormányzatának helyi adókról szóló rendelete alapján adott mentességek és kedvezmények.</t>
  </si>
  <si>
    <t>4. SZMJV Önkormányzatának vagyonrendelet alapján nyújtott kedvezmények, mentességek összege.</t>
  </si>
  <si>
    <t>5. Közterülethasználati díj mentesség az Önkormányzat rendelete alapján.</t>
  </si>
  <si>
    <t>Kimutatás az Európai Unios támogatással megvalósuló projektek</t>
  </si>
  <si>
    <t>BEVÉTELEK</t>
  </si>
  <si>
    <t>Működés</t>
  </si>
  <si>
    <t>Fejlesztés</t>
  </si>
  <si>
    <t>BEVÉTELEK ÖSSZESEN</t>
  </si>
  <si>
    <t>KIADÁSOK</t>
  </si>
  <si>
    <t>Egyéb más ágazathoz nem sorolható intézmények és feladatok kiadásai</t>
  </si>
  <si>
    <t>KIADÁSOK ÖSSZESEN</t>
  </si>
  <si>
    <r>
      <t>következő évekre áthúzódó hatásairól</t>
    </r>
    <r>
      <rPr>
        <b/>
        <sz val="14"/>
        <color rgb="FFFF0000"/>
        <rFont val="Arial"/>
        <family val="2"/>
        <charset val="238"/>
      </rPr>
      <t xml:space="preserve"> </t>
    </r>
  </si>
  <si>
    <t>2020.</t>
  </si>
  <si>
    <t>2021.</t>
  </si>
  <si>
    <t>2022.</t>
  </si>
  <si>
    <t>2023.</t>
  </si>
  <si>
    <t>Vagyongazdálkodási kiadások (ingatlan kisajátítás, vásárlás)</t>
  </si>
  <si>
    <t>Beruházások Összesen:</t>
  </si>
  <si>
    <t>Mindösszesen</t>
  </si>
  <si>
    <t>Szöveges indoklás:</t>
  </si>
  <si>
    <t xml:space="preserve">A többéves kihatással járó költségvetési tételek egyrészt Szombathely Megyei Jogú Város közgyűlésének </t>
  </si>
  <si>
    <t xml:space="preserve"> 2020.évi költségvetési rendelettervezetében meghatározott feladatok, illetve korábbi</t>
  </si>
  <si>
    <t>közgyűlési döntések alapján kerültek beépítésre.</t>
  </si>
  <si>
    <t>ESZKÖZÖK</t>
  </si>
  <si>
    <t>2019.</t>
  </si>
  <si>
    <t xml:space="preserve">2020. </t>
  </si>
  <si>
    <t>zárómérleg</t>
  </si>
  <si>
    <t>2020.12.31</t>
  </si>
  <si>
    <t>Vagyoni értékű jogok</t>
  </si>
  <si>
    <t>intézmények</t>
  </si>
  <si>
    <t>önkormányzat</t>
  </si>
  <si>
    <t>A/I/1.</t>
  </si>
  <si>
    <t>együtt</t>
  </si>
  <si>
    <t>Szellemi termékek</t>
  </si>
  <si>
    <t>A/I/2.</t>
  </si>
  <si>
    <t>Immateriális javak össz.</t>
  </si>
  <si>
    <t>A/I.</t>
  </si>
  <si>
    <t>Immateriális javak összesen</t>
  </si>
  <si>
    <t>Ingatlanok és kapcsolódó vagyoni értékű jogok</t>
  </si>
  <si>
    <t>A/II/1.</t>
  </si>
  <si>
    <t>Ingatlanok</t>
  </si>
  <si>
    <t>Gépek, berendezések, felszerelések, járművek</t>
  </si>
  <si>
    <t>A/II/2</t>
  </si>
  <si>
    <t>Tenyészállatok</t>
  </si>
  <si>
    <t>A/II/3.</t>
  </si>
  <si>
    <t>Beruházások, felújítások</t>
  </si>
  <si>
    <t>A/II/4</t>
  </si>
  <si>
    <t>Tárgyi eszközök össz.</t>
  </si>
  <si>
    <t>A/II.</t>
  </si>
  <si>
    <t>Tartós részesedések</t>
  </si>
  <si>
    <t>A/III/1</t>
  </si>
  <si>
    <t xml:space="preserve">Tartós részesedések </t>
  </si>
  <si>
    <t>Tartós hitelviszonyt megtestesítő értékpapírok</t>
  </si>
  <si>
    <t>A/III/2.</t>
  </si>
  <si>
    <t>Befektetett pénzügyi eszk.összesen</t>
  </si>
  <si>
    <t>A/III.</t>
  </si>
  <si>
    <t>Koncesszióban, Vagyonkezelésbe adott eszközök</t>
  </si>
  <si>
    <t xml:space="preserve">A/IV. </t>
  </si>
  <si>
    <t>Koncesszióba, vagyonkezelésbe adott eszközök összesen</t>
  </si>
  <si>
    <t>Nemzeti Vagyonba tartozó Befektetett Eszközök összesen</t>
  </si>
  <si>
    <t>A.</t>
  </si>
  <si>
    <t>Készletek</t>
  </si>
  <si>
    <t>B/I.</t>
  </si>
  <si>
    <t>Értékpapírok</t>
  </si>
  <si>
    <t>B/II.</t>
  </si>
  <si>
    <t xml:space="preserve">Értékpapírok </t>
  </si>
  <si>
    <t>Nemzeti Vagyonba tartozó Forgóeszközök</t>
  </si>
  <si>
    <t>B</t>
  </si>
  <si>
    <t>Nemzeti Vagyonba Tartozó Forgóeszközök összesen</t>
  </si>
  <si>
    <t>Lekötött bankbetétek</t>
  </si>
  <si>
    <t>C/I.</t>
  </si>
  <si>
    <t>Pénztárak, csekkek, betétkönyvek</t>
  </si>
  <si>
    <t>C/II.</t>
  </si>
  <si>
    <t>Forintszámlák</t>
  </si>
  <si>
    <t>C/III.</t>
  </si>
  <si>
    <t>Devizaszámlák</t>
  </si>
  <si>
    <t>C/IV.</t>
  </si>
  <si>
    <t>Pénzeszközök összesen</t>
  </si>
  <si>
    <t>C</t>
  </si>
  <si>
    <t>Költségvetési évben esedékes követelések</t>
  </si>
  <si>
    <t>D/I.</t>
  </si>
  <si>
    <t>Költségvetési évet követően esedékes követelések</t>
  </si>
  <si>
    <t>D/II.</t>
  </si>
  <si>
    <t>Követelés jellegű sajátos elszámolások</t>
  </si>
  <si>
    <t>D/III.</t>
  </si>
  <si>
    <t>Követelések összesen</t>
  </si>
  <si>
    <t>D</t>
  </si>
  <si>
    <t>Egyéb sajátos elszámolások</t>
  </si>
  <si>
    <t>E</t>
  </si>
  <si>
    <t>Eredményszemléletű bevételek aktív időbeli</t>
  </si>
  <si>
    <t>elhatárolása</t>
  </si>
  <si>
    <t>F/1.</t>
  </si>
  <si>
    <t>Eredményszemléletű bevételek aktív időbeli elhatárolása</t>
  </si>
  <si>
    <t>Költségek, ráfordítások aktív időbeli elhatárolása</t>
  </si>
  <si>
    <t>F/2.</t>
  </si>
  <si>
    <t>Halasztott ráfordítások</t>
  </si>
  <si>
    <t>F/3.</t>
  </si>
  <si>
    <t>Aktív időbeli elhatárolások összesen</t>
  </si>
  <si>
    <t>F</t>
  </si>
  <si>
    <t>ESZKÖZÖK ÖSSZESEN</t>
  </si>
  <si>
    <t>FORRÁSOK</t>
  </si>
  <si>
    <t>Nemzeti vagyon induláskori értéke</t>
  </si>
  <si>
    <t>G/I.</t>
  </si>
  <si>
    <t>Nemzeti vagyon változásai</t>
  </si>
  <si>
    <t>G/II.</t>
  </si>
  <si>
    <t>Egyéb eszközök induláskori értéke és változásai</t>
  </si>
  <si>
    <t>G/III.</t>
  </si>
  <si>
    <t>Felhalmozott eredmény</t>
  </si>
  <si>
    <t>G/IV.</t>
  </si>
  <si>
    <t>Eszközök értékhelyesbítésének forrása</t>
  </si>
  <si>
    <t>G/V.</t>
  </si>
  <si>
    <t>Mérleg szerinti eredmény</t>
  </si>
  <si>
    <t>G/VI.</t>
  </si>
  <si>
    <t>Saját tőke összesen</t>
  </si>
  <si>
    <t>G</t>
  </si>
  <si>
    <t>Saját Tőke összesen</t>
  </si>
  <si>
    <t>Költségvetési évben esedékes kötelezettségek</t>
  </si>
  <si>
    <t>H/I.</t>
  </si>
  <si>
    <t>Költségvetési évet követően esedékes kötelezettségek</t>
  </si>
  <si>
    <t>H/II.</t>
  </si>
  <si>
    <t>Kötelezettség jellegű sajátos elszámolások</t>
  </si>
  <si>
    <t>H/III.</t>
  </si>
  <si>
    <t>Kötelezettségek összesen</t>
  </si>
  <si>
    <t>H</t>
  </si>
  <si>
    <t>Kincstári számlavezetéssel kapcsolatos elszámolások</t>
  </si>
  <si>
    <t>I</t>
  </si>
  <si>
    <t>Eredményszemléletű bevételek passzív időbeli elhatárilása</t>
  </si>
  <si>
    <t>J/1.</t>
  </si>
  <si>
    <t>Eredményszemléletű bevételek passzív időbeli elhatárolása</t>
  </si>
  <si>
    <t>Költségek, ráfordítások passzív időbeli elhatárolása</t>
  </si>
  <si>
    <t>J/2.</t>
  </si>
  <si>
    <t>Halasztott eredményszemléletű bevételek</t>
  </si>
  <si>
    <t>J/3.</t>
  </si>
  <si>
    <t>Passzív időbeli elhatárolások összesen</t>
  </si>
  <si>
    <t>J</t>
  </si>
  <si>
    <t>FORRÁSOK ÖSSZESEN</t>
  </si>
  <si>
    <t xml:space="preserve">                 Az 1993. évi LXXVIII. tv. 62. §. 1 bek. szerint az önkormányzat az állam tulajdonából </t>
  </si>
  <si>
    <t xml:space="preserve">                 az önkormányzat tulajdonába került lakóépületeinek elidegenítéséből származó 1994.</t>
  </si>
  <si>
    <t xml:space="preserve">                 március 31. napját követően befolyó - kiadásokkal csökkentett - bevételeit elkülönített</t>
  </si>
  <si>
    <t xml:space="preserve">                 számlán köteles kezelni.</t>
  </si>
  <si>
    <t>Bevételek</t>
  </si>
  <si>
    <t>e Ft-ban</t>
  </si>
  <si>
    <t xml:space="preserve">Kiadások </t>
  </si>
  <si>
    <t>eFt-ban</t>
  </si>
  <si>
    <t>Egyenleg eFt-ban</t>
  </si>
  <si>
    <t>1994.</t>
  </si>
  <si>
    <t xml:space="preserve">  bérlakás értékesítés</t>
  </si>
  <si>
    <t xml:space="preserve"> lakásmobilitás, érték. stb.</t>
  </si>
  <si>
    <t>Tetőtér beépítés</t>
  </si>
  <si>
    <t xml:space="preserve">Bérlakás építés </t>
  </si>
  <si>
    <t>Zanat lakások közmű</t>
  </si>
  <si>
    <t>Kámon lakások közmű</t>
  </si>
  <si>
    <t>Huszár u. lakások közmű</t>
  </si>
  <si>
    <t>1995.</t>
  </si>
  <si>
    <t xml:space="preserve"> bérlakás értékesítés</t>
  </si>
  <si>
    <t>Lakáselidegenités</t>
  </si>
  <si>
    <t>Privatizációs költségek</t>
  </si>
  <si>
    <t>Oladi  lakások (L7 II.ütem)  közmű</t>
  </si>
  <si>
    <t>Kámon lakások (IV. ütem)  közmű</t>
  </si>
  <si>
    <t>Ingatlanbecslés, szakértői díj</t>
  </si>
  <si>
    <t>Lakóház kisajátitás</t>
  </si>
  <si>
    <t>Szalézi tér, Malom u. lakástervezés</t>
  </si>
  <si>
    <t>Lakóterületi vizhólózat bővités</t>
  </si>
  <si>
    <t xml:space="preserve">                     energia ellátás</t>
  </si>
  <si>
    <t>Szolgálati lakások kiváltása</t>
  </si>
  <si>
    <t>Lakásvásárlás önk. lakásnak</t>
  </si>
  <si>
    <t>Bérleti jog visszavásárlása.</t>
  </si>
  <si>
    <t>Bérlőkijelölési jogról lemondás</t>
  </si>
  <si>
    <t>Lakásvásárlással kapcs. bonyolitási dijak</t>
  </si>
  <si>
    <t>Lakóház felújitás, középmagas házak tűzvéd.</t>
  </si>
  <si>
    <t>1996.</t>
  </si>
  <si>
    <t xml:space="preserve">  bérlakás értékesítés összesen</t>
  </si>
  <si>
    <t>Lakás helyiség elidegenités</t>
  </si>
  <si>
    <t xml:space="preserve">   ebből kárpótlási jeggyel vás.</t>
  </si>
  <si>
    <t>Ingatlanbecslés</t>
  </si>
  <si>
    <t>Lakóházfelújitási alapképzés</t>
  </si>
  <si>
    <t>Lakóházfelújités (Petőfi S. u.)</t>
  </si>
  <si>
    <t>Szalézi téri kisajátitás, épités</t>
  </si>
  <si>
    <t>Lakásép. közmű</t>
  </si>
  <si>
    <t>Bérleti jog visszaváltása</t>
  </si>
  <si>
    <t>Emelt szintű nyugdijas ház</t>
  </si>
  <si>
    <t>Alacsony  fok. szoc. lakások</t>
  </si>
  <si>
    <t>1997.</t>
  </si>
  <si>
    <t>Szalézi téri lakásépítés</t>
  </si>
  <si>
    <t>Petőfi S. u. 31. felújítás tervezés.</t>
  </si>
  <si>
    <t xml:space="preserve">Bérleti jog visszavásárlás, önkorm. lakásvás. </t>
  </si>
  <si>
    <t>Emelt szintű nyugdíjas otthon</t>
  </si>
  <si>
    <t>Kényszerbérlet</t>
  </si>
  <si>
    <t>Bogát lakástervezés</t>
  </si>
  <si>
    <t>lakásprivatizáció</t>
  </si>
  <si>
    <t>Lakás- közműellátás</t>
  </si>
  <si>
    <t>Alacsony komfort. szoc.lakás építés</t>
  </si>
  <si>
    <t>1998.</t>
  </si>
  <si>
    <t>Szalézi tér lapkásépítés</t>
  </si>
  <si>
    <t>Huszár úti lakások felújítása</t>
  </si>
  <si>
    <t>Fejleszthető komfortfokozatő lakások</t>
  </si>
  <si>
    <t>Lakásprivatizáció költségei</t>
  </si>
  <si>
    <t>Körmenti u. lakásépítés</t>
  </si>
  <si>
    <t>Lakáshozjutás támogatása</t>
  </si>
  <si>
    <t>1999.</t>
  </si>
  <si>
    <t>Bérlakás értékesítés bevétele</t>
  </si>
  <si>
    <t>Lakáskölcsön törlesztés</t>
  </si>
  <si>
    <t>Szolgálati lakások kedvezménye</t>
  </si>
  <si>
    <t>Lakásfelújítás, lakásprivatizáció</t>
  </si>
  <si>
    <t>2000.</t>
  </si>
  <si>
    <t>Lakáskölcsön törlesztések kezelési költségei</t>
  </si>
  <si>
    <t>2001.</t>
  </si>
  <si>
    <t>Bérleti jog visszavásárlás</t>
  </si>
  <si>
    <t>Bérlakásépítés, vásárlás</t>
  </si>
  <si>
    <t>Lakásprivatizáció</t>
  </si>
  <si>
    <t>2002.</t>
  </si>
  <si>
    <t>Bérlakásépítés, vásárlás(állami támogatás nélkül)</t>
  </si>
  <si>
    <t>2003.</t>
  </si>
  <si>
    <t>2004.</t>
  </si>
  <si>
    <t>Bérlakás vásárlás (állami támogatás nélkül)</t>
  </si>
  <si>
    <t>Szociális bérlakás vásárlás önk-i forrásból</t>
  </si>
  <si>
    <t>Ip.techn.épült lakások és therm.kémények fú.</t>
  </si>
  <si>
    <t>2005.</t>
  </si>
  <si>
    <t>Szt.Márton u.bérlakás ép. (állami támogatás nélkül)</t>
  </si>
  <si>
    <t>Szolgálati lakások kedvezménye,egyéb</t>
  </si>
  <si>
    <t>2006.</t>
  </si>
  <si>
    <t>2007.</t>
  </si>
  <si>
    <t>2008.</t>
  </si>
  <si>
    <t>lakásvásárlás és bérleti jog lemondás</t>
  </si>
  <si>
    <t>nem önkormányzati tul-ban lévő lakásban lakók 
lakbértámogatás</t>
  </si>
  <si>
    <t>2009.</t>
  </si>
  <si>
    <t>2010.</t>
  </si>
  <si>
    <t>2011.</t>
  </si>
  <si>
    <t>Önkormányzati bérlakás felújítások</t>
  </si>
  <si>
    <t>Lakásbérleti díj támogatás</t>
  </si>
  <si>
    <t>2012.</t>
  </si>
  <si>
    <t>Panel program - 2009. évi</t>
  </si>
  <si>
    <t>2013.</t>
  </si>
  <si>
    <t>2014.</t>
  </si>
  <si>
    <t>Önkormányzati bérlakások felújítása</t>
  </si>
  <si>
    <t>Társasház felújításának támogatása</t>
  </si>
  <si>
    <t>2015.</t>
  </si>
  <si>
    <t>2016.</t>
  </si>
  <si>
    <t>2017.</t>
  </si>
  <si>
    <t>2018.</t>
  </si>
  <si>
    <t>Tájékoztató</t>
  </si>
  <si>
    <t xml:space="preserve"> Éves kiadás</t>
  </si>
  <si>
    <t>Megoszlás%-a</t>
  </si>
  <si>
    <t>Egyéb pénzbeli és természetbeni gyermekvédelmi támogatások</t>
  </si>
  <si>
    <t>Családi támogatások összesen:</t>
  </si>
  <si>
    <t>Adósságcsökkentési támogatás [Szoctv. 55/A. § 1. bek. b) pont]</t>
  </si>
  <si>
    <t>Lakhatással kapcsolatos ellátások összesen:</t>
  </si>
  <si>
    <t>Köztemetés (Szoctv. 48.§)</t>
  </si>
  <si>
    <t>Települési támogatás (Szoctv. 45.§)</t>
  </si>
  <si>
    <t>7.</t>
  </si>
  <si>
    <t xml:space="preserve"> Önkormányzat által saját hatáskörben (nem szociális és gyermekvédelmi előírások alapján) adott más ellátás</t>
  </si>
  <si>
    <t>8.</t>
  </si>
  <si>
    <t>Egyéb nem intézményi ellátások</t>
  </si>
  <si>
    <t>9.</t>
  </si>
  <si>
    <t>Kifizetés mindösszesen:</t>
  </si>
  <si>
    <t>Ingatlan-</t>
  </si>
  <si>
    <t>mennyiség</t>
  </si>
  <si>
    <t>érték</t>
  </si>
  <si>
    <t>ingatlanszám</t>
  </si>
  <si>
    <t>földrészlet</t>
  </si>
  <si>
    <t>könyv szerinti</t>
  </si>
  <si>
    <t>becslés szerinti</t>
  </si>
  <si>
    <t>bruttó</t>
  </si>
  <si>
    <t>darab</t>
  </si>
  <si>
    <t>ha</t>
  </si>
  <si>
    <t>m2</t>
  </si>
  <si>
    <t>db</t>
  </si>
  <si>
    <t>e Ft</t>
  </si>
  <si>
    <t>a</t>
  </si>
  <si>
    <t>b</t>
  </si>
  <si>
    <t>c</t>
  </si>
  <si>
    <t>d</t>
  </si>
  <si>
    <t xml:space="preserve">e </t>
  </si>
  <si>
    <t>f</t>
  </si>
  <si>
    <t>g</t>
  </si>
  <si>
    <t>01</t>
  </si>
  <si>
    <t>Rendezett összes ingatlan</t>
  </si>
  <si>
    <t>02</t>
  </si>
  <si>
    <t>Rendezetlen, tulajdonba került ingatlanok</t>
  </si>
  <si>
    <t>03</t>
  </si>
  <si>
    <t>Rendezelten tulajdonból kikerült ingatlanok</t>
  </si>
  <si>
    <t>04</t>
  </si>
  <si>
    <t>Helyrajzi számmal nem rendelkező ingatlanok</t>
  </si>
  <si>
    <t>05</t>
  </si>
  <si>
    <t>Állomány összesen (01+02+04)sorok</t>
  </si>
  <si>
    <t>06</t>
  </si>
  <si>
    <t>16. számlacsoportban nyilvántartott ingatlanok</t>
  </si>
  <si>
    <t>07</t>
  </si>
  <si>
    <t>05. sorból külföldi ingatlan</t>
  </si>
  <si>
    <t>08</t>
  </si>
  <si>
    <t>05.</t>
  </si>
  <si>
    <t>belterület</t>
  </si>
  <si>
    <t>09</t>
  </si>
  <si>
    <t>sorból</t>
  </si>
  <si>
    <t>külterület</t>
  </si>
  <si>
    <t>10</t>
  </si>
  <si>
    <t>forgalomképtelen</t>
  </si>
  <si>
    <t>11</t>
  </si>
  <si>
    <t>korlátozottan forgalomképes</t>
  </si>
  <si>
    <t>12</t>
  </si>
  <si>
    <t>forgalomképes</t>
  </si>
  <si>
    <t>13</t>
  </si>
  <si>
    <t>Beépítetlen terület összesen</t>
  </si>
  <si>
    <t>14</t>
  </si>
  <si>
    <t>100 %-os saját tulajdon</t>
  </si>
  <si>
    <t>15</t>
  </si>
  <si>
    <t>13.</t>
  </si>
  <si>
    <t>más önkormányzattal közös tulajdon</t>
  </si>
  <si>
    <t>16</t>
  </si>
  <si>
    <t>egyéb közös tulajdon</t>
  </si>
  <si>
    <t>17</t>
  </si>
  <si>
    <t>Beépített terület összesen</t>
  </si>
  <si>
    <t>18</t>
  </si>
  <si>
    <t>19</t>
  </si>
  <si>
    <t>17.</t>
  </si>
  <si>
    <t>20</t>
  </si>
  <si>
    <t>21</t>
  </si>
  <si>
    <t>más tulajdonos által beépített</t>
  </si>
  <si>
    <t>22</t>
  </si>
  <si>
    <t>Egyéb önálló ingatlan összesen</t>
  </si>
  <si>
    <t>23</t>
  </si>
  <si>
    <t>24</t>
  </si>
  <si>
    <t>22.</t>
  </si>
  <si>
    <t>25</t>
  </si>
  <si>
    <t>26</t>
  </si>
  <si>
    <t>önkormányzat településén kívül fekvő ingatlan</t>
  </si>
  <si>
    <t>27</t>
  </si>
  <si>
    <t xml:space="preserve">05. </t>
  </si>
  <si>
    <t>védett természeti terület</t>
  </si>
  <si>
    <t>műemléki védettségű</t>
  </si>
  <si>
    <t>BRUTTÓ</t>
  </si>
  <si>
    <t>ÉRTÉKCSÖK.</t>
  </si>
  <si>
    <t>NETTÓ</t>
  </si>
  <si>
    <t xml:space="preserve">A </t>
  </si>
  <si>
    <t>NEMZETI VAGYONBA TARTOZÓ BEFEKTETETT ESZKÖZÖK</t>
  </si>
  <si>
    <t>Immateriális javak</t>
  </si>
  <si>
    <t>A/II/1</t>
  </si>
  <si>
    <t>Forgalomképtelen</t>
  </si>
  <si>
    <t>Korlátozottan forgalomképes</t>
  </si>
  <si>
    <t>Üzleti vagyon</t>
  </si>
  <si>
    <t>Tárgyi eszközök</t>
  </si>
  <si>
    <t xml:space="preserve"> Forgalomképtelen</t>
  </si>
  <si>
    <t>-</t>
  </si>
  <si>
    <t>Helyi Közutak és műtárgyaik</t>
  </si>
  <si>
    <t>Terek, parkok</t>
  </si>
  <si>
    <t>Vizek és közcélú (vizi közműnek nem minősülő) vízi létesítmények</t>
  </si>
  <si>
    <t>A helyi önkormányzat felügyelete alá tartozó költségvetési szervek ingatlanai</t>
  </si>
  <si>
    <t>Üzemeltetésre átadott ingatlanok és kapcsolódó vagyoni értékű jogok</t>
  </si>
  <si>
    <t>Egyéb az önkormányzat által forgalomképtelennek minősített ingatlanok és kapcsolódó vagyoni értékű jogok</t>
  </si>
  <si>
    <t xml:space="preserve">Korlátozottan forgalomképes </t>
  </si>
  <si>
    <t>Közművek (Víz, gáz, csatorna, távfűtés,világítás)</t>
  </si>
  <si>
    <t>Védett természeti területek</t>
  </si>
  <si>
    <t>A képviselőtestület (közgyűlés) és szervei, valamint hivatala ingatlanai</t>
  </si>
  <si>
    <t>Műemlék ingatlanok</t>
  </si>
  <si>
    <t>Vagyonkezelésbe vett ingatlanok és kapcsolódó vagyoni értékű jogok</t>
  </si>
  <si>
    <t>Egyéb az önkormányzat által korlátozottan forgalomképesnek minősített ingatlanok és  kapcsolódó vagyoni értékű jogok (lakások,telkek,sportcélú ingatlanok, létesítmények)</t>
  </si>
  <si>
    <t>Telkek, földterületek</t>
  </si>
  <si>
    <t>Egyéb az önkormányzat által forgalomképesnek minősített ingatlanok és kapcsolódó vagyoni értékű jogok</t>
  </si>
  <si>
    <t>A/II/2.</t>
  </si>
  <si>
    <t>Gépek, berendezések felszerelések, járművek</t>
  </si>
  <si>
    <t>Forgalomképtelen gépek, berendezések, felszerelések, járművek</t>
  </si>
  <si>
    <t>Korlátozottan forgalomképes gépek,berendezések, felszerelések, járművek</t>
  </si>
  <si>
    <t>Üzleti vagyon: gépek, berendezések, felszerelések, járművek</t>
  </si>
  <si>
    <t xml:space="preserve">Tenyészállatok </t>
  </si>
  <si>
    <t>A/II/4.</t>
  </si>
  <si>
    <t>Forgalomképtelen eszköz létesítésére irányuló beruházás, felújítás</t>
  </si>
  <si>
    <t>Korlátozottan forgalomképes eszköz létesítésére irányuló beruházás, felújítás</t>
  </si>
  <si>
    <t>A/II/5.</t>
  </si>
  <si>
    <t>Tárgyi eszközök értékhelyesbítése</t>
  </si>
  <si>
    <t xml:space="preserve">Befektetett pénzügyi eszközök </t>
  </si>
  <si>
    <t>A/III/1.</t>
  </si>
  <si>
    <t>Tartós részesedések - korlátozottan forgalomképes</t>
  </si>
  <si>
    <t>Tartós hitelviszonyt megtestesítő értékpapírok (forgalomképes)</t>
  </si>
  <si>
    <t>A/III/3.</t>
  </si>
  <si>
    <t>Befektetett pénzügyi eszközök értékhelyesbítése (forgalomképes)</t>
  </si>
  <si>
    <t>A/IV.</t>
  </si>
  <si>
    <t>Koncesszióba, vagyonkezelésbe adott eszközök</t>
  </si>
  <si>
    <t>A/IV/1</t>
  </si>
  <si>
    <t>Vagyonkezelésbe adott eszközök - forgalomképtelen</t>
  </si>
  <si>
    <t xml:space="preserve">B </t>
  </si>
  <si>
    <t>NEMZETI VAGYONBA TARTOZÓ FORGÓESZKÖZÖK</t>
  </si>
  <si>
    <t>Készletek (forgalomképes)</t>
  </si>
  <si>
    <t>PÉNZESZKÖZÖK - forgalomképes</t>
  </si>
  <si>
    <t>C/IV</t>
  </si>
  <si>
    <t>KÖNYVVITELI MÉRLEGEN KÍVÜLI TÉTELEK</t>
  </si>
  <si>
    <t xml:space="preserve">"0"-ra leírt, de használatban lévő eszközök állománya </t>
  </si>
  <si>
    <t>Ingatlanok és kapcsolódó vagyonértékű jogok</t>
  </si>
  <si>
    <t>Gépek,berendezések,felszerelések, járművek</t>
  </si>
  <si>
    <t>Használatban lévő kisértékű  immateriális javak, tárgyi eszközök, készletek</t>
  </si>
  <si>
    <t>Kisértékű Immateriális javak</t>
  </si>
  <si>
    <t>Kisértékű Ingatlanok és kapcsolódó vagyoniértékű jogok</t>
  </si>
  <si>
    <t>Kisértékű Gépek, berendezések, felszerelések, járművek</t>
  </si>
  <si>
    <t>Kulturális javak körébe tartozó közgyűjtemény, régészeti lelet</t>
  </si>
  <si>
    <t>2011. évi CXCVI. Törvény a nemzeti vagyonról 1. §.  (2) bekezdés g) és h) pontja szerint</t>
  </si>
  <si>
    <t>Berzsenyi Dániel Megyei Hatókörű Városi Könyvtárállományi értéke - Információs adathordozók 
(pl. könyvek, folyóiratok)</t>
  </si>
  <si>
    <t>SAVARIA Megyei Hatókörű Városi Múzeum</t>
  </si>
  <si>
    <t>- infomációs adathordozó (pl. könyvek, folyóiratok)</t>
  </si>
  <si>
    <t>- műtárgy</t>
  </si>
  <si>
    <t>01. számlaosztály Vagyonkezelésben lévő önkormányzati tulajdonú eszközök</t>
  </si>
  <si>
    <t>Szombathelyi Tankerület vagyonkezelésében lévő önkormányzati tulajdonú eszközök</t>
  </si>
  <si>
    <t>Vas Megyei Szakképzési Centrum</t>
  </si>
  <si>
    <t>Szombathelyi Élelmiszeripari és Földmérési Szakképző Iskola és Kollégium vagyonkezelésében lévő önkormányzati tulajdonú eszközök</t>
  </si>
  <si>
    <t>Herman Ottó Környezetvédelmi és Mezőgazdasági Szakképző Iskola és Kollégium vagyonkezelésében lévő önkormányzati tulajdonú eszközök</t>
  </si>
  <si>
    <t>Jegyzett 
tőke</t>
  </si>
  <si>
    <t>Tulajdoni hányad</t>
  </si>
  <si>
    <t>Korábbi évek</t>
  </si>
  <si>
    <t xml:space="preserve">Tárgyévi </t>
  </si>
  <si>
    <t>Mérleg
érték</t>
  </si>
  <si>
    <t>Elszámolt</t>
  </si>
  <si>
    <t>%-ban</t>
  </si>
  <si>
    <t>értéke e Ft</t>
  </si>
  <si>
    <t>értékvesztése</t>
  </si>
  <si>
    <t>értékvesztés</t>
  </si>
  <si>
    <t>FALCO KC</t>
  </si>
  <si>
    <t>VASIVÍZ Zrt.</t>
  </si>
  <si>
    <t>Szombathelyi Haladás Labdarúgó és Sportszolgáltató Kft.</t>
  </si>
  <si>
    <t>Prenor Kft.</t>
  </si>
  <si>
    <t>Szombathelyi Parkfenntartási Kft</t>
  </si>
  <si>
    <t>Vas Megyei Temetkezési Kft.</t>
  </si>
  <si>
    <t>Saját alapítású gazdasági társaságok összesen</t>
  </si>
  <si>
    <t>SZOVA Szombathelyi Vagyonhasznosító és Városgazdazdálkodási Nonprofit Zrt.</t>
  </si>
  <si>
    <t>Fogyatékkal Élőket és Hajléktalanokat Ellátó Közhasznú Nonprofit Kft.</t>
  </si>
  <si>
    <t>Szombathelyi Médiaközpont Nonprofit Kft.</t>
  </si>
  <si>
    <t>Szombathelyi Sportközpont és Sportiskola Nonprofit Kft.</t>
  </si>
  <si>
    <t>Weöres Sándor Színház Nonprofit Kft.</t>
  </si>
  <si>
    <t>Szombathelyi Képző Központ Közhasznú Nonprofit Kft.</t>
  </si>
  <si>
    <t>Savaria Városfejlesztési Nonprofit Kft.</t>
  </si>
  <si>
    <t>Savaria Turizmus Nonprofit Kft</t>
  </si>
  <si>
    <t>SZOMHULL  Szombathelyi Hulladékgazdálkodási Közszolgáltató Nonprofit Kft.</t>
  </si>
  <si>
    <t>Haladás Sportkomplexum Fejlesztő Nonprofit Kft.</t>
  </si>
  <si>
    <t>Saját alapítású Nonprofit  gazdasági társaságok összesen</t>
  </si>
  <si>
    <t>Hétforrás  Zrt</t>
  </si>
  <si>
    <t>Rába Nyrt.</t>
  </si>
  <si>
    <t>Forrás Vagyonkezelési és Befektetési NyRt.</t>
  </si>
  <si>
    <t>Egyéb részesedések:</t>
  </si>
  <si>
    <t>Kimutatás a pénzügyi lízingből eredő fizetési kötelezettség állományról</t>
  </si>
  <si>
    <t>K&amp;H Bank Zrt - Keretszerződés száma: IBD-MUN-17-0122/OHD</t>
  </si>
  <si>
    <t>Forintban</t>
  </si>
  <si>
    <t>Esedékesség (Év)</t>
  </si>
  <si>
    <t>Tervezett</t>
  </si>
  <si>
    <t>Tőke</t>
  </si>
  <si>
    <t>Kamat</t>
  </si>
  <si>
    <t>2022.év</t>
  </si>
  <si>
    <t>2023. év</t>
  </si>
  <si>
    <t>2024. év</t>
  </si>
  <si>
    <t>2025. év</t>
  </si>
  <si>
    <t>2026. év</t>
  </si>
  <si>
    <t>2027. év</t>
  </si>
  <si>
    <t>2028. év</t>
  </si>
  <si>
    <t>2029. év</t>
  </si>
  <si>
    <t>2030. év</t>
  </si>
  <si>
    <t>2031. év</t>
  </si>
  <si>
    <t xml:space="preserve">Költségvetési </t>
  </si>
  <si>
    <t>Önkormányzat</t>
  </si>
  <si>
    <t>szervek bevételei</t>
  </si>
  <si>
    <t>bevételei</t>
  </si>
  <si>
    <t>bevételek</t>
  </si>
  <si>
    <t>szervek kiadásai</t>
  </si>
  <si>
    <t>kiadásai</t>
  </si>
  <si>
    <t>kiadások</t>
  </si>
  <si>
    <t xml:space="preserve">KÖLTSÉGVETÉSI BEVÉTELEK </t>
  </si>
  <si>
    <t>KÖLTSÉGVETÉSI KIADÁSOK</t>
  </si>
  <si>
    <t>B1</t>
  </si>
  <si>
    <t>Működési célú támogatások államháztartáson belülről</t>
  </si>
  <si>
    <t>K1</t>
  </si>
  <si>
    <t>Személyi juttatások</t>
  </si>
  <si>
    <t>B3</t>
  </si>
  <si>
    <t>K2</t>
  </si>
  <si>
    <t>Munkaadókat terhelő járulékok és szociális hozzájárulási adó</t>
  </si>
  <si>
    <t>B4</t>
  </si>
  <si>
    <t>Működési bevétel</t>
  </si>
  <si>
    <t>K3</t>
  </si>
  <si>
    <t>Dologi kiadások</t>
  </si>
  <si>
    <t>B6</t>
  </si>
  <si>
    <t>K4</t>
  </si>
  <si>
    <t>Ellátottak pénzbeli juttatásai</t>
  </si>
  <si>
    <t>K5</t>
  </si>
  <si>
    <t>Egyéb működési célú kiadások</t>
  </si>
  <si>
    <t>Működési bevételek összesen</t>
  </si>
  <si>
    <t>Működési kiadások összesen</t>
  </si>
  <si>
    <t>*</t>
  </si>
  <si>
    <t>B2</t>
  </si>
  <si>
    <t>K6</t>
  </si>
  <si>
    <t>B5</t>
  </si>
  <si>
    <t>K7</t>
  </si>
  <si>
    <t>Felújítások</t>
  </si>
  <si>
    <t>B7</t>
  </si>
  <si>
    <t>Felhalmozási célú átvett pénzeszközök</t>
  </si>
  <si>
    <t>K8</t>
  </si>
  <si>
    <t>Egyéb felhalmozási célú kiadások</t>
  </si>
  <si>
    <t>Felhalmozási bevételek összesen</t>
  </si>
  <si>
    <t>Felhalmozási kiadások összesen</t>
  </si>
  <si>
    <t>KÖLTSÉGVETÉSI BEVÉTELEK ÖSSZESEN</t>
  </si>
  <si>
    <t>KÖLTSÉGVETÉSI KIADÁSOK ÖSSZESEN</t>
  </si>
  <si>
    <t>B8</t>
  </si>
  <si>
    <t>Finanszírozási bevételek</t>
  </si>
  <si>
    <t>K9</t>
  </si>
  <si>
    <t>Finanszírozási kiadások</t>
  </si>
  <si>
    <t>MINDÖSSZESEN BEVÉTELEK</t>
  </si>
  <si>
    <t>MINDÖSSZESEN KIADÁSOK</t>
  </si>
  <si>
    <t>Záróállomány 2021.12.31. mindösszesen:</t>
  </si>
  <si>
    <t>Nyugat-Pannon Járműipari és Mechatronikai Központ Szolgáltató Nonprofit Kft. "v.a."</t>
  </si>
  <si>
    <t>Részesedések, üzletrészek állománya 2021. december 31-én</t>
  </si>
  <si>
    <t>Szombathely Megyei Jogú Város Önkormányzata ingatlanvagyon-kataszter összesítője 2021. év</t>
  </si>
  <si>
    <t xml:space="preserve">2021. </t>
  </si>
  <si>
    <t>2021.12.31</t>
  </si>
  <si>
    <t>Szombathely Megyei Jogú Város Önkormányzatának mérlegadatai 2021.évben</t>
  </si>
  <si>
    <t>2021. évi bevételeiről és kiadásairól</t>
  </si>
  <si>
    <t>2024.</t>
  </si>
  <si>
    <t>Évközi tervezések, útfelújítás tervezések, egyéb tervezések</t>
  </si>
  <si>
    <t>Projektek - önerő, hozzájárulás</t>
  </si>
  <si>
    <t>Szombathely Megyei Jogú Város vagyonkimutatása 2021. év</t>
  </si>
  <si>
    <t xml:space="preserve">2021. évi bevételei  kiemelt előirányzatonként </t>
  </si>
  <si>
    <t>-2020.évi pénzmaradvány (pénzforgalom nélküli bevétel)</t>
  </si>
  <si>
    <t>Szombathely Megyei Jogú Város Önkormányzatának</t>
  </si>
  <si>
    <t>2021. évi  engedélyezett záró létszámelőirányzata</t>
  </si>
  <si>
    <t>2021. év</t>
  </si>
  <si>
    <t>2021. évi  záró engedélyezett  létszám  előirányzat összesen</t>
  </si>
  <si>
    <t>Intézmény</t>
  </si>
  <si>
    <t>SZAKMAI LÉTSZÁM</t>
  </si>
  <si>
    <t>INTÉZMÉNY ÜZEMELTETÉSI LÉTSZÁM</t>
  </si>
  <si>
    <t>2021. évi záró létszám</t>
  </si>
  <si>
    <t>átszámítás nélküli</t>
  </si>
  <si>
    <t xml:space="preserve">   kerekített</t>
  </si>
  <si>
    <t>kerekített</t>
  </si>
  <si>
    <t xml:space="preserve">Ó v o d á k </t>
  </si>
  <si>
    <t>Aréna Óvoda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</si>
  <si>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</si>
  <si>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</si>
  <si>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</si>
  <si>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</si>
  <si>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</si>
  <si>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</si>
  <si>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Játéksziget  Óvoda </t>
  </si>
  <si>
    <t>Kőrösi Csoma Sándor Utcai Óvoda</t>
  </si>
  <si>
    <t xml:space="preserve">Gazdag Erzsi Óvoda  </t>
  </si>
  <si>
    <t>Maros  Óvoda</t>
  </si>
  <si>
    <t>Vadvirág Óvoda</t>
  </si>
  <si>
    <t xml:space="preserve">Margaréta Óvoda  </t>
  </si>
  <si>
    <t>Napsugár  Óvoda</t>
  </si>
  <si>
    <t>Szűrcsapó Óvoda</t>
  </si>
  <si>
    <t xml:space="preserve">Mocorgó Óvoda </t>
  </si>
  <si>
    <t xml:space="preserve">Weöres Sándor  Óvoda </t>
  </si>
  <si>
    <t>Óvodák  összesen:</t>
  </si>
  <si>
    <t xml:space="preserve">Oktatási intézmények összesen                                       </t>
  </si>
  <si>
    <t>Nem oktatási intézmények</t>
  </si>
  <si>
    <t>Kulturális intézmény</t>
  </si>
  <si>
    <t>Agora Szombathelyi Kulturális Központ</t>
  </si>
  <si>
    <t>Savaria Szimfonikus Zenekar</t>
  </si>
  <si>
    <t>Berzsenyi Dániel Megyei Hatókörű Városi Könyvtár</t>
  </si>
  <si>
    <t>Savaria Megyei Hatókörű Városi Múzeum</t>
  </si>
  <si>
    <t xml:space="preserve">Összesen                                       </t>
  </si>
  <si>
    <t>Szociális intézmény</t>
  </si>
  <si>
    <t>Pálos Károly Szociális Szolgáltató Központ és Gyermekjóléti Szolgálat</t>
  </si>
  <si>
    <t>Egészségügyi intézmény</t>
  </si>
  <si>
    <t>Szombathelyi Egészségügyi és Kulturális GESZ</t>
  </si>
  <si>
    <t>Gyermekvédelmi intézmény</t>
  </si>
  <si>
    <t>Szombathelyi Egyesített Bölcsődei Intézmény</t>
  </si>
  <si>
    <t>Egyéb intézmények</t>
  </si>
  <si>
    <t>Szombathelyi Városi Vásárcsarnok</t>
  </si>
  <si>
    <t>Nem oktatási intézmények összesen</t>
  </si>
  <si>
    <t>Intézmények mindösszesen</t>
  </si>
  <si>
    <t>Benczúr Gyula Utcai Óvoda</t>
  </si>
  <si>
    <t>Költségvetési szervek 2021. évi bevételei</t>
  </si>
  <si>
    <t xml:space="preserve"> Működési bevételek</t>
  </si>
  <si>
    <t>Működési célú átvett  pénzeszközök</t>
  </si>
  <si>
    <t>Előző év költségvetési maradványának igénybevétele</t>
  </si>
  <si>
    <t xml:space="preserve"> Központi irányítószervtől kapott támogatás</t>
  </si>
  <si>
    <t>Központi irányítószervtől kapott támogatás összesen</t>
  </si>
  <si>
    <t>Költségvetési bevételek összesen</t>
  </si>
  <si>
    <t>I N T É Z M É N Y</t>
  </si>
  <si>
    <t>Működési</t>
  </si>
  <si>
    <t>Felhalmozási</t>
  </si>
  <si>
    <t>Eredeti előirányzat</t>
  </si>
  <si>
    <t>Módosított előirányzat         RM III.</t>
  </si>
  <si>
    <t>Teljesítés  
%-a</t>
  </si>
  <si>
    <t>Ó v o d á k</t>
  </si>
  <si>
    <t>Mocorgó Óvoda</t>
  </si>
  <si>
    <t>Óvodák  összesen</t>
  </si>
  <si>
    <t>Oktatási intézmények összesen</t>
  </si>
  <si>
    <t>Kulturális intézmények</t>
  </si>
  <si>
    <t xml:space="preserve">Összesen                             </t>
  </si>
  <si>
    <t xml:space="preserve">Szombathelyi Egyesitett Bölcsődei Intézmény </t>
  </si>
  <si>
    <t xml:space="preserve">Összesen                                 </t>
  </si>
  <si>
    <t>Költségvetési szervek 2021. évi kiadásai</t>
  </si>
  <si>
    <t xml:space="preserve">Dologi kiadások </t>
  </si>
  <si>
    <t>Költségvetési kiadások összesen</t>
  </si>
  <si>
    <t>Módosított előirányzat 
RM III.</t>
  </si>
  <si>
    <t>Teljesítés          
%-a</t>
  </si>
  <si>
    <t>Eredeti ei</t>
  </si>
  <si>
    <t>Módosított ei</t>
  </si>
  <si>
    <t xml:space="preserve">Szombathelyi Egyesített Bölcsődei Intézmény </t>
  </si>
  <si>
    <t>általános működésének és ágazati feladatainak támogatása</t>
  </si>
  <si>
    <t>és a helyi önkormányzatok kiegészítő támogatásai</t>
  </si>
  <si>
    <t>Önkormányzat általános működésének és ágazati feladatainak támogatása (Kvtv.2021. 2. melléklet)</t>
  </si>
  <si>
    <t>2021. évi eredeti előirányzat</t>
  </si>
  <si>
    <t>2021. évi III. sz. módosított előirányzat</t>
  </si>
  <si>
    <t>2021. év elszámolás</t>
  </si>
  <si>
    <t>Eltérés</t>
  </si>
  <si>
    <t>1.1. TELEPÜLÉSI ÖNKORMÁNYZATOK MŰKÖDÉSÉNEK ÁLTALÁNOS TÁMOGATÁSA</t>
  </si>
  <si>
    <t>1.1.1.1. Önkormányzati hivatal működésének támogatása</t>
  </si>
  <si>
    <t>1.1.1.2. Településüzemeltetés - zöldterület gazdálkodás támogatása</t>
  </si>
  <si>
    <t>1.1.1.3. Településüzemeltetés - közvilágítás támogatása</t>
  </si>
  <si>
    <t>1.1.1.4. Településüzemeltetés - köztemető támogatása</t>
  </si>
  <si>
    <t>1.1.1.5. Településüzemeltetés - közutak támogatása</t>
  </si>
  <si>
    <t>1.1.1.6. Egyéb önkormányzati feladatok támogatása</t>
  </si>
  <si>
    <t>1.1.1.7. Lakott külterülettel kapcsolatos feladatok támogatása</t>
  </si>
  <si>
    <t>1.1.2. Nem közművel összegyűjtött háztartási szennyvíz ártalmatlanítása</t>
  </si>
  <si>
    <t>A HELYI ÖNKORMÁNYZATOK MŰKÖDÉSÉNEK ÁLTALÁNOS TÁMOGATÁSA ÖSSZESEN</t>
  </si>
  <si>
    <t>1.2. A TELEPÜLÉSI ÖNKORMÁNYZATOK EGYES KÖZNEVELÉSI FELADATAINAK TÁMOGATÁSA</t>
  </si>
  <si>
    <t>1.2.1. Óvodaműködtetési támogatás</t>
  </si>
  <si>
    <t>1.2.1.1. Óvoda működtetési támogatás - Óvoda napi nyitvatartási ideje eléri a 8 órát</t>
  </si>
  <si>
    <t>1.2.2. Az óvodában foglalkoztatott pedagógusok átlagbéralapú támogatása</t>
  </si>
  <si>
    <t>1.2.2.1 Pedagógusok átlagbéralapú támogatása</t>
  </si>
  <si>
    <t>1.2.4. Nemzetiségi pótlék</t>
  </si>
  <si>
    <t>1.2.4.1. Napi 8 órát elérő nyitvatartási idővel rendelkező óvodában foglalkoztatott</t>
  </si>
  <si>
    <t>1.2.4.1.1.A köznevelési Kjtvhr.16 §.(6) a)pont ac) alpontja éa b) pontja alapján nemzetisgi pótlékban részesülő pedagógus</t>
  </si>
  <si>
    <t>1.2.5. Az óvodában foglalkoztatott pedagógusok nevelőmunkáját közvetlenül segítők átlagbéralapú támogatása</t>
  </si>
  <si>
    <t>1.2.5.1. Napi 8 órát elérő nyitvatartási idővel rendelkező óvodában foglalkoztatott</t>
  </si>
  <si>
    <t>1.2.5.1.1.pedagógus szakképzettséggel nem rendelkező segítők átlagbéralapú támogatása</t>
  </si>
  <si>
    <t>1.2.5.1.2.pedagógus szakképzettséggel rendelkező segítők átlagbéralapú támogatása</t>
  </si>
  <si>
    <t xml:space="preserve">1.2.3. Kiegészítő tám. a ped.-ok és a ped.szakképzettséggel rend.segítők  minosítésébol adódó többletkiad.-hoz </t>
  </si>
  <si>
    <t>1.2.3.1. Minősítést 2020.január 1-jéig történő átsorolással megszerző</t>
  </si>
  <si>
    <t>1.2.3.1.1. Napi 8 órát elérő nyitvatartási idővel rendelkező óvodában foglalkoztatott</t>
  </si>
  <si>
    <t>1.2.3.1.1.1.Alapfokozatú végzettségű</t>
  </si>
  <si>
    <t>1.2.3.1.1.1.1. Pedagógus II.kategóriába sorolt pedagógusok,ped.szakképzettséggel rendekkező segtők kiegészítő támogatása</t>
  </si>
  <si>
    <t>1.2.3.1.1.1.2. Mestertanár,kutatótanár kategóriába sorolt pedagógusok kiegészítő támogatása</t>
  </si>
  <si>
    <t>1.2.3.1.1.2. Mesterfokú végzettségű</t>
  </si>
  <si>
    <t>1.2.3.1.1.2.1. Pedagógus II.kategóriába sorolt pedagógusok,ped.szakképzettséggel rendekkező segtők kiegészítő támogatása</t>
  </si>
  <si>
    <t>1.2.3.1.1.2.2. Mestertanár,kutatótanár kategóriába sorolt pedagósusok kiegészítő támogatása</t>
  </si>
  <si>
    <t>1.2.3.2. Minősítést 2021.január 1-jéig történő átsorolással megszerző</t>
  </si>
  <si>
    <t>1.2.3.2.1. Napi 8 órát elérő nyitvatartási idővel rendelkező óvodában foglalkoztatott</t>
  </si>
  <si>
    <t>1.2.3.2.1.1.Alapfokozatú végzettségű</t>
  </si>
  <si>
    <t>1.2.3.2.1.1.1. Pedagógus II.kategóriába sorolt pedagógusok,ped.szakképzettséggel rendekkező segtők kiegészítő támogatása</t>
  </si>
  <si>
    <t>1.2.3.2.1.1.2. Mestertanár,kutatótanár kategóriába sorolt pedagógusok kiegészítő támogatása</t>
  </si>
  <si>
    <t>1.2.3.2.1.2. Mesterfokú végzettségű</t>
  </si>
  <si>
    <t>1.2.3.2.1.2.1. Pedagógus II.kategóriába sorolt pedagógusok,ped.szakképzettséggel rendekkező segtők kiegészítő támogatása</t>
  </si>
  <si>
    <t>1.2.3.2.1.2.2. Mestertanár,kutatótanár kategóriába sorolt pedagógusok kiegészítő támogatása</t>
  </si>
  <si>
    <t>1.2.7. Diabétesz ellátási pótlék</t>
  </si>
  <si>
    <t>1.2. A TELEPÜLÉSI ÖNKORMÁNYZATOK EGYES KÖZNEVELÉSI FELADATAINAK TÁMOGATÁSA ÖSSZESEN</t>
  </si>
  <si>
    <t>1.3. TELEPÜLÉSI ÖNKORMÁNYZATOK EGYES SZOCIÁLIS ÉS GYERMEKJÓLÉTI FELADATAINAK TÁMOGATÁSA</t>
  </si>
  <si>
    <t>1.3.2. Egyes szociális és gyermekjóléti feladatok támogatása</t>
  </si>
  <si>
    <t xml:space="preserve">1.3.2.1.Család- és gyermekjóléti szolgálat </t>
  </si>
  <si>
    <t>1.3.2.2.Család- és gyermekjóléti központ</t>
  </si>
  <si>
    <t>1.3.2.3.1. Szociális étkeztetés - önálló feladat ellátás</t>
  </si>
  <si>
    <t xml:space="preserve">1.3.2.4.1. Házi segítségnyújtás- szociális segítés </t>
  </si>
  <si>
    <t xml:space="preserve">1.3.2.4.2. Házi segítségnyújtás- személyi gondozás </t>
  </si>
  <si>
    <t>1.3.2.6.1. Időskorúak nappali intézményi ellátása  - önálló feladat ellátás</t>
  </si>
  <si>
    <t>1.3.2.8.1. Demens személyek nappali intézményi ellátása - önálló feladat ellátás</t>
  </si>
  <si>
    <t>1.3.3. Bölcsőde, mini bölcsőde támogatása</t>
  </si>
  <si>
    <t>1.3.3.1. Bölcsődei támogatás</t>
  </si>
  <si>
    <t>1.3.3.1.1. Felsőfokú végzettségű kisgyermeknevelők, szaktanácsadók bértámogatása</t>
  </si>
  <si>
    <t>1.3.3.1.2. Bölcsődei dajkák, középfokú végzettségű kisgyermeknevelők, szaktanácsadók bértámogatása</t>
  </si>
  <si>
    <t>1.3.3.2. Bölcsőde üzemeltetési támogatás</t>
  </si>
  <si>
    <t>1.3.3. Bölcsőde, mini bölcsőde támogatása összesen</t>
  </si>
  <si>
    <t>1.3.4. Települési önk.által biztosított szoc.szakosított ellátsok, valamint a gyermekek átmeneti gondozásával kapcsolatos feladatok támogatása</t>
  </si>
  <si>
    <t>1.3.4.1. Bértámogatás</t>
  </si>
  <si>
    <t>1.3.4.2. Intézményüzemeltetési támogatás</t>
  </si>
  <si>
    <t>1.3. TELEPÜLÉSI ÖNKORMÁNYZATOK EGYES SZOCIÁLIS ÉS GYERMEKJÓLÉTI FELADATAINAK TÁMOGATÁSA ÖSSZESEN</t>
  </si>
  <si>
    <t>1.4. TELEPÜLÉSI ÖNKORMÁNYZATOK GYERMEKÉTKEZTETÉS FELADATAINAK TÁMOGATÁSA</t>
  </si>
  <si>
    <t>1.4.1. Intézményi gyermekétkeztetés támogatása</t>
  </si>
  <si>
    <t>1.4.1.1. Intézményi gyermekétkeztetés - bértámogatás</t>
  </si>
  <si>
    <t xml:space="preserve">1.4.1.2. Intézményi gyermekétkeztetés - üzemeltetési támogatása </t>
  </si>
  <si>
    <t>1.4.2. Szünidei étkeztetés támogatása</t>
  </si>
  <si>
    <t>1.4. TELEPÜLÉSI ÖNKORMÁNYZATOK GYERMEKÉTKEZTETÉS FELADATAINAK TÁMOGATÁSA ÖSSZESEN</t>
  </si>
  <si>
    <t xml:space="preserve">1.5. A TELEPÜLÉSI ÖNKORMÁNYZATOK KULTURÁLIS FELADATAINAK TÁMOGATÁSA </t>
  </si>
  <si>
    <t>1.5.1. Megyeszékhely megyei jogú városok közművelődési feladatainak támogatása</t>
  </si>
  <si>
    <t>1.5.5. Megyei hatókörű városi könyvtár kistelepülési célú kiegészítő támogatása</t>
  </si>
  <si>
    <t>1.5. A TELEPÜLÉSI ÖNKORMÁNYZATOK KULTURÁLIS FELADATAINAK TÁMOGATÁSA ÖSSZESEN</t>
  </si>
  <si>
    <t>TELEPÜLÉSI ÖNKORMÁNYZATOK ÁLTALÁNOS MŰKÖDÉSÉNEK ÉS ÁGAZATI FELADATAINAK TÁMOGATÁSA MINDÖSSZESEN</t>
  </si>
  <si>
    <t>Helyi önkormányzatok kiegészítő támogatásai (Kvtv.2021. 3. melléklet)</t>
  </si>
  <si>
    <t>2.1.2. A kéményseprő-ipari közszolgáltatás helyi önkormányzat általi ellátásának támogatása jogcím</t>
  </si>
  <si>
    <t xml:space="preserve">2.2.2. Szociális ágazati összevont pótlék </t>
  </si>
  <si>
    <t>2.2.3.Óvodai és iskolai szociális segítő tevékenység támogatása</t>
  </si>
  <si>
    <t>2.3.2.1. Megyei hatókörű városi múzeumok feladatainak támogatása</t>
  </si>
  <si>
    <t>2.3.2.2. Megyei hatókörű városi  könyvtárak feladatainak támogatása</t>
  </si>
  <si>
    <t>2.3.2.4. A települési önkormányzatok könyvtári célú érdekeltségnövelő támogatása</t>
  </si>
  <si>
    <t>2.3.2.6. Zeneművészeti szervezetek támogatása</t>
  </si>
  <si>
    <t>HELYI ÖNKORMÁNYZATOK KIEGÉSZÍTŐ TÁMOGATÁSAI MINDÖSSZESEN</t>
  </si>
  <si>
    <t>KVTV. 2. ÉS 3. MELLÉKLETE SZERINTI TÁMOGATÁSOK MINDÖSSZESEN</t>
  </si>
  <si>
    <t>TÁJÉKOZTATÓ ADAT</t>
  </si>
  <si>
    <t>Közös működtetési támogatás</t>
  </si>
  <si>
    <t xml:space="preserve">                            Mesebolt Bábszínház</t>
  </si>
  <si>
    <t xml:space="preserve">                            Weöres Sándor Színház Nonprofit Kft.</t>
  </si>
  <si>
    <t>MINDÖSSZESEN</t>
  </si>
  <si>
    <t>2021. évi segély kifizetésekről</t>
  </si>
  <si>
    <t xml:space="preserve">       A " Lakásalap" 1994-2021. közötti bevételeiről és kiadásairól</t>
  </si>
  <si>
    <t>Szombathely Megyei Jogú Város Önkormányzata 2021.évi fejlesztési kiadásainak</t>
  </si>
  <si>
    <t>2021. évi közvetett támogatásairól</t>
  </si>
  <si>
    <r>
      <rPr>
        <sz val="18"/>
        <rFont val="Arial CE"/>
        <charset val="238"/>
      </rPr>
      <t>*</t>
    </r>
    <r>
      <rPr>
        <sz val="12"/>
        <rFont val="Arial CE"/>
        <family val="2"/>
        <charset val="238"/>
      </rPr>
      <t xml:space="preserve"> Az Európai Uniós fejlesztési projektek bevételi és kiadási számviteli elszámolása a  könyvekben működési és felhalmozási főkönyvi bontásban szerepel mind kiadási mind bevételi oldalon az 1. melléklet szerint. Annak érdekében, hogy a projektek teljes körű költségvetése áttekinthető, átlátható legyen, a rendelet többi mellékleteiben a működési és felhalmozási tételek nem kerültek szétbontásra. Ez magyarázza az eltérést a 2. melléklethez képest.</t>
    </r>
  </si>
  <si>
    <t xml:space="preserve">2021. évi  kiadásai kiemelt előirányzatonként </t>
  </si>
  <si>
    <t>Vagyongazdálkodás 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</si>
</sst>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220" x14ac:knownFonts="1">
    <font>
      <sz val="8"/>
      <name val="Times New Roman CE"/>
      <charset val="238"/>
    </font>
    <font>
      <sz val="8"/>
      <name val="Times New Roman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color indexed="10"/>
      <name val="Arial CE"/>
      <family val="2"/>
      <charset val="238"/>
    </font>
    <font>
      <sz val="12"/>
      <name val="Arial"/>
      <family val="2"/>
    </font>
    <font>
      <sz val="12"/>
      <name val="Arial CE"/>
      <charset val="238"/>
    </font>
    <font>
      <b/>
      <sz val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4"/>
      <color indexed="10"/>
      <name val="Arial CE"/>
      <family val="2"/>
      <charset val="238"/>
    </font>
    <font>
      <sz val="12"/>
      <name val="Arial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i/>
      <sz val="12"/>
      <name val="Arial CE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sz val="12"/>
      <color indexed="20"/>
      <name val="garamond"/>
      <family val="2"/>
      <charset val="238"/>
    </font>
    <font>
      <b/>
      <sz val="12"/>
      <color indexed="52"/>
      <name val="garamond"/>
      <family val="2"/>
      <charset val="238"/>
    </font>
    <font>
      <b/>
      <sz val="12"/>
      <color indexed="9"/>
      <name val="garamond"/>
      <family val="2"/>
      <charset val="238"/>
    </font>
    <font>
      <i/>
      <sz val="12"/>
      <color indexed="23"/>
      <name val="garamond"/>
      <family val="2"/>
      <charset val="238"/>
    </font>
    <font>
      <sz val="12"/>
      <color indexed="17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sz val="12"/>
      <color indexed="60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Arial CE"/>
      <charset val="238"/>
    </font>
    <font>
      <b/>
      <sz val="16"/>
      <name val="Arial CE"/>
      <family val="2"/>
      <charset val="238"/>
    </font>
    <font>
      <b/>
      <sz val="14"/>
      <color indexed="10"/>
      <name val="Arial CE"/>
      <family val="2"/>
      <charset val="238"/>
    </font>
    <font>
      <sz val="14"/>
      <name val="Arial CE"/>
      <charset val="238"/>
    </font>
    <font>
      <b/>
      <i/>
      <sz val="14"/>
      <name val="Arial CE"/>
      <family val="2"/>
      <charset val="238"/>
    </font>
    <font>
      <sz val="16"/>
      <name val="Arial CE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6"/>
      <color indexed="10"/>
      <name val="Arial CE"/>
      <family val="2"/>
      <charset val="238"/>
    </font>
    <font>
      <u/>
      <sz val="14"/>
      <name val="Arial CE"/>
      <family val="2"/>
      <charset val="238"/>
    </font>
    <font>
      <i/>
      <sz val="12"/>
      <name val="Arial CE"/>
      <family val="2"/>
      <charset val="238"/>
    </font>
    <font>
      <sz val="11"/>
      <color indexed="8"/>
      <name val="Calibri"/>
      <family val="2"/>
    </font>
    <font>
      <sz val="15"/>
      <name val="Arial CE"/>
      <family val="2"/>
      <charset val="238"/>
    </font>
    <font>
      <b/>
      <i/>
      <sz val="16"/>
      <name val="Arial CE"/>
      <charset val="238"/>
    </font>
    <font>
      <sz val="16"/>
      <name val="Times New Roman CE"/>
      <charset val="238"/>
    </font>
    <font>
      <b/>
      <sz val="16"/>
      <name val="Arial CE"/>
      <charset val="238"/>
    </font>
    <font>
      <b/>
      <sz val="18"/>
      <name val="Arial CE"/>
      <family val="2"/>
      <charset val="238"/>
    </font>
    <font>
      <b/>
      <sz val="20"/>
      <name val="Arial CE"/>
      <family val="2"/>
      <charset val="238"/>
    </font>
    <font>
      <i/>
      <sz val="16"/>
      <name val="Arial CE"/>
      <charset val="238"/>
    </font>
    <font>
      <sz val="16"/>
      <name val="Arial CE"/>
      <charset val="238"/>
    </font>
    <font>
      <b/>
      <i/>
      <sz val="16"/>
      <name val="Arial CE"/>
      <family val="2"/>
      <charset val="238"/>
    </font>
    <font>
      <b/>
      <sz val="17"/>
      <name val="Arial CE"/>
      <family val="2"/>
      <charset val="238"/>
    </font>
    <font>
      <sz val="17"/>
      <name val="Arial CE"/>
      <family val="2"/>
      <charset val="238"/>
    </font>
    <font>
      <b/>
      <i/>
      <sz val="17"/>
      <name val="Arial CE"/>
      <family val="2"/>
      <charset val="238"/>
    </font>
    <font>
      <b/>
      <sz val="16"/>
      <name val="Times New Roman CE"/>
      <charset val="238"/>
    </font>
    <font>
      <sz val="12"/>
      <color rgb="FFFF0000"/>
      <name val="Arial CE"/>
      <family val="2"/>
      <charset val="238"/>
    </font>
    <font>
      <sz val="14"/>
      <color theme="3"/>
      <name val="Arial CE"/>
      <family val="2"/>
      <charset val="238"/>
    </font>
    <font>
      <sz val="12"/>
      <color theme="3"/>
      <name val="Arial CE"/>
      <family val="2"/>
      <charset val="238"/>
    </font>
    <font>
      <sz val="12"/>
      <color theme="3"/>
      <name val="Arial"/>
      <family val="2"/>
      <charset val="238"/>
    </font>
    <font>
      <sz val="14"/>
      <color rgb="FFFF0000"/>
      <name val="Arial CE"/>
      <charset val="238"/>
    </font>
    <font>
      <sz val="14"/>
      <color rgb="FFFF0000"/>
      <name val="Arial CE"/>
      <family val="2"/>
      <charset val="238"/>
    </font>
    <font>
      <sz val="14"/>
      <color theme="1"/>
      <name val="Arial CE"/>
      <family val="2"/>
      <charset val="238"/>
    </font>
    <font>
      <sz val="12"/>
      <color theme="1"/>
      <name val="Arial CE"/>
      <family val="2"/>
      <charset val="238"/>
    </font>
    <font>
      <sz val="14"/>
      <color theme="1"/>
      <name val="Arial CE"/>
      <charset val="238"/>
    </font>
    <font>
      <b/>
      <sz val="13"/>
      <name val="Arial CE"/>
      <charset val="238"/>
    </font>
    <font>
      <b/>
      <sz val="12"/>
      <color rgb="FFFF0000"/>
      <name val="Arial CE"/>
      <charset val="238"/>
    </font>
    <font>
      <b/>
      <i/>
      <u/>
      <sz val="14"/>
      <color rgb="FFFF0000"/>
      <name val="Arial CE"/>
      <charset val="238"/>
    </font>
    <font>
      <b/>
      <sz val="18"/>
      <color rgb="FFFF0000"/>
      <name val="Arial CE"/>
      <charset val="238"/>
    </font>
    <font>
      <b/>
      <sz val="14"/>
      <color rgb="FFFF0000"/>
      <name val="Arial CE"/>
      <charset val="238"/>
    </font>
    <font>
      <sz val="16"/>
      <color theme="1"/>
      <name val="Arial CE"/>
      <charset val="238"/>
    </font>
    <font>
      <sz val="14"/>
      <name val="Arial"/>
      <family val="2"/>
      <charset val="238"/>
    </font>
    <font>
      <b/>
      <i/>
      <sz val="13"/>
      <name val="Arial CE"/>
      <charset val="238"/>
    </font>
    <font>
      <b/>
      <sz val="13"/>
      <name val="Arial CE"/>
      <family val="2"/>
      <charset val="238"/>
    </font>
    <font>
      <sz val="13"/>
      <name val="Arial CE"/>
      <family val="2"/>
      <charset val="238"/>
    </font>
    <font>
      <b/>
      <i/>
      <sz val="13"/>
      <name val="Arial CE"/>
      <family val="2"/>
      <charset val="238"/>
    </font>
    <font>
      <i/>
      <sz val="13"/>
      <name val="Arial CE"/>
      <family val="2"/>
      <charset val="238"/>
    </font>
    <font>
      <sz val="13"/>
      <name val="Arial"/>
      <family val="2"/>
      <charset val="238"/>
    </font>
    <font>
      <b/>
      <i/>
      <sz val="13"/>
      <name val="Arial"/>
      <family val="2"/>
      <charset val="238"/>
    </font>
    <font>
      <i/>
      <sz val="13"/>
      <name val="Arial"/>
      <family val="2"/>
      <charset val="238"/>
    </font>
    <font>
      <b/>
      <sz val="13"/>
      <name val="Arial"/>
      <family val="2"/>
      <charset val="238"/>
    </font>
    <font>
      <sz val="13"/>
      <name val="Arial CE"/>
      <charset val="238"/>
    </font>
    <font>
      <sz val="13"/>
      <name val="Arial"/>
      <family val="2"/>
    </font>
    <font>
      <sz val="13"/>
      <name val="Times New Roman CE"/>
      <charset val="238"/>
    </font>
    <font>
      <sz val="16"/>
      <color theme="1"/>
      <name val="Arial CE"/>
      <family val="2"/>
      <charset val="238"/>
    </font>
    <font>
      <sz val="13"/>
      <color theme="1"/>
      <name val="Arial CE"/>
      <family val="2"/>
      <charset val="238"/>
    </font>
    <font>
      <sz val="17"/>
      <color theme="1"/>
      <name val="Arial CE"/>
      <family val="2"/>
      <charset val="238"/>
    </font>
    <font>
      <sz val="13"/>
      <color theme="1"/>
      <name val="Arial"/>
      <family val="2"/>
      <charset val="238"/>
    </font>
    <font>
      <b/>
      <sz val="17"/>
      <color theme="1"/>
      <name val="Arial CE"/>
      <family val="2"/>
      <charset val="238"/>
    </font>
    <font>
      <sz val="13"/>
      <color theme="1"/>
      <name val="Arial CE"/>
      <charset val="238"/>
    </font>
    <font>
      <sz val="13"/>
      <color theme="1"/>
      <name val="Arial"/>
      <family val="2"/>
    </font>
    <font>
      <sz val="17"/>
      <name val="Arial CE"/>
      <charset val="238"/>
    </font>
    <font>
      <b/>
      <i/>
      <u/>
      <sz val="17"/>
      <name val="Arial CE"/>
      <charset val="238"/>
    </font>
    <font>
      <b/>
      <i/>
      <u/>
      <sz val="17"/>
      <name val="Arial CE"/>
      <family val="2"/>
      <charset val="238"/>
    </font>
    <font>
      <b/>
      <sz val="16"/>
      <color rgb="FFFF0000"/>
      <name val="Arial CE"/>
      <family val="2"/>
      <charset val="238"/>
    </font>
    <font>
      <b/>
      <sz val="14"/>
      <color rgb="FFFF0000"/>
      <name val="Arial CE"/>
      <family val="2"/>
      <charset val="238"/>
    </font>
    <font>
      <b/>
      <sz val="18"/>
      <color theme="1"/>
      <name val="Arial CE"/>
      <family val="2"/>
      <charset val="238"/>
    </font>
    <font>
      <b/>
      <sz val="12"/>
      <color theme="1"/>
      <name val="Arial CE"/>
      <family val="2"/>
      <charset val="238"/>
    </font>
    <font>
      <b/>
      <sz val="16"/>
      <color theme="1"/>
      <name val="Arial CE"/>
      <family val="2"/>
      <charset val="238"/>
    </font>
    <font>
      <b/>
      <i/>
      <u/>
      <sz val="14"/>
      <color theme="1"/>
      <name val="Arial CE"/>
      <family val="2"/>
      <charset val="238"/>
    </font>
    <font>
      <b/>
      <sz val="12"/>
      <color rgb="FFFF0000"/>
      <name val="Arial CE"/>
      <family val="2"/>
      <charset val="238"/>
    </font>
    <font>
      <sz val="13"/>
      <color rgb="FFFF0000"/>
      <name val="Arial CE"/>
      <family val="2"/>
      <charset val="238"/>
    </font>
    <font>
      <b/>
      <sz val="14"/>
      <name val="Arial"/>
      <family val="2"/>
      <charset val="238"/>
    </font>
    <font>
      <b/>
      <sz val="15"/>
      <name val="Arial CE"/>
      <charset val="238"/>
    </font>
    <font>
      <b/>
      <sz val="17"/>
      <name val="Arial CE"/>
      <charset val="238"/>
    </font>
    <font>
      <i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u/>
      <sz val="11"/>
      <name val="Arial CE"/>
      <family val="2"/>
      <charset val="238"/>
    </font>
    <font>
      <b/>
      <i/>
      <sz val="11"/>
      <name val="Arial CE"/>
      <charset val="238"/>
    </font>
    <font>
      <b/>
      <sz val="11"/>
      <color indexed="10"/>
      <name val="Arial CE"/>
      <family val="2"/>
      <charset val="238"/>
    </font>
    <font>
      <b/>
      <i/>
      <u/>
      <sz val="12"/>
      <name val="Arial CE"/>
      <family val="2"/>
      <charset val="238"/>
    </font>
    <font>
      <b/>
      <i/>
      <u/>
      <sz val="12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4"/>
      <name val="Times New Roman CE"/>
      <charset val="238"/>
    </font>
    <font>
      <sz val="12"/>
      <name val="Times New Roman CE"/>
      <charset val="238"/>
    </font>
    <font>
      <b/>
      <i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Times New Roman CE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</font>
    <font>
      <sz val="12"/>
      <color indexed="10"/>
      <name val="Times New Roman CE"/>
      <charset val="238"/>
    </font>
    <font>
      <sz val="14"/>
      <color indexed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sz val="12"/>
      <color indexed="10"/>
      <name val="Arial"/>
      <family val="2"/>
    </font>
    <font>
      <sz val="14"/>
      <color theme="1"/>
      <name val="Arial"/>
      <family val="2"/>
    </font>
    <font>
      <b/>
      <i/>
      <sz val="14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u/>
      <sz val="11"/>
      <name val="Arial CE"/>
      <family val="2"/>
      <charset val="238"/>
    </font>
    <font>
      <b/>
      <sz val="11"/>
      <name val="Arial CE"/>
      <charset val="238"/>
    </font>
    <font>
      <sz val="12"/>
      <color theme="1"/>
      <name val="Times New Roman CE"/>
      <charset val="238"/>
    </font>
    <font>
      <sz val="8"/>
      <name val="Arial CE"/>
      <family val="2"/>
      <charset val="238"/>
    </font>
    <font>
      <sz val="11"/>
      <color indexed="10"/>
      <name val="Arial CE"/>
      <family val="2"/>
      <charset val="238"/>
    </font>
    <font>
      <sz val="10"/>
      <color indexed="8"/>
      <name val="MS Sans Serif"/>
      <charset val="238"/>
    </font>
    <font>
      <b/>
      <sz val="13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4"/>
      <name val="Arial CE"/>
      <charset val="238"/>
    </font>
    <font>
      <u/>
      <sz val="12"/>
      <name val="Arial CE"/>
      <family val="2"/>
      <charset val="238"/>
    </font>
    <font>
      <sz val="10"/>
      <name val="Arial"/>
      <family val="2"/>
      <charset val="238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26"/>
      <name val="Arial CE"/>
      <family val="2"/>
      <charset val="238"/>
    </font>
    <font>
      <b/>
      <sz val="26"/>
      <color indexed="10"/>
      <name val="Arial CE"/>
      <family val="2"/>
      <charset val="238"/>
    </font>
    <font>
      <b/>
      <sz val="16"/>
      <color indexed="10"/>
      <name val="Arial CE"/>
      <family val="2"/>
      <charset val="238"/>
    </font>
    <font>
      <b/>
      <sz val="20"/>
      <color indexed="10"/>
      <name val="Arial CE"/>
      <family val="2"/>
      <charset val="238"/>
    </font>
    <font>
      <sz val="16"/>
      <color indexed="10"/>
      <name val="Times New Roman CE"/>
      <charset val="238"/>
    </font>
    <font>
      <b/>
      <sz val="28"/>
      <color indexed="10"/>
      <name val="Arial CE"/>
      <family val="2"/>
      <charset val="238"/>
    </font>
    <font>
      <b/>
      <sz val="22"/>
      <color indexed="10"/>
      <name val="Arial CE"/>
      <family val="2"/>
      <charset val="238"/>
    </font>
    <font>
      <b/>
      <sz val="22"/>
      <name val="Arial CE"/>
      <family val="2"/>
      <charset val="238"/>
    </font>
    <font>
      <b/>
      <sz val="24"/>
      <name val="Arial CE"/>
      <family val="2"/>
      <charset val="238"/>
    </font>
    <font>
      <b/>
      <sz val="20"/>
      <name val="Arial"/>
      <family val="2"/>
      <charset val="238"/>
    </font>
    <font>
      <b/>
      <i/>
      <sz val="16"/>
      <name val="Times New Roman CE"/>
      <charset val="238"/>
    </font>
    <font>
      <b/>
      <sz val="26"/>
      <name val="Arial"/>
      <family val="2"/>
      <charset val="238"/>
    </font>
    <font>
      <sz val="26"/>
      <name val="Arial"/>
      <family val="2"/>
      <charset val="238"/>
    </font>
    <font>
      <b/>
      <sz val="28"/>
      <name val="Arial"/>
      <family val="2"/>
      <charset val="238"/>
    </font>
    <font>
      <b/>
      <u/>
      <sz val="26"/>
      <name val="Arial"/>
      <family val="2"/>
      <charset val="238"/>
    </font>
    <font>
      <b/>
      <sz val="36"/>
      <name val="Arial CE"/>
      <charset val="238"/>
    </font>
    <font>
      <b/>
      <sz val="30"/>
      <name val="Arial CE"/>
      <charset val="238"/>
    </font>
    <font>
      <b/>
      <sz val="44"/>
      <name val="Arial CE"/>
      <charset val="238"/>
    </font>
    <font>
      <b/>
      <sz val="34"/>
      <name val="Arial CE"/>
      <charset val="238"/>
    </font>
    <font>
      <b/>
      <i/>
      <sz val="36"/>
      <name val="Arial CE"/>
      <charset val="238"/>
    </font>
    <font>
      <b/>
      <sz val="28"/>
      <name val="Arial CE"/>
      <charset val="238"/>
    </font>
    <font>
      <b/>
      <sz val="24"/>
      <name val="Arial CE"/>
      <charset val="238"/>
    </font>
    <font>
      <b/>
      <i/>
      <sz val="30"/>
      <name val="Arial CE"/>
      <charset val="238"/>
    </font>
    <font>
      <b/>
      <sz val="20"/>
      <name val="Arial CE"/>
      <charset val="238"/>
    </font>
    <font>
      <sz val="20"/>
      <name val="Arial CE"/>
      <charset val="238"/>
    </font>
    <font>
      <b/>
      <sz val="12"/>
      <color theme="1"/>
      <name val="Arial"/>
      <family val="2"/>
      <charset val="238"/>
    </font>
    <font>
      <sz val="8"/>
      <name val="Arial CE"/>
    </font>
    <font>
      <b/>
      <sz val="17"/>
      <color indexed="8"/>
      <name val="Arial CE"/>
      <charset val="238"/>
    </font>
    <font>
      <sz val="15"/>
      <color theme="1"/>
      <name val="Arial CE"/>
      <charset val="238"/>
    </font>
    <font>
      <b/>
      <sz val="15"/>
      <color theme="1"/>
      <name val="Arial CE"/>
      <charset val="238"/>
    </font>
    <font>
      <b/>
      <sz val="15"/>
      <name val="Arial"/>
      <family val="2"/>
      <charset val="238"/>
    </font>
    <font>
      <sz val="15"/>
      <color theme="1"/>
      <name val="Arial"/>
      <family val="2"/>
      <charset val="238"/>
    </font>
    <font>
      <b/>
      <sz val="15"/>
      <color indexed="8"/>
      <name val="Arial Ce"/>
      <charset val="238"/>
    </font>
    <font>
      <sz val="15"/>
      <color indexed="8"/>
      <name val="Arial Ce"/>
      <charset val="238"/>
    </font>
    <font>
      <b/>
      <sz val="15"/>
      <color theme="1"/>
      <name val="Arial"/>
      <family val="2"/>
      <charset val="238"/>
    </font>
    <font>
      <b/>
      <sz val="15"/>
      <color indexed="8"/>
      <name val="Arial"/>
      <family val="2"/>
      <charset val="238"/>
    </font>
    <font>
      <sz val="15"/>
      <name val="Arial"/>
      <family val="2"/>
      <charset val="238"/>
    </font>
    <font>
      <sz val="15"/>
      <name val="Arial CE"/>
      <charset val="238"/>
    </font>
    <font>
      <b/>
      <i/>
      <sz val="15"/>
      <name val="Arial CE"/>
      <charset val="238"/>
    </font>
    <font>
      <sz val="18"/>
      <name val="Arial CE"/>
      <family val="2"/>
      <charset val="238"/>
    </font>
    <font>
      <sz val="18"/>
      <name val="Arial CE"/>
      <charset val="238"/>
    </font>
    <font>
      <b/>
      <sz val="38"/>
      <name val="Arial CE"/>
      <charset val="238"/>
    </font>
    <font>
      <sz val="38"/>
      <name val="Arial CE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8" borderId="0" applyNumberFormat="0" applyBorder="0" applyAlignment="0" applyProtection="0"/>
    <xf numFmtId="0" fontId="37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5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16" borderId="0" applyNumberFormat="0" applyBorder="0" applyAlignment="0" applyProtection="0"/>
    <xf numFmtId="0" fontId="37" fillId="12" borderId="0" applyNumberFormat="0" applyBorder="0" applyAlignment="0" applyProtection="0"/>
    <xf numFmtId="0" fontId="37" fillId="4" borderId="0" applyNumberFormat="0" applyBorder="0" applyAlignment="0" applyProtection="0"/>
    <xf numFmtId="0" fontId="3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5" borderId="0" applyNumberFormat="0" applyBorder="0" applyAlignment="0" applyProtection="0"/>
    <xf numFmtId="0" fontId="38" fillId="19" borderId="0" applyNumberFormat="0" applyBorder="0" applyAlignment="0" applyProtection="0"/>
    <xf numFmtId="0" fontId="38" fillId="5" borderId="0" applyNumberFormat="0" applyBorder="0" applyAlignment="0" applyProtection="0"/>
    <xf numFmtId="0" fontId="38" fillId="16" borderId="0" applyNumberFormat="0" applyBorder="0" applyAlignment="0" applyProtection="0"/>
    <xf numFmtId="0" fontId="38" fillId="20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18" borderId="0" applyNumberFormat="0" applyBorder="0" applyAlignment="0" applyProtection="0"/>
    <xf numFmtId="0" fontId="38" fillId="23" borderId="0" applyNumberFormat="0" applyBorder="0" applyAlignment="0" applyProtection="0"/>
    <xf numFmtId="0" fontId="38" fillId="20" borderId="0" applyNumberFormat="0" applyBorder="0" applyAlignment="0" applyProtection="0"/>
    <xf numFmtId="0" fontId="38" fillId="17" borderId="0" applyNumberFormat="0" applyBorder="0" applyAlignment="0" applyProtection="0"/>
    <xf numFmtId="0" fontId="38" fillId="3" borderId="0" applyNumberFormat="0" applyBorder="0" applyAlignment="0" applyProtection="0"/>
    <xf numFmtId="0" fontId="39" fillId="10" borderId="0" applyNumberFormat="0" applyBorder="0" applyAlignment="0" applyProtection="0"/>
    <xf numFmtId="0" fontId="18" fillId="15" borderId="1" applyNumberFormat="0" applyAlignment="0" applyProtection="0"/>
    <xf numFmtId="0" fontId="40" fillId="24" borderId="1" applyNumberFormat="0" applyAlignment="0" applyProtection="0"/>
    <xf numFmtId="0" fontId="41" fillId="25" borderId="2" applyNumberFormat="0" applyAlignment="0" applyProtection="0"/>
    <xf numFmtId="0" fontId="19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5" borderId="2" applyNumberFormat="0" applyAlignment="0" applyProtection="0"/>
    <xf numFmtId="0" fontId="4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3" fillId="11" borderId="0" applyNumberFormat="0" applyBorder="0" applyAlignment="0" applyProtection="0"/>
    <xf numFmtId="0" fontId="44" fillId="0" borderId="6" applyNumberFormat="0" applyFill="0" applyAlignment="0" applyProtection="0"/>
    <xf numFmtId="0" fontId="45" fillId="0" borderId="7" applyNumberFormat="0" applyFill="0" applyAlignment="0" applyProtection="0"/>
    <xf numFmtId="0" fontId="46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47" fillId="7" borderId="1" applyNumberFormat="0" applyAlignment="0" applyProtection="0"/>
    <xf numFmtId="0" fontId="1" fillId="6" borderId="10" applyNumberFormat="0" applyFont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5" fillId="8" borderId="0" applyNumberFormat="0" applyBorder="0" applyAlignment="0" applyProtection="0"/>
    <xf numFmtId="0" fontId="26" fillId="26" borderId="11" applyNumberFormat="0" applyAlignment="0" applyProtection="0"/>
    <xf numFmtId="0" fontId="48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49" fillId="15" borderId="0" applyNumberFormat="0" applyBorder="0" applyAlignment="0" applyProtection="0"/>
    <xf numFmtId="0" fontId="66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37" fillId="6" borderId="10" applyNumberFormat="0" applyFont="0" applyAlignment="0" applyProtection="0"/>
    <xf numFmtId="0" fontId="50" fillId="24" borderId="11" applyNumberFormat="0" applyAlignment="0" applyProtection="0"/>
    <xf numFmtId="0" fontId="28" fillId="0" borderId="13" applyNumberFormat="0" applyFill="0" applyAlignment="0" applyProtection="0"/>
    <xf numFmtId="0" fontId="29" fillId="12" borderId="0" applyNumberFormat="0" applyBorder="0" applyAlignment="0" applyProtection="0"/>
    <xf numFmtId="0" fontId="30" fillId="15" borderId="0" applyNumberFormat="0" applyBorder="0" applyAlignment="0" applyProtection="0"/>
    <xf numFmtId="0" fontId="31" fillId="26" borderId="1" applyNumberFormat="0" applyAlignment="0" applyProtection="0"/>
    <xf numFmtId="0" fontId="51" fillId="0" borderId="0" applyNumberFormat="0" applyFill="0" applyBorder="0" applyAlignment="0" applyProtection="0"/>
    <xf numFmtId="0" fontId="52" fillId="0" borderId="14" applyNumberFormat="0" applyFill="0" applyAlignment="0" applyProtection="0"/>
    <xf numFmtId="0" fontId="53" fillId="0" borderId="0" applyNumberForma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144" fillId="0" borderId="0"/>
    <xf numFmtId="0" fontId="144" fillId="0" borderId="0"/>
    <xf numFmtId="0" fontId="2" fillId="0" borderId="0"/>
    <xf numFmtId="0" fontId="2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66" fillId="0" borderId="0"/>
    <xf numFmtId="0" fontId="1" fillId="0" borderId="0"/>
    <xf numFmtId="0" fontId="174" fillId="0" borderId="0"/>
    <xf numFmtId="0" fontId="2" fillId="0" borderId="0"/>
    <xf numFmtId="0" fontId="144" fillId="0" borderId="0"/>
    <xf numFmtId="0" fontId="144" fillId="0" borderId="0"/>
    <xf numFmtId="0" fontId="174" fillId="0" borderId="0"/>
    <xf numFmtId="0" fontId="1" fillId="0" borderId="0"/>
    <xf numFmtId="0" fontId="203" fillId="0" borderId="0"/>
  </cellStyleXfs>
  <cellXfs count="2635">
    <xf numFmtId="0" fontId="0" fillId="0" borderId="0" xfId="0"/>
    <xf numFmtId="0" fontId="4" fillId="0" borderId="0" xfId="0" applyFont="1" applyBorder="1"/>
    <xf numFmtId="3" fontId="3" fillId="0" borderId="0" xfId="0" applyNumberFormat="1" applyFont="1" applyBorder="1"/>
    <xf numFmtId="3" fontId="4" fillId="0" borderId="0" xfId="0" applyNumberFormat="1" applyFont="1" applyBorder="1"/>
    <xf numFmtId="3" fontId="4" fillId="0" borderId="0" xfId="0" applyNumberFormat="1" applyFont="1"/>
    <xf numFmtId="3" fontId="4" fillId="0" borderId="0" xfId="0" applyNumberFormat="1" applyFont="1" applyFill="1"/>
    <xf numFmtId="0" fontId="4" fillId="0" borderId="0" xfId="0" applyFont="1"/>
    <xf numFmtId="3" fontId="3" fillId="0" borderId="0" xfId="0" applyNumberFormat="1" applyFont="1"/>
    <xf numFmtId="0" fontId="3" fillId="0" borderId="0" xfId="0" applyFont="1"/>
    <xf numFmtId="3" fontId="4" fillId="0" borderId="0" xfId="0" applyNumberFormat="1" applyFont="1" applyBorder="1" applyProtection="1">
      <protection locked="0"/>
    </xf>
    <xf numFmtId="0" fontId="4" fillId="0" borderId="0" xfId="0" applyFont="1" applyFill="1"/>
    <xf numFmtId="0" fontId="3" fillId="0" borderId="0" xfId="0" applyFont="1" applyAlignment="1">
      <alignment horizontal="center"/>
    </xf>
    <xf numFmtId="0" fontId="3" fillId="0" borderId="16" xfId="0" applyFont="1" applyBorder="1" applyProtection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4" fillId="0" borderId="0" xfId="0" applyFont="1" applyFill="1" applyBorder="1"/>
    <xf numFmtId="3" fontId="4" fillId="0" borderId="0" xfId="0" applyNumberFormat="1" applyFont="1" applyAlignment="1">
      <alignment horizontal="right"/>
    </xf>
    <xf numFmtId="0" fontId="4" fillId="0" borderId="16" xfId="0" applyFont="1" applyFill="1" applyBorder="1" applyProtection="1"/>
    <xf numFmtId="0" fontId="3" fillId="0" borderId="0" xfId="0" applyFont="1" applyAlignment="1" applyProtection="1">
      <alignment horizontal="center"/>
    </xf>
    <xf numFmtId="0" fontId="4" fillId="0" borderId="0" xfId="77" applyFont="1"/>
    <xf numFmtId="0" fontId="4" fillId="0" borderId="0" xfId="77" applyFont="1" applyFill="1"/>
    <xf numFmtId="0" fontId="3" fillId="0" borderId="0" xfId="0" applyFont="1" applyBorder="1" applyAlignment="1">
      <alignment horizontal="center"/>
    </xf>
    <xf numFmtId="3" fontId="4" fillId="0" borderId="0" xfId="77" applyNumberFormat="1" applyFont="1" applyFill="1" applyBorder="1"/>
    <xf numFmtId="3" fontId="4" fillId="0" borderId="0" xfId="0" applyNumberFormat="1" applyFont="1" applyAlignment="1">
      <alignment horizontal="left"/>
    </xf>
    <xf numFmtId="3" fontId="4" fillId="0" borderId="0" xfId="77" applyNumberFormat="1" applyFont="1"/>
    <xf numFmtId="3" fontId="12" fillId="0" borderId="0" xfId="0" applyNumberFormat="1" applyFont="1"/>
    <xf numFmtId="3" fontId="9" fillId="0" borderId="0" xfId="0" applyNumberFormat="1" applyFont="1"/>
    <xf numFmtId="3" fontId="12" fillId="0" borderId="0" xfId="0" applyNumberFormat="1" applyFont="1" applyFill="1"/>
    <xf numFmtId="2" fontId="3" fillId="0" borderId="0" xfId="0" applyNumberFormat="1" applyFont="1" applyBorder="1"/>
    <xf numFmtId="0" fontId="15" fillId="0" borderId="0" xfId="0" applyFont="1" applyFill="1"/>
    <xf numFmtId="3" fontId="4" fillId="0" borderId="0" xfId="0" applyNumberFormat="1" applyFont="1" applyFill="1" applyBorder="1"/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center"/>
    </xf>
    <xf numFmtId="0" fontId="3" fillId="27" borderId="0" xfId="0" applyFont="1" applyFill="1" applyBorder="1" applyAlignment="1">
      <alignment horizontal="center"/>
    </xf>
    <xf numFmtId="0" fontId="4" fillId="0" borderId="0" xfId="77" applyFont="1" applyFill="1" applyBorder="1"/>
    <xf numFmtId="3" fontId="34" fillId="0" borderId="0" xfId="0" applyNumberFormat="1" applyFont="1" applyFill="1" applyBorder="1" applyAlignment="1">
      <alignment horizontal="right"/>
    </xf>
    <xf numFmtId="0" fontId="35" fillId="0" borderId="69" xfId="0" applyFont="1" applyFill="1" applyBorder="1" applyAlignment="1">
      <alignment horizontal="center"/>
    </xf>
    <xf numFmtId="3" fontId="13" fillId="0" borderId="69" xfId="0" applyNumberFormat="1" applyFont="1" applyFill="1" applyBorder="1" applyAlignment="1">
      <alignment horizontal="center"/>
    </xf>
    <xf numFmtId="0" fontId="14" fillId="0" borderId="89" xfId="0" applyFont="1" applyFill="1" applyBorder="1" applyAlignment="1">
      <alignment horizontal="center"/>
    </xf>
    <xf numFmtId="3" fontId="3" fillId="0" borderId="89" xfId="0" applyNumberFormat="1" applyFont="1" applyFill="1" applyBorder="1"/>
    <xf numFmtId="3" fontId="3" fillId="0" borderId="69" xfId="0" applyNumberFormat="1" applyFont="1" applyFill="1" applyBorder="1"/>
    <xf numFmtId="4" fontId="3" fillId="0" borderId="89" xfId="0" applyNumberFormat="1" applyFont="1" applyFill="1" applyBorder="1"/>
    <xf numFmtId="4" fontId="3" fillId="0" borderId="69" xfId="0" applyNumberFormat="1" applyFont="1" applyFill="1" applyBorder="1"/>
    <xf numFmtId="0" fontId="14" fillId="0" borderId="69" xfId="0" applyFont="1" applyFill="1" applyBorder="1" applyAlignment="1">
      <alignment horizontal="center"/>
    </xf>
    <xf numFmtId="0" fontId="36" fillId="0" borderId="0" xfId="0" applyFont="1" applyFill="1" applyBorder="1"/>
    <xf numFmtId="0" fontId="36" fillId="0" borderId="0" xfId="0" applyFont="1" applyFill="1"/>
    <xf numFmtId="0" fontId="10" fillId="0" borderId="0" xfId="77" applyFont="1" applyFill="1"/>
    <xf numFmtId="3" fontId="4" fillId="0" borderId="0" xfId="77" applyNumberFormat="1" applyFont="1" applyFill="1" applyAlignment="1">
      <alignment horizontal="right"/>
    </xf>
    <xf numFmtId="0" fontId="4" fillId="0" borderId="0" xfId="77" applyFont="1" applyFill="1" applyBorder="1" applyAlignment="1">
      <alignment horizontal="center"/>
    </xf>
    <xf numFmtId="3" fontId="4" fillId="0" borderId="0" xfId="77" applyNumberFormat="1" applyFont="1" applyFill="1"/>
    <xf numFmtId="0" fontId="3" fillId="0" borderId="0" xfId="77" applyFont="1" applyFill="1" applyBorder="1" applyAlignment="1">
      <alignment horizontal="center"/>
    </xf>
    <xf numFmtId="0" fontId="55" fillId="0" borderId="0" xfId="0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14" fillId="0" borderId="20" xfId="0" applyFont="1" applyFill="1" applyBorder="1"/>
    <xf numFmtId="3" fontId="14" fillId="0" borderId="60" xfId="0" applyNumberFormat="1" applyFont="1" applyFill="1" applyBorder="1"/>
    <xf numFmtId="3" fontId="7" fillId="0" borderId="75" xfId="78" applyNumberFormat="1" applyFont="1" applyFill="1" applyBorder="1" applyAlignment="1">
      <alignment horizontal="right" vertical="top" wrapText="1"/>
    </xf>
    <xf numFmtId="4" fontId="7" fillId="0" borderId="75" xfId="78" applyNumberFormat="1" applyFont="1" applyFill="1" applyBorder="1" applyAlignment="1">
      <alignment horizontal="right" vertical="top" wrapText="1"/>
    </xf>
    <xf numFmtId="3" fontId="33" fillId="0" borderId="69" xfId="78" applyNumberFormat="1" applyFont="1" applyFill="1" applyBorder="1" applyAlignment="1">
      <alignment horizontal="justify" vertical="top" wrapText="1"/>
    </xf>
    <xf numFmtId="0" fontId="3" fillId="0" borderId="18" xfId="0" applyFont="1" applyFill="1" applyBorder="1"/>
    <xf numFmtId="0" fontId="3" fillId="0" borderId="93" xfId="0" applyFont="1" applyFill="1" applyBorder="1"/>
    <xf numFmtId="3" fontId="34" fillId="0" borderId="0" xfId="0" applyNumberFormat="1" applyFont="1" applyFill="1"/>
    <xf numFmtId="3" fontId="32" fillId="0" borderId="0" xfId="0" applyNumberFormat="1" applyFont="1" applyFill="1"/>
    <xf numFmtId="3" fontId="14" fillId="0" borderId="0" xfId="0" applyNumberFormat="1" applyFont="1" applyFill="1" applyBorder="1" applyAlignment="1">
      <alignment horizontal="center"/>
    </xf>
    <xf numFmtId="3" fontId="57" fillId="0" borderId="0" xfId="0" applyNumberFormat="1" applyFont="1" applyFill="1" applyBorder="1" applyAlignment="1">
      <alignment horizontal="center"/>
    </xf>
    <xf numFmtId="3" fontId="14" fillId="0" borderId="46" xfId="0" applyNumberFormat="1" applyFont="1" applyFill="1" applyBorder="1" applyAlignment="1">
      <alignment horizontal="left"/>
    </xf>
    <xf numFmtId="3" fontId="34" fillId="0" borderId="0" xfId="0" applyNumberFormat="1" applyFont="1" applyFill="1" applyBorder="1"/>
    <xf numFmtId="0" fontId="58" fillId="0" borderId="40" xfId="0" applyFont="1" applyFill="1" applyBorder="1"/>
    <xf numFmtId="0" fontId="35" fillId="0" borderId="20" xfId="0" applyFont="1" applyFill="1" applyBorder="1"/>
    <xf numFmtId="3" fontId="14" fillId="0" borderId="0" xfId="0" applyNumberFormat="1" applyFont="1" applyFill="1" applyBorder="1" applyAlignment="1">
      <alignment horizontal="centerContinuous"/>
    </xf>
    <xf numFmtId="3" fontId="14" fillId="0" borderId="0" xfId="0" applyNumberFormat="1" applyFont="1" applyFill="1" applyBorder="1" applyAlignment="1"/>
    <xf numFmtId="3" fontId="14" fillId="0" borderId="18" xfId="0" applyNumberFormat="1" applyFont="1" applyFill="1" applyBorder="1" applyAlignment="1"/>
    <xf numFmtId="3" fontId="14" fillId="0" borderId="19" xfId="0" applyNumberFormat="1" applyFont="1" applyFill="1" applyBorder="1"/>
    <xf numFmtId="3" fontId="34" fillId="0" borderId="16" xfId="0" applyNumberFormat="1" applyFont="1" applyFill="1" applyBorder="1"/>
    <xf numFmtId="0" fontId="13" fillId="0" borderId="0" xfId="0" applyFont="1" applyFill="1" applyBorder="1" applyAlignment="1">
      <alignment horizontal="center"/>
    </xf>
    <xf numFmtId="3" fontId="56" fillId="0" borderId="0" xfId="0" applyNumberFormat="1" applyFont="1" applyFill="1" applyBorder="1"/>
    <xf numFmtId="3" fontId="60" fillId="0" borderId="15" xfId="0" applyNumberFormat="1" applyFont="1" applyFill="1" applyBorder="1"/>
    <xf numFmtId="3" fontId="60" fillId="0" borderId="36" xfId="0" applyNumberFormat="1" applyFont="1" applyFill="1" applyBorder="1"/>
    <xf numFmtId="3" fontId="60" fillId="0" borderId="36" xfId="0" applyNumberFormat="1" applyFont="1" applyFill="1" applyBorder="1" applyProtection="1"/>
    <xf numFmtId="3" fontId="56" fillId="0" borderId="86" xfId="0" applyNumberFormat="1" applyFont="1" applyFill="1" applyBorder="1"/>
    <xf numFmtId="3" fontId="60" fillId="0" borderId="84" xfId="0" applyNumberFormat="1" applyFont="1" applyFill="1" applyBorder="1"/>
    <xf numFmtId="3" fontId="60" fillId="0" borderId="15" xfId="0" applyNumberFormat="1" applyFont="1" applyFill="1" applyBorder="1" applyProtection="1"/>
    <xf numFmtId="0" fontId="61" fillId="0" borderId="15" xfId="0" applyFont="1" applyFill="1" applyBorder="1" applyAlignment="1">
      <alignment horizontal="center"/>
    </xf>
    <xf numFmtId="3" fontId="56" fillId="0" borderId="21" xfId="0" applyNumberFormat="1" applyFont="1" applyFill="1" applyBorder="1"/>
    <xf numFmtId="3" fontId="56" fillId="0" borderId="15" xfId="0" applyNumberFormat="1" applyFont="1" applyFill="1" applyBorder="1"/>
    <xf numFmtId="3" fontId="60" fillId="0" borderId="61" xfId="0" applyNumberFormat="1" applyFont="1" applyFill="1" applyBorder="1"/>
    <xf numFmtId="3" fontId="60" fillId="0" borderId="15" xfId="0" applyNumberFormat="1" applyFont="1" applyFill="1" applyBorder="1" applyAlignment="1">
      <alignment horizontal="right"/>
    </xf>
    <xf numFmtId="3" fontId="60" fillId="0" borderId="36" xfId="0" applyNumberFormat="1" applyFont="1" applyFill="1" applyBorder="1" applyAlignment="1">
      <alignment horizontal="right"/>
    </xf>
    <xf numFmtId="3" fontId="56" fillId="0" borderId="61" xfId="0" applyNumberFormat="1" applyFont="1" applyFill="1" applyBorder="1"/>
    <xf numFmtId="3" fontId="62" fillId="0" borderId="36" xfId="0" applyNumberFormat="1" applyFont="1" applyFill="1" applyBorder="1" applyAlignment="1">
      <alignment horizontal="right"/>
    </xf>
    <xf numFmtId="3" fontId="61" fillId="0" borderId="21" xfId="0" applyNumberFormat="1" applyFont="1" applyFill="1" applyBorder="1" applyAlignment="1">
      <alignment horizontal="right"/>
    </xf>
    <xf numFmtId="3" fontId="61" fillId="0" borderId="32" xfId="0" applyNumberFormat="1" applyFont="1" applyFill="1" applyBorder="1" applyAlignment="1">
      <alignment horizontal="right"/>
    </xf>
    <xf numFmtId="3" fontId="56" fillId="0" borderId="45" xfId="0" applyNumberFormat="1" applyFont="1" applyFill="1" applyBorder="1"/>
    <xf numFmtId="4" fontId="60" fillId="0" borderId="99" xfId="0" applyNumberFormat="1" applyFont="1" applyFill="1" applyBorder="1" applyProtection="1"/>
    <xf numFmtId="4" fontId="60" fillId="0" borderId="68" xfId="0" applyNumberFormat="1" applyFont="1" applyFill="1" applyBorder="1" applyProtection="1"/>
    <xf numFmtId="4" fontId="56" fillId="0" borderId="81" xfId="0" applyNumberFormat="1" applyFont="1" applyFill="1" applyBorder="1"/>
    <xf numFmtId="4" fontId="60" fillId="0" borderId="99" xfId="0" applyNumberFormat="1" applyFont="1" applyFill="1" applyBorder="1" applyAlignment="1">
      <alignment horizontal="right"/>
    </xf>
    <xf numFmtId="4" fontId="60" fillId="0" borderId="68" xfId="0" applyNumberFormat="1" applyFont="1" applyFill="1" applyBorder="1" applyAlignment="1">
      <alignment horizontal="right"/>
    </xf>
    <xf numFmtId="4" fontId="56" fillId="0" borderId="84" xfId="0" applyNumberFormat="1" applyFont="1" applyFill="1" applyBorder="1"/>
    <xf numFmtId="4" fontId="61" fillId="0" borderId="86" xfId="0" applyNumberFormat="1" applyFont="1" applyFill="1" applyBorder="1" applyAlignment="1">
      <alignment horizontal="center"/>
    </xf>
    <xf numFmtId="4" fontId="56" fillId="0" borderId="54" xfId="0" applyNumberFormat="1" applyFont="1" applyFill="1" applyBorder="1"/>
    <xf numFmtId="4" fontId="56" fillId="0" borderId="46" xfId="0" applyNumberFormat="1" applyFont="1" applyFill="1" applyBorder="1"/>
    <xf numFmtId="4" fontId="60" fillId="0" borderId="84" xfId="0" applyNumberFormat="1" applyFont="1" applyFill="1" applyBorder="1"/>
    <xf numFmtId="0" fontId="59" fillId="0" borderId="0" xfId="0" applyFont="1" applyFill="1" applyBorder="1" applyProtection="1"/>
    <xf numFmtId="3" fontId="59" fillId="0" borderId="0" xfId="0" applyNumberFormat="1" applyFont="1" applyFill="1" applyBorder="1" applyAlignment="1">
      <alignment horizontal="centerContinuous"/>
    </xf>
    <xf numFmtId="4" fontId="56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Continuous"/>
    </xf>
    <xf numFmtId="3" fontId="6" fillId="0" borderId="0" xfId="0" applyNumberFormat="1" applyFont="1" applyFill="1" applyBorder="1"/>
    <xf numFmtId="2" fontId="60" fillId="0" borderId="99" xfId="0" applyNumberFormat="1" applyFont="1" applyFill="1" applyBorder="1"/>
    <xf numFmtId="2" fontId="60" fillId="0" borderId="68" xfId="0" applyNumberFormat="1" applyFont="1" applyFill="1" applyBorder="1"/>
    <xf numFmtId="4" fontId="14" fillId="0" borderId="60" xfId="0" applyNumberFormat="1" applyFont="1" applyFill="1" applyBorder="1"/>
    <xf numFmtId="3" fontId="14" fillId="0" borderId="81" xfId="0" applyNumberFormat="1" applyFont="1" applyFill="1" applyBorder="1"/>
    <xf numFmtId="4" fontId="63" fillId="0" borderId="0" xfId="0" applyNumberFormat="1" applyFont="1" applyFill="1" applyBorder="1"/>
    <xf numFmtId="3" fontId="14" fillId="0" borderId="23" xfId="0" applyNumberFormat="1" applyFont="1" applyFill="1" applyBorder="1" applyAlignment="1">
      <alignment horizontal="left"/>
    </xf>
    <xf numFmtId="4" fontId="56" fillId="0" borderId="53" xfId="0" applyNumberFormat="1" applyFont="1" applyFill="1" applyBorder="1"/>
    <xf numFmtId="0" fontId="34" fillId="0" borderId="19" xfId="0" applyFont="1" applyFill="1" applyBorder="1" applyAlignment="1" applyProtection="1">
      <alignment horizontal="left"/>
    </xf>
    <xf numFmtId="0" fontId="65" fillId="0" borderId="0" xfId="77" applyFont="1" applyFill="1"/>
    <xf numFmtId="3" fontId="5" fillId="0" borderId="0" xfId="77" applyNumberFormat="1" applyFont="1" applyFill="1" applyBorder="1"/>
    <xf numFmtId="0" fontId="6" fillId="0" borderId="0" xfId="0" applyFont="1"/>
    <xf numFmtId="0" fontId="6" fillId="0" borderId="18" xfId="0" applyFont="1" applyFill="1" applyBorder="1" applyAlignment="1">
      <alignment horizontal="justify"/>
    </xf>
    <xf numFmtId="3" fontId="11" fillId="0" borderId="0" xfId="0" applyNumberFormat="1" applyFont="1"/>
    <xf numFmtId="3" fontId="4" fillId="0" borderId="0" xfId="0" applyNumberFormat="1" applyFont="1" applyFill="1" applyBorder="1" applyAlignment="1">
      <alignment wrapText="1"/>
    </xf>
    <xf numFmtId="0" fontId="36" fillId="0" borderId="0" xfId="77" applyFont="1" applyFill="1" applyBorder="1" applyAlignment="1">
      <alignment horizontal="left"/>
    </xf>
    <xf numFmtId="3" fontId="4" fillId="0" borderId="18" xfId="0" applyNumberFormat="1" applyFont="1" applyBorder="1"/>
    <xf numFmtId="4" fontId="4" fillId="0" borderId="86" xfId="0" applyNumberFormat="1" applyFont="1" applyBorder="1"/>
    <xf numFmtId="3" fontId="12" fillId="0" borderId="0" xfId="0" applyNumberFormat="1" applyFont="1" applyBorder="1"/>
    <xf numFmtId="0" fontId="6" fillId="0" borderId="0" xfId="0" applyFont="1" applyFill="1" applyBorder="1" applyAlignment="1">
      <alignment horizontal="justify"/>
    </xf>
    <xf numFmtId="0" fontId="10" fillId="0" borderId="0" xfId="77" applyFont="1" applyFill="1" applyBorder="1"/>
    <xf numFmtId="3" fontId="4" fillId="0" borderId="0" xfId="77" applyNumberFormat="1" applyFont="1" applyFill="1" applyBorder="1" applyAlignment="1">
      <alignment horizontal="right"/>
    </xf>
    <xf numFmtId="0" fontId="15" fillId="0" borderId="0" xfId="77" applyFont="1" applyFill="1" applyBorder="1"/>
    <xf numFmtId="0" fontId="36" fillId="0" borderId="0" xfId="77" applyFont="1" applyFill="1" applyBorder="1"/>
    <xf numFmtId="3" fontId="54" fillId="0" borderId="0" xfId="0" applyNumberFormat="1" applyFont="1" applyFill="1" applyBorder="1" applyAlignment="1">
      <alignment horizontal="right"/>
    </xf>
    <xf numFmtId="3" fontId="33" fillId="0" borderId="0" xfId="0" applyNumberFormat="1" applyFont="1" applyFill="1" applyBorder="1" applyAlignment="1">
      <alignment horizontal="right"/>
    </xf>
    <xf numFmtId="3" fontId="64" fillId="0" borderId="0" xfId="0" applyNumberFormat="1" applyFont="1" applyFill="1" applyBorder="1" applyAlignment="1">
      <alignment horizontal="center"/>
    </xf>
    <xf numFmtId="0" fontId="60" fillId="0" borderId="0" xfId="0" applyFont="1"/>
    <xf numFmtId="0" fontId="60" fillId="0" borderId="0" xfId="0" applyFont="1" applyAlignment="1">
      <alignment horizontal="right"/>
    </xf>
    <xf numFmtId="3" fontId="60" fillId="0" borderId="0" xfId="0" applyNumberFormat="1" applyFont="1" applyAlignment="1">
      <alignment horizontal="right"/>
    </xf>
    <xf numFmtId="3" fontId="67" fillId="0" borderId="0" xfId="0" applyNumberFormat="1" applyFont="1"/>
    <xf numFmtId="3" fontId="67" fillId="0" borderId="0" xfId="0" applyNumberFormat="1" applyFont="1" applyFill="1"/>
    <xf numFmtId="3" fontId="67" fillId="0" borderId="0" xfId="0" applyNumberFormat="1" applyFont="1" applyFill="1" applyAlignment="1">
      <alignment wrapText="1"/>
    </xf>
    <xf numFmtId="0" fontId="14" fillId="0" borderId="0" xfId="0" applyFont="1" applyFill="1" applyAlignment="1">
      <alignment horizontal="center"/>
    </xf>
    <xf numFmtId="0" fontId="58" fillId="0" borderId="0" xfId="0" applyFont="1" applyFill="1"/>
    <xf numFmtId="0" fontId="34" fillId="0" borderId="0" xfId="0" applyFont="1" applyFill="1"/>
    <xf numFmtId="0" fontId="34" fillId="0" borderId="16" xfId="0" applyFont="1" applyFill="1" applyBorder="1" applyProtection="1"/>
    <xf numFmtId="0" fontId="14" fillId="0" borderId="16" xfId="0" applyFont="1" applyFill="1" applyBorder="1" applyProtection="1"/>
    <xf numFmtId="0" fontId="34" fillId="0" borderId="37" xfId="77" applyFont="1" applyFill="1" applyBorder="1" applyAlignment="1">
      <alignment horizontal="justify"/>
    </xf>
    <xf numFmtId="0" fontId="6" fillId="0" borderId="0" xfId="77" applyFont="1"/>
    <xf numFmtId="0" fontId="6" fillId="0" borderId="0" xfId="77" applyFont="1" applyFill="1"/>
    <xf numFmtId="3" fontId="3" fillId="0" borderId="0" xfId="0" applyNumberFormat="1" applyFont="1" applyFill="1"/>
    <xf numFmtId="3" fontId="12" fillId="0" borderId="0" xfId="0" applyNumberFormat="1" applyFont="1" applyAlignment="1">
      <alignment wrapText="1"/>
    </xf>
    <xf numFmtId="0" fontId="35" fillId="0" borderId="0" xfId="0" applyFont="1" applyFill="1" applyBorder="1"/>
    <xf numFmtId="4" fontId="60" fillId="0" borderId="67" xfId="0" applyNumberFormat="1" applyFont="1" applyFill="1" applyBorder="1" applyProtection="1"/>
    <xf numFmtId="4" fontId="60" fillId="0" borderId="67" xfId="0" applyNumberFormat="1" applyFont="1" applyFill="1" applyBorder="1" applyAlignment="1">
      <alignment horizontal="right"/>
    </xf>
    <xf numFmtId="4" fontId="60" fillId="0" borderId="86" xfId="0" applyNumberFormat="1" applyFont="1" applyFill="1" applyBorder="1"/>
    <xf numFmtId="0" fontId="4" fillId="0" borderId="0" xfId="0" applyFont="1" applyFill="1" applyBorder="1" applyAlignment="1">
      <alignment horizontal="justify"/>
    </xf>
    <xf numFmtId="3" fontId="60" fillId="0" borderId="0" xfId="0" applyNumberFormat="1" applyFont="1" applyFill="1"/>
    <xf numFmtId="0" fontId="60" fillId="0" borderId="0" xfId="0" applyFont="1" applyFill="1"/>
    <xf numFmtId="0" fontId="68" fillId="0" borderId="0" xfId="0" applyFont="1" applyFill="1"/>
    <xf numFmtId="3" fontId="69" fillId="0" borderId="0" xfId="0" applyNumberFormat="1" applyFont="1"/>
    <xf numFmtId="0" fontId="69" fillId="0" borderId="0" xfId="0" applyFont="1"/>
    <xf numFmtId="0" fontId="68" fillId="0" borderId="0" xfId="0" applyFont="1" applyFill="1" applyBorder="1"/>
    <xf numFmtId="0" fontId="70" fillId="0" borderId="0" xfId="0" applyFont="1" applyFill="1"/>
    <xf numFmtId="0" fontId="60" fillId="0" borderId="0" xfId="0" applyFont="1" applyFill="1" applyBorder="1"/>
    <xf numFmtId="0" fontId="56" fillId="0" borderId="0" xfId="0" applyFont="1" applyFill="1"/>
    <xf numFmtId="0" fontId="14" fillId="0" borderId="77" xfId="0" applyFont="1" applyFill="1" applyBorder="1"/>
    <xf numFmtId="0" fontId="3" fillId="0" borderId="0" xfId="0" applyFont="1" applyFill="1" applyAlignment="1">
      <alignment horizontal="center"/>
    </xf>
    <xf numFmtId="0" fontId="56" fillId="0" borderId="23" xfId="0" applyFont="1" applyFill="1" applyBorder="1" applyAlignment="1" applyProtection="1">
      <alignment horizontal="left"/>
    </xf>
    <xf numFmtId="0" fontId="60" fillId="0" borderId="46" xfId="0" applyFont="1" applyFill="1" applyBorder="1"/>
    <xf numFmtId="0" fontId="70" fillId="0" borderId="46" xfId="0" applyFont="1" applyFill="1" applyBorder="1"/>
    <xf numFmtId="0" fontId="56" fillId="0" borderId="83" xfId="0" applyFont="1" applyFill="1" applyBorder="1" applyAlignment="1">
      <alignment horizontal="center"/>
    </xf>
    <xf numFmtId="0" fontId="56" fillId="0" borderId="83" xfId="0" applyFont="1" applyBorder="1" applyAlignment="1">
      <alignment horizontal="center"/>
    </xf>
    <xf numFmtId="0" fontId="60" fillId="0" borderId="19" xfId="0" applyFont="1" applyFill="1" applyBorder="1"/>
    <xf numFmtId="0" fontId="56" fillId="0" borderId="16" xfId="0" applyFont="1" applyFill="1" applyBorder="1" applyAlignment="1" applyProtection="1">
      <alignment horizontal="left"/>
    </xf>
    <xf numFmtId="0" fontId="56" fillId="0" borderId="16" xfId="0" applyFont="1" applyFill="1" applyBorder="1" applyAlignment="1" applyProtection="1">
      <alignment horizontal="right"/>
    </xf>
    <xf numFmtId="0" fontId="56" fillId="0" borderId="76" xfId="0" applyFont="1" applyFill="1" applyBorder="1" applyAlignment="1">
      <alignment horizontal="center"/>
    </xf>
    <xf numFmtId="0" fontId="56" fillId="0" borderId="76" xfId="0" applyFont="1" applyBorder="1" applyAlignment="1">
      <alignment horizontal="center"/>
    </xf>
    <xf numFmtId="0" fontId="56" fillId="0" borderId="70" xfId="0" applyFont="1" applyBorder="1" applyAlignment="1">
      <alignment horizontal="center"/>
    </xf>
    <xf numFmtId="0" fontId="70" fillId="0" borderId="23" xfId="0" applyFont="1" applyFill="1" applyBorder="1"/>
    <xf numFmtId="0" fontId="70" fillId="0" borderId="46" xfId="0" applyFont="1" applyFill="1" applyBorder="1" applyAlignment="1" applyProtection="1">
      <alignment horizontal="left"/>
    </xf>
    <xf numFmtId="0" fontId="56" fillId="0" borderId="46" xfId="0" applyFont="1" applyFill="1" applyBorder="1" applyAlignment="1" applyProtection="1">
      <alignment horizontal="left"/>
    </xf>
    <xf numFmtId="0" fontId="56" fillId="0" borderId="53" xfId="0" applyFont="1" applyFill="1" applyBorder="1" applyAlignment="1" applyProtection="1">
      <alignment horizontal="left"/>
    </xf>
    <xf numFmtId="3" fontId="56" fillId="0" borderId="83" xfId="0" applyNumberFormat="1" applyFont="1" applyFill="1" applyBorder="1" applyProtection="1"/>
    <xf numFmtId="0" fontId="68" fillId="0" borderId="18" xfId="0" applyFont="1" applyFill="1" applyBorder="1" applyProtection="1"/>
    <xf numFmtId="0" fontId="68" fillId="0" borderId="16" xfId="0" applyFont="1" applyFill="1" applyBorder="1" applyAlignment="1" applyProtection="1">
      <alignment horizontal="left"/>
    </xf>
    <xf numFmtId="0" fontId="68" fillId="0" borderId="50" xfId="0" applyFont="1" applyFill="1" applyBorder="1" applyProtection="1"/>
    <xf numFmtId="0" fontId="68" fillId="0" borderId="0" xfId="0" applyFont="1" applyFill="1" applyBorder="1" applyProtection="1"/>
    <xf numFmtId="4" fontId="60" fillId="0" borderId="75" xfId="0" applyNumberFormat="1" applyFont="1" applyFill="1" applyBorder="1" applyProtection="1"/>
    <xf numFmtId="3" fontId="68" fillId="0" borderId="38" xfId="0" applyNumberFormat="1" applyFont="1" applyFill="1" applyBorder="1"/>
    <xf numFmtId="4" fontId="70" fillId="0" borderId="75" xfId="0" applyNumberFormat="1" applyFont="1" applyFill="1" applyBorder="1" applyProtection="1"/>
    <xf numFmtId="3" fontId="68" fillId="0" borderId="75" xfId="0" applyNumberFormat="1" applyFont="1" applyFill="1" applyBorder="1"/>
    <xf numFmtId="0" fontId="60" fillId="0" borderId="18" xfId="0" applyFont="1" applyFill="1" applyBorder="1" applyProtection="1"/>
    <xf numFmtId="0" fontId="60" fillId="0" borderId="50" xfId="0" applyFont="1" applyFill="1" applyBorder="1" applyProtection="1"/>
    <xf numFmtId="0" fontId="60" fillId="0" borderId="37" xfId="0" applyFont="1" applyFill="1" applyBorder="1" applyProtection="1"/>
    <xf numFmtId="3" fontId="60" fillId="0" borderId="79" xfId="0" applyNumberFormat="1" applyFont="1" applyFill="1" applyBorder="1" applyProtection="1">
      <protection locked="0"/>
    </xf>
    <xf numFmtId="3" fontId="60" fillId="0" borderId="38" xfId="0" applyNumberFormat="1" applyFont="1" applyFill="1" applyBorder="1"/>
    <xf numFmtId="3" fontId="60" fillId="0" borderId="75" xfId="0" applyNumberFormat="1" applyFont="1" applyFill="1" applyBorder="1"/>
    <xf numFmtId="3" fontId="60" fillId="0" borderId="50" xfId="0" applyNumberFormat="1" applyFont="1" applyFill="1" applyBorder="1"/>
    <xf numFmtId="3" fontId="60" fillId="0" borderId="40" xfId="0" applyNumberFormat="1" applyFont="1" applyFill="1" applyBorder="1"/>
    <xf numFmtId="3" fontId="60" fillId="0" borderId="73" xfId="0" applyNumberFormat="1" applyFont="1" applyFill="1" applyBorder="1"/>
    <xf numFmtId="0" fontId="60" fillId="0" borderId="0" xfId="0" applyFont="1" applyFill="1" applyBorder="1" applyProtection="1"/>
    <xf numFmtId="4" fontId="60" fillId="0" borderId="73" xfId="0" applyNumberFormat="1" applyFont="1" applyFill="1" applyBorder="1" applyProtection="1"/>
    <xf numFmtId="0" fontId="60" fillId="0" borderId="50" xfId="0" applyFont="1" applyFill="1" applyBorder="1" applyAlignment="1">
      <alignment horizontal="left"/>
    </xf>
    <xf numFmtId="0" fontId="60" fillId="0" borderId="85" xfId="0" applyFont="1" applyFill="1" applyBorder="1" applyAlignment="1">
      <alignment horizontal="left"/>
    </xf>
    <xf numFmtId="0" fontId="60" fillId="0" borderId="66" xfId="0" applyFont="1" applyFill="1" applyBorder="1" applyAlignment="1">
      <alignment horizontal="left"/>
    </xf>
    <xf numFmtId="0" fontId="70" fillId="0" borderId="18" xfId="0" applyFont="1" applyFill="1" applyBorder="1" applyProtection="1"/>
    <xf numFmtId="0" fontId="74" fillId="0" borderId="18" xfId="0" applyFont="1" applyFill="1" applyBorder="1"/>
    <xf numFmtId="4" fontId="74" fillId="0" borderId="87" xfId="0" applyNumberFormat="1" applyFont="1" applyFill="1" applyBorder="1" applyProtection="1"/>
    <xf numFmtId="0" fontId="70" fillId="0" borderId="18" xfId="0" applyFont="1" applyFill="1" applyBorder="1"/>
    <xf numFmtId="0" fontId="56" fillId="0" borderId="84" xfId="0" applyFont="1" applyFill="1" applyBorder="1" applyAlignment="1" applyProtection="1">
      <alignment horizontal="left"/>
    </xf>
    <xf numFmtId="0" fontId="60" fillId="0" borderId="18" xfId="0" applyFont="1" applyFill="1" applyBorder="1"/>
    <xf numFmtId="0" fontId="75" fillId="0" borderId="0" xfId="0" applyFont="1" applyFill="1" applyBorder="1" applyAlignment="1" applyProtection="1"/>
    <xf numFmtId="3" fontId="60" fillId="0" borderId="75" xfId="0" applyNumberFormat="1" applyFont="1" applyFill="1" applyBorder="1" applyProtection="1"/>
    <xf numFmtId="0" fontId="60" fillId="0" borderId="79" xfId="0" applyFont="1" applyFill="1" applyBorder="1"/>
    <xf numFmtId="0" fontId="60" fillId="0" borderId="37" xfId="77" applyFont="1" applyFill="1" applyBorder="1" applyAlignment="1">
      <alignment horizontal="justify"/>
    </xf>
    <xf numFmtId="3" fontId="60" fillId="0" borderId="73" xfId="0" applyNumberFormat="1" applyFont="1" applyFill="1" applyBorder="1" applyProtection="1"/>
    <xf numFmtId="0" fontId="70" fillId="0" borderId="19" xfId="0" applyFont="1" applyFill="1" applyBorder="1"/>
    <xf numFmtId="3" fontId="56" fillId="0" borderId="70" xfId="0" applyNumberFormat="1" applyFont="1" applyFill="1" applyBorder="1" applyProtection="1">
      <protection locked="0"/>
    </xf>
    <xf numFmtId="0" fontId="56" fillId="0" borderId="46" xfId="0" applyFont="1" applyFill="1" applyBorder="1" applyAlignment="1">
      <alignment horizontal="center"/>
    </xf>
    <xf numFmtId="3" fontId="56" fillId="0" borderId="83" xfId="0" applyNumberFormat="1" applyFont="1" applyFill="1" applyBorder="1" applyProtection="1">
      <protection locked="0"/>
    </xf>
    <xf numFmtId="3" fontId="56" fillId="0" borderId="46" xfId="0" applyNumberFormat="1" applyFont="1" applyFill="1" applyBorder="1" applyProtection="1">
      <protection locked="0"/>
    </xf>
    <xf numFmtId="4" fontId="56" fillId="0" borderId="53" xfId="0" applyNumberFormat="1" applyFont="1" applyFill="1" applyBorder="1" applyProtection="1"/>
    <xf numFmtId="0" fontId="56" fillId="0" borderId="18" xfId="0" applyFont="1" applyFill="1" applyBorder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6" fillId="0" borderId="86" xfId="0" applyFont="1" applyFill="1" applyBorder="1" applyAlignment="1" applyProtection="1">
      <alignment horizontal="left"/>
    </xf>
    <xf numFmtId="3" fontId="56" fillId="0" borderId="69" xfId="0" applyNumberFormat="1" applyFont="1" applyFill="1" applyBorder="1" applyProtection="1">
      <protection locked="0"/>
    </xf>
    <xf numFmtId="3" fontId="56" fillId="0" borderId="0" xfId="0" applyNumberFormat="1" applyFont="1" applyFill="1" applyBorder="1" applyProtection="1">
      <protection locked="0"/>
    </xf>
    <xf numFmtId="4" fontId="56" fillId="0" borderId="86" xfId="0" applyNumberFormat="1" applyFont="1" applyFill="1" applyBorder="1" applyProtection="1"/>
    <xf numFmtId="3" fontId="60" fillId="0" borderId="73" xfId="0" applyNumberFormat="1" applyFont="1" applyFill="1" applyBorder="1" applyProtection="1">
      <protection locked="0"/>
    </xf>
    <xf numFmtId="4" fontId="60" fillId="0" borderId="79" xfId="0" applyNumberFormat="1" applyFont="1" applyFill="1" applyBorder="1" applyProtection="1"/>
    <xf numFmtId="4" fontId="56" fillId="0" borderId="73" xfId="0" applyNumberFormat="1" applyFont="1" applyFill="1" applyBorder="1" applyProtection="1"/>
    <xf numFmtId="0" fontId="60" fillId="0" borderId="66" xfId="77" applyFont="1" applyFill="1" applyBorder="1" applyAlignment="1">
      <alignment horizontal="left"/>
    </xf>
    <xf numFmtId="0" fontId="60" fillId="0" borderId="66" xfId="77" applyFont="1" applyFill="1" applyBorder="1" applyAlignment="1">
      <alignment horizontal="justify"/>
    </xf>
    <xf numFmtId="0" fontId="60" fillId="0" borderId="74" xfId="0" applyFont="1" applyFill="1" applyBorder="1"/>
    <xf numFmtId="3" fontId="60" fillId="0" borderId="72" xfId="0" applyNumberFormat="1" applyFont="1" applyFill="1" applyBorder="1" applyProtection="1"/>
    <xf numFmtId="4" fontId="56" fillId="0" borderId="84" xfId="0" applyNumberFormat="1" applyFont="1" applyFill="1" applyBorder="1" applyProtection="1"/>
    <xf numFmtId="0" fontId="75" fillId="0" borderId="0" xfId="0" applyFont="1" applyFill="1" applyBorder="1" applyAlignment="1" applyProtection="1">
      <alignment horizontal="left"/>
    </xf>
    <xf numFmtId="0" fontId="56" fillId="27" borderId="83" xfId="0" applyFont="1" applyFill="1" applyBorder="1" applyAlignment="1">
      <alignment horizontal="center"/>
    </xf>
    <xf numFmtId="0" fontId="60" fillId="0" borderId="0" xfId="77" applyFont="1" applyFill="1" applyBorder="1" applyAlignment="1">
      <alignment horizontal="left"/>
    </xf>
    <xf numFmtId="3" fontId="60" fillId="0" borderId="69" xfId="0" applyNumberFormat="1" applyFont="1" applyFill="1" applyBorder="1" applyProtection="1"/>
    <xf numFmtId="0" fontId="60" fillId="0" borderId="50" xfId="0" applyFont="1" applyFill="1" applyBorder="1"/>
    <xf numFmtId="4" fontId="60" fillId="0" borderId="85" xfId="0" applyNumberFormat="1" applyFont="1" applyFill="1" applyBorder="1" applyProtection="1"/>
    <xf numFmtId="0" fontId="56" fillId="0" borderId="37" xfId="0" applyFont="1" applyFill="1" applyBorder="1" applyAlignment="1">
      <alignment horizontal="center"/>
    </xf>
    <xf numFmtId="0" fontId="56" fillId="0" borderId="79" xfId="0" applyFont="1" applyFill="1" applyBorder="1" applyAlignment="1" applyProtection="1">
      <alignment horizontal="left"/>
    </xf>
    <xf numFmtId="3" fontId="56" fillId="0" borderId="73" xfId="0" applyNumberFormat="1" applyFont="1" applyFill="1" applyBorder="1" applyProtection="1">
      <protection locked="0"/>
    </xf>
    <xf numFmtId="3" fontId="56" fillId="0" borderId="37" xfId="0" applyNumberFormat="1" applyFont="1" applyFill="1" applyBorder="1" applyProtection="1">
      <protection locked="0"/>
    </xf>
    <xf numFmtId="0" fontId="70" fillId="0" borderId="17" xfId="0" applyFont="1" applyFill="1" applyBorder="1"/>
    <xf numFmtId="0" fontId="70" fillId="0" borderId="22" xfId="0" applyFont="1" applyFill="1" applyBorder="1" applyAlignment="1" applyProtection="1">
      <alignment horizontal="left"/>
    </xf>
    <xf numFmtId="0" fontId="56" fillId="0" borderId="22" xfId="0" applyFont="1" applyFill="1" applyBorder="1" applyAlignment="1" applyProtection="1">
      <alignment horizontal="left"/>
    </xf>
    <xf numFmtId="3" fontId="56" fillId="0" borderId="76" xfId="0" applyNumberFormat="1" applyFont="1" applyFill="1" applyBorder="1" applyProtection="1"/>
    <xf numFmtId="4" fontId="56" fillId="0" borderId="76" xfId="0" applyNumberFormat="1" applyFont="1" applyFill="1" applyBorder="1" applyProtection="1"/>
    <xf numFmtId="0" fontId="70" fillId="0" borderId="0" xfId="0" applyFont="1" applyFill="1" applyBorder="1" applyAlignment="1" applyProtection="1">
      <alignment horizontal="left"/>
    </xf>
    <xf numFmtId="0" fontId="56" fillId="0" borderId="0" xfId="0" applyFont="1" applyFill="1" applyBorder="1" applyAlignment="1" applyProtection="1">
      <alignment horizontal="left"/>
    </xf>
    <xf numFmtId="3" fontId="56" fillId="0" borderId="69" xfId="0" applyNumberFormat="1" applyFont="1" applyFill="1" applyBorder="1" applyProtection="1"/>
    <xf numFmtId="4" fontId="56" fillId="0" borderId="83" xfId="0" applyNumberFormat="1" applyFont="1" applyFill="1" applyBorder="1" applyProtection="1"/>
    <xf numFmtId="3" fontId="56" fillId="0" borderId="75" xfId="0" applyNumberFormat="1" applyFont="1" applyFill="1" applyBorder="1" applyProtection="1"/>
    <xf numFmtId="4" fontId="56" fillId="0" borderId="75" xfId="0" applyNumberFormat="1" applyFont="1" applyFill="1" applyBorder="1" applyProtection="1"/>
    <xf numFmtId="0" fontId="60" fillId="0" borderId="0" xfId="0" applyFont="1" applyFill="1" applyBorder="1" applyAlignment="1">
      <alignment horizontal="left"/>
    </xf>
    <xf numFmtId="3" fontId="74" fillId="0" borderId="75" xfId="0" applyNumberFormat="1" applyFont="1" applyFill="1" applyBorder="1" applyProtection="1">
      <protection locked="0"/>
    </xf>
    <xf numFmtId="4" fontId="74" fillId="0" borderId="73" xfId="0" applyNumberFormat="1" applyFont="1" applyFill="1" applyBorder="1" applyProtection="1"/>
    <xf numFmtId="3" fontId="74" fillId="0" borderId="73" xfId="0" applyNumberFormat="1" applyFont="1" applyFill="1" applyBorder="1" applyProtection="1">
      <protection locked="0"/>
    </xf>
    <xf numFmtId="4" fontId="74" fillId="0" borderId="69" xfId="0" applyNumberFormat="1" applyFont="1" applyFill="1" applyBorder="1" applyProtection="1"/>
    <xf numFmtId="0" fontId="60" fillId="0" borderId="50" xfId="77" applyFont="1" applyFill="1" applyBorder="1" applyAlignment="1">
      <alignment horizontal="left"/>
    </xf>
    <xf numFmtId="0" fontId="60" fillId="0" borderId="37" xfId="0" applyFont="1" applyFill="1" applyBorder="1"/>
    <xf numFmtId="0" fontId="56" fillId="0" borderId="22" xfId="0" applyFont="1" applyFill="1" applyBorder="1" applyAlignment="1">
      <alignment horizontal="center"/>
    </xf>
    <xf numFmtId="3" fontId="56" fillId="0" borderId="76" xfId="0" applyNumberFormat="1" applyFont="1" applyFill="1" applyBorder="1" applyProtection="1">
      <protection locked="0"/>
    </xf>
    <xf numFmtId="4" fontId="70" fillId="0" borderId="76" xfId="0" applyNumberFormat="1" applyFont="1" applyFill="1" applyBorder="1" applyProtection="1"/>
    <xf numFmtId="0" fontId="60" fillId="0" borderId="53" xfId="0" applyFont="1" applyFill="1" applyBorder="1"/>
    <xf numFmtId="0" fontId="60" fillId="0" borderId="83" xfId="0" applyFont="1" applyFill="1" applyBorder="1"/>
    <xf numFmtId="0" fontId="60" fillId="0" borderId="69" xfId="0" applyFont="1" applyFill="1" applyBorder="1"/>
    <xf numFmtId="0" fontId="75" fillId="0" borderId="18" xfId="0" applyFont="1" applyFill="1" applyBorder="1" applyAlignment="1" applyProtection="1">
      <alignment horizontal="left"/>
    </xf>
    <xf numFmtId="0" fontId="60" fillId="0" borderId="0" xfId="0" applyFont="1" applyFill="1" applyBorder="1" applyAlignment="1" applyProtection="1">
      <alignment horizontal="left"/>
    </xf>
    <xf numFmtId="3" fontId="56" fillId="0" borderId="0" xfId="0" applyNumberFormat="1" applyFont="1" applyFill="1" applyBorder="1" applyProtection="1"/>
    <xf numFmtId="3" fontId="60" fillId="0" borderId="75" xfId="0" applyNumberFormat="1" applyFont="1" applyFill="1" applyBorder="1" applyProtection="1">
      <protection locked="0"/>
    </xf>
    <xf numFmtId="0" fontId="60" fillId="0" borderId="37" xfId="0" applyFont="1" applyFill="1" applyBorder="1" applyAlignment="1" applyProtection="1">
      <alignment horizontal="left"/>
    </xf>
    <xf numFmtId="0" fontId="74" fillId="0" borderId="37" xfId="0" applyFont="1" applyFill="1" applyBorder="1" applyAlignment="1" applyProtection="1">
      <alignment horizontal="left"/>
    </xf>
    <xf numFmtId="0" fontId="75" fillId="0" borderId="37" xfId="0" applyFont="1" applyFill="1" applyBorder="1" applyAlignment="1" applyProtection="1">
      <alignment horizontal="left"/>
    </xf>
    <xf numFmtId="3" fontId="56" fillId="0" borderId="37" xfId="0" applyNumberFormat="1" applyFont="1" applyFill="1" applyBorder="1" applyProtection="1"/>
    <xf numFmtId="0" fontId="56" fillId="0" borderId="0" xfId="0" applyFont="1" applyFill="1" applyBorder="1"/>
    <xf numFmtId="4" fontId="74" fillId="0" borderId="75" xfId="0" applyNumberFormat="1" applyFont="1" applyFill="1" applyBorder="1" applyProtection="1"/>
    <xf numFmtId="3" fontId="60" fillId="0" borderId="69" xfId="0" applyNumberFormat="1" applyFont="1" applyFill="1" applyBorder="1" applyProtection="1">
      <protection locked="0"/>
    </xf>
    <xf numFmtId="0" fontId="68" fillId="0" borderId="22" xfId="0" applyFont="1" applyFill="1" applyBorder="1" applyAlignment="1" applyProtection="1">
      <alignment horizontal="left"/>
    </xf>
    <xf numFmtId="3" fontId="56" fillId="0" borderId="53" xfId="0" applyNumberFormat="1" applyFont="1" applyFill="1" applyBorder="1" applyProtection="1"/>
    <xf numFmtId="2" fontId="3" fillId="0" borderId="81" xfId="0" applyNumberFormat="1" applyFont="1" applyFill="1" applyBorder="1"/>
    <xf numFmtId="3" fontId="55" fillId="0" borderId="16" xfId="0" applyNumberFormat="1" applyFont="1" applyBorder="1" applyAlignment="1">
      <alignment horizontal="left"/>
    </xf>
    <xf numFmtId="3" fontId="58" fillId="0" borderId="0" xfId="0" applyNumberFormat="1" applyFont="1" applyFill="1" applyBorder="1" applyAlignment="1">
      <alignment horizontal="right"/>
    </xf>
    <xf numFmtId="0" fontId="58" fillId="0" borderId="70" xfId="0" applyFont="1" applyFill="1" applyBorder="1" applyAlignment="1">
      <alignment horizontal="center"/>
    </xf>
    <xf numFmtId="0" fontId="14" fillId="0" borderId="83" xfId="0" applyFont="1" applyFill="1" applyBorder="1" applyAlignment="1">
      <alignment horizontal="center"/>
    </xf>
    <xf numFmtId="0" fontId="14" fillId="0" borderId="70" xfId="0" applyFont="1" applyFill="1" applyBorder="1" applyAlignment="1">
      <alignment horizontal="center"/>
    </xf>
    <xf numFmtId="0" fontId="4" fillId="0" borderId="86" xfId="0" applyFont="1" applyBorder="1"/>
    <xf numFmtId="0" fontId="76" fillId="0" borderId="23" xfId="0" applyFont="1" applyBorder="1" applyAlignment="1">
      <alignment horizontal="center"/>
    </xf>
    <xf numFmtId="0" fontId="76" fillId="27" borderId="46" xfId="0" applyFont="1" applyFill="1" applyBorder="1" applyAlignment="1">
      <alignment horizontal="center"/>
    </xf>
    <xf numFmtId="0" fontId="76" fillId="0" borderId="18" xfId="0" applyFont="1" applyBorder="1" applyAlignment="1">
      <alignment horizontal="center"/>
    </xf>
    <xf numFmtId="0" fontId="76" fillId="0" borderId="90" xfId="0" applyFont="1" applyBorder="1" applyAlignment="1">
      <alignment horizontal="center"/>
    </xf>
    <xf numFmtId="3" fontId="76" fillId="0" borderId="54" xfId="0" applyNumberFormat="1" applyFont="1" applyBorder="1" applyAlignment="1">
      <alignment horizontal="center"/>
    </xf>
    <xf numFmtId="0" fontId="76" fillId="27" borderId="0" xfId="0" applyFont="1" applyFill="1" applyBorder="1" applyAlignment="1">
      <alignment horizontal="center"/>
    </xf>
    <xf numFmtId="0" fontId="77" fillId="0" borderId="23" xfId="0" applyFont="1" applyBorder="1"/>
    <xf numFmtId="3" fontId="77" fillId="0" borderId="45" xfId="0" applyNumberFormat="1" applyFont="1" applyBorder="1"/>
    <xf numFmtId="2" fontId="77" fillId="0" borderId="27" xfId="0" applyNumberFormat="1" applyFont="1" applyBorder="1"/>
    <xf numFmtId="0" fontId="77" fillId="0" borderId="40" xfId="0" applyFont="1" applyBorder="1"/>
    <xf numFmtId="3" fontId="77" fillId="0" borderId="36" xfId="0" applyNumberFormat="1" applyFont="1" applyBorder="1"/>
    <xf numFmtId="3" fontId="77" fillId="0" borderId="34" xfId="0" applyNumberFormat="1" applyFont="1" applyBorder="1"/>
    <xf numFmtId="2" fontId="77" fillId="0" borderId="68" xfId="0" applyNumberFormat="1" applyFont="1" applyBorder="1"/>
    <xf numFmtId="0" fontId="77" fillId="0" borderId="18" xfId="0" applyFont="1" applyBorder="1"/>
    <xf numFmtId="3" fontId="77" fillId="0" borderId="15" xfId="0" applyNumberFormat="1" applyFont="1" applyBorder="1"/>
    <xf numFmtId="3" fontId="77" fillId="0" borderId="29" xfId="0" applyNumberFormat="1" applyFont="1" applyBorder="1"/>
    <xf numFmtId="2" fontId="77" fillId="0" borderId="59" xfId="0" applyNumberFormat="1" applyFont="1" applyBorder="1"/>
    <xf numFmtId="3" fontId="76" fillId="0" borderId="43" xfId="0" applyNumberFormat="1" applyFont="1" applyBorder="1"/>
    <xf numFmtId="3" fontId="76" fillId="0" borderId="44" xfId="0" applyNumberFormat="1" applyFont="1" applyBorder="1"/>
    <xf numFmtId="2" fontId="76" fillId="0" borderId="54" xfId="0" applyNumberFormat="1" applyFont="1" applyBorder="1"/>
    <xf numFmtId="3" fontId="76" fillId="0" borderId="45" xfId="0" applyNumberFormat="1" applyFont="1" applyBorder="1"/>
    <xf numFmtId="0" fontId="77" fillId="28" borderId="38" xfId="0" applyFont="1" applyFill="1" applyBorder="1"/>
    <xf numFmtId="3" fontId="77" fillId="28" borderId="51" xfId="0" applyNumberFormat="1" applyFont="1" applyFill="1" applyBorder="1"/>
    <xf numFmtId="3" fontId="77" fillId="28" borderId="15" xfId="0" applyNumberFormat="1" applyFont="1" applyFill="1" applyBorder="1"/>
    <xf numFmtId="4" fontId="77" fillId="28" borderId="59" xfId="0" applyNumberFormat="1" applyFont="1" applyFill="1" applyBorder="1"/>
    <xf numFmtId="3" fontId="77" fillId="28" borderId="40" xfId="0" applyNumberFormat="1" applyFont="1" applyFill="1" applyBorder="1" applyAlignment="1">
      <alignment wrapText="1"/>
    </xf>
    <xf numFmtId="3" fontId="77" fillId="28" borderId="36" xfId="0" applyNumberFormat="1" applyFont="1" applyFill="1" applyBorder="1"/>
    <xf numFmtId="4" fontId="77" fillId="28" borderId="68" xfId="0" applyNumberFormat="1" applyFont="1" applyFill="1" applyBorder="1"/>
    <xf numFmtId="3" fontId="77" fillId="28" borderId="34" xfId="0" applyNumberFormat="1" applyFont="1" applyFill="1" applyBorder="1"/>
    <xf numFmtId="3" fontId="77" fillId="0" borderId="40" xfId="0" applyNumberFormat="1" applyFont="1" applyFill="1" applyBorder="1" applyAlignment="1">
      <alignment wrapText="1"/>
    </xf>
    <xf numFmtId="3" fontId="77" fillId="0" borderId="36" xfId="0" applyNumberFormat="1" applyFont="1" applyFill="1" applyBorder="1"/>
    <xf numFmtId="3" fontId="77" fillId="28" borderId="18" xfId="0" applyNumberFormat="1" applyFont="1" applyFill="1" applyBorder="1" applyAlignment="1">
      <alignment wrapText="1"/>
    </xf>
    <xf numFmtId="0" fontId="76" fillId="0" borderId="26" xfId="0" applyFont="1" applyFill="1" applyBorder="1" applyAlignment="1">
      <alignment horizontal="center"/>
    </xf>
    <xf numFmtId="3" fontId="76" fillId="0" borderId="32" xfId="0" applyNumberFormat="1" applyFont="1" applyFill="1" applyBorder="1"/>
    <xf numFmtId="3" fontId="76" fillId="0" borderId="49" xfId="0" applyNumberFormat="1" applyFont="1" applyFill="1" applyBorder="1"/>
    <xf numFmtId="4" fontId="76" fillId="0" borderId="58" xfId="0" applyNumberFormat="1" applyFont="1" applyFill="1" applyBorder="1"/>
    <xf numFmtId="0" fontId="77" fillId="0" borderId="40" xfId="0" applyFont="1" applyFill="1" applyBorder="1"/>
    <xf numFmtId="3" fontId="77" fillId="0" borderId="73" xfId="0" applyNumberFormat="1" applyFont="1" applyFill="1" applyBorder="1"/>
    <xf numFmtId="3" fontId="77" fillId="28" borderId="38" xfId="0" applyNumberFormat="1" applyFont="1" applyFill="1" applyBorder="1" applyAlignment="1">
      <alignment wrapText="1"/>
    </xf>
    <xf numFmtId="3" fontId="77" fillId="0" borderId="38" xfId="0" applyNumberFormat="1" applyFont="1" applyFill="1" applyBorder="1" applyAlignment="1">
      <alignment wrapText="1"/>
    </xf>
    <xf numFmtId="3" fontId="77" fillId="0" borderId="51" xfId="0" applyNumberFormat="1" applyFont="1" applyFill="1" applyBorder="1"/>
    <xf numFmtId="0" fontId="77" fillId="0" borderId="40" xfId="0" applyFont="1" applyFill="1" applyBorder="1" applyAlignment="1">
      <alignment wrapText="1"/>
    </xf>
    <xf numFmtId="0" fontId="77" fillId="0" borderId="38" xfId="0" applyFont="1" applyFill="1" applyBorder="1"/>
    <xf numFmtId="0" fontId="77" fillId="0" borderId="40" xfId="0" applyFont="1" applyFill="1" applyBorder="1" applyAlignment="1">
      <alignment horizontal="justify" wrapText="1"/>
    </xf>
    <xf numFmtId="3" fontId="77" fillId="0" borderId="52" xfId="0" applyNumberFormat="1" applyFont="1" applyFill="1" applyBorder="1"/>
    <xf numFmtId="0" fontId="77" fillId="0" borderId="62" xfId="0" applyFont="1" applyFill="1" applyBorder="1"/>
    <xf numFmtId="0" fontId="77" fillId="0" borderId="62" xfId="0" applyFont="1" applyFill="1" applyBorder="1" applyAlignment="1">
      <alignment wrapText="1"/>
    </xf>
    <xf numFmtId="3" fontId="77" fillId="0" borderId="52" xfId="0" applyNumberFormat="1" applyFont="1" applyBorder="1"/>
    <xf numFmtId="3" fontId="77" fillId="0" borderId="15" xfId="0" applyNumberFormat="1" applyFont="1" applyFill="1" applyBorder="1"/>
    <xf numFmtId="3" fontId="77" fillId="0" borderId="29" xfId="0" applyNumberFormat="1" applyFont="1" applyFill="1" applyBorder="1"/>
    <xf numFmtId="3" fontId="76" fillId="0" borderId="82" xfId="0" applyNumberFormat="1" applyFont="1" applyBorder="1"/>
    <xf numFmtId="3" fontId="76" fillId="0" borderId="47" xfId="0" applyNumberFormat="1" applyFont="1" applyBorder="1"/>
    <xf numFmtId="0" fontId="77" fillId="0" borderId="41" xfId="0" applyFont="1" applyFill="1" applyBorder="1" applyAlignment="1">
      <alignment horizontal="justify" wrapText="1"/>
    </xf>
    <xf numFmtId="3" fontId="77" fillId="0" borderId="64" xfId="0" applyNumberFormat="1" applyFont="1" applyBorder="1"/>
    <xf numFmtId="0" fontId="76" fillId="0" borderId="19" xfId="0" applyFont="1" applyFill="1" applyBorder="1" applyAlignment="1">
      <alignment horizontal="center"/>
    </xf>
    <xf numFmtId="3" fontId="76" fillId="0" borderId="61" xfId="0" applyNumberFormat="1" applyFont="1" applyBorder="1"/>
    <xf numFmtId="0" fontId="76" fillId="0" borderId="20" xfId="0" applyFont="1" applyFill="1" applyBorder="1" applyAlignment="1">
      <alignment horizontal="left"/>
    </xf>
    <xf numFmtId="3" fontId="76" fillId="0" borderId="21" xfId="0" applyNumberFormat="1" applyFont="1" applyBorder="1"/>
    <xf numFmtId="3" fontId="76" fillId="0" borderId="48" xfId="0" applyNumberFormat="1" applyFont="1" applyBorder="1"/>
    <xf numFmtId="2" fontId="76" fillId="0" borderId="60" xfId="0" applyNumberFormat="1" applyFont="1" applyBorder="1"/>
    <xf numFmtId="0" fontId="77" fillId="0" borderId="0" xfId="0" applyFont="1"/>
    <xf numFmtId="3" fontId="77" fillId="0" borderId="0" xfId="0" applyNumberFormat="1" applyFont="1"/>
    <xf numFmtId="0" fontId="78" fillId="0" borderId="0" xfId="0" applyFont="1" applyFill="1" applyBorder="1"/>
    <xf numFmtId="3" fontId="77" fillId="0" borderId="0" xfId="0" applyNumberFormat="1" applyFont="1" applyFill="1" applyBorder="1" applyAlignment="1">
      <alignment horizontal="right"/>
    </xf>
    <xf numFmtId="0" fontId="76" fillId="0" borderId="23" xfId="0" applyFont="1" applyFill="1" applyBorder="1" applyAlignment="1">
      <alignment horizontal="center"/>
    </xf>
    <xf numFmtId="0" fontId="76" fillId="27" borderId="83" xfId="0" applyFont="1" applyFill="1" applyBorder="1" applyAlignment="1">
      <alignment horizontal="center"/>
    </xf>
    <xf numFmtId="0" fontId="76" fillId="0" borderId="53" xfId="0" applyFont="1" applyBorder="1" applyAlignment="1">
      <alignment horizontal="center"/>
    </xf>
    <xf numFmtId="0" fontId="76" fillId="27" borderId="70" xfId="0" applyFont="1" applyFill="1" applyBorder="1" applyAlignment="1">
      <alignment horizontal="center"/>
    </xf>
    <xf numFmtId="0" fontId="76" fillId="0" borderId="86" xfId="0" applyFont="1" applyBorder="1" applyAlignment="1">
      <alignment horizontal="center"/>
    </xf>
    <xf numFmtId="0" fontId="77" fillId="0" borderId="23" xfId="0" applyFont="1" applyFill="1" applyBorder="1"/>
    <xf numFmtId="3" fontId="77" fillId="0" borderId="83" xfId="0" applyNumberFormat="1" applyFont="1" applyFill="1" applyBorder="1"/>
    <xf numFmtId="0" fontId="77" fillId="0" borderId="19" xfId="0" applyFont="1" applyFill="1" applyBorder="1"/>
    <xf numFmtId="3" fontId="77" fillId="0" borderId="69" xfId="0" applyNumberFormat="1" applyFont="1" applyFill="1" applyBorder="1"/>
    <xf numFmtId="2" fontId="77" fillId="0" borderId="28" xfId="0" applyNumberFormat="1" applyFont="1" applyBorder="1"/>
    <xf numFmtId="3" fontId="76" fillId="0" borderId="77" xfId="0" applyNumberFormat="1" applyFont="1" applyFill="1" applyBorder="1"/>
    <xf numFmtId="0" fontId="76" fillId="0" borderId="18" xfId="0" applyFont="1" applyFill="1" applyBorder="1"/>
    <xf numFmtId="3" fontId="76" fillId="0" borderId="0" xfId="0" applyNumberFormat="1" applyFont="1" applyFill="1" applyBorder="1"/>
    <xf numFmtId="0" fontId="76" fillId="0" borderId="0" xfId="0" applyFont="1" applyFill="1" applyBorder="1"/>
    <xf numFmtId="3" fontId="76" fillId="0" borderId="86" xfId="0" applyNumberFormat="1" applyFont="1" applyFill="1" applyBorder="1"/>
    <xf numFmtId="0" fontId="76" fillId="0" borderId="20" xfId="0" applyFont="1" applyFill="1" applyBorder="1" applyAlignment="1">
      <alignment wrapText="1"/>
    </xf>
    <xf numFmtId="3" fontId="76" fillId="0" borderId="60" xfId="0" applyNumberFormat="1" applyFont="1" applyFill="1" applyBorder="1"/>
    <xf numFmtId="3" fontId="58" fillId="0" borderId="15" xfId="77" applyNumberFormat="1" applyFont="1" applyFill="1" applyBorder="1"/>
    <xf numFmtId="3" fontId="58" fillId="0" borderId="36" xfId="77" applyNumberFormat="1" applyFont="1" applyFill="1" applyBorder="1"/>
    <xf numFmtId="0" fontId="34" fillId="0" borderId="37" xfId="0" applyFont="1" applyFill="1" applyBorder="1" applyAlignment="1">
      <alignment wrapText="1"/>
    </xf>
    <xf numFmtId="3" fontId="58" fillId="0" borderId="36" xfId="77" applyNumberFormat="1" applyFont="1" applyFill="1" applyBorder="1" applyAlignment="1">
      <alignment horizontal="right"/>
    </xf>
    <xf numFmtId="3" fontId="58" fillId="0" borderId="15" xfId="77" applyNumberFormat="1" applyFont="1" applyFill="1" applyBorder="1" applyAlignment="1">
      <alignment horizontal="right"/>
    </xf>
    <xf numFmtId="3" fontId="58" fillId="0" borderId="52" xfId="77" applyNumberFormat="1" applyFont="1" applyFill="1" applyBorder="1" applyAlignment="1">
      <alignment horizontal="right"/>
    </xf>
    <xf numFmtId="0" fontId="58" fillId="0" borderId="50" xfId="77" applyFont="1" applyFill="1" applyBorder="1" applyAlignment="1">
      <alignment horizontal="left" wrapText="1"/>
    </xf>
    <xf numFmtId="0" fontId="58" fillId="0" borderId="37" xfId="77" applyFont="1" applyFill="1" applyBorder="1" applyAlignment="1">
      <alignment horizontal="left"/>
    </xf>
    <xf numFmtId="3" fontId="60" fillId="0" borderId="70" xfId="0" applyNumberFormat="1" applyFont="1" applyFill="1" applyBorder="1" applyProtection="1"/>
    <xf numFmtId="3" fontId="74" fillId="0" borderId="73" xfId="0" applyNumberFormat="1" applyFont="1" applyFill="1" applyBorder="1" applyProtection="1"/>
    <xf numFmtId="3" fontId="60" fillId="0" borderId="69" xfId="0" applyNumberFormat="1" applyFont="1" applyFill="1" applyBorder="1"/>
    <xf numFmtId="0" fontId="56" fillId="0" borderId="18" xfId="0" applyFont="1" applyFill="1" applyBorder="1" applyProtection="1"/>
    <xf numFmtId="3" fontId="79" fillId="0" borderId="0" xfId="0" applyNumberFormat="1" applyFont="1"/>
    <xf numFmtId="0" fontId="79" fillId="0" borderId="0" xfId="0" applyFont="1"/>
    <xf numFmtId="0" fontId="60" fillId="0" borderId="16" xfId="0" applyFont="1" applyFill="1" applyBorder="1" applyAlignment="1" applyProtection="1">
      <alignment horizontal="left"/>
    </xf>
    <xf numFmtId="0" fontId="60" fillId="0" borderId="84" xfId="0" applyFont="1" applyFill="1" applyBorder="1" applyAlignment="1" applyProtection="1">
      <alignment horizontal="left"/>
    </xf>
    <xf numFmtId="3" fontId="60" fillId="0" borderId="19" xfId="0" applyNumberFormat="1" applyFont="1" applyFill="1" applyBorder="1" applyProtection="1"/>
    <xf numFmtId="3" fontId="60" fillId="0" borderId="40" xfId="0" applyNumberFormat="1" applyFont="1" applyFill="1" applyBorder="1" applyProtection="1"/>
    <xf numFmtId="4" fontId="70" fillId="0" borderId="87" xfId="0" applyNumberFormat="1" applyFont="1" applyFill="1" applyBorder="1" applyProtection="1"/>
    <xf numFmtId="0" fontId="56" fillId="0" borderId="93" xfId="0" applyFont="1" applyFill="1" applyBorder="1" applyAlignment="1">
      <alignment horizontal="left"/>
    </xf>
    <xf numFmtId="0" fontId="56" fillId="0" borderId="93" xfId="0" applyFont="1" applyFill="1" applyBorder="1" applyAlignment="1" applyProtection="1">
      <alignment horizontal="left"/>
    </xf>
    <xf numFmtId="0" fontId="56" fillId="0" borderId="81" xfId="0" applyFont="1" applyFill="1" applyBorder="1" applyAlignment="1" applyProtection="1">
      <alignment horizontal="left"/>
    </xf>
    <xf numFmtId="3" fontId="56" fillId="0" borderId="20" xfId="0" applyNumberFormat="1" applyFont="1" applyFill="1" applyBorder="1" applyProtection="1"/>
    <xf numFmtId="3" fontId="56" fillId="0" borderId="77" xfId="0" applyNumberFormat="1" applyFont="1" applyFill="1" applyBorder="1" applyProtection="1"/>
    <xf numFmtId="3" fontId="56" fillId="0" borderId="93" xfId="0" applyNumberFormat="1" applyFont="1" applyFill="1" applyBorder="1" applyProtection="1"/>
    <xf numFmtId="4" fontId="70" fillId="0" borderId="69" xfId="0" applyNumberFormat="1" applyFont="1" applyFill="1" applyBorder="1" applyProtection="1"/>
    <xf numFmtId="0" fontId="73" fillId="0" borderId="16" xfId="0" applyFont="1" applyFill="1" applyBorder="1" applyAlignment="1" applyProtection="1">
      <alignment horizontal="left"/>
    </xf>
    <xf numFmtId="0" fontId="60" fillId="0" borderId="16" xfId="0" applyFont="1" applyFill="1" applyBorder="1" applyProtection="1"/>
    <xf numFmtId="3" fontId="60" fillId="0" borderId="87" xfId="0" applyNumberFormat="1" applyFont="1" applyFill="1" applyBorder="1"/>
    <xf numFmtId="4" fontId="60" fillId="0" borderId="84" xfId="0" applyNumberFormat="1" applyFont="1" applyFill="1" applyBorder="1" applyProtection="1"/>
    <xf numFmtId="0" fontId="70" fillId="0" borderId="20" xfId="0" applyFont="1" applyFill="1" applyBorder="1"/>
    <xf numFmtId="0" fontId="68" fillId="0" borderId="93" xfId="0" applyFont="1" applyFill="1" applyBorder="1" applyAlignment="1" applyProtection="1">
      <alignment horizontal="left"/>
    </xf>
    <xf numFmtId="3" fontId="56" fillId="0" borderId="77" xfId="0" applyNumberFormat="1" applyFont="1" applyFill="1" applyBorder="1" applyProtection="1">
      <protection locked="0"/>
    </xf>
    <xf numFmtId="4" fontId="56" fillId="0" borderId="81" xfId="0" applyNumberFormat="1" applyFont="1" applyFill="1" applyBorder="1" applyProtection="1"/>
    <xf numFmtId="3" fontId="35" fillId="0" borderId="15" xfId="77" applyNumberFormat="1" applyFont="1" applyFill="1" applyBorder="1"/>
    <xf numFmtId="0" fontId="35" fillId="0" borderId="18" xfId="77" applyFont="1" applyBorder="1" applyAlignment="1">
      <alignment horizontal="right"/>
    </xf>
    <xf numFmtId="0" fontId="35" fillId="0" borderId="0" xfId="77" applyFont="1" applyBorder="1"/>
    <xf numFmtId="0" fontId="15" fillId="0" borderId="0" xfId="77" applyFont="1"/>
    <xf numFmtId="0" fontId="58" fillId="0" borderId="50" xfId="77" applyFont="1" applyFill="1" applyBorder="1"/>
    <xf numFmtId="3" fontId="56" fillId="0" borderId="23" xfId="0" applyNumberFormat="1" applyFont="1" applyFill="1" applyBorder="1" applyProtection="1"/>
    <xf numFmtId="3" fontId="60" fillId="0" borderId="38" xfId="0" applyNumberFormat="1" applyFont="1" applyFill="1" applyBorder="1" applyProtection="1"/>
    <xf numFmtId="3" fontId="60" fillId="0" borderId="121" xfId="0" applyNumberFormat="1" applyFont="1" applyFill="1" applyBorder="1"/>
    <xf numFmtId="3" fontId="74" fillId="0" borderId="72" xfId="0" applyNumberFormat="1" applyFont="1" applyFill="1" applyBorder="1" applyProtection="1">
      <protection locked="0"/>
    </xf>
    <xf numFmtId="0" fontId="8" fillId="0" borderId="0" xfId="77" applyFont="1"/>
    <xf numFmtId="3" fontId="8" fillId="0" borderId="0" xfId="77" applyNumberFormat="1" applyFont="1"/>
    <xf numFmtId="0" fontId="8" fillId="0" borderId="16" xfId="77" applyFont="1" applyFill="1" applyBorder="1" applyAlignment="1">
      <alignment horizontal="justify"/>
    </xf>
    <xf numFmtId="0" fontId="35" fillId="27" borderId="45" xfId="0" applyFont="1" applyFill="1" applyBorder="1" applyAlignment="1">
      <alignment horizontal="center"/>
    </xf>
    <xf numFmtId="0" fontId="35" fillId="0" borderId="27" xfId="0" applyFont="1" applyBorder="1" applyAlignment="1">
      <alignment horizontal="center"/>
    </xf>
    <xf numFmtId="0" fontId="35" fillId="0" borderId="18" xfId="77" applyFont="1" applyBorder="1" applyAlignment="1">
      <alignment horizontal="center"/>
    </xf>
    <xf numFmtId="0" fontId="35" fillId="0" borderId="0" xfId="77" applyFont="1" applyBorder="1" applyAlignment="1">
      <alignment horizontal="center"/>
    </xf>
    <xf numFmtId="0" fontId="35" fillId="0" borderId="43" xfId="0" applyFont="1" applyBorder="1" applyAlignment="1">
      <alignment horizontal="center"/>
    </xf>
    <xf numFmtId="3" fontId="35" fillId="0" borderId="43" xfId="0" applyNumberFormat="1" applyFont="1" applyBorder="1" applyAlignment="1">
      <alignment horizontal="center"/>
    </xf>
    <xf numFmtId="0" fontId="35" fillId="27" borderId="61" xfId="0" applyFont="1" applyFill="1" applyBorder="1" applyAlignment="1">
      <alignment horizontal="center"/>
    </xf>
    <xf numFmtId="0" fontId="35" fillId="0" borderId="28" xfId="0" applyFont="1" applyBorder="1" applyAlignment="1">
      <alignment horizontal="center"/>
    </xf>
    <xf numFmtId="0" fontId="35" fillId="0" borderId="23" xfId="77" applyFont="1" applyBorder="1" applyAlignment="1">
      <alignment horizontal="right"/>
    </xf>
    <xf numFmtId="3" fontId="58" fillId="0" borderId="15" xfId="77" applyNumberFormat="1" applyFont="1" applyFill="1" applyBorder="1" applyAlignment="1">
      <alignment horizontal="center"/>
    </xf>
    <xf numFmtId="3" fontId="58" fillId="0" borderId="15" xfId="77" applyNumberFormat="1" applyFont="1" applyBorder="1"/>
    <xf numFmtId="0" fontId="58" fillId="0" borderId="18" xfId="77" applyFont="1" applyBorder="1" applyAlignment="1">
      <alignment horizontal="right"/>
    </xf>
    <xf numFmtId="3" fontId="58" fillId="0" borderId="52" xfId="77" applyNumberFormat="1" applyFont="1" applyFill="1" applyBorder="1"/>
    <xf numFmtId="0" fontId="58" fillId="0" borderId="37" xfId="77" applyFont="1" applyFill="1" applyBorder="1"/>
    <xf numFmtId="0" fontId="58" fillId="0" borderId="37" xfId="77" applyFont="1" applyFill="1" applyBorder="1" applyAlignment="1">
      <alignment wrapText="1"/>
    </xf>
    <xf numFmtId="0" fontId="35" fillId="0" borderId="26" xfId="77" applyFont="1" applyBorder="1" applyAlignment="1">
      <alignment horizontal="right"/>
    </xf>
    <xf numFmtId="0" fontId="35" fillId="0" borderId="24" xfId="77" applyFont="1" applyBorder="1" applyAlignment="1">
      <alignment horizontal="center"/>
    </xf>
    <xf numFmtId="3" fontId="35" fillId="0" borderId="32" xfId="77" applyNumberFormat="1" applyFont="1" applyFill="1" applyBorder="1"/>
    <xf numFmtId="0" fontId="35" fillId="0" borderId="107" xfId="77" applyFont="1" applyBorder="1" applyAlignment="1">
      <alignment horizontal="right"/>
    </xf>
    <xf numFmtId="0" fontId="35" fillId="0" borderId="108" xfId="77" applyFont="1" applyBorder="1"/>
    <xf numFmtId="3" fontId="35" fillId="0" borderId="109" xfId="77" applyNumberFormat="1" applyFont="1" applyFill="1" applyBorder="1"/>
    <xf numFmtId="3" fontId="58" fillId="0" borderId="52" xfId="77" applyNumberFormat="1" applyFont="1" applyBorder="1" applyAlignment="1">
      <alignment horizontal="right"/>
    </xf>
    <xf numFmtId="3" fontId="58" fillId="0" borderId="36" xfId="77" applyNumberFormat="1" applyFont="1" applyBorder="1" applyAlignment="1">
      <alignment horizontal="right"/>
    </xf>
    <xf numFmtId="3" fontId="58" fillId="0" borderId="37" xfId="0" applyNumberFormat="1" applyFont="1" applyFill="1" applyBorder="1" applyAlignment="1">
      <alignment horizontal="justify"/>
    </xf>
    <xf numFmtId="0" fontId="58" fillId="0" borderId="18" xfId="77" applyFont="1" applyFill="1" applyBorder="1" applyAlignment="1">
      <alignment horizontal="right"/>
    </xf>
    <xf numFmtId="0" fontId="55" fillId="0" borderId="18" xfId="77" applyFont="1" applyBorder="1" applyAlignment="1">
      <alignment horizontal="left"/>
    </xf>
    <xf numFmtId="0" fontId="55" fillId="0" borderId="0" xfId="77" applyFont="1" applyBorder="1"/>
    <xf numFmtId="3" fontId="58" fillId="0" borderId="37" xfId="0" applyNumberFormat="1" applyFont="1" applyBorder="1"/>
    <xf numFmtId="3" fontId="58" fillId="0" borderId="50" xfId="0" applyNumberFormat="1" applyFont="1" applyFill="1" applyBorder="1" applyAlignment="1">
      <alignment horizontal="justify"/>
    </xf>
    <xf numFmtId="3" fontId="58" fillId="0" borderId="50" xfId="0" applyNumberFormat="1" applyFont="1" applyBorder="1"/>
    <xf numFmtId="0" fontId="58" fillId="0" borderId="37" xfId="77" applyFont="1" applyBorder="1"/>
    <xf numFmtId="3" fontId="58" fillId="0" borderId="39" xfId="77" applyNumberFormat="1" applyFont="1" applyFill="1" applyBorder="1"/>
    <xf numFmtId="0" fontId="35" fillId="0" borderId="18" xfId="77" applyFont="1" applyBorder="1"/>
    <xf numFmtId="3" fontId="35" fillId="0" borderId="36" xfId="77" applyNumberFormat="1" applyFont="1" applyFill="1" applyBorder="1" applyAlignment="1">
      <alignment horizontal="right"/>
    </xf>
    <xf numFmtId="0" fontId="58" fillId="0" borderId="50" xfId="77" applyFont="1" applyBorder="1"/>
    <xf numFmtId="0" fontId="58" fillId="0" borderId="50" xfId="77" applyFont="1" applyFill="1" applyBorder="1" applyAlignment="1">
      <alignment wrapText="1"/>
    </xf>
    <xf numFmtId="0" fontId="35" fillId="0" borderId="18" xfId="77" applyFont="1" applyFill="1" applyBorder="1"/>
    <xf numFmtId="0" fontId="58" fillId="0" borderId="66" xfId="77" applyFont="1" applyFill="1" applyBorder="1"/>
    <xf numFmtId="3" fontId="58" fillId="0" borderId="92" xfId="77" applyNumberFormat="1" applyFont="1" applyFill="1" applyBorder="1"/>
    <xf numFmtId="0" fontId="58" fillId="0" borderId="37" xfId="0" applyFont="1" applyFill="1" applyBorder="1" applyAlignment="1">
      <alignment wrapText="1"/>
    </xf>
    <xf numFmtId="0" fontId="58" fillId="0" borderId="37" xfId="0" applyFont="1" applyBorder="1" applyAlignment="1">
      <alignment horizontal="justify"/>
    </xf>
    <xf numFmtId="0" fontId="58" fillId="0" borderId="50" xfId="0" applyFont="1" applyFill="1" applyBorder="1" applyAlignment="1">
      <alignment wrapText="1"/>
    </xf>
    <xf numFmtId="3" fontId="58" fillId="0" borderId="31" xfId="77" applyNumberFormat="1" applyFont="1" applyFill="1" applyBorder="1"/>
    <xf numFmtId="3" fontId="35" fillId="0" borderId="32" xfId="77" applyNumberFormat="1" applyFont="1" applyFill="1" applyBorder="1" applyAlignment="1">
      <alignment horizontal="right"/>
    </xf>
    <xf numFmtId="0" fontId="35" fillId="0" borderId="17" xfId="77" applyFont="1" applyBorder="1" applyAlignment="1">
      <alignment horizontal="right"/>
    </xf>
    <xf numFmtId="0" fontId="35" fillId="0" borderId="22" xfId="77" applyFont="1" applyBorder="1"/>
    <xf numFmtId="3" fontId="35" fillId="0" borderId="43" xfId="77" applyNumberFormat="1" applyFont="1" applyFill="1" applyBorder="1"/>
    <xf numFmtId="0" fontId="58" fillId="0" borderId="20" xfId="77" applyFont="1" applyBorder="1" applyAlignment="1">
      <alignment horizontal="right"/>
    </xf>
    <xf numFmtId="0" fontId="35" fillId="0" borderId="93" xfId="77" applyFont="1" applyFill="1" applyBorder="1"/>
    <xf numFmtId="3" fontId="35" fillId="0" borderId="21" xfId="77" applyNumberFormat="1" applyFont="1" applyBorder="1"/>
    <xf numFmtId="2" fontId="35" fillId="0" borderId="54" xfId="77" applyNumberFormat="1" applyFont="1" applyBorder="1"/>
    <xf numFmtId="0" fontId="58" fillId="0" borderId="0" xfId="77" applyFont="1"/>
    <xf numFmtId="0" fontId="58" fillId="0" borderId="0" xfId="77" applyFont="1" applyFill="1"/>
    <xf numFmtId="3" fontId="58" fillId="0" borderId="0" xfId="77" applyNumberFormat="1" applyFont="1"/>
    <xf numFmtId="3" fontId="68" fillId="0" borderId="85" xfId="0" applyNumberFormat="1" applyFont="1" applyFill="1" applyBorder="1" applyProtection="1">
      <protection locked="0"/>
    </xf>
    <xf numFmtId="3" fontId="70" fillId="0" borderId="75" xfId="0" applyNumberFormat="1" applyFont="1" applyFill="1" applyBorder="1"/>
    <xf numFmtId="0" fontId="86" fillId="0" borderId="18" xfId="77" applyFont="1" applyFill="1" applyBorder="1" applyAlignment="1">
      <alignment horizontal="right"/>
    </xf>
    <xf numFmtId="3" fontId="86" fillId="0" borderId="52" xfId="77" applyNumberFormat="1" applyFont="1" applyFill="1" applyBorder="1"/>
    <xf numFmtId="0" fontId="87" fillId="0" borderId="0" xfId="77" applyFont="1"/>
    <xf numFmtId="0" fontId="60" fillId="0" borderId="19" xfId="0" applyFont="1" applyFill="1" applyBorder="1" applyProtection="1"/>
    <xf numFmtId="0" fontId="89" fillId="0" borderId="83" xfId="0" applyFont="1" applyFill="1" applyBorder="1" applyAlignment="1">
      <alignment horizontal="center"/>
    </xf>
    <xf numFmtId="3" fontId="91" fillId="0" borderId="0" xfId="0" applyNumberFormat="1" applyFont="1" applyFill="1"/>
    <xf numFmtId="3" fontId="60" fillId="0" borderId="18" xfId="0" applyNumberFormat="1" applyFont="1" applyFill="1" applyBorder="1"/>
    <xf numFmtId="4" fontId="60" fillId="0" borderId="69" xfId="0" applyNumberFormat="1" applyFont="1" applyFill="1" applyBorder="1" applyProtection="1"/>
    <xf numFmtId="0" fontId="73" fillId="0" borderId="0" xfId="0" applyFont="1" applyFill="1" applyBorder="1" applyProtection="1"/>
    <xf numFmtId="0" fontId="68" fillId="0" borderId="24" xfId="0" applyFont="1" applyFill="1" applyBorder="1" applyProtection="1"/>
    <xf numFmtId="3" fontId="68" fillId="0" borderId="88" xfId="0" applyNumberFormat="1" applyFont="1" applyFill="1" applyBorder="1" applyProtection="1">
      <protection locked="0"/>
    </xf>
    <xf numFmtId="3" fontId="68" fillId="0" borderId="26" xfId="0" applyNumberFormat="1" applyFont="1" applyFill="1" applyBorder="1"/>
    <xf numFmtId="3" fontId="68" fillId="0" borderId="78" xfId="0" applyNumberFormat="1" applyFont="1" applyFill="1" applyBorder="1"/>
    <xf numFmtId="0" fontId="68" fillId="0" borderId="50" xfId="0" applyFont="1" applyFill="1" applyBorder="1"/>
    <xf numFmtId="3" fontId="68" fillId="0" borderId="85" xfId="0" applyNumberFormat="1" applyFont="1" applyFill="1" applyBorder="1"/>
    <xf numFmtId="0" fontId="74" fillId="0" borderId="24" xfId="0" applyFont="1" applyFill="1" applyBorder="1" applyAlignment="1" applyProtection="1"/>
    <xf numFmtId="0" fontId="73" fillId="0" borderId="24" xfId="0" applyFont="1" applyFill="1" applyBorder="1" applyProtection="1"/>
    <xf numFmtId="0" fontId="74" fillId="0" borderId="24" xfId="0" applyFont="1" applyFill="1" applyBorder="1" applyAlignment="1" applyProtection="1">
      <alignment wrapText="1"/>
    </xf>
    <xf numFmtId="3" fontId="60" fillId="0" borderId="0" xfId="0" applyNumberFormat="1" applyFont="1" applyFill="1" applyBorder="1"/>
    <xf numFmtId="0" fontId="68" fillId="0" borderId="24" xfId="0" applyFont="1" applyFill="1" applyBorder="1"/>
    <xf numFmtId="3" fontId="56" fillId="0" borderId="24" xfId="0" applyNumberFormat="1" applyFont="1" applyFill="1" applyBorder="1"/>
    <xf numFmtId="0" fontId="56" fillId="0" borderId="24" xfId="0" applyFont="1" applyFill="1" applyBorder="1" applyProtection="1"/>
    <xf numFmtId="3" fontId="56" fillId="0" borderId="88" xfId="0" applyNumberFormat="1" applyFont="1" applyFill="1" applyBorder="1" applyProtection="1">
      <protection locked="0"/>
    </xf>
    <xf numFmtId="3" fontId="56" fillId="0" borderId="26" xfId="0" applyNumberFormat="1" applyFont="1" applyFill="1" applyBorder="1"/>
    <xf numFmtId="4" fontId="70" fillId="0" borderId="78" xfId="0" applyNumberFormat="1" applyFont="1" applyFill="1" applyBorder="1" applyProtection="1"/>
    <xf numFmtId="0" fontId="70" fillId="0" borderId="50" xfId="0" applyFont="1" applyFill="1" applyBorder="1" applyProtection="1"/>
    <xf numFmtId="0" fontId="70" fillId="0" borderId="50" xfId="0" applyFont="1" applyFill="1" applyBorder="1" applyAlignment="1">
      <alignment horizontal="left"/>
    </xf>
    <xf numFmtId="0" fontId="70" fillId="0" borderId="85" xfId="0" applyFont="1" applyFill="1" applyBorder="1" applyAlignment="1">
      <alignment horizontal="left"/>
    </xf>
    <xf numFmtId="3" fontId="70" fillId="0" borderId="38" xfId="0" applyNumberFormat="1" applyFont="1" applyFill="1" applyBorder="1"/>
    <xf numFmtId="0" fontId="60" fillId="0" borderId="66" xfId="0" applyFont="1" applyFill="1" applyBorder="1" applyAlignment="1" applyProtection="1">
      <alignment horizontal="left"/>
    </xf>
    <xf numFmtId="0" fontId="60" fillId="0" borderId="74" xfId="0" applyFont="1" applyFill="1" applyBorder="1" applyAlignment="1" applyProtection="1">
      <alignment horizontal="left"/>
    </xf>
    <xf numFmtId="3" fontId="60" fillId="0" borderId="62" xfId="0" applyNumberFormat="1" applyFont="1" applyFill="1" applyBorder="1" applyProtection="1"/>
    <xf numFmtId="4" fontId="74" fillId="0" borderId="72" xfId="0" applyNumberFormat="1" applyFont="1" applyFill="1" applyBorder="1" applyProtection="1"/>
    <xf numFmtId="0" fontId="68" fillId="0" borderId="22" xfId="0" applyFont="1" applyFill="1" applyBorder="1" applyProtection="1"/>
    <xf numFmtId="0" fontId="56" fillId="0" borderId="80" xfId="0" applyFont="1" applyFill="1" applyBorder="1" applyAlignment="1" applyProtection="1">
      <alignment horizontal="left"/>
    </xf>
    <xf numFmtId="3" fontId="56" fillId="0" borderId="17" xfId="0" applyNumberFormat="1" applyFont="1" applyFill="1" applyBorder="1" applyProtection="1"/>
    <xf numFmtId="0" fontId="92" fillId="0" borderId="0" xfId="77" applyFont="1"/>
    <xf numFmtId="3" fontId="60" fillId="0" borderId="51" xfId="0" applyNumberFormat="1" applyFont="1" applyFill="1" applyBorder="1"/>
    <xf numFmtId="3" fontId="86" fillId="0" borderId="92" xfId="77" applyNumberFormat="1" applyFont="1" applyFill="1" applyBorder="1"/>
    <xf numFmtId="0" fontId="87" fillId="0" borderId="0" xfId="77" applyFont="1" applyFill="1"/>
    <xf numFmtId="3" fontId="86" fillId="0" borderId="36" xfId="77" applyNumberFormat="1" applyFont="1" applyFill="1" applyBorder="1"/>
    <xf numFmtId="3" fontId="86" fillId="0" borderId="39" xfId="77" applyNumberFormat="1" applyFont="1" applyFill="1" applyBorder="1"/>
    <xf numFmtId="0" fontId="86" fillId="0" borderId="37" xfId="77" applyFont="1" applyFill="1" applyBorder="1" applyAlignment="1">
      <alignment wrapText="1"/>
    </xf>
    <xf numFmtId="0" fontId="34" fillId="0" borderId="50" xfId="77" applyFont="1" applyBorder="1"/>
    <xf numFmtId="3" fontId="60" fillId="0" borderId="106" xfId="77" applyNumberFormat="1" applyFont="1" applyBorder="1" applyAlignment="1">
      <alignment horizontal="right"/>
    </xf>
    <xf numFmtId="3" fontId="60" fillId="0" borderId="34" xfId="0" applyNumberFormat="1" applyFont="1" applyFill="1" applyBorder="1"/>
    <xf numFmtId="0" fontId="15" fillId="0" borderId="0" xfId="77" applyFont="1" applyFill="1"/>
    <xf numFmtId="3" fontId="84" fillId="0" borderId="0" xfId="77" applyNumberFormat="1" applyFont="1" applyAlignment="1">
      <alignment wrapText="1"/>
    </xf>
    <xf numFmtId="3" fontId="84" fillId="0" borderId="0" xfId="77" applyNumberFormat="1" applyFont="1"/>
    <xf numFmtId="3" fontId="67" fillId="0" borderId="0" xfId="0" applyNumberFormat="1" applyFont="1" applyAlignment="1">
      <alignment horizontal="right"/>
    </xf>
    <xf numFmtId="0" fontId="58" fillId="0" borderId="37" xfId="77" applyFont="1" applyBorder="1" applyAlignment="1">
      <alignment horizontal="left" wrapText="1"/>
    </xf>
    <xf numFmtId="3" fontId="77" fillId="0" borderId="18" xfId="0" applyNumberFormat="1" applyFont="1" applyFill="1" applyBorder="1" applyAlignment="1">
      <alignment wrapText="1"/>
    </xf>
    <xf numFmtId="0" fontId="58" fillId="0" borderId="0" xfId="0" applyFont="1" applyFill="1" applyBorder="1" applyAlignment="1">
      <alignment horizontal="right"/>
    </xf>
    <xf numFmtId="0" fontId="35" fillId="0" borderId="25" xfId="0" applyFont="1" applyFill="1" applyBorder="1" applyAlignment="1">
      <alignment horizontal="center"/>
    </xf>
    <xf numFmtId="0" fontId="35" fillId="0" borderId="94" xfId="0" applyFont="1" applyFill="1" applyBorder="1" applyAlignment="1">
      <alignment horizontal="center"/>
    </xf>
    <xf numFmtId="3" fontId="58" fillId="28" borderId="51" xfId="0" applyNumberFormat="1" applyFont="1" applyFill="1" applyBorder="1"/>
    <xf numFmtId="2" fontId="58" fillId="28" borderId="67" xfId="0" applyNumberFormat="1" applyFont="1" applyFill="1" applyBorder="1"/>
    <xf numFmtId="0" fontId="58" fillId="28" borderId="40" xfId="0" applyFont="1" applyFill="1" applyBorder="1"/>
    <xf numFmtId="3" fontId="58" fillId="28" borderId="34" xfId="0" applyNumberFormat="1" applyFont="1" applyFill="1" applyBorder="1"/>
    <xf numFmtId="3" fontId="58" fillId="28" borderId="36" xfId="0" applyNumberFormat="1" applyFont="1" applyFill="1" applyBorder="1"/>
    <xf numFmtId="0" fontId="58" fillId="0" borderId="41" xfId="0" applyFont="1" applyFill="1" applyBorder="1"/>
    <xf numFmtId="3" fontId="58" fillId="0" borderId="35" xfId="0" applyNumberFormat="1" applyFont="1" applyFill="1" applyBorder="1"/>
    <xf numFmtId="3" fontId="58" fillId="0" borderId="64" xfId="0" applyNumberFormat="1" applyFont="1" applyFill="1" applyBorder="1"/>
    <xf numFmtId="2" fontId="58" fillId="0" borderId="67" xfId="0" applyNumberFormat="1" applyFont="1" applyFill="1" applyBorder="1"/>
    <xf numFmtId="0" fontId="35" fillId="0" borderId="17" xfId="0" applyFont="1" applyFill="1" applyBorder="1"/>
    <xf numFmtId="3" fontId="35" fillId="0" borderId="44" xfId="0" applyNumberFormat="1" applyFont="1" applyFill="1" applyBorder="1"/>
    <xf numFmtId="2" fontId="35" fillId="0" borderId="54" xfId="0" applyNumberFormat="1" applyFont="1" applyFill="1" applyBorder="1"/>
    <xf numFmtId="0" fontId="58" fillId="28" borderId="95" xfId="0" applyFont="1" applyFill="1" applyBorder="1" applyAlignment="1">
      <alignment horizontal="left"/>
    </xf>
    <xf numFmtId="3" fontId="58" fillId="28" borderId="111" xfId="0" applyNumberFormat="1" applyFont="1" applyFill="1" applyBorder="1"/>
    <xf numFmtId="2" fontId="58" fillId="28" borderId="99" xfId="0" applyNumberFormat="1" applyFont="1" applyFill="1" applyBorder="1"/>
    <xf numFmtId="0" fontId="58" fillId="28" borderId="40" xfId="0" applyFont="1" applyFill="1" applyBorder="1" applyAlignment="1">
      <alignment wrapText="1"/>
    </xf>
    <xf numFmtId="0" fontId="58" fillId="0" borderId="42" xfId="0" applyFont="1" applyFill="1" applyBorder="1" applyAlignment="1">
      <alignment horizontal="left"/>
    </xf>
    <xf numFmtId="3" fontId="58" fillId="0" borderId="34" xfId="0" applyNumberFormat="1" applyFont="1" applyFill="1" applyBorder="1"/>
    <xf numFmtId="3" fontId="58" fillId="0" borderId="36" xfId="0" applyNumberFormat="1" applyFont="1" applyFill="1" applyBorder="1"/>
    <xf numFmtId="0" fontId="58" fillId="0" borderId="40" xfId="0" applyFont="1" applyFill="1" applyBorder="1" applyAlignment="1">
      <alignment horizontal="justify"/>
    </xf>
    <xf numFmtId="3" fontId="58" fillId="0" borderId="65" xfId="0" applyNumberFormat="1" applyFont="1" applyFill="1" applyBorder="1"/>
    <xf numFmtId="0" fontId="58" fillId="0" borderId="18" xfId="0" applyFont="1" applyFill="1" applyBorder="1" applyAlignment="1">
      <alignment horizontal="left" wrapText="1"/>
    </xf>
    <xf numFmtId="3" fontId="58" fillId="0" borderId="29" xfId="0" applyNumberFormat="1" applyFont="1" applyFill="1" applyBorder="1"/>
    <xf numFmtId="0" fontId="35" fillId="0" borderId="17" xfId="0" applyFont="1" applyFill="1" applyBorder="1" applyAlignment="1">
      <alignment wrapText="1"/>
    </xf>
    <xf numFmtId="2" fontId="35" fillId="0" borderId="56" xfId="0" applyNumberFormat="1" applyFont="1" applyFill="1" applyBorder="1"/>
    <xf numFmtId="0" fontId="35" fillId="0" borderId="19" xfId="0" applyFont="1" applyFill="1" applyBorder="1"/>
    <xf numFmtId="3" fontId="35" fillId="0" borderId="21" xfId="0" applyNumberFormat="1" applyFont="1" applyFill="1" applyBorder="1"/>
    <xf numFmtId="2" fontId="35" fillId="0" borderId="60" xfId="0" applyNumberFormat="1" applyFont="1" applyFill="1" applyBorder="1"/>
    <xf numFmtId="3" fontId="35" fillId="0" borderId="60" xfId="0" applyNumberFormat="1" applyFont="1" applyFill="1" applyBorder="1"/>
    <xf numFmtId="0" fontId="58" fillId="0" borderId="0" xfId="0" applyFont="1" applyFill="1" applyBorder="1"/>
    <xf numFmtId="3" fontId="58" fillId="0" borderId="0" xfId="0" applyNumberFormat="1" applyFont="1" applyFill="1"/>
    <xf numFmtId="0" fontId="35" fillId="0" borderId="23" xfId="0" applyFont="1" applyFill="1" applyBorder="1" applyAlignment="1">
      <alignment horizontal="center"/>
    </xf>
    <xf numFmtId="0" fontId="35" fillId="27" borderId="27" xfId="0" applyFont="1" applyFill="1" applyBorder="1" applyAlignment="1">
      <alignment horizontal="center"/>
    </xf>
    <xf numFmtId="0" fontId="35" fillId="0" borderId="19" xfId="0" applyFont="1" applyFill="1" applyBorder="1" applyAlignment="1">
      <alignment horizontal="center"/>
    </xf>
    <xf numFmtId="0" fontId="35" fillId="27" borderId="28" xfId="0" applyFont="1" applyFill="1" applyBorder="1" applyAlignment="1">
      <alignment horizontal="center"/>
    </xf>
    <xf numFmtId="0" fontId="58" fillId="28" borderId="104" xfId="0" applyFont="1" applyFill="1" applyBorder="1"/>
    <xf numFmtId="3" fontId="58" fillId="28" borderId="52" xfId="0" applyNumberFormat="1" applyFont="1" applyFill="1" applyBorder="1"/>
    <xf numFmtId="3" fontId="58" fillId="28" borderId="45" xfId="0" applyNumberFormat="1" applyFont="1" applyFill="1" applyBorder="1" applyAlignment="1">
      <alignment horizontal="right"/>
    </xf>
    <xf numFmtId="4" fontId="58" fillId="28" borderId="27" xfId="0" applyNumberFormat="1" applyFont="1" applyFill="1" applyBorder="1" applyAlignment="1">
      <alignment horizontal="right"/>
    </xf>
    <xf numFmtId="3" fontId="58" fillId="28" borderId="98" xfId="0" applyNumberFormat="1" applyFont="1" applyFill="1" applyBorder="1"/>
    <xf numFmtId="3" fontId="58" fillId="28" borderId="64" xfId="0" applyNumberFormat="1" applyFont="1" applyFill="1" applyBorder="1"/>
    <xf numFmtId="4" fontId="58" fillId="28" borderId="105" xfId="0" applyNumberFormat="1" applyFont="1" applyFill="1" applyBorder="1" applyAlignment="1">
      <alignment horizontal="right"/>
    </xf>
    <xf numFmtId="3" fontId="35" fillId="0" borderId="43" xfId="0" applyNumberFormat="1" applyFont="1" applyFill="1" applyBorder="1"/>
    <xf numFmtId="4" fontId="35" fillId="0" borderId="80" xfId="0" applyNumberFormat="1" applyFont="1" applyFill="1" applyBorder="1"/>
    <xf numFmtId="3" fontId="35" fillId="0" borderId="0" xfId="0" applyNumberFormat="1" applyFont="1" applyFill="1" applyBorder="1"/>
    <xf numFmtId="0" fontId="35" fillId="0" borderId="0" xfId="0" applyFont="1" applyFill="1"/>
    <xf numFmtId="4" fontId="35" fillId="0" borderId="0" xfId="0" applyNumberFormat="1" applyFont="1" applyFill="1"/>
    <xf numFmtId="4" fontId="35" fillId="0" borderId="60" xfId="0" applyNumberFormat="1" applyFont="1" applyFill="1" applyBorder="1"/>
    <xf numFmtId="4" fontId="35" fillId="0" borderId="77" xfId="0" applyNumberFormat="1" applyFont="1" applyFill="1" applyBorder="1"/>
    <xf numFmtId="0" fontId="96" fillId="0" borderId="69" xfId="0" applyFont="1" applyFill="1" applyBorder="1" applyAlignment="1">
      <alignment horizontal="left"/>
    </xf>
    <xf numFmtId="0" fontId="97" fillId="0" borderId="69" xfId="0" applyFont="1" applyFill="1" applyBorder="1" applyAlignment="1">
      <alignment horizontal="center"/>
    </xf>
    <xf numFmtId="4" fontId="97" fillId="0" borderId="69" xfId="0" applyNumberFormat="1" applyFont="1" applyFill="1" applyBorder="1" applyAlignment="1">
      <alignment horizontal="center"/>
    </xf>
    <xf numFmtId="0" fontId="98" fillId="28" borderId="75" xfId="0" applyFont="1" applyFill="1" applyBorder="1" applyAlignment="1">
      <alignment wrapText="1"/>
    </xf>
    <xf numFmtId="3" fontId="98" fillId="28" borderId="75" xfId="0" applyNumberFormat="1" applyFont="1" applyFill="1" applyBorder="1"/>
    <xf numFmtId="4" fontId="98" fillId="28" borderId="75" xfId="0" applyNumberFormat="1" applyFont="1" applyFill="1" applyBorder="1"/>
    <xf numFmtId="0" fontId="98" fillId="28" borderId="73" xfId="0" applyFont="1" applyFill="1" applyBorder="1"/>
    <xf numFmtId="3" fontId="98" fillId="28" borderId="73" xfId="0" applyNumberFormat="1" applyFont="1" applyFill="1" applyBorder="1"/>
    <xf numFmtId="0" fontId="89" fillId="0" borderId="77" xfId="0" applyFont="1" applyFill="1" applyBorder="1"/>
    <xf numFmtId="3" fontId="89" fillId="0" borderId="77" xfId="0" applyNumberFormat="1" applyFont="1" applyFill="1" applyBorder="1"/>
    <xf numFmtId="4" fontId="89" fillId="0" borderId="77" xfId="0" applyNumberFormat="1" applyFont="1" applyFill="1" applyBorder="1"/>
    <xf numFmtId="3" fontId="98" fillId="0" borderId="75" xfId="0" applyNumberFormat="1" applyFont="1" applyFill="1" applyBorder="1"/>
    <xf numFmtId="4" fontId="98" fillId="0" borderId="75" xfId="0" applyNumberFormat="1" applyFont="1" applyFill="1" applyBorder="1"/>
    <xf numFmtId="0" fontId="101" fillId="0" borderId="72" xfId="0" applyFont="1" applyFill="1" applyBorder="1" applyAlignment="1">
      <alignment horizontal="justify"/>
    </xf>
    <xf numFmtId="3" fontId="98" fillId="0" borderId="69" xfId="0" applyNumberFormat="1" applyFont="1" applyFill="1" applyBorder="1"/>
    <xf numFmtId="0" fontId="104" fillId="0" borderId="77" xfId="0" applyFont="1" applyBorder="1" applyAlignment="1">
      <alignment horizontal="justify"/>
    </xf>
    <xf numFmtId="0" fontId="101" fillId="0" borderId="103" xfId="0" applyFont="1" applyFill="1" applyBorder="1" applyAlignment="1">
      <alignment horizontal="justify"/>
    </xf>
    <xf numFmtId="3" fontId="98" fillId="0" borderId="103" xfId="0" applyNumberFormat="1" applyFont="1" applyFill="1" applyBorder="1"/>
    <xf numFmtId="4" fontId="98" fillId="0" borderId="103" xfId="0" applyNumberFormat="1" applyFont="1" applyFill="1" applyBorder="1"/>
    <xf numFmtId="0" fontId="101" fillId="0" borderId="73" xfId="0" applyFont="1" applyFill="1" applyBorder="1" applyAlignment="1">
      <alignment horizontal="justify"/>
    </xf>
    <xf numFmtId="3" fontId="98" fillId="0" borderId="73" xfId="0" applyNumberFormat="1" applyFont="1" applyFill="1" applyBorder="1"/>
    <xf numFmtId="4" fontId="98" fillId="0" borderId="73" xfId="0" applyNumberFormat="1" applyFont="1" applyFill="1" applyBorder="1"/>
    <xf numFmtId="4" fontId="98" fillId="0" borderId="69" xfId="0" applyNumberFormat="1" applyFont="1" applyFill="1" applyBorder="1"/>
    <xf numFmtId="0" fontId="104" fillId="0" borderId="83" xfId="0" applyFont="1" applyBorder="1" applyAlignment="1">
      <alignment horizontal="justify"/>
    </xf>
    <xf numFmtId="3" fontId="89" fillId="0" borderId="83" xfId="0" applyNumberFormat="1" applyFont="1" applyFill="1" applyBorder="1"/>
    <xf numFmtId="3" fontId="98" fillId="28" borderId="103" xfId="0" applyNumberFormat="1" applyFont="1" applyFill="1" applyBorder="1"/>
    <xf numFmtId="4" fontId="98" fillId="28" borderId="103" xfId="0" applyNumberFormat="1" applyFont="1" applyFill="1" applyBorder="1"/>
    <xf numFmtId="0" fontId="98" fillId="28" borderId="69" xfId="0" applyFont="1" applyFill="1" applyBorder="1"/>
    <xf numFmtId="3" fontId="98" fillId="28" borderId="69" xfId="0" applyNumberFormat="1" applyFont="1" applyFill="1" applyBorder="1"/>
    <xf numFmtId="4" fontId="98" fillId="28" borderId="69" xfId="0" applyNumberFormat="1" applyFont="1" applyFill="1" applyBorder="1"/>
    <xf numFmtId="4" fontId="98" fillId="28" borderId="73" xfId="0" applyNumberFormat="1" applyFont="1" applyFill="1" applyBorder="1"/>
    <xf numFmtId="0" fontId="98" fillId="0" borderId="103" xfId="0" applyFont="1" applyFill="1" applyBorder="1"/>
    <xf numFmtId="0" fontId="98" fillId="0" borderId="73" xfId="0" applyFont="1" applyFill="1" applyBorder="1"/>
    <xf numFmtId="0" fontId="98" fillId="0" borderId="69" xfId="0" applyFont="1" applyFill="1" applyBorder="1"/>
    <xf numFmtId="0" fontId="98" fillId="0" borderId="75" xfId="0" applyFont="1" applyFill="1" applyBorder="1"/>
    <xf numFmtId="0" fontId="97" fillId="0" borderId="77" xfId="0" applyFont="1" applyFill="1" applyBorder="1" applyAlignment="1">
      <alignment horizontal="left"/>
    </xf>
    <xf numFmtId="3" fontId="97" fillId="0" borderId="77" xfId="0" applyNumberFormat="1" applyFont="1" applyFill="1" applyBorder="1"/>
    <xf numFmtId="0" fontId="99" fillId="0" borderId="69" xfId="0" applyFont="1" applyFill="1" applyBorder="1"/>
    <xf numFmtId="0" fontId="98" fillId="0" borderId="73" xfId="0" applyFont="1" applyFill="1" applyBorder="1" applyAlignment="1"/>
    <xf numFmtId="3" fontId="98" fillId="0" borderId="75" xfId="0" applyNumberFormat="1" applyFont="1" applyFill="1" applyBorder="1" applyAlignment="1">
      <alignment horizontal="right"/>
    </xf>
    <xf numFmtId="4" fontId="98" fillId="0" borderId="75" xfId="0" applyNumberFormat="1" applyFont="1" applyFill="1" applyBorder="1" applyAlignment="1">
      <alignment horizontal="right"/>
    </xf>
    <xf numFmtId="3" fontId="98" fillId="0" borderId="75" xfId="0" applyNumberFormat="1" applyFont="1" applyFill="1" applyBorder="1" applyAlignment="1">
      <alignment horizontal="justify"/>
    </xf>
    <xf numFmtId="3" fontId="105" fillId="0" borderId="75" xfId="0" applyNumberFormat="1" applyFont="1" applyFill="1" applyBorder="1" applyAlignment="1">
      <alignment horizontal="right"/>
    </xf>
    <xf numFmtId="3" fontId="106" fillId="0" borderId="73" xfId="78" applyNumberFormat="1" applyFont="1" applyFill="1" applyBorder="1" applyAlignment="1">
      <alignment horizontal="justify" wrapText="1"/>
    </xf>
    <xf numFmtId="3" fontId="106" fillId="0" borderId="75" xfId="78" applyNumberFormat="1" applyFont="1" applyFill="1" applyBorder="1" applyAlignment="1">
      <alignment horizontal="right" wrapText="1"/>
    </xf>
    <xf numFmtId="3" fontId="98" fillId="0" borderId="73" xfId="0" applyNumberFormat="1" applyFont="1" applyFill="1" applyBorder="1" applyAlignment="1">
      <alignment horizontal="right"/>
    </xf>
    <xf numFmtId="4" fontId="98" fillId="0" borderId="73" xfId="0" applyNumberFormat="1" applyFont="1" applyFill="1" applyBorder="1" applyAlignment="1">
      <alignment horizontal="right"/>
    </xf>
    <xf numFmtId="3" fontId="98" fillId="0" borderId="69" xfId="0" applyNumberFormat="1" applyFont="1" applyFill="1" applyBorder="1" applyAlignment="1">
      <alignment horizontal="right"/>
    </xf>
    <xf numFmtId="0" fontId="98" fillId="0" borderId="69" xfId="0" applyFont="1" applyFill="1" applyBorder="1" applyAlignment="1"/>
    <xf numFmtId="0" fontId="97" fillId="0" borderId="70" xfId="0" applyFont="1" applyFill="1" applyBorder="1"/>
    <xf numFmtId="3" fontId="97" fillId="0" borderId="70" xfId="0" applyNumberFormat="1" applyFont="1" applyFill="1" applyBorder="1" applyAlignment="1">
      <alignment horizontal="right"/>
    </xf>
    <xf numFmtId="0" fontId="97" fillId="0" borderId="76" xfId="0" applyFont="1" applyFill="1" applyBorder="1"/>
    <xf numFmtId="3" fontId="97" fillId="0" borderId="76" xfId="0" applyNumberFormat="1" applyFont="1" applyFill="1" applyBorder="1"/>
    <xf numFmtId="4" fontId="97" fillId="0" borderId="76" xfId="0" applyNumberFormat="1" applyFont="1" applyFill="1" applyBorder="1"/>
    <xf numFmtId="4" fontId="97" fillId="0" borderId="70" xfId="0" applyNumberFormat="1" applyFont="1" applyFill="1" applyBorder="1" applyAlignment="1">
      <alignment horizontal="right"/>
    </xf>
    <xf numFmtId="4" fontId="97" fillId="0" borderId="77" xfId="0" applyNumberFormat="1" applyFont="1" applyFill="1" applyBorder="1"/>
    <xf numFmtId="3" fontId="97" fillId="0" borderId="89" xfId="0" applyNumberFormat="1" applyFont="1" applyFill="1" applyBorder="1"/>
    <xf numFmtId="4" fontId="97" fillId="0" borderId="89" xfId="0" applyNumberFormat="1" applyFont="1" applyFill="1" applyBorder="1"/>
    <xf numFmtId="0" fontId="97" fillId="0" borderId="77" xfId="0" applyFont="1" applyFill="1" applyBorder="1"/>
    <xf numFmtId="0" fontId="96" fillId="0" borderId="89" xfId="0" applyFont="1" applyFill="1" applyBorder="1" applyAlignment="1">
      <alignment horizontal="left"/>
    </xf>
    <xf numFmtId="4" fontId="89" fillId="0" borderId="76" xfId="0" applyNumberFormat="1" applyFont="1" applyFill="1" applyBorder="1"/>
    <xf numFmtId="0" fontId="96" fillId="0" borderId="69" xfId="0" applyFont="1" applyFill="1" applyBorder="1" applyAlignment="1">
      <alignment horizontal="left" wrapText="1"/>
    </xf>
    <xf numFmtId="3" fontId="97" fillId="0" borderId="69" xfId="0" applyNumberFormat="1" applyFont="1" applyFill="1" applyBorder="1"/>
    <xf numFmtId="4" fontId="97" fillId="0" borderId="69" xfId="0" applyNumberFormat="1" applyFont="1" applyFill="1" applyBorder="1"/>
    <xf numFmtId="3" fontId="97" fillId="0" borderId="76" xfId="0" applyNumberFormat="1" applyFont="1" applyFill="1" applyBorder="1" applyAlignment="1">
      <alignment horizontal="right"/>
    </xf>
    <xf numFmtId="3" fontId="106" fillId="0" borderId="75" xfId="78" applyNumberFormat="1" applyFont="1" applyFill="1" applyBorder="1" applyAlignment="1">
      <alignment horizontal="justify" wrapText="1"/>
    </xf>
    <xf numFmtId="0" fontId="89" fillId="0" borderId="89" xfId="0" applyFont="1" applyFill="1" applyBorder="1" applyAlignment="1">
      <alignment horizontal="center"/>
    </xf>
    <xf numFmtId="0" fontId="97" fillId="27" borderId="83" xfId="0" applyFont="1" applyFill="1" applyBorder="1" applyAlignment="1">
      <alignment horizontal="center"/>
    </xf>
    <xf numFmtId="0" fontId="97" fillId="0" borderId="22" xfId="0" applyFont="1" applyBorder="1" applyAlignment="1">
      <alignment horizontal="center"/>
    </xf>
    <xf numFmtId="0" fontId="97" fillId="0" borderId="44" xfId="0" applyFont="1" applyBorder="1" applyAlignment="1">
      <alignment horizontal="center"/>
    </xf>
    <xf numFmtId="0" fontId="97" fillId="27" borderId="70" xfId="0" applyFont="1" applyFill="1" applyBorder="1" applyAlignment="1">
      <alignment horizontal="center"/>
    </xf>
    <xf numFmtId="0" fontId="97" fillId="27" borderId="61" xfId="0" applyFont="1" applyFill="1" applyBorder="1" applyAlignment="1">
      <alignment horizontal="center"/>
    </xf>
    <xf numFmtId="3" fontId="101" fillId="0" borderId="73" xfId="0" applyNumberFormat="1" applyFont="1" applyFill="1" applyBorder="1" applyAlignment="1">
      <alignment horizontal="justify"/>
    </xf>
    <xf numFmtId="3" fontId="101" fillId="0" borderId="73" xfId="0" applyNumberFormat="1" applyFont="1" applyFill="1" applyBorder="1" applyAlignment="1">
      <alignment horizontal="right"/>
    </xf>
    <xf numFmtId="0" fontId="104" fillId="0" borderId="77" xfId="0" applyFont="1" applyFill="1" applyBorder="1" applyAlignment="1">
      <alignment horizontal="justify"/>
    </xf>
    <xf numFmtId="3" fontId="89" fillId="0" borderId="20" xfId="0" applyNumberFormat="1" applyFont="1" applyFill="1" applyBorder="1"/>
    <xf numFmtId="0" fontId="105" fillId="28" borderId="73" xfId="0" applyFont="1" applyFill="1" applyBorder="1"/>
    <xf numFmtId="0" fontId="105" fillId="0" borderId="73" xfId="0" applyFont="1" applyFill="1" applyBorder="1"/>
    <xf numFmtId="3" fontId="98" fillId="0" borderId="40" xfId="0" applyNumberFormat="1" applyFont="1" applyFill="1" applyBorder="1" applyAlignment="1">
      <alignment horizontal="right"/>
    </xf>
    <xf numFmtId="3" fontId="105" fillId="0" borderId="73" xfId="0" applyNumberFormat="1" applyFont="1" applyFill="1" applyBorder="1"/>
    <xf numFmtId="0" fontId="97" fillId="0" borderId="20" xfId="0" applyFont="1" applyFill="1" applyBorder="1"/>
    <xf numFmtId="3" fontId="97" fillId="0" borderId="20" xfId="0" applyNumberFormat="1" applyFont="1" applyFill="1" applyBorder="1"/>
    <xf numFmtId="0" fontId="89" fillId="27" borderId="83" xfId="0" applyFont="1" applyFill="1" applyBorder="1" applyAlignment="1">
      <alignment horizontal="center"/>
    </xf>
    <xf numFmtId="0" fontId="89" fillId="0" borderId="53" xfId="0" applyFont="1" applyBorder="1" applyAlignment="1">
      <alignment horizontal="center"/>
    </xf>
    <xf numFmtId="0" fontId="89" fillId="0" borderId="90" xfId="0" applyFont="1" applyBorder="1" applyAlignment="1">
      <alignment horizontal="center"/>
    </xf>
    <xf numFmtId="0" fontId="89" fillId="0" borderId="44" xfId="0" applyFont="1" applyBorder="1" applyAlignment="1">
      <alignment horizontal="center"/>
    </xf>
    <xf numFmtId="0" fontId="89" fillId="27" borderId="70" xfId="0" applyFont="1" applyFill="1" applyBorder="1" applyAlignment="1">
      <alignment horizontal="center"/>
    </xf>
    <xf numFmtId="0" fontId="89" fillId="0" borderId="84" xfId="0" applyFont="1" applyBorder="1" applyAlignment="1">
      <alignment horizontal="center"/>
    </xf>
    <xf numFmtId="3" fontId="96" fillId="0" borderId="16" xfId="0" applyNumberFormat="1" applyFont="1" applyBorder="1" applyAlignment="1">
      <alignment horizontal="left"/>
    </xf>
    <xf numFmtId="3" fontId="105" fillId="0" borderId="0" xfId="0" applyNumberFormat="1" applyFont="1" applyAlignment="1">
      <alignment horizontal="left"/>
    </xf>
    <xf numFmtId="3" fontId="89" fillId="0" borderId="25" xfId="0" applyNumberFormat="1" applyFont="1" applyBorder="1" applyAlignment="1">
      <alignment horizontal="center"/>
    </xf>
    <xf numFmtId="0" fontId="89" fillId="27" borderId="45" xfId="0" applyFont="1" applyFill="1" applyBorder="1" applyAlignment="1">
      <alignment horizontal="center"/>
    </xf>
    <xf numFmtId="0" fontId="89" fillId="0" borderId="27" xfId="0" applyFont="1" applyBorder="1" applyAlignment="1">
      <alignment horizontal="center"/>
    </xf>
    <xf numFmtId="3" fontId="89" fillId="0" borderId="30" xfId="0" applyNumberFormat="1" applyFont="1" applyBorder="1" applyAlignment="1">
      <alignment horizontal="center"/>
    </xf>
    <xf numFmtId="0" fontId="89" fillId="0" borderId="55" xfId="0" applyFont="1" applyBorder="1" applyAlignment="1">
      <alignment horizontal="center"/>
    </xf>
    <xf numFmtId="0" fontId="89" fillId="27" borderId="61" xfId="0" applyFont="1" applyFill="1" applyBorder="1" applyAlignment="1">
      <alignment horizontal="center"/>
    </xf>
    <xf numFmtId="0" fontId="89" fillId="0" borderId="28" xfId="0" applyFont="1" applyBorder="1" applyAlignment="1">
      <alignment horizontal="center"/>
    </xf>
    <xf numFmtId="0" fontId="105" fillId="28" borderId="104" xfId="0" applyFont="1" applyFill="1" applyBorder="1" applyAlignment="1">
      <alignment horizontal="justify"/>
    </xf>
    <xf numFmtId="3" fontId="105" fillId="28" borderId="111" xfId="0" applyNumberFormat="1" applyFont="1" applyFill="1" applyBorder="1"/>
    <xf numFmtId="3" fontId="105" fillId="28" borderId="36" xfId="0" applyNumberFormat="1" applyFont="1" applyFill="1" applyBorder="1"/>
    <xf numFmtId="4" fontId="105" fillId="28" borderId="67" xfId="0" applyNumberFormat="1" applyFont="1" applyFill="1" applyBorder="1"/>
    <xf numFmtId="0" fontId="105" fillId="28" borderId="40" xfId="0" applyFont="1" applyFill="1" applyBorder="1" applyAlignment="1">
      <alignment horizontal="justify"/>
    </xf>
    <xf numFmtId="4" fontId="105" fillId="28" borderId="68" xfId="0" applyNumberFormat="1" applyFont="1" applyFill="1" applyBorder="1"/>
    <xf numFmtId="3" fontId="105" fillId="28" borderId="15" xfId="0" applyNumberFormat="1" applyFont="1" applyFill="1" applyBorder="1"/>
    <xf numFmtId="3" fontId="89" fillId="0" borderId="17" xfId="0" applyNumberFormat="1" applyFont="1" applyBorder="1"/>
    <xf numFmtId="3" fontId="89" fillId="0" borderId="43" xfId="0" applyNumberFormat="1" applyFont="1" applyBorder="1"/>
    <xf numFmtId="4" fontId="89" fillId="0" borderId="54" xfId="0" applyNumberFormat="1" applyFont="1" applyBorder="1"/>
    <xf numFmtId="0" fontId="96" fillId="0" borderId="18" xfId="0" applyFont="1" applyFill="1" applyBorder="1"/>
    <xf numFmtId="4" fontId="105" fillId="0" borderId="67" xfId="0" applyNumberFormat="1" applyFont="1" applyBorder="1"/>
    <xf numFmtId="3" fontId="89" fillId="0" borderId="21" xfId="0" applyNumberFormat="1" applyFont="1" applyBorder="1"/>
    <xf numFmtId="3" fontId="105" fillId="0" borderId="45" xfId="0" applyNumberFormat="1" applyFont="1" applyFill="1" applyBorder="1"/>
    <xf numFmtId="3" fontId="105" fillId="0" borderId="46" xfId="0" applyNumberFormat="1" applyFont="1" applyBorder="1"/>
    <xf numFmtId="3" fontId="105" fillId="0" borderId="45" xfId="0" applyNumberFormat="1" applyFont="1" applyBorder="1"/>
    <xf numFmtId="4" fontId="105" fillId="0" borderId="27" xfId="0" applyNumberFormat="1" applyFont="1" applyBorder="1"/>
    <xf numFmtId="0" fontId="105" fillId="0" borderId="40" xfId="0" applyFont="1" applyFill="1" applyBorder="1"/>
    <xf numFmtId="3" fontId="105" fillId="0" borderId="36" xfId="0" applyNumberFormat="1" applyFont="1" applyFill="1" applyBorder="1"/>
    <xf numFmtId="3" fontId="105" fillId="0" borderId="36" xfId="0" applyNumberFormat="1" applyFont="1" applyBorder="1"/>
    <xf numFmtId="4" fontId="105" fillId="0" borderId="68" xfId="0" applyNumberFormat="1" applyFont="1" applyBorder="1"/>
    <xf numFmtId="3" fontId="105" fillId="28" borderId="29" xfId="0" applyNumberFormat="1" applyFont="1" applyFill="1" applyBorder="1"/>
    <xf numFmtId="0" fontId="105" fillId="0" borderId="40" xfId="0" applyFont="1" applyFill="1" applyBorder="1" applyAlignment="1">
      <alignment horizontal="justify"/>
    </xf>
    <xf numFmtId="0" fontId="96" fillId="0" borderId="20" xfId="0" applyFont="1" applyFill="1" applyBorder="1" applyAlignment="1">
      <alignment horizontal="justify"/>
    </xf>
    <xf numFmtId="4" fontId="89" fillId="0" borderId="60" xfId="0" applyNumberFormat="1" applyFont="1" applyBorder="1"/>
    <xf numFmtId="0" fontId="89" fillId="0" borderId="17" xfId="0" applyFont="1" applyFill="1" applyBorder="1"/>
    <xf numFmtId="3" fontId="89" fillId="0" borderId="61" xfId="0" applyNumberFormat="1" applyFont="1" applyBorder="1"/>
    <xf numFmtId="3" fontId="89" fillId="0" borderId="94" xfId="0" applyNumberFormat="1" applyFont="1" applyBorder="1" applyAlignment="1">
      <alignment horizontal="center"/>
    </xf>
    <xf numFmtId="0" fontId="89" fillId="0" borderId="43" xfId="0" applyFont="1" applyBorder="1" applyAlignment="1">
      <alignment horizontal="center"/>
    </xf>
    <xf numFmtId="0" fontId="105" fillId="28" borderId="18" xfId="0" applyFont="1" applyFill="1" applyBorder="1" applyAlignment="1">
      <alignment horizontal="left" wrapText="1"/>
    </xf>
    <xf numFmtId="4" fontId="105" fillId="28" borderId="56" xfId="0" applyNumberFormat="1" applyFont="1" applyFill="1" applyBorder="1"/>
    <xf numFmtId="0" fontId="105" fillId="28" borderId="40" xfId="0" applyFont="1" applyFill="1" applyBorder="1" applyAlignment="1">
      <alignment horizontal="left" wrapText="1"/>
    </xf>
    <xf numFmtId="4" fontId="105" fillId="28" borderId="71" xfId="0" applyNumberFormat="1" applyFont="1" applyFill="1" applyBorder="1"/>
    <xf numFmtId="0" fontId="89" fillId="0" borderId="20" xfId="0" applyFont="1" applyFill="1" applyBorder="1"/>
    <xf numFmtId="4" fontId="105" fillId="0" borderId="77" xfId="0" applyNumberFormat="1" applyFont="1" applyBorder="1"/>
    <xf numFmtId="3" fontId="14" fillId="0" borderId="100" xfId="0" applyNumberFormat="1" applyFont="1" applyBorder="1"/>
    <xf numFmtId="4" fontId="14" fillId="0" borderId="60" xfId="0" applyNumberFormat="1" applyFont="1" applyBorder="1"/>
    <xf numFmtId="0" fontId="97" fillId="0" borderId="23" xfId="0" applyFont="1" applyBorder="1" applyAlignment="1">
      <alignment horizontal="center"/>
    </xf>
    <xf numFmtId="0" fontId="97" fillId="27" borderId="45" xfId="0" applyFont="1" applyFill="1" applyBorder="1" applyAlignment="1">
      <alignment horizontal="center"/>
    </xf>
    <xf numFmtId="0" fontId="97" fillId="0" borderId="27" xfId="0" applyFont="1" applyBorder="1" applyAlignment="1">
      <alignment horizontal="center"/>
    </xf>
    <xf numFmtId="0" fontId="97" fillId="0" borderId="19" xfId="0" applyFont="1" applyBorder="1" applyAlignment="1">
      <alignment horizontal="center"/>
    </xf>
    <xf numFmtId="0" fontId="97" fillId="0" borderId="43" xfId="0" applyFont="1" applyBorder="1" applyAlignment="1">
      <alignment horizontal="center"/>
    </xf>
    <xf numFmtId="0" fontId="97" fillId="0" borderId="28" xfId="0" applyFont="1" applyBorder="1" applyAlignment="1">
      <alignment horizontal="center"/>
    </xf>
    <xf numFmtId="0" fontId="98" fillId="28" borderId="38" xfId="0" applyFont="1" applyFill="1" applyBorder="1" applyAlignment="1">
      <alignment horizontal="justify"/>
    </xf>
    <xf numFmtId="3" fontId="98" fillId="28" borderId="51" xfId="0" applyNumberFormat="1" applyFont="1" applyFill="1" applyBorder="1"/>
    <xf numFmtId="4" fontId="98" fillId="28" borderId="67" xfId="0" applyNumberFormat="1" applyFont="1" applyFill="1" applyBorder="1"/>
    <xf numFmtId="3" fontId="98" fillId="28" borderId="36" xfId="0" applyNumberFormat="1" applyFont="1" applyFill="1" applyBorder="1"/>
    <xf numFmtId="0" fontId="98" fillId="28" borderId="40" xfId="0" applyFont="1" applyFill="1" applyBorder="1" applyAlignment="1">
      <alignment horizontal="justify"/>
    </xf>
    <xf numFmtId="3" fontId="98" fillId="28" borderId="15" xfId="0" applyNumberFormat="1" applyFont="1" applyFill="1" applyBorder="1"/>
    <xf numFmtId="3" fontId="97" fillId="0" borderId="48" xfId="0" applyNumberFormat="1" applyFont="1" applyBorder="1"/>
    <xf numFmtId="3" fontId="97" fillId="0" borderId="21" xfId="0" applyNumberFormat="1" applyFont="1" applyBorder="1"/>
    <xf numFmtId="2" fontId="97" fillId="0" borderId="60" xfId="0" applyNumberFormat="1" applyFont="1" applyBorder="1"/>
    <xf numFmtId="3" fontId="98" fillId="28" borderId="38" xfId="0" applyNumberFormat="1" applyFont="1" applyFill="1" applyBorder="1" applyAlignment="1">
      <alignment wrapText="1"/>
    </xf>
    <xf numFmtId="3" fontId="98" fillId="28" borderId="111" xfId="0" applyNumberFormat="1" applyFont="1" applyFill="1" applyBorder="1"/>
    <xf numFmtId="0" fontId="98" fillId="0" borderId="38" xfId="0" applyFont="1" applyFill="1" applyBorder="1"/>
    <xf numFmtId="3" fontId="98" fillId="0" borderId="51" xfId="0" applyNumberFormat="1" applyFont="1" applyFill="1" applyBorder="1"/>
    <xf numFmtId="2" fontId="98" fillId="0" borderId="67" xfId="0" applyNumberFormat="1" applyFont="1" applyBorder="1"/>
    <xf numFmtId="0" fontId="98" fillId="0" borderId="40" xfId="0" applyFont="1" applyFill="1" applyBorder="1"/>
    <xf numFmtId="3" fontId="98" fillId="0" borderId="36" xfId="0" applyNumberFormat="1" applyFont="1" applyBorder="1"/>
    <xf numFmtId="0" fontId="98" fillId="0" borderId="40" xfId="0" applyFont="1" applyFill="1" applyBorder="1" applyAlignment="1">
      <alignment wrapText="1"/>
    </xf>
    <xf numFmtId="0" fontId="98" fillId="0" borderId="40" xfId="0" applyFont="1" applyFill="1" applyBorder="1" applyAlignment="1">
      <alignment horizontal="justify"/>
    </xf>
    <xf numFmtId="3" fontId="98" fillId="0" borderId="36" xfId="0" applyNumberFormat="1" applyFont="1" applyFill="1" applyBorder="1"/>
    <xf numFmtId="3" fontId="98" fillId="0" borderId="52" xfId="0" applyNumberFormat="1" applyFont="1" applyFill="1" applyBorder="1"/>
    <xf numFmtId="0" fontId="97" fillId="0" borderId="17" xfId="0" applyFont="1" applyBorder="1" applyAlignment="1">
      <alignment horizontal="left"/>
    </xf>
    <xf numFmtId="3" fontId="97" fillId="0" borderId="44" xfId="0" applyNumberFormat="1" applyFont="1" applyBorder="1"/>
    <xf numFmtId="2" fontId="97" fillId="0" borderId="54" xfId="0" applyNumberFormat="1" applyFont="1" applyBorder="1"/>
    <xf numFmtId="0" fontId="97" fillId="0" borderId="19" xfId="0" applyFont="1" applyBorder="1" applyAlignment="1">
      <alignment horizontal="left"/>
    </xf>
    <xf numFmtId="3" fontId="97" fillId="0" borderId="33" xfId="0" applyNumberFormat="1" applyFont="1" applyBorder="1"/>
    <xf numFmtId="3" fontId="97" fillId="0" borderId="61" xfId="0" applyNumberFormat="1" applyFont="1" applyBorder="1"/>
    <xf numFmtId="0" fontId="97" fillId="0" borderId="23" xfId="0" applyFont="1" applyFill="1" applyBorder="1" applyAlignment="1">
      <alignment horizontal="center"/>
    </xf>
    <xf numFmtId="0" fontId="97" fillId="0" borderId="19" xfId="0" applyFont="1" applyFill="1" applyBorder="1" applyAlignment="1">
      <alignment horizontal="center"/>
    </xf>
    <xf numFmtId="2" fontId="98" fillId="28" borderId="68" xfId="0" applyNumberFormat="1" applyFont="1" applyFill="1" applyBorder="1"/>
    <xf numFmtId="3" fontId="97" fillId="0" borderId="60" xfId="0" applyNumberFormat="1" applyFont="1" applyFill="1" applyBorder="1"/>
    <xf numFmtId="0" fontId="98" fillId="0" borderId="19" xfId="0" applyFont="1" applyBorder="1" applyAlignment="1">
      <alignment horizontal="center"/>
    </xf>
    <xf numFmtId="3" fontId="97" fillId="0" borderId="43" xfId="0" applyNumberFormat="1" applyFont="1" applyBorder="1" applyAlignment="1">
      <alignment horizontal="center"/>
    </xf>
    <xf numFmtId="0" fontId="98" fillId="28" borderId="38" xfId="0" applyFont="1" applyFill="1" applyBorder="1" applyAlignment="1">
      <alignment horizontal="justify" wrapText="1"/>
    </xf>
    <xf numFmtId="4" fontId="98" fillId="28" borderId="68" xfId="0" applyNumberFormat="1" applyFont="1" applyFill="1" applyBorder="1"/>
    <xf numFmtId="0" fontId="98" fillId="28" borderId="40" xfId="0" applyFont="1" applyFill="1" applyBorder="1" applyAlignment="1">
      <alignment horizontal="justify" wrapText="1"/>
    </xf>
    <xf numFmtId="3" fontId="98" fillId="28" borderId="40" xfId="0" applyNumberFormat="1" applyFont="1" applyFill="1" applyBorder="1" applyAlignment="1">
      <alignment wrapText="1"/>
    </xf>
    <xf numFmtId="3" fontId="98" fillId="0" borderId="34" xfId="0" applyNumberFormat="1" applyFont="1" applyFill="1" applyBorder="1"/>
    <xf numFmtId="4" fontId="98" fillId="0" borderId="68" xfId="0" applyNumberFormat="1" applyFont="1" applyFill="1" applyBorder="1"/>
    <xf numFmtId="0" fontId="98" fillId="0" borderId="18" xfId="0" applyFont="1" applyFill="1" applyBorder="1" applyAlignment="1">
      <alignment horizontal="justify"/>
    </xf>
    <xf numFmtId="3" fontId="98" fillId="0" borderId="29" xfId="0" applyNumberFormat="1" applyFont="1" applyBorder="1"/>
    <xf numFmtId="0" fontId="97" fillId="27" borderId="47" xfId="0" applyFont="1" applyFill="1" applyBorder="1" applyAlignment="1">
      <alignment horizontal="center"/>
    </xf>
    <xf numFmtId="0" fontId="97" fillId="27" borderId="16" xfId="0" applyFont="1" applyFill="1" applyBorder="1" applyAlignment="1">
      <alignment horizontal="center"/>
    </xf>
    <xf numFmtId="3" fontId="98" fillId="28" borderId="34" xfId="0" applyNumberFormat="1" applyFont="1" applyFill="1" applyBorder="1"/>
    <xf numFmtId="3" fontId="98" fillId="28" borderId="37" xfId="0" applyNumberFormat="1" applyFont="1" applyFill="1" applyBorder="1"/>
    <xf numFmtId="3" fontId="98" fillId="28" borderId="29" xfId="0" applyNumberFormat="1" applyFont="1" applyFill="1" applyBorder="1"/>
    <xf numFmtId="3" fontId="97" fillId="0" borderId="48" xfId="0" applyNumberFormat="1" applyFont="1" applyFill="1" applyBorder="1"/>
    <xf numFmtId="0" fontId="98" fillId="0" borderId="0" xfId="0" applyFont="1" applyFill="1"/>
    <xf numFmtId="0" fontId="98" fillId="0" borderId="0" xfId="0" applyFont="1" applyFill="1" applyAlignment="1">
      <alignment horizontal="right"/>
    </xf>
    <xf numFmtId="3" fontId="98" fillId="0" borderId="0" xfId="0" applyNumberFormat="1" applyFont="1" applyFill="1" applyAlignment="1">
      <alignment horizontal="right"/>
    </xf>
    <xf numFmtId="0" fontId="97" fillId="0" borderId="94" xfId="0" applyFont="1" applyFill="1" applyBorder="1" applyAlignment="1">
      <alignment horizontal="center"/>
    </xf>
    <xf numFmtId="3" fontId="98" fillId="0" borderId="111" xfId="0" applyNumberFormat="1" applyFont="1" applyFill="1" applyBorder="1"/>
    <xf numFmtId="0" fontId="98" fillId="28" borderId="40" xfId="0" applyFont="1" applyFill="1" applyBorder="1"/>
    <xf numFmtId="0" fontId="98" fillId="0" borderId="18" xfId="0" applyFont="1" applyFill="1" applyBorder="1"/>
    <xf numFmtId="2" fontId="97" fillId="0" borderId="60" xfId="0" applyNumberFormat="1" applyFont="1" applyFill="1" applyBorder="1"/>
    <xf numFmtId="3" fontId="14" fillId="0" borderId="21" xfId="0" applyNumberFormat="1" applyFont="1" applyFill="1" applyBorder="1"/>
    <xf numFmtId="3" fontId="14" fillId="0" borderId="48" xfId="0" applyNumberFormat="1" applyFont="1" applyFill="1" applyBorder="1"/>
    <xf numFmtId="2" fontId="14" fillId="0" borderId="60" xfId="0" applyNumberFormat="1" applyFont="1" applyFill="1" applyBorder="1"/>
    <xf numFmtId="0" fontId="56" fillId="27" borderId="45" xfId="0" applyFont="1" applyFill="1" applyBorder="1" applyAlignment="1">
      <alignment horizontal="center"/>
    </xf>
    <xf numFmtId="0" fontId="56" fillId="0" borderId="43" xfId="0" applyFont="1" applyBorder="1" applyAlignment="1">
      <alignment horizontal="center"/>
    </xf>
    <xf numFmtId="0" fontId="56" fillId="27" borderId="61" xfId="0" applyFont="1" applyFill="1" applyBorder="1" applyAlignment="1">
      <alignment horizontal="center"/>
    </xf>
    <xf numFmtId="0" fontId="97" fillId="0" borderId="16" xfId="0" applyFont="1" applyFill="1" applyBorder="1" applyAlignment="1">
      <alignment horizontal="center"/>
    </xf>
    <xf numFmtId="0" fontId="98" fillId="28" borderId="38" xfId="0" applyFont="1" applyFill="1" applyBorder="1" applyAlignment="1"/>
    <xf numFmtId="0" fontId="107" fillId="28" borderId="50" xfId="0" applyFont="1" applyFill="1" applyBorder="1" applyAlignment="1"/>
    <xf numFmtId="0" fontId="107" fillId="28" borderId="123" xfId="0" applyFont="1" applyFill="1" applyBorder="1" applyAlignment="1"/>
    <xf numFmtId="3" fontId="98" fillId="28" borderId="29" xfId="0" applyNumberFormat="1" applyFont="1" applyFill="1" applyBorder="1" applyProtection="1">
      <protection locked="0"/>
    </xf>
    <xf numFmtId="2" fontId="98" fillId="28" borderId="67" xfId="0" applyNumberFormat="1" applyFont="1" applyFill="1" applyBorder="1"/>
    <xf numFmtId="0" fontId="98" fillId="28" borderId="40" xfId="0" applyFont="1" applyFill="1" applyBorder="1" applyAlignment="1"/>
    <xf numFmtId="0" fontId="107" fillId="28" borderId="37" xfId="0" applyFont="1" applyFill="1" applyBorder="1" applyAlignment="1"/>
    <xf numFmtId="0" fontId="107" fillId="28" borderId="39" xfId="0" applyFont="1" applyFill="1" applyBorder="1" applyAlignment="1"/>
    <xf numFmtId="3" fontId="98" fillId="28" borderId="65" xfId="0" applyNumberFormat="1" applyFont="1" applyFill="1" applyBorder="1" applyProtection="1">
      <protection locked="0"/>
    </xf>
    <xf numFmtId="3" fontId="98" fillId="28" borderId="52" xfId="0" applyNumberFormat="1" applyFont="1" applyFill="1" applyBorder="1"/>
    <xf numFmtId="3" fontId="98" fillId="28" borderId="34" xfId="0" applyNumberFormat="1" applyFont="1" applyFill="1" applyBorder="1" applyProtection="1">
      <protection locked="0"/>
    </xf>
    <xf numFmtId="0" fontId="98" fillId="28" borderId="62" xfId="0" applyFont="1" applyFill="1" applyBorder="1" applyAlignment="1"/>
    <xf numFmtId="0" fontId="107" fillId="28" borderId="66" xfId="0" applyFont="1" applyFill="1" applyBorder="1" applyAlignment="1"/>
    <xf numFmtId="0" fontId="107" fillId="28" borderId="92" xfId="0" applyFont="1" applyFill="1" applyBorder="1" applyAlignment="1"/>
    <xf numFmtId="3" fontId="98" fillId="28" borderId="65" xfId="0" applyNumberFormat="1" applyFont="1" applyFill="1" applyBorder="1"/>
    <xf numFmtId="2" fontId="98" fillId="28" borderId="71" xfId="0" applyNumberFormat="1" applyFont="1" applyFill="1" applyBorder="1"/>
    <xf numFmtId="3" fontId="98" fillId="0" borderId="65" xfId="0" applyNumberFormat="1" applyFont="1" applyFill="1" applyBorder="1" applyProtection="1">
      <protection locked="0"/>
    </xf>
    <xf numFmtId="0" fontId="98" fillId="0" borderId="104" xfId="0" applyFont="1" applyFill="1" applyBorder="1"/>
    <xf numFmtId="0" fontId="98" fillId="0" borderId="112" xfId="0" applyFont="1" applyFill="1" applyBorder="1"/>
    <xf numFmtId="3" fontId="98" fillId="0" borderId="113" xfId="0" applyNumberFormat="1" applyFont="1" applyFill="1" applyBorder="1" applyProtection="1">
      <protection locked="0"/>
    </xf>
    <xf numFmtId="2" fontId="105" fillId="0" borderId="99" xfId="0" applyNumberFormat="1" applyFont="1" applyFill="1" applyBorder="1"/>
    <xf numFmtId="0" fontId="98" fillId="0" borderId="0" xfId="0" applyFont="1" applyFill="1" applyBorder="1"/>
    <xf numFmtId="3" fontId="98" fillId="0" borderId="29" xfId="0" applyNumberFormat="1" applyFont="1" applyFill="1" applyBorder="1" applyProtection="1">
      <protection locked="0"/>
    </xf>
    <xf numFmtId="2" fontId="105" fillId="0" borderId="59" xfId="0" applyNumberFormat="1" applyFont="1" applyFill="1" applyBorder="1"/>
    <xf numFmtId="3" fontId="89" fillId="0" borderId="21" xfId="0" applyNumberFormat="1" applyFont="1" applyFill="1" applyBorder="1"/>
    <xf numFmtId="0" fontId="59" fillId="0" borderId="20" xfId="0" applyFont="1" applyBorder="1" applyAlignment="1" applyProtection="1">
      <alignment horizontal="left"/>
    </xf>
    <xf numFmtId="3" fontId="14" fillId="0" borderId="48" xfId="0" applyNumberFormat="1" applyFont="1" applyBorder="1" applyProtection="1"/>
    <xf numFmtId="2" fontId="14" fillId="0" borderId="60" xfId="0" applyNumberFormat="1" applyFont="1" applyBorder="1"/>
    <xf numFmtId="3" fontId="97" fillId="0" borderId="23" xfId="0" applyNumberFormat="1" applyFont="1" applyFill="1" applyBorder="1" applyAlignment="1" applyProtection="1">
      <alignment horizontal="centerContinuous"/>
    </xf>
    <xf numFmtId="3" fontId="97" fillId="0" borderId="18" xfId="0" applyNumberFormat="1" applyFont="1" applyFill="1" applyBorder="1" applyAlignment="1" applyProtection="1">
      <alignment horizontal="centerContinuous"/>
    </xf>
    <xf numFmtId="0" fontId="98" fillId="28" borderId="95" xfId="0" applyFont="1" applyFill="1" applyBorder="1" applyAlignment="1" applyProtection="1">
      <alignment horizontal="left"/>
    </xf>
    <xf numFmtId="0" fontId="98" fillId="28" borderId="42" xfId="0" applyFont="1" applyFill="1" applyBorder="1" applyAlignment="1" applyProtection="1">
      <alignment horizontal="left"/>
    </xf>
    <xf numFmtId="0" fontId="98" fillId="28" borderId="42" xfId="0" applyFont="1" applyFill="1" applyBorder="1" applyAlignment="1" applyProtection="1">
      <alignment horizontal="left" wrapText="1"/>
    </xf>
    <xf numFmtId="0" fontId="98" fillId="28" borderId="96" xfId="0" applyFont="1" applyFill="1" applyBorder="1" applyAlignment="1"/>
    <xf numFmtId="0" fontId="98" fillId="0" borderId="23" xfId="77" applyFont="1" applyFill="1" applyBorder="1"/>
    <xf numFmtId="0" fontId="97" fillId="0" borderId="46" xfId="77" applyFont="1" applyFill="1" applyBorder="1" applyAlignment="1">
      <alignment horizontal="center"/>
    </xf>
    <xf numFmtId="0" fontId="98" fillId="0" borderId="19" xfId="77" applyFont="1" applyFill="1" applyBorder="1"/>
    <xf numFmtId="0" fontId="98" fillId="0" borderId="16" xfId="77" applyFont="1" applyFill="1" applyBorder="1" applyAlignment="1">
      <alignment horizontal="center"/>
    </xf>
    <xf numFmtId="0" fontId="97" fillId="0" borderId="76" xfId="0" applyFont="1" applyBorder="1" applyAlignment="1">
      <alignment horizontal="center"/>
    </xf>
    <xf numFmtId="0" fontId="89" fillId="0" borderId="18" xfId="77" applyFont="1" applyFill="1" applyBorder="1"/>
    <xf numFmtId="0" fontId="98" fillId="0" borderId="0" xfId="77" applyFont="1" applyFill="1" applyBorder="1" applyAlignment="1">
      <alignment horizontal="center"/>
    </xf>
    <xf numFmtId="0" fontId="104" fillId="0" borderId="69" xfId="0" applyFont="1" applyFill="1" applyBorder="1" applyAlignment="1">
      <alignment horizontal="center"/>
    </xf>
    <xf numFmtId="0" fontId="96" fillId="0" borderId="18" xfId="77" applyFont="1" applyFill="1" applyBorder="1"/>
    <xf numFmtId="3" fontId="99" fillId="0" borderId="18" xfId="77" applyNumberFormat="1" applyFont="1" applyFill="1" applyBorder="1"/>
    <xf numFmtId="3" fontId="102" fillId="0" borderId="73" xfId="0" applyNumberFormat="1" applyFont="1" applyFill="1" applyBorder="1" applyAlignment="1">
      <alignment horizontal="right"/>
    </xf>
    <xf numFmtId="4" fontId="98" fillId="0" borderId="73" xfId="77" applyNumberFormat="1" applyFont="1" applyFill="1" applyBorder="1" applyAlignment="1">
      <alignment horizontal="right"/>
    </xf>
    <xf numFmtId="3" fontId="98" fillId="0" borderId="73" xfId="77" applyNumberFormat="1" applyFont="1" applyFill="1" applyBorder="1" applyAlignment="1">
      <alignment horizontal="right"/>
    </xf>
    <xf numFmtId="0" fontId="98" fillId="0" borderId="18" xfId="77" applyFont="1" applyFill="1" applyBorder="1" applyAlignment="1">
      <alignment horizontal="right"/>
    </xf>
    <xf numFmtId="0" fontId="98" fillId="0" borderId="37" xfId="0" applyFont="1" applyFill="1" applyBorder="1" applyAlignment="1">
      <alignment wrapText="1"/>
    </xf>
    <xf numFmtId="0" fontId="105" fillId="0" borderId="50" xfId="77" applyFont="1" applyFill="1" applyBorder="1" applyAlignment="1">
      <alignment horizontal="left" wrapText="1"/>
    </xf>
    <xf numFmtId="0" fontId="105" fillId="0" borderId="50" xfId="77" applyFont="1" applyBorder="1" applyAlignment="1">
      <alignment horizontal="left" wrapText="1"/>
    </xf>
    <xf numFmtId="4" fontId="98" fillId="0" borderId="72" xfId="77" applyNumberFormat="1" applyFont="1" applyFill="1" applyBorder="1" applyAlignment="1">
      <alignment horizontal="right"/>
    </xf>
    <xf numFmtId="3" fontId="98" fillId="0" borderId="72" xfId="77" applyNumberFormat="1" applyFont="1" applyFill="1" applyBorder="1" applyAlignment="1">
      <alignment horizontal="right"/>
    </xf>
    <xf numFmtId="0" fontId="105" fillId="0" borderId="37" xfId="77" applyFont="1" applyFill="1" applyBorder="1" applyAlignment="1">
      <alignment horizontal="left" wrapText="1"/>
    </xf>
    <xf numFmtId="4" fontId="89" fillId="0" borderId="69" xfId="77" applyNumberFormat="1" applyFont="1" applyFill="1" applyBorder="1" applyAlignment="1">
      <alignment horizontal="right"/>
    </xf>
    <xf numFmtId="3" fontId="98" fillId="0" borderId="73" xfId="77" applyNumberFormat="1" applyFont="1" applyFill="1" applyBorder="1"/>
    <xf numFmtId="2" fontId="98" fillId="0" borderId="73" xfId="77" applyNumberFormat="1" applyFont="1" applyFill="1" applyBorder="1"/>
    <xf numFmtId="0" fontId="89" fillId="0" borderId="20" xfId="77" applyFont="1" applyFill="1" applyBorder="1"/>
    <xf numFmtId="0" fontId="98" fillId="0" borderId="93" xfId="77" applyFont="1" applyFill="1" applyBorder="1" applyAlignment="1">
      <alignment horizontal="center"/>
    </xf>
    <xf numFmtId="3" fontId="104" fillId="0" borderId="77" xfId="0" applyNumberFormat="1" applyFont="1" applyFill="1" applyBorder="1" applyAlignment="1">
      <alignment horizontal="right"/>
    </xf>
    <xf numFmtId="4" fontId="104" fillId="0" borderId="77" xfId="0" applyNumberFormat="1" applyFont="1" applyFill="1" applyBorder="1" applyAlignment="1">
      <alignment horizontal="right"/>
    </xf>
    <xf numFmtId="0" fontId="97" fillId="0" borderId="18" xfId="77" applyFont="1" applyFill="1" applyBorder="1" applyAlignment="1">
      <alignment horizontal="left"/>
    </xf>
    <xf numFmtId="0" fontId="97" fillId="0" borderId="0" xfId="77" applyFont="1" applyFill="1" applyBorder="1" applyAlignment="1">
      <alignment horizontal="center"/>
    </xf>
    <xf numFmtId="3" fontId="97" fillId="0" borderId="69" xfId="77" applyNumberFormat="1" applyFont="1" applyFill="1" applyBorder="1"/>
    <xf numFmtId="0" fontId="97" fillId="0" borderId="0" xfId="77" applyFont="1" applyFill="1" applyBorder="1" applyAlignment="1">
      <alignment horizontal="justify"/>
    </xf>
    <xf numFmtId="3" fontId="97" fillId="0" borderId="73" xfId="77" applyNumberFormat="1" applyFont="1" applyFill="1" applyBorder="1"/>
    <xf numFmtId="0" fontId="105" fillId="0" borderId="37" xfId="77" applyFont="1" applyFill="1" applyBorder="1" applyAlignment="1">
      <alignment horizontal="left"/>
    </xf>
    <xf numFmtId="3" fontId="105" fillId="0" borderId="73" xfId="77" applyNumberFormat="1" applyFont="1" applyFill="1" applyBorder="1"/>
    <xf numFmtId="0" fontId="98" fillId="0" borderId="37" xfId="77" applyFont="1" applyFill="1" applyBorder="1" applyAlignment="1">
      <alignment horizontal="left"/>
    </xf>
    <xf numFmtId="0" fontId="97" fillId="0" borderId="37" xfId="77" applyFont="1" applyFill="1" applyBorder="1" applyAlignment="1">
      <alignment horizontal="justify"/>
    </xf>
    <xf numFmtId="0" fontId="98" fillId="0" borderId="0" xfId="77" applyFont="1" applyFill="1" applyBorder="1" applyAlignment="1">
      <alignment horizontal="justify"/>
    </xf>
    <xf numFmtId="3" fontId="98" fillId="0" borderId="69" xfId="77" applyNumberFormat="1" applyFont="1" applyFill="1" applyBorder="1"/>
    <xf numFmtId="4" fontId="104" fillId="0" borderId="70" xfId="0" applyNumberFormat="1" applyFont="1" applyFill="1" applyBorder="1" applyAlignment="1">
      <alignment horizontal="right"/>
    </xf>
    <xf numFmtId="0" fontId="89" fillId="0" borderId="18" xfId="0" applyFont="1" applyFill="1" applyBorder="1"/>
    <xf numFmtId="0" fontId="97" fillId="0" borderId="86" xfId="77" applyFont="1" applyFill="1" applyBorder="1" applyAlignment="1">
      <alignment horizontal="left"/>
    </xf>
    <xf numFmtId="0" fontId="98" fillId="0" borderId="0" xfId="0" applyFont="1" applyFill="1" applyBorder="1" applyAlignment="1" applyProtection="1">
      <alignment horizontal="left"/>
    </xf>
    <xf numFmtId="3" fontId="105" fillId="0" borderId="75" xfId="77" applyNumberFormat="1" applyFont="1" applyFill="1" applyBorder="1"/>
    <xf numFmtId="2" fontId="98" fillId="0" borderId="75" xfId="77" applyNumberFormat="1" applyFont="1" applyFill="1" applyBorder="1"/>
    <xf numFmtId="0" fontId="105" fillId="0" borderId="37" xfId="0" applyFont="1" applyFill="1" applyBorder="1" applyAlignment="1" applyProtection="1">
      <alignment horizontal="left"/>
    </xf>
    <xf numFmtId="0" fontId="105" fillId="0" borderId="37" xfId="0" applyFont="1" applyFill="1" applyBorder="1" applyAlignment="1" applyProtection="1"/>
    <xf numFmtId="3" fontId="105" fillId="0" borderId="69" xfId="77" applyNumberFormat="1" applyFont="1" applyFill="1" applyBorder="1"/>
    <xf numFmtId="0" fontId="98" fillId="0" borderId="37" xfId="0" applyFont="1" applyFill="1" applyBorder="1" applyAlignment="1" applyProtection="1">
      <alignment horizontal="left"/>
    </xf>
    <xf numFmtId="0" fontId="98" fillId="0" borderId="50" xfId="0" applyFont="1" applyFill="1" applyBorder="1" applyAlignment="1" applyProtection="1">
      <alignment horizontal="left"/>
    </xf>
    <xf numFmtId="3" fontId="98" fillId="0" borderId="75" xfId="77" applyNumberFormat="1" applyFont="1" applyFill="1" applyBorder="1" applyAlignment="1">
      <alignment horizontal="right"/>
    </xf>
    <xf numFmtId="3" fontId="98" fillId="0" borderId="69" xfId="77" applyNumberFormat="1" applyFont="1" applyFill="1" applyBorder="1" applyAlignment="1">
      <alignment horizontal="right"/>
    </xf>
    <xf numFmtId="3" fontId="108" fillId="0" borderId="50" xfId="0" applyNumberFormat="1" applyFont="1" applyFill="1" applyBorder="1" applyAlignment="1" applyProtection="1"/>
    <xf numFmtId="0" fontId="108" fillId="0" borderId="37" xfId="77" applyFont="1" applyFill="1" applyBorder="1" applyAlignment="1">
      <alignment horizontal="justify"/>
    </xf>
    <xf numFmtId="0" fontId="108" fillId="0" borderId="79" xfId="0" applyFont="1" applyFill="1" applyBorder="1"/>
    <xf numFmtId="0" fontId="108" fillId="0" borderId="37" xfId="77" applyFont="1" applyFill="1" applyBorder="1" applyAlignment="1">
      <alignment horizontal="left"/>
    </xf>
    <xf numFmtId="0" fontId="108" fillId="0" borderId="37" xfId="0" applyFont="1" applyFill="1" applyBorder="1" applyProtection="1"/>
    <xf numFmtId="3" fontId="56" fillId="0" borderId="23" xfId="0" applyNumberFormat="1" applyFont="1" applyFill="1" applyBorder="1" applyAlignment="1"/>
    <xf numFmtId="3" fontId="56" fillId="0" borderId="46" xfId="0" applyNumberFormat="1" applyFont="1" applyFill="1" applyBorder="1" applyAlignment="1"/>
    <xf numFmtId="3" fontId="56" fillId="0" borderId="63" xfId="0" applyNumberFormat="1" applyFont="1" applyFill="1" applyBorder="1" applyAlignment="1"/>
    <xf numFmtId="0" fontId="56" fillId="27" borderId="63" xfId="0" applyFont="1" applyFill="1" applyBorder="1" applyAlignment="1">
      <alignment horizontal="center"/>
    </xf>
    <xf numFmtId="3" fontId="56" fillId="0" borderId="46" xfId="0" applyNumberFormat="1" applyFont="1" applyFill="1" applyBorder="1" applyAlignment="1">
      <alignment horizontal="left"/>
    </xf>
    <xf numFmtId="3" fontId="60" fillId="0" borderId="46" xfId="0" applyNumberFormat="1" applyFont="1" applyFill="1" applyBorder="1"/>
    <xf numFmtId="0" fontId="56" fillId="0" borderId="19" xfId="0" applyFont="1" applyFill="1" applyBorder="1" applyAlignment="1" applyProtection="1">
      <alignment horizontal="left"/>
    </xf>
    <xf numFmtId="3" fontId="56" fillId="0" borderId="16" xfId="0" applyNumberFormat="1" applyFont="1" applyFill="1" applyBorder="1" applyAlignment="1">
      <alignment horizontal="left"/>
    </xf>
    <xf numFmtId="0" fontId="56" fillId="27" borderId="97" xfId="0" applyFont="1" applyFill="1" applyBorder="1" applyAlignment="1">
      <alignment horizontal="center"/>
    </xf>
    <xf numFmtId="3" fontId="60" fillId="0" borderId="16" xfId="0" applyNumberFormat="1" applyFont="1" applyFill="1" applyBorder="1"/>
    <xf numFmtId="0" fontId="74" fillId="0" borderId="18" xfId="0" applyFont="1" applyFill="1" applyBorder="1" applyAlignment="1" applyProtection="1"/>
    <xf numFmtId="3" fontId="75" fillId="0" borderId="0" xfId="0" applyNumberFormat="1" applyFont="1" applyFill="1" applyBorder="1"/>
    <xf numFmtId="3" fontId="56" fillId="0" borderId="0" xfId="0" applyNumberFormat="1" applyFont="1" applyFill="1" applyBorder="1" applyAlignment="1" applyProtection="1">
      <alignment horizontal="right"/>
    </xf>
    <xf numFmtId="0" fontId="74" fillId="0" borderId="40" xfId="0" applyFont="1" applyFill="1" applyBorder="1" applyAlignment="1" applyProtection="1"/>
    <xf numFmtId="0" fontId="60" fillId="0" borderId="40" xfId="0" applyFont="1" applyFill="1" applyBorder="1"/>
    <xf numFmtId="3" fontId="56" fillId="0" borderId="37" xfId="0" applyNumberFormat="1" applyFont="1" applyFill="1" applyBorder="1"/>
    <xf numFmtId="0" fontId="74" fillId="0" borderId="40" xfId="0" applyFont="1" applyFill="1" applyBorder="1"/>
    <xf numFmtId="3" fontId="75" fillId="0" borderId="37" xfId="0" applyNumberFormat="1" applyFont="1" applyFill="1" applyBorder="1" applyAlignment="1" applyProtection="1">
      <alignment horizontal="left"/>
    </xf>
    <xf numFmtId="3" fontId="60" fillId="0" borderId="86" xfId="0" applyNumberFormat="1" applyFont="1" applyFill="1" applyBorder="1"/>
    <xf numFmtId="3" fontId="60" fillId="0" borderId="37" xfId="0" applyNumberFormat="1" applyFont="1" applyFill="1" applyBorder="1"/>
    <xf numFmtId="3" fontId="60" fillId="0" borderId="37" xfId="0" applyNumberFormat="1" applyFont="1" applyFill="1" applyBorder="1" applyAlignment="1" applyProtection="1">
      <alignment horizontal="left"/>
    </xf>
    <xf numFmtId="0" fontId="70" fillId="0" borderId="0" xfId="0" applyFont="1" applyFill="1" applyBorder="1"/>
    <xf numFmtId="3" fontId="56" fillId="0" borderId="18" xfId="0" applyNumberFormat="1" applyFont="1" applyFill="1" applyBorder="1"/>
    <xf numFmtId="0" fontId="56" fillId="0" borderId="18" xfId="0" applyFont="1" applyFill="1" applyBorder="1"/>
    <xf numFmtId="0" fontId="60" fillId="0" borderId="37" xfId="0" applyFont="1" applyBorder="1" applyAlignment="1">
      <alignment wrapText="1"/>
    </xf>
    <xf numFmtId="3" fontId="70" fillId="0" borderId="93" xfId="0" applyNumberFormat="1" applyFont="1" applyFill="1" applyBorder="1"/>
    <xf numFmtId="3" fontId="56" fillId="0" borderId="16" xfId="0" applyNumberFormat="1" applyFont="1" applyFill="1" applyBorder="1" applyAlignment="1">
      <alignment horizontal="center"/>
    </xf>
    <xf numFmtId="3" fontId="56" fillId="0" borderId="0" xfId="0" applyNumberFormat="1" applyFont="1" applyFill="1" applyBorder="1" applyAlignment="1">
      <alignment horizontal="center"/>
    </xf>
    <xf numFmtId="4" fontId="60" fillId="0" borderId="0" xfId="0" applyNumberFormat="1" applyFont="1" applyFill="1" applyBorder="1" applyAlignment="1">
      <alignment horizontal="right"/>
    </xf>
    <xf numFmtId="4" fontId="56" fillId="27" borderId="27" xfId="0" applyNumberFormat="1" applyFont="1" applyFill="1" applyBorder="1" applyAlignment="1">
      <alignment horizontal="center"/>
    </xf>
    <xf numFmtId="0" fontId="56" fillId="0" borderId="18" xfId="0" applyFont="1" applyFill="1" applyBorder="1" applyAlignment="1" applyProtection="1">
      <alignment horizontal="left"/>
    </xf>
    <xf numFmtId="3" fontId="56" fillId="0" borderId="0" xfId="0" applyNumberFormat="1" applyFont="1" applyFill="1" applyBorder="1" applyAlignment="1">
      <alignment horizontal="left"/>
    </xf>
    <xf numFmtId="0" fontId="56" fillId="0" borderId="55" xfId="0" applyFont="1" applyBorder="1" applyAlignment="1">
      <alignment horizontal="center"/>
    </xf>
    <xf numFmtId="0" fontId="56" fillId="27" borderId="15" xfId="0" applyFont="1" applyFill="1" applyBorder="1" applyAlignment="1">
      <alignment horizontal="center"/>
    </xf>
    <xf numFmtId="4" fontId="56" fillId="27" borderId="59" xfId="0" applyNumberFormat="1" applyFont="1" applyFill="1" applyBorder="1" applyAlignment="1">
      <alignment horizontal="center"/>
    </xf>
    <xf numFmtId="3" fontId="56" fillId="0" borderId="19" xfId="0" applyNumberFormat="1" applyFont="1" applyFill="1" applyBorder="1" applyAlignment="1">
      <alignment horizontal="centerContinuous"/>
    </xf>
    <xf numFmtId="3" fontId="56" fillId="0" borderId="16" xfId="0" applyNumberFormat="1" applyFont="1" applyFill="1" applyBorder="1" applyAlignment="1">
      <alignment horizontal="centerContinuous"/>
    </xf>
    <xf numFmtId="0" fontId="61" fillId="0" borderId="61" xfId="0" applyFont="1" applyFill="1" applyBorder="1" applyAlignment="1">
      <alignment horizontal="center"/>
    </xf>
    <xf numFmtId="0" fontId="61" fillId="0" borderId="84" xfId="0" applyFont="1" applyFill="1" applyBorder="1" applyAlignment="1">
      <alignment horizontal="center"/>
    </xf>
    <xf numFmtId="0" fontId="60" fillId="0" borderId="16" xfId="0" applyFont="1" applyFill="1" applyBorder="1"/>
    <xf numFmtId="3" fontId="56" fillId="0" borderId="16" xfId="0" applyNumberFormat="1" applyFont="1" applyFill="1" applyBorder="1" applyAlignment="1" applyProtection="1">
      <alignment horizontal="right"/>
    </xf>
    <xf numFmtId="4" fontId="61" fillId="0" borderId="84" xfId="0" applyNumberFormat="1" applyFont="1" applyFill="1" applyBorder="1" applyAlignment="1">
      <alignment horizontal="center"/>
    </xf>
    <xf numFmtId="3" fontId="74" fillId="0" borderId="18" xfId="0" applyNumberFormat="1" applyFont="1" applyFill="1" applyBorder="1" applyAlignment="1">
      <alignment horizontal="left"/>
    </xf>
    <xf numFmtId="3" fontId="74" fillId="0" borderId="0" xfId="0" applyNumberFormat="1" applyFont="1" applyFill="1" applyBorder="1" applyAlignment="1">
      <alignment horizontal="left"/>
    </xf>
    <xf numFmtId="3" fontId="74" fillId="0" borderId="0" xfId="0" applyNumberFormat="1" applyFont="1" applyFill="1" applyBorder="1" applyAlignment="1">
      <alignment horizontal="centerContinuous"/>
    </xf>
    <xf numFmtId="3" fontId="74" fillId="0" borderId="40" xfId="0" applyNumberFormat="1" applyFont="1" applyFill="1" applyBorder="1" applyAlignment="1">
      <alignment horizontal="left"/>
    </xf>
    <xf numFmtId="3" fontId="74" fillId="0" borderId="37" xfId="0" applyNumberFormat="1" applyFont="1" applyFill="1" applyBorder="1" applyAlignment="1">
      <alignment horizontal="left"/>
    </xf>
    <xf numFmtId="3" fontId="74" fillId="0" borderId="37" xfId="0" applyNumberFormat="1" applyFont="1" applyFill="1" applyBorder="1" applyAlignment="1">
      <alignment horizontal="centerContinuous"/>
    </xf>
    <xf numFmtId="3" fontId="56" fillId="0" borderId="37" xfId="0" applyNumberFormat="1" applyFont="1" applyFill="1" applyBorder="1" applyAlignment="1" applyProtection="1">
      <alignment horizontal="right"/>
    </xf>
    <xf numFmtId="0" fontId="74" fillId="0" borderId="40" xfId="0" applyFont="1" applyFill="1" applyBorder="1" applyAlignment="1">
      <alignment horizontal="left"/>
    </xf>
    <xf numFmtId="3" fontId="74" fillId="0" borderId="37" xfId="0" applyNumberFormat="1" applyFont="1" applyFill="1" applyBorder="1" applyAlignment="1">
      <alignment horizontal="right"/>
    </xf>
    <xf numFmtId="3" fontId="74" fillId="0" borderId="18" xfId="0" applyNumberFormat="1" applyFont="1" applyFill="1" applyBorder="1" applyAlignment="1">
      <alignment horizontal="centerContinuous"/>
    </xf>
    <xf numFmtId="0" fontId="61" fillId="0" borderId="86" xfId="0" applyFont="1" applyFill="1" applyBorder="1" applyAlignment="1">
      <alignment horizontal="center"/>
    </xf>
    <xf numFmtId="3" fontId="56" fillId="0" borderId="18" xfId="0" applyNumberFormat="1" applyFont="1" applyFill="1" applyBorder="1" applyAlignment="1">
      <alignment horizontal="centerContinuous"/>
    </xf>
    <xf numFmtId="3" fontId="56" fillId="0" borderId="0" xfId="0" applyNumberFormat="1" applyFont="1" applyFill="1" applyBorder="1" applyAlignment="1">
      <alignment horizontal="centerContinuous"/>
    </xf>
    <xf numFmtId="0" fontId="61" fillId="0" borderId="0" xfId="0" applyFont="1" applyFill="1" applyBorder="1" applyAlignment="1">
      <alignment horizontal="center"/>
    </xf>
    <xf numFmtId="0" fontId="56" fillId="0" borderId="20" xfId="0" applyFont="1" applyFill="1" applyBorder="1"/>
    <xf numFmtId="3" fontId="56" fillId="0" borderId="93" xfId="0" applyNumberFormat="1" applyFont="1" applyFill="1" applyBorder="1" applyAlignment="1" applyProtection="1">
      <alignment horizontal="right"/>
    </xf>
    <xf numFmtId="3" fontId="60" fillId="0" borderId="0" xfId="0" applyNumberFormat="1" applyFont="1" applyFill="1" applyBorder="1" applyAlignment="1" applyProtection="1">
      <alignment horizontal="left"/>
    </xf>
    <xf numFmtId="3" fontId="56" fillId="0" borderId="18" xfId="0" applyNumberFormat="1" applyFont="1" applyFill="1" applyBorder="1" applyAlignment="1">
      <alignment horizontal="left"/>
    </xf>
    <xf numFmtId="0" fontId="60" fillId="0" borderId="0" xfId="77" applyFont="1" applyFill="1" applyBorder="1"/>
    <xf numFmtId="3" fontId="60" fillId="0" borderId="0" xfId="0" applyNumberFormat="1" applyFont="1" applyFill="1" applyBorder="1" applyAlignment="1">
      <alignment horizontal="center"/>
    </xf>
    <xf numFmtId="0" fontId="56" fillId="0" borderId="49" xfId="0" applyFont="1" applyFill="1" applyBorder="1"/>
    <xf numFmtId="3" fontId="56" fillId="0" borderId="24" xfId="0" applyNumberFormat="1" applyFont="1" applyFill="1" applyBorder="1" applyAlignment="1" applyProtection="1">
      <alignment horizontal="right"/>
    </xf>
    <xf numFmtId="3" fontId="56" fillId="0" borderId="0" xfId="0" applyNumberFormat="1" applyFont="1" applyFill="1" applyBorder="1" applyAlignment="1"/>
    <xf numFmtId="3" fontId="56" fillId="0" borderId="46" xfId="0" applyNumberFormat="1" applyFont="1" applyFill="1" applyBorder="1"/>
    <xf numFmtId="3" fontId="56" fillId="0" borderId="25" xfId="0" applyNumberFormat="1" applyFont="1" applyFill="1" applyBorder="1" applyAlignment="1"/>
    <xf numFmtId="3" fontId="56" fillId="0" borderId="45" xfId="0" applyNumberFormat="1" applyFont="1" applyFill="1" applyBorder="1" applyAlignment="1"/>
    <xf numFmtId="3" fontId="56" fillId="0" borderId="47" xfId="0" applyNumberFormat="1" applyFont="1" applyFill="1" applyBorder="1" applyAlignment="1"/>
    <xf numFmtId="3" fontId="56" fillId="0" borderId="111" xfId="0" applyNumberFormat="1" applyFont="1" applyFill="1" applyBorder="1"/>
    <xf numFmtId="3" fontId="56" fillId="0" borderId="99" xfId="0" applyNumberFormat="1" applyFont="1" applyFill="1" applyBorder="1"/>
    <xf numFmtId="3" fontId="56" fillId="0" borderId="47" xfId="0" applyNumberFormat="1" applyFont="1" applyFill="1" applyBorder="1" applyAlignment="1">
      <alignment horizontal="left"/>
    </xf>
    <xf numFmtId="3" fontId="56" fillId="0" borderId="18" xfId="0" applyNumberFormat="1" applyFont="1" applyFill="1" applyBorder="1" applyAlignment="1"/>
    <xf numFmtId="0" fontId="60" fillId="0" borderId="37" xfId="77" applyFont="1" applyBorder="1" applyAlignment="1">
      <alignment horizontal="justify"/>
    </xf>
    <xf numFmtId="3" fontId="56" fillId="0" borderId="37" xfId="0" applyNumberFormat="1" applyFont="1" applyFill="1" applyBorder="1" applyAlignment="1">
      <alignment horizontal="left"/>
    </xf>
    <xf numFmtId="0" fontId="60" fillId="0" borderId="50" xfId="77" applyFont="1" applyBorder="1" applyAlignment="1">
      <alignment horizontal="justify"/>
    </xf>
    <xf numFmtId="3" fontId="94" fillId="0" borderId="40" xfId="0" applyNumberFormat="1" applyFont="1" applyFill="1" applyBorder="1" applyAlignment="1">
      <alignment horizontal="left"/>
    </xf>
    <xf numFmtId="3" fontId="94" fillId="0" borderId="37" xfId="0" applyNumberFormat="1" applyFont="1" applyFill="1" applyBorder="1" applyAlignment="1">
      <alignment horizontal="left"/>
    </xf>
    <xf numFmtId="3" fontId="33" fillId="0" borderId="0" xfId="0" applyNumberFormat="1" applyFont="1" applyFill="1" applyBorder="1"/>
    <xf numFmtId="3" fontId="82" fillId="0" borderId="0" xfId="0" applyNumberFormat="1" applyFont="1" applyFill="1" applyBorder="1"/>
    <xf numFmtId="3" fontId="93" fillId="0" borderId="0" xfId="0" applyNumberFormat="1" applyFont="1" applyFill="1" applyBorder="1"/>
    <xf numFmtId="3" fontId="85" fillId="0" borderId="0" xfId="0" applyNumberFormat="1" applyFont="1" applyFill="1" applyBorder="1"/>
    <xf numFmtId="3" fontId="81" fillId="0" borderId="0" xfId="0" applyNumberFormat="1" applyFont="1" applyFill="1" applyBorder="1"/>
    <xf numFmtId="3" fontId="4" fillId="0" borderId="0" xfId="0" quotePrefix="1" applyNumberFormat="1" applyFont="1" applyFill="1" applyBorder="1"/>
    <xf numFmtId="3" fontId="32" fillId="0" borderId="0" xfId="0" applyNumberFormat="1" applyFont="1" applyFill="1" applyBorder="1"/>
    <xf numFmtId="3" fontId="60" fillId="0" borderId="0" xfId="0" applyNumberFormat="1" applyFont="1" applyFill="1" applyBorder="1" applyAlignment="1">
      <alignment horizontal="right"/>
    </xf>
    <xf numFmtId="0" fontId="56" fillId="27" borderId="53" xfId="0" applyFont="1" applyFill="1" applyBorder="1" applyAlignment="1">
      <alignment horizontal="center"/>
    </xf>
    <xf numFmtId="0" fontId="56" fillId="27" borderId="84" xfId="0" applyFont="1" applyFill="1" applyBorder="1" applyAlignment="1">
      <alignment horizontal="center"/>
    </xf>
    <xf numFmtId="0" fontId="34" fillId="0" borderId="50" xfId="0" applyFont="1" applyFill="1" applyBorder="1" applyAlignment="1">
      <alignment wrapText="1"/>
    </xf>
    <xf numFmtId="4" fontId="4" fillId="0" borderId="0" xfId="0" applyNumberFormat="1" applyFont="1" applyFill="1"/>
    <xf numFmtId="4" fontId="4" fillId="0" borderId="0" xfId="0" applyNumberFormat="1" applyFont="1"/>
    <xf numFmtId="3" fontId="34" fillId="0" borderId="0" xfId="77" applyNumberFormat="1" applyFont="1" applyFill="1"/>
    <xf numFmtId="3" fontId="88" fillId="0" borderId="36" xfId="77" applyNumberFormat="1" applyFont="1" applyFill="1" applyBorder="1"/>
    <xf numFmtId="3" fontId="58" fillId="28" borderId="113" xfId="0" applyNumberFormat="1" applyFont="1" applyFill="1" applyBorder="1"/>
    <xf numFmtId="4" fontId="101" fillId="0" borderId="73" xfId="0" applyNumberFormat="1" applyFont="1" applyFill="1" applyBorder="1" applyAlignment="1">
      <alignment horizontal="right"/>
    </xf>
    <xf numFmtId="3" fontId="110" fillId="0" borderId="65" xfId="0" applyNumberFormat="1" applyFont="1" applyFill="1" applyBorder="1"/>
    <xf numFmtId="3" fontId="109" fillId="0" borderId="36" xfId="0" applyNumberFormat="1" applyFont="1" applyFill="1" applyBorder="1"/>
    <xf numFmtId="0" fontId="98" fillId="28" borderId="103" xfId="0" applyFont="1" applyFill="1" applyBorder="1" applyAlignment="1">
      <alignment wrapText="1"/>
    </xf>
    <xf numFmtId="3" fontId="110" fillId="0" borderId="34" xfId="0" applyNumberFormat="1" applyFont="1" applyFill="1" applyBorder="1"/>
    <xf numFmtId="3" fontId="74" fillId="0" borderId="50" xfId="0" applyNumberFormat="1" applyFont="1" applyFill="1" applyBorder="1" applyAlignment="1" applyProtection="1"/>
    <xf numFmtId="0" fontId="60" fillId="0" borderId="85" xfId="0" applyFont="1" applyFill="1" applyBorder="1"/>
    <xf numFmtId="2" fontId="109" fillId="0" borderId="68" xfId="0" applyNumberFormat="1" applyFont="1" applyFill="1" applyBorder="1"/>
    <xf numFmtId="0" fontId="105" fillId="0" borderId="40" xfId="0" applyFont="1" applyFill="1" applyBorder="1" applyAlignment="1">
      <alignment wrapText="1"/>
    </xf>
    <xf numFmtId="0" fontId="60" fillId="0" borderId="86" xfId="0" applyFont="1" applyFill="1" applyBorder="1" applyAlignment="1">
      <alignment horizontal="left"/>
    </xf>
    <xf numFmtId="3" fontId="60" fillId="0" borderId="62" xfId="0" applyNumberFormat="1" applyFont="1" applyFill="1" applyBorder="1"/>
    <xf numFmtId="3" fontId="60" fillId="0" borderId="72" xfId="0" applyNumberFormat="1" applyFont="1" applyFill="1" applyBorder="1"/>
    <xf numFmtId="0" fontId="98" fillId="0" borderId="40" xfId="0" applyFont="1" applyFill="1" applyBorder="1" applyAlignment="1"/>
    <xf numFmtId="0" fontId="107" fillId="0" borderId="37" xfId="0" applyFont="1" applyFill="1" applyBorder="1" applyAlignment="1"/>
    <xf numFmtId="0" fontId="107" fillId="0" borderId="39" xfId="0" applyFont="1" applyFill="1" applyBorder="1" applyAlignment="1"/>
    <xf numFmtId="2" fontId="98" fillId="0" borderId="67" xfId="0" applyNumberFormat="1" applyFont="1" applyFill="1" applyBorder="1"/>
    <xf numFmtId="3" fontId="34" fillId="0" borderId="50" xfId="0" applyNumberFormat="1" applyFont="1" applyBorder="1" applyAlignment="1">
      <alignment horizontal="justify"/>
    </xf>
    <xf numFmtId="0" fontId="3" fillId="0" borderId="19" xfId="0" applyFont="1" applyBorder="1"/>
    <xf numFmtId="0" fontId="98" fillId="28" borderId="104" xfId="0" applyFont="1" applyFill="1" applyBorder="1" applyAlignment="1">
      <alignment horizontal="justify"/>
    </xf>
    <xf numFmtId="3" fontId="98" fillId="28" borderId="113" xfId="0" applyNumberFormat="1" applyFont="1" applyFill="1" applyBorder="1"/>
    <xf numFmtId="2" fontId="98" fillId="28" borderId="99" xfId="0" applyNumberFormat="1" applyFont="1" applyFill="1" applyBorder="1"/>
    <xf numFmtId="3" fontId="98" fillId="28" borderId="112" xfId="0" applyNumberFormat="1" applyFont="1" applyFill="1" applyBorder="1"/>
    <xf numFmtId="4" fontId="98" fillId="28" borderId="99" xfId="0" applyNumberFormat="1" applyFont="1" applyFill="1" applyBorder="1"/>
    <xf numFmtId="2" fontId="77" fillId="0" borderId="110" xfId="0" applyNumberFormat="1" applyFont="1" applyBorder="1"/>
    <xf numFmtId="3" fontId="109" fillId="28" borderId="36" xfId="0" applyNumberFormat="1" applyFont="1" applyFill="1" applyBorder="1"/>
    <xf numFmtId="4" fontId="109" fillId="28" borderId="68" xfId="0" applyNumberFormat="1" applyFont="1" applyFill="1" applyBorder="1"/>
    <xf numFmtId="4" fontId="109" fillId="0" borderId="68" xfId="0" applyNumberFormat="1" applyFont="1" applyFill="1" applyBorder="1"/>
    <xf numFmtId="3" fontId="109" fillId="0" borderId="65" xfId="0" applyNumberFormat="1" applyFont="1" applyFill="1" applyBorder="1"/>
    <xf numFmtId="3" fontId="109" fillId="0" borderId="73" xfId="77" applyNumberFormat="1" applyFont="1" applyFill="1" applyBorder="1" applyAlignment="1">
      <alignment horizontal="right"/>
    </xf>
    <xf numFmtId="3" fontId="110" fillId="28" borderId="36" xfId="0" applyNumberFormat="1" applyFont="1" applyFill="1" applyBorder="1"/>
    <xf numFmtId="4" fontId="110" fillId="28" borderId="67" xfId="0" applyNumberFormat="1" applyFont="1" applyFill="1" applyBorder="1"/>
    <xf numFmtId="3" fontId="110" fillId="28" borderId="15" xfId="0" applyNumberFormat="1" applyFont="1" applyFill="1" applyBorder="1"/>
    <xf numFmtId="3" fontId="110" fillId="0" borderId="36" xfId="0" applyNumberFormat="1" applyFont="1" applyFill="1" applyBorder="1"/>
    <xf numFmtId="4" fontId="110" fillId="0" borderId="68" xfId="0" applyNumberFormat="1" applyFont="1" applyFill="1" applyBorder="1"/>
    <xf numFmtId="2" fontId="110" fillId="0" borderId="67" xfId="0" applyNumberFormat="1" applyFont="1" applyBorder="1"/>
    <xf numFmtId="3" fontId="110" fillId="28" borderId="51" xfId="0" applyNumberFormat="1" applyFont="1" applyFill="1" applyBorder="1"/>
    <xf numFmtId="3" fontId="110" fillId="0" borderId="51" xfId="0" applyNumberFormat="1" applyFont="1" applyFill="1" applyBorder="1"/>
    <xf numFmtId="2" fontId="110" fillId="0" borderId="67" xfId="0" applyNumberFormat="1" applyFont="1" applyFill="1" applyBorder="1"/>
    <xf numFmtId="2" fontId="110" fillId="0" borderId="68" xfId="0" applyNumberFormat="1" applyFont="1" applyBorder="1"/>
    <xf numFmtId="3" fontId="110" fillId="0" borderId="106" xfId="0" applyNumberFormat="1" applyFont="1" applyFill="1" applyBorder="1"/>
    <xf numFmtId="4" fontId="110" fillId="28" borderId="68" xfId="0" applyNumberFormat="1" applyFont="1" applyFill="1" applyBorder="1"/>
    <xf numFmtId="3" fontId="110" fillId="0" borderId="34" xfId="0" applyNumberFormat="1" applyFont="1" applyBorder="1"/>
    <xf numFmtId="3" fontId="110" fillId="0" borderId="29" xfId="0" applyNumberFormat="1" applyFont="1" applyFill="1" applyBorder="1"/>
    <xf numFmtId="3" fontId="112" fillId="0" borderId="82" xfId="0" applyNumberFormat="1" applyFont="1" applyBorder="1"/>
    <xf numFmtId="2" fontId="112" fillId="0" borderId="56" xfId="0" applyNumberFormat="1" applyFont="1" applyBorder="1"/>
    <xf numFmtId="3" fontId="112" fillId="0" borderId="47" xfId="0" applyNumberFormat="1" applyFont="1" applyBorder="1"/>
    <xf numFmtId="2" fontId="112" fillId="0" borderId="27" xfId="0" applyNumberFormat="1" applyFont="1" applyBorder="1"/>
    <xf numFmtId="2" fontId="112" fillId="0" borderId="28" xfId="0" applyNumberFormat="1" applyFont="1" applyBorder="1"/>
    <xf numFmtId="3" fontId="112" fillId="0" borderId="48" xfId="0" applyNumberFormat="1" applyFont="1" applyBorder="1"/>
    <xf numFmtId="2" fontId="112" fillId="0" borderId="60" xfId="0" applyNumberFormat="1" applyFont="1" applyBorder="1"/>
    <xf numFmtId="3" fontId="109" fillId="0" borderId="75" xfId="0" applyNumberFormat="1" applyFont="1" applyFill="1" applyBorder="1" applyAlignment="1">
      <alignment horizontal="right"/>
    </xf>
    <xf numFmtId="4" fontId="109" fillId="0" borderId="75" xfId="0" applyNumberFormat="1" applyFont="1" applyFill="1" applyBorder="1" applyAlignment="1">
      <alignment horizontal="right"/>
    </xf>
    <xf numFmtId="3" fontId="113" fillId="0" borderId="75" xfId="0" applyNumberFormat="1" applyFont="1" applyFill="1" applyBorder="1" applyAlignment="1">
      <alignment horizontal="right"/>
    </xf>
    <xf numFmtId="3" fontId="114" fillId="0" borderId="75" xfId="78" applyNumberFormat="1" applyFont="1" applyFill="1" applyBorder="1" applyAlignment="1">
      <alignment horizontal="right" wrapText="1"/>
    </xf>
    <xf numFmtId="3" fontId="109" fillId="0" borderId="73" xfId="0" applyNumberFormat="1" applyFont="1" applyFill="1" applyBorder="1" applyAlignment="1">
      <alignment horizontal="right"/>
    </xf>
    <xf numFmtId="4" fontId="109" fillId="0" borderId="73" xfId="0" applyNumberFormat="1" applyFont="1" applyFill="1" applyBorder="1" applyAlignment="1">
      <alignment horizontal="right"/>
    </xf>
    <xf numFmtId="3" fontId="109" fillId="0" borderId="73" xfId="0" applyNumberFormat="1" applyFont="1" applyFill="1" applyBorder="1"/>
    <xf numFmtId="4" fontId="109" fillId="0" borderId="73" xfId="0" applyNumberFormat="1" applyFont="1" applyFill="1" applyBorder="1"/>
    <xf numFmtId="0" fontId="76" fillId="0" borderId="17" xfId="0" applyFont="1" applyBorder="1" applyAlignment="1">
      <alignment horizontal="left"/>
    </xf>
    <xf numFmtId="0" fontId="115" fillId="0" borderId="62" xfId="0" applyFont="1" applyFill="1" applyBorder="1" applyAlignment="1">
      <alignment horizontal="justify" wrapText="1"/>
    </xf>
    <xf numFmtId="3" fontId="98" fillId="0" borderId="34" xfId="0" applyNumberFormat="1" applyFont="1" applyFill="1" applyBorder="1" applyProtection="1">
      <protection locked="0"/>
    </xf>
    <xf numFmtId="0" fontId="98" fillId="0" borderId="37" xfId="0" applyFont="1" applyFill="1" applyBorder="1"/>
    <xf numFmtId="2" fontId="105" fillId="0" borderId="68" xfId="0" applyNumberFormat="1" applyFont="1" applyFill="1" applyBorder="1"/>
    <xf numFmtId="0" fontId="58" fillId="0" borderId="37" xfId="77" applyFont="1" applyFill="1" applyBorder="1" applyAlignment="1">
      <alignment horizontal="left" wrapText="1"/>
    </xf>
    <xf numFmtId="0" fontId="60" fillId="0" borderId="50" xfId="0" applyFont="1" applyFill="1" applyBorder="1" applyAlignment="1">
      <alignment wrapText="1"/>
    </xf>
    <xf numFmtId="3" fontId="60" fillId="0" borderId="92" xfId="0" applyNumberFormat="1" applyFont="1" applyFill="1" applyBorder="1"/>
    <xf numFmtId="3" fontId="60" fillId="0" borderId="51" xfId="0" applyNumberFormat="1" applyFont="1" applyBorder="1"/>
    <xf numFmtId="0" fontId="4" fillId="0" borderId="37" xfId="0" applyFont="1" applyFill="1" applyBorder="1"/>
    <xf numFmtId="0" fontId="56" fillId="0" borderId="37" xfId="0" applyFont="1" applyFill="1" applyBorder="1" applyAlignment="1" applyProtection="1">
      <alignment horizontal="left"/>
    </xf>
    <xf numFmtId="3" fontId="56" fillId="0" borderId="73" xfId="0" applyNumberFormat="1" applyFont="1" applyFill="1" applyBorder="1" applyProtection="1"/>
    <xf numFmtId="2" fontId="98" fillId="0" borderId="68" xfId="0" applyNumberFormat="1" applyFont="1" applyFill="1" applyBorder="1"/>
    <xf numFmtId="0" fontId="4" fillId="0" borderId="18" xfId="77" applyFont="1" applyFill="1" applyBorder="1" applyAlignment="1">
      <alignment horizontal="right"/>
    </xf>
    <xf numFmtId="0" fontId="8" fillId="0" borderId="50" xfId="77" applyFont="1" applyFill="1" applyBorder="1" applyAlignment="1">
      <alignment horizontal="left" wrapText="1"/>
    </xf>
    <xf numFmtId="0" fontId="58" fillId="0" borderId="40" xfId="0" applyFont="1" applyFill="1" applyBorder="1" applyAlignment="1">
      <alignment horizontal="left" wrapText="1"/>
    </xf>
    <xf numFmtId="0" fontId="4" fillId="0" borderId="0" xfId="0" applyFont="1" applyFill="1" applyAlignment="1">
      <alignment wrapText="1"/>
    </xf>
    <xf numFmtId="0" fontId="90" fillId="0" borderId="0" xfId="77" applyFont="1" applyAlignment="1">
      <alignment wrapText="1"/>
    </xf>
    <xf numFmtId="3" fontId="58" fillId="0" borderId="51" xfId="0" applyNumberFormat="1" applyFont="1" applyFill="1" applyBorder="1"/>
    <xf numFmtId="3" fontId="58" fillId="0" borderId="51" xfId="77" applyNumberFormat="1" applyFont="1" applyFill="1" applyBorder="1"/>
    <xf numFmtId="3" fontId="58" fillId="0" borderId="51" xfId="77" applyNumberFormat="1" applyFont="1" applyFill="1" applyBorder="1" applyAlignment="1">
      <alignment horizontal="right"/>
    </xf>
    <xf numFmtId="0" fontId="108" fillId="0" borderId="79" xfId="0" applyFont="1" applyFill="1" applyBorder="1" applyProtection="1"/>
    <xf numFmtId="0" fontId="108" fillId="0" borderId="127" xfId="0" applyFont="1" applyFill="1" applyBorder="1" applyProtection="1"/>
    <xf numFmtId="0" fontId="108" fillId="0" borderId="114" xfId="0" applyFont="1" applyFill="1" applyBorder="1" applyProtection="1"/>
    <xf numFmtId="0" fontId="58" fillId="0" borderId="102" xfId="0" applyFont="1" applyFill="1" applyBorder="1" applyAlignment="1">
      <alignment horizontal="left" wrapText="1"/>
    </xf>
    <xf numFmtId="0" fontId="55" fillId="0" borderId="39" xfId="77" applyFont="1" applyBorder="1"/>
    <xf numFmtId="0" fontId="116" fillId="0" borderId="62" xfId="0" applyFont="1" applyFill="1" applyBorder="1" applyAlignment="1">
      <alignment horizontal="justify" wrapText="1"/>
    </xf>
    <xf numFmtId="0" fontId="116" fillId="0" borderId="18" xfId="0" applyFont="1" applyBorder="1" applyAlignment="1">
      <alignment horizontal="left"/>
    </xf>
    <xf numFmtId="0" fontId="116" fillId="0" borderId="40" xfId="0" applyFont="1" applyFill="1" applyBorder="1" applyAlignment="1">
      <alignment horizontal="justify" wrapText="1"/>
    </xf>
    <xf numFmtId="0" fontId="117" fillId="0" borderId="38" xfId="0" applyFont="1" applyFill="1" applyBorder="1" applyAlignment="1">
      <alignment horizontal="justify" wrapText="1"/>
    </xf>
    <xf numFmtId="3" fontId="68" fillId="0" borderId="107" xfId="0" applyNumberFormat="1" applyFont="1" applyFill="1" applyBorder="1"/>
    <xf numFmtId="3" fontId="60" fillId="0" borderId="86" xfId="0" applyNumberFormat="1" applyFont="1" applyFill="1" applyBorder="1" applyProtection="1">
      <protection locked="0"/>
    </xf>
    <xf numFmtId="0" fontId="86" fillId="0" borderId="66" xfId="0" applyFont="1" applyFill="1" applyBorder="1" applyAlignment="1">
      <alignment wrapText="1"/>
    </xf>
    <xf numFmtId="0" fontId="58" fillId="0" borderId="66" xfId="0" applyFont="1" applyBorder="1" applyAlignment="1">
      <alignment horizontal="justify"/>
    </xf>
    <xf numFmtId="0" fontId="8" fillId="0" borderId="0" xfId="77" applyFont="1" applyFill="1" applyBorder="1" applyAlignment="1">
      <alignment horizontal="left" wrapText="1"/>
    </xf>
    <xf numFmtId="0" fontId="8" fillId="0" borderId="37" xfId="77" applyFont="1" applyFill="1" applyBorder="1" applyAlignment="1">
      <alignment horizontal="left" wrapText="1"/>
    </xf>
    <xf numFmtId="0" fontId="98" fillId="0" borderId="0" xfId="0" applyFont="1" applyFill="1" applyBorder="1" applyAlignment="1">
      <alignment wrapText="1"/>
    </xf>
    <xf numFmtId="0" fontId="98" fillId="0" borderId="50" xfId="0" applyFont="1" applyFill="1" applyBorder="1"/>
    <xf numFmtId="3" fontId="98" fillId="0" borderId="106" xfId="0" applyNumberFormat="1" applyFont="1" applyFill="1" applyBorder="1" applyProtection="1">
      <protection locked="0"/>
    </xf>
    <xf numFmtId="0" fontId="34" fillId="0" borderId="50" xfId="77" applyFont="1" applyBorder="1" applyAlignment="1">
      <alignment horizontal="justify"/>
    </xf>
    <xf numFmtId="0" fontId="35" fillId="0" borderId="112" xfId="77" applyFont="1" applyBorder="1"/>
    <xf numFmtId="3" fontId="58" fillId="0" borderId="111" xfId="77" applyNumberFormat="1" applyFont="1" applyFill="1" applyBorder="1" applyAlignment="1">
      <alignment horizontal="center"/>
    </xf>
    <xf numFmtId="3" fontId="58" fillId="0" borderId="111" xfId="77" applyNumberFormat="1" applyFont="1" applyBorder="1"/>
    <xf numFmtId="0" fontId="34" fillId="0" borderId="50" xfId="77" applyFont="1" applyBorder="1" applyAlignment="1">
      <alignment wrapText="1"/>
    </xf>
    <xf numFmtId="3" fontId="102" fillId="0" borderId="69" xfId="0" applyNumberFormat="1" applyFont="1" applyFill="1" applyBorder="1" applyAlignment="1">
      <alignment horizontal="right"/>
    </xf>
    <xf numFmtId="3" fontId="101" fillId="0" borderId="69" xfId="0" applyNumberFormat="1" applyFont="1" applyFill="1" applyBorder="1" applyAlignment="1">
      <alignment horizontal="right"/>
    </xf>
    <xf numFmtId="0" fontId="105" fillId="0" borderId="0" xfId="77" applyFont="1" applyFill="1" applyBorder="1" applyAlignment="1">
      <alignment horizontal="left"/>
    </xf>
    <xf numFmtId="4" fontId="98" fillId="0" borderId="69" xfId="77" applyNumberFormat="1" applyFont="1" applyFill="1" applyBorder="1" applyAlignment="1">
      <alignment horizontal="right"/>
    </xf>
    <xf numFmtId="2" fontId="98" fillId="0" borderId="69" xfId="77" applyNumberFormat="1" applyFont="1" applyFill="1" applyBorder="1"/>
    <xf numFmtId="3" fontId="105" fillId="0" borderId="0" xfId="0" applyNumberFormat="1" applyFont="1" applyBorder="1"/>
    <xf numFmtId="3" fontId="105" fillId="0" borderId="18" xfId="0" applyNumberFormat="1" applyFont="1" applyBorder="1"/>
    <xf numFmtId="3" fontId="96" fillId="0" borderId="19" xfId="0" applyNumberFormat="1" applyFont="1" applyBorder="1" applyAlignment="1">
      <alignment horizontal="left"/>
    </xf>
    <xf numFmtId="3" fontId="109" fillId="0" borderId="69" xfId="0" applyNumberFormat="1" applyFont="1" applyFill="1" applyBorder="1" applyAlignment="1">
      <alignment horizontal="right"/>
    </xf>
    <xf numFmtId="3" fontId="109" fillId="0" borderId="72" xfId="77" applyNumberFormat="1" applyFont="1" applyFill="1" applyBorder="1" applyAlignment="1">
      <alignment horizontal="right"/>
    </xf>
    <xf numFmtId="2" fontId="110" fillId="0" borderId="68" xfId="0" applyNumberFormat="1" applyFont="1" applyFill="1" applyBorder="1"/>
    <xf numFmtId="2" fontId="58" fillId="0" borderId="68" xfId="0" applyNumberFormat="1" applyFont="1" applyFill="1" applyBorder="1"/>
    <xf numFmtId="3" fontId="80" fillId="0" borderId="0" xfId="0" applyNumberFormat="1" applyFont="1"/>
    <xf numFmtId="3" fontId="98" fillId="0" borderId="29" xfId="0" applyNumberFormat="1" applyFont="1" applyFill="1" applyBorder="1"/>
    <xf numFmtId="3" fontId="110" fillId="0" borderId="35" xfId="0" applyNumberFormat="1" applyFont="1" applyFill="1" applyBorder="1"/>
    <xf numFmtId="2" fontId="110" fillId="0" borderId="105" xfId="0" applyNumberFormat="1" applyFont="1" applyFill="1" applyBorder="1"/>
    <xf numFmtId="0" fontId="98" fillId="28" borderId="18" xfId="0" applyFont="1" applyFill="1" applyBorder="1" applyAlignment="1" applyProtection="1">
      <alignment horizontal="left" wrapText="1"/>
    </xf>
    <xf numFmtId="0" fontId="98" fillId="0" borderId="85" xfId="77" applyFont="1" applyFill="1" applyBorder="1" applyAlignment="1">
      <alignment horizontal="left" wrapText="1"/>
    </xf>
    <xf numFmtId="3" fontId="102" fillId="0" borderId="75" xfId="0" applyNumberFormat="1" applyFont="1" applyFill="1" applyBorder="1" applyAlignment="1">
      <alignment horizontal="right"/>
    </xf>
    <xf numFmtId="3" fontId="101" fillId="0" borderId="75" xfId="0" applyNumberFormat="1" applyFont="1" applyFill="1" applyBorder="1" applyAlignment="1">
      <alignment horizontal="right"/>
    </xf>
    <xf numFmtId="3" fontId="111" fillId="0" borderId="75" xfId="0" applyNumberFormat="1" applyFont="1" applyFill="1" applyBorder="1" applyAlignment="1">
      <alignment horizontal="right"/>
    </xf>
    <xf numFmtId="4" fontId="98" fillId="0" borderId="75" xfId="77" applyNumberFormat="1" applyFont="1" applyFill="1" applyBorder="1" applyAlignment="1">
      <alignment horizontal="right"/>
    </xf>
    <xf numFmtId="3" fontId="86" fillId="0" borderId="0" xfId="0" applyNumberFormat="1" applyFont="1" applyFill="1"/>
    <xf numFmtId="0" fontId="56" fillId="27" borderId="45" xfId="0" applyFont="1" applyFill="1" applyBorder="1" applyAlignment="1">
      <alignment horizontal="center"/>
    </xf>
    <xf numFmtId="4" fontId="60" fillId="0" borderId="71" xfId="0" applyNumberFormat="1" applyFont="1" applyFill="1" applyBorder="1" applyAlignment="1">
      <alignment horizontal="right"/>
    </xf>
    <xf numFmtId="4" fontId="60" fillId="0" borderId="81" xfId="0" applyNumberFormat="1" applyFont="1" applyFill="1" applyBorder="1" applyAlignment="1">
      <alignment horizontal="right"/>
    </xf>
    <xf numFmtId="0" fontId="56" fillId="0" borderId="0" xfId="0" applyFont="1" applyFill="1" applyBorder="1" applyProtection="1"/>
    <xf numFmtId="0" fontId="56" fillId="27" borderId="86" xfId="0" applyFont="1" applyFill="1" applyBorder="1" applyAlignment="1">
      <alignment horizontal="center"/>
    </xf>
    <xf numFmtId="3" fontId="74" fillId="0" borderId="40" xfId="0" applyNumberFormat="1" applyFont="1" applyFill="1" applyBorder="1" applyAlignment="1"/>
    <xf numFmtId="3" fontId="122" fillId="0" borderId="18" xfId="0" applyNumberFormat="1" applyFont="1" applyFill="1" applyBorder="1" applyAlignment="1"/>
    <xf numFmtId="0" fontId="108" fillId="0" borderId="0" xfId="77" applyFont="1" applyFill="1" applyBorder="1" applyAlignment="1">
      <alignment horizontal="left"/>
    </xf>
    <xf numFmtId="0" fontId="108" fillId="0" borderId="50" xfId="77" applyFont="1" applyFill="1" applyBorder="1" applyAlignment="1">
      <alignment horizontal="justify"/>
    </xf>
    <xf numFmtId="3" fontId="108" fillId="0" borderId="106" xfId="77" applyNumberFormat="1" applyFont="1" applyFill="1" applyBorder="1" applyAlignment="1">
      <alignment horizontal="right"/>
    </xf>
    <xf numFmtId="3" fontId="108" fillId="0" borderId="51" xfId="0" applyNumberFormat="1" applyFont="1" applyFill="1" applyBorder="1"/>
    <xf numFmtId="4" fontId="108" fillId="0" borderId="67" xfId="0" applyNumberFormat="1" applyFont="1" applyFill="1" applyBorder="1" applyProtection="1"/>
    <xf numFmtId="3" fontId="108" fillId="0" borderId="36" xfId="0" applyNumberFormat="1" applyFont="1" applyFill="1" applyBorder="1"/>
    <xf numFmtId="4" fontId="108" fillId="0" borderId="67" xfId="0" applyNumberFormat="1" applyFont="1" applyFill="1" applyBorder="1" applyAlignment="1">
      <alignment horizontal="right"/>
    </xf>
    <xf numFmtId="3" fontId="123" fillId="0" borderId="0" xfId="0" applyNumberFormat="1" applyFont="1" applyFill="1"/>
    <xf numFmtId="3" fontId="80" fillId="0" borderId="0" xfId="0" applyNumberFormat="1" applyFont="1" applyFill="1"/>
    <xf numFmtId="4" fontId="80" fillId="0" borderId="0" xfId="0" applyNumberFormat="1" applyFont="1" applyFill="1"/>
    <xf numFmtId="0" fontId="80" fillId="0" borderId="0" xfId="0" applyFont="1" applyFill="1" applyBorder="1"/>
    <xf numFmtId="3" fontId="124" fillId="0" borderId="89" xfId="0" applyNumberFormat="1" applyFont="1" applyFill="1" applyBorder="1"/>
    <xf numFmtId="4" fontId="124" fillId="0" borderId="89" xfId="0" applyNumberFormat="1" applyFont="1" applyFill="1" applyBorder="1"/>
    <xf numFmtId="3" fontId="125" fillId="28" borderId="61" xfId="0" applyNumberFormat="1" applyFont="1" applyFill="1" applyBorder="1"/>
    <xf numFmtId="4" fontId="125" fillId="28" borderId="71" xfId="0" applyNumberFormat="1" applyFont="1" applyFill="1" applyBorder="1"/>
    <xf numFmtId="3" fontId="80" fillId="0" borderId="0" xfId="0" applyNumberFormat="1" applyFont="1" applyBorder="1"/>
    <xf numFmtId="4" fontId="80" fillId="0" borderId="0" xfId="0" applyNumberFormat="1" applyFont="1"/>
    <xf numFmtId="0" fontId="60" fillId="0" borderId="37" xfId="77" applyFont="1" applyFill="1" applyBorder="1" applyAlignment="1">
      <alignment horizontal="left"/>
    </xf>
    <xf numFmtId="0" fontId="60" fillId="0" borderId="37" xfId="0" applyFont="1" applyFill="1" applyBorder="1" applyAlignment="1">
      <alignment horizontal="left"/>
    </xf>
    <xf numFmtId="0" fontId="60" fillId="0" borderId="79" xfId="0" applyFont="1" applyFill="1" applyBorder="1" applyAlignment="1">
      <alignment horizontal="left"/>
    </xf>
    <xf numFmtId="0" fontId="116" fillId="0" borderId="23" xfId="0" applyFont="1" applyBorder="1" applyAlignment="1">
      <alignment horizontal="left"/>
    </xf>
    <xf numFmtId="0" fontId="76" fillId="0" borderId="57" xfId="0" applyFont="1" applyBorder="1" applyAlignment="1">
      <alignment horizontal="left"/>
    </xf>
    <xf numFmtId="0" fontId="116" fillId="0" borderId="23" xfId="0" applyFont="1" applyFill="1" applyBorder="1" applyAlignment="1">
      <alignment horizontal="left"/>
    </xf>
    <xf numFmtId="0" fontId="76" fillId="0" borderId="19" xfId="0" applyFont="1" applyFill="1" applyBorder="1" applyAlignment="1">
      <alignment horizontal="left"/>
    </xf>
    <xf numFmtId="0" fontId="8" fillId="0" borderId="66" xfId="77" applyFont="1" applyFill="1" applyBorder="1" applyAlignment="1">
      <alignment horizontal="left" wrapText="1"/>
    </xf>
    <xf numFmtId="3" fontId="102" fillId="0" borderId="77" xfId="0" applyNumberFormat="1" applyFont="1" applyFill="1" applyBorder="1" applyAlignment="1">
      <alignment horizontal="right"/>
    </xf>
    <xf numFmtId="4" fontId="99" fillId="0" borderId="77" xfId="77" applyNumberFormat="1" applyFont="1" applyFill="1" applyBorder="1" applyAlignment="1">
      <alignment horizontal="right"/>
    </xf>
    <xf numFmtId="0" fontId="96" fillId="0" borderId="0" xfId="77" applyFont="1" applyFill="1" applyBorder="1" applyAlignment="1">
      <alignment horizontal="left"/>
    </xf>
    <xf numFmtId="4" fontId="99" fillId="0" borderId="69" xfId="77" applyNumberFormat="1" applyFont="1" applyFill="1" applyBorder="1" applyAlignment="1">
      <alignment horizontal="right"/>
    </xf>
    <xf numFmtId="0" fontId="96" fillId="0" borderId="20" xfId="77" applyFont="1" applyFill="1" applyBorder="1"/>
    <xf numFmtId="0" fontId="96" fillId="0" borderId="93" xfId="77" applyFont="1" applyFill="1" applyBorder="1" applyAlignment="1">
      <alignment horizontal="left"/>
    </xf>
    <xf numFmtId="3" fontId="98" fillId="0" borderId="20" xfId="77" applyNumberFormat="1" applyFont="1" applyFill="1" applyBorder="1"/>
    <xf numFmtId="0" fontId="97" fillId="0" borderId="93" xfId="77" applyFont="1" applyFill="1" applyBorder="1" applyAlignment="1">
      <alignment horizontal="justify"/>
    </xf>
    <xf numFmtId="3" fontId="89" fillId="0" borderId="69" xfId="77" applyNumberFormat="1" applyFont="1" applyFill="1" applyBorder="1" applyAlignment="1">
      <alignment horizontal="right"/>
    </xf>
    <xf numFmtId="0" fontId="97" fillId="0" borderId="20" xfId="77" applyFont="1" applyFill="1" applyBorder="1" applyAlignment="1">
      <alignment horizontal="left"/>
    </xf>
    <xf numFmtId="0" fontId="97" fillId="0" borderId="81" xfId="77" applyFont="1" applyFill="1" applyBorder="1" applyAlignment="1">
      <alignment horizontal="left"/>
    </xf>
    <xf numFmtId="3" fontId="97" fillId="0" borderId="77" xfId="77" applyNumberFormat="1" applyFont="1" applyFill="1" applyBorder="1"/>
    <xf numFmtId="4" fontId="97" fillId="0" borderId="77" xfId="77" applyNumberFormat="1" applyFont="1" applyFill="1" applyBorder="1"/>
    <xf numFmtId="3" fontId="97" fillId="0" borderId="70" xfId="77" applyNumberFormat="1" applyFont="1" applyFill="1" applyBorder="1"/>
    <xf numFmtId="0" fontId="60" fillId="0" borderId="79" xfId="0" applyFont="1" applyFill="1" applyBorder="1" applyProtection="1"/>
    <xf numFmtId="3" fontId="70" fillId="0" borderId="76" xfId="0" applyNumberFormat="1" applyFont="1" applyFill="1" applyBorder="1" applyProtection="1">
      <protection locked="0"/>
    </xf>
    <xf numFmtId="0" fontId="97" fillId="0" borderId="76" xfId="0" applyFont="1" applyFill="1" applyBorder="1" applyAlignment="1">
      <alignment wrapText="1"/>
    </xf>
    <xf numFmtId="4" fontId="97" fillId="0" borderId="76" xfId="0" applyNumberFormat="1" applyFont="1" applyFill="1" applyBorder="1" applyAlignment="1">
      <alignment horizontal="right"/>
    </xf>
    <xf numFmtId="0" fontId="98" fillId="28" borderId="19" xfId="0" applyFont="1" applyFill="1" applyBorder="1" applyAlignment="1">
      <alignment horizontal="left" wrapText="1"/>
    </xf>
    <xf numFmtId="0" fontId="97" fillId="28" borderId="36" xfId="0" applyFont="1" applyFill="1" applyBorder="1" applyAlignment="1">
      <alignment horizontal="center"/>
    </xf>
    <xf numFmtId="3" fontId="98" fillId="28" borderId="34" xfId="0" applyNumberFormat="1" applyFont="1" applyFill="1" applyBorder="1" applyAlignment="1">
      <alignment horizontal="right"/>
    </xf>
    <xf numFmtId="3" fontId="98" fillId="28" borderId="0" xfId="0" applyNumberFormat="1" applyFont="1" applyFill="1" applyBorder="1"/>
    <xf numFmtId="3" fontId="77" fillId="0" borderId="65" xfId="0" applyNumberFormat="1" applyFont="1" applyFill="1" applyBorder="1"/>
    <xf numFmtId="2" fontId="77" fillId="0" borderId="67" xfId="0" applyNumberFormat="1" applyFont="1" applyBorder="1"/>
    <xf numFmtId="3" fontId="98" fillId="0" borderId="65" xfId="0" applyNumberFormat="1" applyFont="1" applyFill="1" applyBorder="1"/>
    <xf numFmtId="0" fontId="34" fillId="0" borderId="18" xfId="77" applyFont="1" applyBorder="1" applyAlignment="1">
      <alignment horizontal="right"/>
    </xf>
    <xf numFmtId="3" fontId="34" fillId="0" borderId="37" xfId="0" applyNumberFormat="1" applyFont="1" applyFill="1" applyBorder="1" applyAlignment="1">
      <alignment horizontal="justify"/>
    </xf>
    <xf numFmtId="3" fontId="34" fillId="0" borderId="52" xfId="77" applyNumberFormat="1" applyFont="1" applyBorder="1" applyAlignment="1">
      <alignment horizontal="right"/>
    </xf>
    <xf numFmtId="3" fontId="34" fillId="0" borderId="36" xfId="77" applyNumberFormat="1" applyFont="1" applyFill="1" applyBorder="1"/>
    <xf numFmtId="3" fontId="34" fillId="0" borderId="51" xfId="0" applyNumberFormat="1" applyFont="1" applyFill="1" applyBorder="1"/>
    <xf numFmtId="3" fontId="34" fillId="0" borderId="51" xfId="77" applyNumberFormat="1" applyFont="1" applyFill="1" applyBorder="1"/>
    <xf numFmtId="0" fontId="34" fillId="0" borderId="18" xfId="77" applyFont="1" applyFill="1" applyBorder="1" applyAlignment="1">
      <alignment horizontal="right"/>
    </xf>
    <xf numFmtId="3" fontId="34" fillId="0" borderId="36" xfId="77" applyNumberFormat="1" applyFont="1" applyFill="1" applyBorder="1" applyAlignment="1">
      <alignment horizontal="right"/>
    </xf>
    <xf numFmtId="3" fontId="34" fillId="0" borderId="39" xfId="77" applyNumberFormat="1" applyFont="1" applyFill="1" applyBorder="1"/>
    <xf numFmtId="4" fontId="68" fillId="0" borderId="120" xfId="0" applyNumberFormat="1" applyFont="1" applyFill="1" applyBorder="1"/>
    <xf numFmtId="0" fontId="34" fillId="0" borderId="0" xfId="0" applyFont="1" applyFill="1" applyBorder="1"/>
    <xf numFmtId="3" fontId="127" fillId="0" borderId="0" xfId="0" applyNumberFormat="1" applyFont="1"/>
    <xf numFmtId="0" fontId="128" fillId="0" borderId="20" xfId="0" applyFont="1" applyFill="1" applyBorder="1" applyAlignment="1">
      <alignment wrapText="1"/>
    </xf>
    <xf numFmtId="3" fontId="128" fillId="0" borderId="77" xfId="0" applyNumberFormat="1" applyFont="1" applyFill="1" applyBorder="1"/>
    <xf numFmtId="2" fontId="128" fillId="0" borderId="60" xfId="0" applyNumberFormat="1" applyFont="1" applyBorder="1"/>
    <xf numFmtId="0" fontId="15" fillId="0" borderId="0" xfId="0" applyFont="1"/>
    <xf numFmtId="0" fontId="33" fillId="0" borderId="0" xfId="0" applyFont="1" applyFill="1"/>
    <xf numFmtId="0" fontId="33" fillId="0" borderId="0" xfId="0" applyFont="1"/>
    <xf numFmtId="0" fontId="33" fillId="0" borderId="0" xfId="78" applyFont="1" applyAlignment="1">
      <alignment horizontal="right"/>
    </xf>
    <xf numFmtId="0" fontId="129" fillId="0" borderId="23" xfId="0" applyFont="1" applyFill="1" applyBorder="1"/>
    <xf numFmtId="3" fontId="129" fillId="0" borderId="0" xfId="0" applyNumberFormat="1" applyFont="1" applyFill="1" applyBorder="1" applyAlignment="1">
      <alignment horizontal="right"/>
    </xf>
    <xf numFmtId="3" fontId="33" fillId="0" borderId="0" xfId="0" applyNumberFormat="1" applyFont="1" applyFill="1"/>
    <xf numFmtId="0" fontId="13" fillId="0" borderId="26" xfId="0" quotePrefix="1" applyFont="1" applyFill="1" applyBorder="1"/>
    <xf numFmtId="3" fontId="13" fillId="0" borderId="0" xfId="0" applyNumberFormat="1" applyFont="1" applyFill="1"/>
    <xf numFmtId="3" fontId="13" fillId="0" borderId="0" xfId="0" quotePrefix="1" applyNumberFormat="1" applyFont="1" applyFill="1" applyBorder="1" applyAlignment="1">
      <alignment horizontal="right"/>
    </xf>
    <xf numFmtId="0" fontId="13" fillId="0" borderId="0" xfId="0" applyFont="1" applyFill="1"/>
    <xf numFmtId="49" fontId="33" fillId="0" borderId="18" xfId="0" applyNumberFormat="1" applyFont="1" applyFill="1" applyBorder="1"/>
    <xf numFmtId="3" fontId="33" fillId="0" borderId="0" xfId="0" quotePrefix="1" applyNumberFormat="1" applyFont="1" applyFill="1" applyBorder="1" applyAlignment="1">
      <alignment horizontal="right"/>
    </xf>
    <xf numFmtId="0" fontId="33" fillId="0" borderId="26" xfId="0" quotePrefix="1" applyFont="1" applyFill="1" applyBorder="1"/>
    <xf numFmtId="49" fontId="33" fillId="0" borderId="26" xfId="0" quotePrefix="1" applyNumberFormat="1" applyFont="1" applyFill="1" applyBorder="1" applyAlignment="1">
      <alignment wrapText="1"/>
    </xf>
    <xf numFmtId="0" fontId="129" fillId="0" borderId="17" xfId="0" applyFont="1" applyFill="1" applyBorder="1"/>
    <xf numFmtId="3" fontId="129" fillId="0" borderId="54" xfId="0" quotePrefix="1" applyNumberFormat="1" applyFont="1" applyFill="1" applyBorder="1" applyAlignment="1">
      <alignment horizontal="right"/>
    </xf>
    <xf numFmtId="3" fontId="129" fillId="0" borderId="0" xfId="0" quotePrefix="1" applyNumberFormat="1" applyFont="1" applyFill="1" applyBorder="1" applyAlignment="1">
      <alignment horizontal="right"/>
    </xf>
    <xf numFmtId="0" fontId="33" fillId="0" borderId="18" xfId="0" applyFont="1" applyBorder="1"/>
    <xf numFmtId="3" fontId="33" fillId="0" borderId="59" xfId="0" applyNumberFormat="1" applyFont="1" applyFill="1" applyBorder="1" applyAlignment="1">
      <alignment horizontal="right"/>
    </xf>
    <xf numFmtId="0" fontId="33" fillId="0" borderId="26" xfId="0" applyFont="1" applyBorder="1"/>
    <xf numFmtId="0" fontId="33" fillId="0" borderId="19" xfId="0" applyFont="1" applyBorder="1"/>
    <xf numFmtId="0" fontId="0" fillId="0" borderId="0" xfId="0" applyFill="1"/>
    <xf numFmtId="3" fontId="33" fillId="0" borderId="0" xfId="0" applyNumberFormat="1" applyFont="1"/>
    <xf numFmtId="0" fontId="2" fillId="0" borderId="0" xfId="78"/>
    <xf numFmtId="0" fontId="12" fillId="0" borderId="0" xfId="78" applyFont="1" applyAlignment="1">
      <alignment horizontal="right"/>
    </xf>
    <xf numFmtId="0" fontId="131" fillId="0" borderId="77" xfId="78" applyFont="1" applyBorder="1" applyAlignment="1">
      <alignment horizontal="center"/>
    </xf>
    <xf numFmtId="0" fontId="132" fillId="0" borderId="130" xfId="78" applyFont="1" applyBorder="1" applyAlignment="1">
      <alignment horizontal="center" vertical="center"/>
    </xf>
    <xf numFmtId="0" fontId="132" fillId="0" borderId="130" xfId="78" applyFont="1" applyBorder="1" applyAlignment="1">
      <alignment wrapText="1"/>
    </xf>
    <xf numFmtId="3" fontId="132" fillId="0" borderId="130" xfId="78" applyNumberFormat="1" applyFont="1" applyBorder="1" applyAlignment="1"/>
    <xf numFmtId="0" fontId="132" fillId="0" borderId="69" xfId="78" applyFont="1" applyBorder="1" applyAlignment="1">
      <alignment horizontal="center" vertical="center"/>
    </xf>
    <xf numFmtId="0" fontId="132" fillId="0" borderId="0" xfId="78" applyFont="1" applyBorder="1" applyAlignment="1">
      <alignment wrapText="1"/>
    </xf>
    <xf numFmtId="3" fontId="132" fillId="0" borderId="69" xfId="78" applyNumberFormat="1" applyFont="1" applyBorder="1" applyAlignment="1"/>
    <xf numFmtId="0" fontId="132" fillId="0" borderId="89" xfId="78" applyFont="1" applyBorder="1" applyAlignment="1">
      <alignment horizontal="center" vertical="center"/>
    </xf>
    <xf numFmtId="0" fontId="132" fillId="0" borderId="101" xfId="78" applyFont="1" applyBorder="1" applyAlignment="1">
      <alignment wrapText="1"/>
    </xf>
    <xf numFmtId="3" fontId="132" fillId="0" borderId="89" xfId="78" applyNumberFormat="1" applyFont="1" applyBorder="1"/>
    <xf numFmtId="0" fontId="132" fillId="0" borderId="0" xfId="78" applyFont="1" applyBorder="1"/>
    <xf numFmtId="3" fontId="132" fillId="0" borderId="69" xfId="78" applyNumberFormat="1" applyFont="1" applyBorder="1"/>
    <xf numFmtId="49" fontId="132" fillId="0" borderId="0" xfId="78" applyNumberFormat="1" applyFont="1" applyBorder="1"/>
    <xf numFmtId="0" fontId="132" fillId="0" borderId="78" xfId="78" applyFont="1" applyBorder="1" applyAlignment="1">
      <alignment horizontal="center" vertical="center"/>
    </xf>
    <xf numFmtId="0" fontId="132" fillId="0" borderId="24" xfId="78" applyFont="1" applyBorder="1" applyAlignment="1">
      <alignment wrapText="1"/>
    </xf>
    <xf numFmtId="3" fontId="132" fillId="0" borderId="78" xfId="78" applyNumberFormat="1" applyFont="1" applyFill="1" applyBorder="1"/>
    <xf numFmtId="3" fontId="132" fillId="0" borderId="78" xfId="78" applyNumberFormat="1" applyFont="1" applyBorder="1"/>
    <xf numFmtId="0" fontId="132" fillId="0" borderId="77" xfId="78" applyFont="1" applyBorder="1"/>
    <xf numFmtId="0" fontId="131" fillId="0" borderId="93" xfId="78" applyFont="1" applyBorder="1"/>
    <xf numFmtId="3" fontId="131" fillId="0" borderId="77" xfId="78" applyNumberFormat="1" applyFont="1" applyBorder="1"/>
    <xf numFmtId="0" fontId="133" fillId="0" borderId="0" xfId="78" applyFont="1"/>
    <xf numFmtId="0" fontId="134" fillId="0" borderId="0" xfId="88" applyFont="1"/>
    <xf numFmtId="0" fontId="12" fillId="0" borderId="0" xfId="78" applyFont="1"/>
    <xf numFmtId="0" fontId="2" fillId="0" borderId="0" xfId="78" applyFill="1"/>
    <xf numFmtId="0" fontId="132" fillId="0" borderId="0" xfId="88" applyFont="1" applyAlignment="1">
      <alignment wrapText="1"/>
    </xf>
    <xf numFmtId="0" fontId="8" fillId="0" borderId="0" xfId="88" applyFont="1"/>
    <xf numFmtId="0" fontId="132" fillId="0" borderId="0" xfId="88" applyFont="1"/>
    <xf numFmtId="0" fontId="132" fillId="0" borderId="0" xfId="77" applyFont="1" applyFill="1"/>
    <xf numFmtId="0" fontId="135" fillId="0" borderId="0" xfId="77" applyFont="1" applyFill="1"/>
    <xf numFmtId="3" fontId="132" fillId="0" borderId="0" xfId="77" applyNumberFormat="1" applyFont="1" applyFill="1" applyAlignment="1">
      <alignment horizontal="right"/>
    </xf>
    <xf numFmtId="0" fontId="4" fillId="0" borderId="0" xfId="78" applyFont="1" applyAlignment="1">
      <alignment horizontal="right"/>
    </xf>
    <xf numFmtId="0" fontId="3" fillId="0" borderId="23" xfId="77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4" fillId="0" borderId="19" xfId="77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/>
    </xf>
    <xf numFmtId="0" fontId="3" fillId="0" borderId="84" xfId="0" applyFont="1" applyFill="1" applyBorder="1" applyAlignment="1">
      <alignment horizontal="center"/>
    </xf>
    <xf numFmtId="0" fontId="136" fillId="0" borderId="115" xfId="77" applyFont="1" applyFill="1" applyBorder="1" applyAlignment="1">
      <alignment horizontal="center"/>
    </xf>
    <xf numFmtId="0" fontId="3" fillId="0" borderId="125" xfId="0" applyFont="1" applyFill="1" applyBorder="1" applyAlignment="1">
      <alignment horizontal="center"/>
    </xf>
    <xf numFmtId="0" fontId="3" fillId="0" borderId="116" xfId="0" applyFont="1" applyFill="1" applyBorder="1" applyAlignment="1">
      <alignment horizontal="center"/>
    </xf>
    <xf numFmtId="3" fontId="33" fillId="0" borderId="49" xfId="0" applyNumberFormat="1" applyFont="1" applyFill="1" applyBorder="1" applyProtection="1"/>
    <xf numFmtId="3" fontId="4" fillId="0" borderId="58" xfId="0" applyNumberFormat="1" applyFont="1" applyFill="1" applyBorder="1"/>
    <xf numFmtId="0" fontId="136" fillId="0" borderId="26" xfId="77" applyFont="1" applyFill="1" applyBorder="1" applyAlignment="1">
      <alignment horizontal="center"/>
    </xf>
    <xf numFmtId="3" fontId="4" fillId="0" borderId="49" xfId="0" applyNumberFormat="1" applyFont="1" applyFill="1" applyBorder="1" applyProtection="1"/>
    <xf numFmtId="3" fontId="4" fillId="0" borderId="58" xfId="77" applyNumberFormat="1" applyFont="1" applyFill="1" applyBorder="1" applyAlignment="1">
      <alignment horizontal="right"/>
    </xf>
    <xf numFmtId="0" fontId="33" fillId="0" borderId="124" xfId="77" applyFont="1" applyFill="1" applyBorder="1" applyAlignment="1">
      <alignment horizontal="left" wrapText="1"/>
    </xf>
    <xf numFmtId="3" fontId="33" fillId="0" borderId="32" xfId="77" applyNumberFormat="1" applyFont="1" applyFill="1" applyBorder="1" applyAlignment="1">
      <alignment horizontal="right"/>
    </xf>
    <xf numFmtId="3" fontId="4" fillId="0" borderId="88" xfId="0" applyNumberFormat="1" applyFont="1" applyFill="1" applyBorder="1"/>
    <xf numFmtId="3" fontId="4" fillId="0" borderId="86" xfId="0" applyNumberFormat="1" applyFont="1" applyFill="1" applyBorder="1"/>
    <xf numFmtId="3" fontId="4" fillId="0" borderId="128" xfId="0" applyNumberFormat="1" applyFont="1" applyFill="1" applyBorder="1"/>
    <xf numFmtId="3" fontId="33" fillId="0" borderId="49" xfId="77" applyNumberFormat="1" applyFont="1" applyFill="1" applyBorder="1" applyAlignment="1">
      <alignment horizontal="right"/>
    </xf>
    <xf numFmtId="3" fontId="4" fillId="0" borderId="56" xfId="0" applyNumberFormat="1" applyFont="1" applyFill="1" applyBorder="1"/>
    <xf numFmtId="0" fontId="3" fillId="0" borderId="17" xfId="77" applyFont="1" applyFill="1" applyBorder="1" applyAlignment="1">
      <alignment horizontal="center"/>
    </xf>
    <xf numFmtId="3" fontId="3" fillId="0" borderId="44" xfId="77" applyNumberFormat="1" applyFont="1" applyFill="1" applyBorder="1"/>
    <xf numFmtId="3" fontId="3" fillId="0" borderId="54" xfId="77" applyNumberFormat="1" applyFont="1" applyFill="1" applyBorder="1"/>
    <xf numFmtId="0" fontId="4" fillId="0" borderId="0" xfId="0" applyFont="1" applyFill="1" applyBorder="1" applyAlignment="1">
      <alignment horizontal="right"/>
    </xf>
    <xf numFmtId="0" fontId="3" fillId="0" borderId="117" xfId="0" applyFont="1" applyFill="1" applyBorder="1" applyAlignment="1">
      <alignment horizontal="center"/>
    </xf>
    <xf numFmtId="0" fontId="3" fillId="0" borderId="126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18" xfId="77" applyFont="1" applyFill="1" applyBorder="1"/>
    <xf numFmtId="0" fontId="3" fillId="0" borderId="29" xfId="0" applyFont="1" applyFill="1" applyBorder="1" applyAlignment="1">
      <alignment horizontal="center"/>
    </xf>
    <xf numFmtId="0" fontId="3" fillId="0" borderId="59" xfId="0" applyFont="1" applyFill="1" applyBorder="1" applyAlignment="1">
      <alignment horizontal="center"/>
    </xf>
    <xf numFmtId="3" fontId="33" fillId="0" borderId="32" xfId="0" applyNumberFormat="1" applyFont="1" applyFill="1" applyBorder="1"/>
    <xf numFmtId="0" fontId="137" fillId="0" borderId="100" xfId="77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right"/>
    </xf>
    <xf numFmtId="3" fontId="8" fillId="0" borderId="81" xfId="0" applyNumberFormat="1" applyFont="1" applyFill="1" applyBorder="1" applyAlignment="1">
      <alignment horizontal="right"/>
    </xf>
    <xf numFmtId="0" fontId="3" fillId="0" borderId="132" xfId="77" applyFont="1" applyFill="1" applyBorder="1"/>
    <xf numFmtId="0" fontId="4" fillId="0" borderId="98" xfId="77" applyFont="1" applyFill="1" applyBorder="1"/>
    <xf numFmtId="3" fontId="4" fillId="0" borderId="133" xfId="77" applyNumberFormat="1" applyFont="1" applyFill="1" applyBorder="1" applyAlignment="1">
      <alignment horizontal="right"/>
    </xf>
    <xf numFmtId="3" fontId="132" fillId="0" borderId="0" xfId="77" applyNumberFormat="1" applyFont="1" applyFill="1"/>
    <xf numFmtId="2" fontId="4" fillId="0" borderId="0" xfId="77" applyNumberFormat="1" applyFont="1" applyBorder="1"/>
    <xf numFmtId="0" fontId="132" fillId="0" borderId="0" xfId="77" applyFont="1" applyFill="1" applyBorder="1"/>
    <xf numFmtId="0" fontId="139" fillId="0" borderId="0" xfId="89" applyFont="1"/>
    <xf numFmtId="0" fontId="141" fillId="0" borderId="16" xfId="89" applyFont="1" applyBorder="1" applyAlignment="1">
      <alignment horizontal="center"/>
    </xf>
    <xf numFmtId="0" fontId="142" fillId="0" borderId="0" xfId="89" applyFont="1"/>
    <xf numFmtId="0" fontId="3" fillId="0" borderId="23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53" xfId="77" applyFont="1" applyFill="1" applyBorder="1" applyAlignment="1">
      <alignment horizontal="center"/>
    </xf>
    <xf numFmtId="0" fontId="4" fillId="0" borderId="19" xfId="77" applyFont="1" applyFill="1" applyBorder="1"/>
    <xf numFmtId="0" fontId="4" fillId="0" borderId="16" xfId="77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8" xfId="77" applyFont="1" applyFill="1" applyBorder="1" applyAlignment="1">
      <alignment horizontal="right"/>
    </xf>
    <xf numFmtId="0" fontId="3" fillId="0" borderId="0" xfId="77" applyFont="1" applyFill="1" applyBorder="1"/>
    <xf numFmtId="3" fontId="4" fillId="0" borderId="23" xfId="77" applyNumberFormat="1" applyFont="1" applyFill="1" applyBorder="1" applyAlignment="1">
      <alignment horizontal="center"/>
    </xf>
    <xf numFmtId="3" fontId="4" fillId="0" borderId="45" xfId="77" applyNumberFormat="1" applyFont="1" applyFill="1" applyBorder="1" applyAlignment="1">
      <alignment horizontal="center"/>
    </xf>
    <xf numFmtId="3" fontId="4" fillId="0" borderId="18" xfId="77" applyNumberFormat="1" applyFont="1" applyFill="1" applyBorder="1" applyAlignment="1">
      <alignment horizontal="right"/>
    </xf>
    <xf numFmtId="3" fontId="4" fillId="0" borderId="15" xfId="77" applyNumberFormat="1" applyFont="1" applyFill="1" applyBorder="1" applyAlignment="1">
      <alignment horizontal="right"/>
    </xf>
    <xf numFmtId="3" fontId="4" fillId="0" borderId="86" xfId="77" applyNumberFormat="1" applyFont="1" applyFill="1" applyBorder="1" applyAlignment="1">
      <alignment horizontal="right"/>
    </xf>
    <xf numFmtId="0" fontId="3" fillId="0" borderId="17" xfId="77" applyFont="1" applyFill="1" applyBorder="1" applyAlignment="1">
      <alignment horizontal="right"/>
    </xf>
    <xf numFmtId="0" fontId="3" fillId="0" borderId="22" xfId="77" applyFont="1" applyFill="1" applyBorder="1" applyAlignment="1">
      <alignment horizontal="right"/>
    </xf>
    <xf numFmtId="3" fontId="3" fillId="0" borderId="17" xfId="77" applyNumberFormat="1" applyFont="1" applyFill="1" applyBorder="1" applyAlignment="1">
      <alignment horizontal="right"/>
    </xf>
    <xf numFmtId="3" fontId="3" fillId="0" borderId="54" xfId="77" applyNumberFormat="1" applyFont="1" applyFill="1" applyBorder="1" applyAlignment="1">
      <alignment horizontal="right"/>
    </xf>
    <xf numFmtId="0" fontId="3" fillId="0" borderId="23" xfId="77" applyFont="1" applyFill="1" applyBorder="1" applyAlignment="1">
      <alignment horizontal="right"/>
    </xf>
    <xf numFmtId="0" fontId="3" fillId="0" borderId="46" xfId="77" applyFont="1" applyFill="1" applyBorder="1"/>
    <xf numFmtId="3" fontId="4" fillId="0" borderId="47" xfId="77" applyNumberFormat="1" applyFont="1" applyFill="1" applyBorder="1" applyAlignment="1">
      <alignment horizontal="center"/>
    </xf>
    <xf numFmtId="3" fontId="4" fillId="0" borderId="47" xfId="77" applyNumberFormat="1" applyFont="1" applyFill="1" applyBorder="1" applyAlignment="1">
      <alignment horizontal="right"/>
    </xf>
    <xf numFmtId="3" fontId="4" fillId="0" borderId="27" xfId="77" applyNumberFormat="1" applyFont="1" applyFill="1" applyBorder="1" applyAlignment="1">
      <alignment horizontal="right"/>
    </xf>
    <xf numFmtId="0" fontId="4" fillId="0" borderId="134" xfId="77" applyFont="1" applyFill="1" applyBorder="1" applyAlignment="1">
      <alignment horizontal="right"/>
    </xf>
    <xf numFmtId="3" fontId="4" fillId="0" borderId="134" xfId="77" applyNumberFormat="1" applyFont="1" applyFill="1" applyBorder="1" applyAlignment="1">
      <alignment horizontal="right"/>
    </xf>
    <xf numFmtId="3" fontId="4" fillId="0" borderId="135" xfId="77" applyNumberFormat="1" applyFont="1" applyFill="1" applyBorder="1" applyAlignment="1">
      <alignment horizontal="right"/>
    </xf>
    <xf numFmtId="3" fontId="4" fillId="0" borderId="98" xfId="77" applyNumberFormat="1" applyFont="1" applyFill="1" applyBorder="1" applyAlignment="1">
      <alignment horizontal="right"/>
    </xf>
    <xf numFmtId="3" fontId="3" fillId="0" borderId="19" xfId="77" applyNumberFormat="1" applyFont="1" applyFill="1" applyBorder="1" applyAlignment="1">
      <alignment horizontal="right"/>
    </xf>
    <xf numFmtId="3" fontId="3" fillId="0" borderId="33" xfId="77" applyNumberFormat="1" applyFont="1" applyFill="1" applyBorder="1" applyAlignment="1">
      <alignment horizontal="right"/>
    </xf>
    <xf numFmtId="3" fontId="3" fillId="0" borderId="61" xfId="77" applyNumberFormat="1" applyFont="1" applyFill="1" applyBorder="1" applyAlignment="1">
      <alignment horizontal="right"/>
    </xf>
    <xf numFmtId="3" fontId="3" fillId="0" borderId="28" xfId="77" applyNumberFormat="1" applyFont="1" applyFill="1" applyBorder="1" applyAlignment="1">
      <alignment horizontal="right"/>
    </xf>
    <xf numFmtId="3" fontId="4" fillId="0" borderId="29" xfId="77" applyNumberFormat="1" applyFont="1" applyFill="1" applyBorder="1" applyAlignment="1">
      <alignment horizontal="right"/>
    </xf>
    <xf numFmtId="3" fontId="3" fillId="0" borderId="43" xfId="77" applyNumberFormat="1" applyFont="1" applyFill="1" applyBorder="1" applyAlignment="1">
      <alignment horizontal="right"/>
    </xf>
    <xf numFmtId="3" fontId="3" fillId="0" borderId="22" xfId="77" applyNumberFormat="1" applyFont="1" applyFill="1" applyBorder="1" applyAlignment="1">
      <alignment horizontal="right"/>
    </xf>
    <xf numFmtId="3" fontId="3" fillId="0" borderId="80" xfId="77" applyNumberFormat="1" applyFont="1" applyFill="1" applyBorder="1" applyAlignment="1">
      <alignment horizontal="right"/>
    </xf>
    <xf numFmtId="3" fontId="4" fillId="0" borderId="18" xfId="77" applyNumberFormat="1" applyFont="1" applyFill="1" applyBorder="1" applyAlignment="1">
      <alignment horizontal="center"/>
    </xf>
    <xf numFmtId="3" fontId="4" fillId="0" borderId="59" xfId="77" applyNumberFormat="1" applyFont="1" applyFill="1" applyBorder="1" applyAlignment="1">
      <alignment horizontal="right"/>
    </xf>
    <xf numFmtId="0" fontId="3" fillId="0" borderId="57" xfId="77" applyFont="1" applyFill="1" applyBorder="1" applyAlignment="1">
      <alignment horizontal="right"/>
    </xf>
    <xf numFmtId="0" fontId="3" fillId="0" borderId="101" xfId="77" applyFont="1" applyFill="1" applyBorder="1" applyAlignment="1">
      <alignment horizontal="right"/>
    </xf>
    <xf numFmtId="3" fontId="3" fillId="0" borderId="57" xfId="77" applyNumberFormat="1" applyFont="1" applyFill="1" applyBorder="1" applyAlignment="1">
      <alignment horizontal="right"/>
    </xf>
    <xf numFmtId="3" fontId="3" fillId="0" borderId="82" xfId="77" applyNumberFormat="1" applyFont="1" applyFill="1" applyBorder="1" applyAlignment="1">
      <alignment horizontal="right"/>
    </xf>
    <xf numFmtId="3" fontId="3" fillId="0" borderId="55" xfId="77" applyNumberFormat="1" applyFont="1" applyFill="1" applyBorder="1" applyAlignment="1">
      <alignment horizontal="right"/>
    </xf>
    <xf numFmtId="3" fontId="3" fillId="0" borderId="56" xfId="77" applyNumberFormat="1" applyFont="1" applyFill="1" applyBorder="1" applyAlignment="1">
      <alignment horizontal="right"/>
    </xf>
    <xf numFmtId="3" fontId="34" fillId="0" borderId="91" xfId="0" applyNumberFormat="1" applyFont="1" applyFill="1" applyBorder="1" applyAlignment="1">
      <alignment horizontal="justify"/>
    </xf>
    <xf numFmtId="3" fontId="4" fillId="0" borderId="91" xfId="77" applyNumberFormat="1" applyFont="1" applyFill="1" applyBorder="1" applyAlignment="1">
      <alignment horizontal="right"/>
    </xf>
    <xf numFmtId="0" fontId="3" fillId="0" borderId="119" xfId="77" applyFont="1" applyBorder="1"/>
    <xf numFmtId="3" fontId="4" fillId="0" borderId="15" xfId="77" applyNumberFormat="1" applyFont="1" applyFill="1" applyBorder="1" applyAlignment="1">
      <alignment horizontal="center"/>
    </xf>
    <xf numFmtId="3" fontId="4" fillId="0" borderId="0" xfId="77" applyNumberFormat="1" applyFont="1" applyFill="1" applyBorder="1" applyAlignment="1">
      <alignment horizontal="center"/>
    </xf>
    <xf numFmtId="0" fontId="34" fillId="0" borderId="85" xfId="77" applyFont="1" applyFill="1" applyBorder="1" applyAlignment="1"/>
    <xf numFmtId="3" fontId="4" fillId="0" borderId="41" xfId="77" applyNumberFormat="1" applyFont="1" applyFill="1" applyBorder="1" applyAlignment="1">
      <alignment horizontal="right"/>
    </xf>
    <xf numFmtId="3" fontId="4" fillId="0" borderId="64" xfId="77" applyNumberFormat="1" applyFont="1" applyFill="1" applyBorder="1" applyAlignment="1">
      <alignment horizontal="right"/>
    </xf>
    <xf numFmtId="3" fontId="4" fillId="0" borderId="136" xfId="77" applyNumberFormat="1" applyFont="1" applyFill="1" applyBorder="1" applyAlignment="1">
      <alignment horizontal="right"/>
    </xf>
    <xf numFmtId="3" fontId="4" fillId="0" borderId="137" xfId="77" applyNumberFormat="1" applyFont="1" applyFill="1" applyBorder="1" applyAlignment="1">
      <alignment horizontal="right"/>
    </xf>
    <xf numFmtId="0" fontId="3" fillId="0" borderId="80" xfId="77" applyFont="1" applyBorder="1" applyAlignment="1">
      <alignment horizontal="right"/>
    </xf>
    <xf numFmtId="0" fontId="4" fillId="0" borderId="20" xfId="77" applyFont="1" applyFill="1" applyBorder="1" applyAlignment="1">
      <alignment horizontal="right"/>
    </xf>
    <xf numFmtId="0" fontId="3" fillId="0" borderId="93" xfId="77" applyFont="1" applyFill="1" applyBorder="1"/>
    <xf numFmtId="3" fontId="3" fillId="0" borderId="20" xfId="77" applyNumberFormat="1" applyFont="1" applyFill="1" applyBorder="1"/>
    <xf numFmtId="3" fontId="3" fillId="0" borderId="77" xfId="77" applyNumberFormat="1" applyFont="1" applyFill="1" applyBorder="1"/>
    <xf numFmtId="0" fontId="4" fillId="0" borderId="0" xfId="77" applyFont="1" applyFill="1" applyBorder="1" applyAlignment="1">
      <alignment horizontal="right"/>
    </xf>
    <xf numFmtId="3" fontId="3" fillId="0" borderId="0" xfId="77" applyNumberFormat="1" applyFont="1" applyFill="1" applyBorder="1"/>
    <xf numFmtId="0" fontId="64" fillId="0" borderId="0" xfId="77" applyFont="1" applyFill="1"/>
    <xf numFmtId="0" fontId="34" fillId="0" borderId="0" xfId="77" applyFont="1" applyFill="1"/>
    <xf numFmtId="0" fontId="142" fillId="0" borderId="0" xfId="90" applyFont="1"/>
    <xf numFmtId="0" fontId="7" fillId="0" borderId="0" xfId="90" applyFont="1"/>
    <xf numFmtId="0" fontId="139" fillId="0" borderId="16" xfId="90" applyFont="1" applyBorder="1" applyAlignment="1">
      <alignment horizontal="center"/>
    </xf>
    <xf numFmtId="0" fontId="139" fillId="0" borderId="23" xfId="90" applyFont="1" applyBorder="1" applyAlignment="1">
      <alignment horizontal="center"/>
    </xf>
    <xf numFmtId="0" fontId="139" fillId="0" borderId="83" xfId="90" applyFont="1" applyBorder="1"/>
    <xf numFmtId="49" fontId="139" fillId="0" borderId="83" xfId="90" applyNumberFormat="1" applyFont="1" applyBorder="1" applyAlignment="1">
      <alignment horizontal="center"/>
    </xf>
    <xf numFmtId="0" fontId="139" fillId="0" borderId="18" xfId="90" applyFont="1" applyBorder="1" applyAlignment="1">
      <alignment horizontal="center"/>
    </xf>
    <xf numFmtId="0" fontId="139" fillId="0" borderId="86" xfId="90" applyFont="1" applyBorder="1" applyAlignment="1">
      <alignment horizontal="center"/>
    </xf>
    <xf numFmtId="0" fontId="139" fillId="0" borderId="69" xfId="90" applyFont="1" applyBorder="1"/>
    <xf numFmtId="2" fontId="139" fillId="0" borderId="69" xfId="90" applyNumberFormat="1" applyFont="1" applyBorder="1" applyAlignment="1">
      <alignment horizontal="center"/>
    </xf>
    <xf numFmtId="0" fontId="139" fillId="0" borderId="19" xfId="90" applyFont="1" applyBorder="1" applyAlignment="1">
      <alignment horizontal="center"/>
    </xf>
    <xf numFmtId="0" fontId="139" fillId="0" borderId="84" xfId="90" applyFont="1" applyBorder="1" applyAlignment="1">
      <alignment horizontal="center"/>
    </xf>
    <xf numFmtId="0" fontId="139" fillId="0" borderId="70" xfId="90" applyFont="1" applyBorder="1"/>
    <xf numFmtId="49" fontId="139" fillId="0" borderId="70" xfId="90" applyNumberFormat="1" applyFont="1" applyBorder="1" applyAlignment="1">
      <alignment horizontal="center"/>
    </xf>
    <xf numFmtId="49" fontId="139" fillId="0" borderId="86" xfId="90" applyNumberFormat="1" applyFont="1" applyBorder="1" applyAlignment="1">
      <alignment horizontal="center"/>
    </xf>
    <xf numFmtId="3" fontId="7" fillId="0" borderId="18" xfId="90" applyNumberFormat="1" applyFont="1" applyBorder="1" applyAlignment="1">
      <alignment horizontal="center"/>
    </xf>
    <xf numFmtId="0" fontId="7" fillId="0" borderId="18" xfId="90" applyFont="1" applyBorder="1"/>
    <xf numFmtId="0" fontId="7" fillId="0" borderId="86" xfId="90" applyFont="1" applyBorder="1"/>
    <xf numFmtId="0" fontId="7" fillId="0" borderId="69" xfId="90" applyFont="1" applyBorder="1"/>
    <xf numFmtId="3" fontId="7" fillId="0" borderId="59" xfId="90" applyNumberFormat="1" applyFont="1" applyBorder="1"/>
    <xf numFmtId="3" fontId="139" fillId="0" borderId="26" xfId="90" applyNumberFormat="1" applyFont="1" applyBorder="1" applyAlignment="1">
      <alignment horizontal="center"/>
    </xf>
    <xf numFmtId="0" fontId="139" fillId="0" borderId="26" xfId="90" applyFont="1" applyBorder="1"/>
    <xf numFmtId="0" fontId="139" fillId="0" borderId="88" xfId="90" applyFont="1" applyBorder="1"/>
    <xf numFmtId="0" fontId="139" fillId="0" borderId="78" xfId="90" applyFont="1" applyBorder="1"/>
    <xf numFmtId="3" fontId="139" fillId="0" borderId="58" xfId="90" applyNumberFormat="1" applyFont="1" applyBorder="1"/>
    <xf numFmtId="3" fontId="139" fillId="0" borderId="18" xfId="90" applyNumberFormat="1" applyFont="1" applyBorder="1" applyAlignment="1">
      <alignment horizontal="center"/>
    </xf>
    <xf numFmtId="0" fontId="139" fillId="0" borderId="18" xfId="90" applyFont="1" applyBorder="1"/>
    <xf numFmtId="0" fontId="139" fillId="0" borderId="86" xfId="90" applyFont="1" applyBorder="1"/>
    <xf numFmtId="3" fontId="139" fillId="0" borderId="59" xfId="90" applyNumberFormat="1" applyFont="1" applyBorder="1"/>
    <xf numFmtId="0" fontId="33" fillId="0" borderId="18" xfId="90" applyFont="1" applyBorder="1"/>
    <xf numFmtId="3" fontId="139" fillId="0" borderId="17" xfId="90" applyNumberFormat="1" applyFont="1" applyBorder="1" applyAlignment="1">
      <alignment horizontal="center"/>
    </xf>
    <xf numFmtId="0" fontId="139" fillId="0" borderId="17" xfId="90" applyFont="1" applyBorder="1"/>
    <xf numFmtId="0" fontId="139" fillId="0" borderId="80" xfId="90" applyFont="1" applyBorder="1"/>
    <xf numFmtId="0" fontId="139" fillId="0" borderId="76" xfId="90" applyFont="1" applyBorder="1"/>
    <xf numFmtId="3" fontId="139" fillId="0" borderId="54" xfId="90" applyNumberFormat="1" applyFont="1" applyBorder="1"/>
    <xf numFmtId="3" fontId="139" fillId="0" borderId="83" xfId="90" applyNumberFormat="1" applyFont="1" applyBorder="1"/>
    <xf numFmtId="3" fontId="7" fillId="0" borderId="69" xfId="90" applyNumberFormat="1" applyFont="1" applyBorder="1"/>
    <xf numFmtId="3" fontId="139" fillId="0" borderId="78" xfId="90" applyNumberFormat="1" applyFont="1" applyBorder="1"/>
    <xf numFmtId="3" fontId="139" fillId="0" borderId="69" xfId="90" applyNumberFormat="1" applyFont="1" applyBorder="1"/>
    <xf numFmtId="3" fontId="139" fillId="0" borderId="76" xfId="90" applyNumberFormat="1" applyFont="1" applyBorder="1"/>
    <xf numFmtId="3" fontId="139" fillId="0" borderId="86" xfId="90" applyNumberFormat="1" applyFont="1" applyBorder="1"/>
    <xf numFmtId="3" fontId="139" fillId="0" borderId="57" xfId="90" applyNumberFormat="1" applyFont="1" applyBorder="1" applyAlignment="1">
      <alignment horizontal="center"/>
    </xf>
    <xf numFmtId="0" fontId="139" fillId="0" borderId="89" xfId="90" applyFont="1" applyBorder="1"/>
    <xf numFmtId="3" fontId="139" fillId="0" borderId="56" xfId="90" applyNumberFormat="1" applyFont="1" applyBorder="1"/>
    <xf numFmtId="3" fontId="139" fillId="0" borderId="23" xfId="90" applyNumberFormat="1" applyFont="1" applyBorder="1" applyAlignment="1">
      <alignment horizontal="center"/>
    </xf>
    <xf numFmtId="0" fontId="139" fillId="0" borderId="23" xfId="90" applyFont="1" applyBorder="1"/>
    <xf numFmtId="0" fontId="139" fillId="0" borderId="53" xfId="90" applyFont="1" applyBorder="1"/>
    <xf numFmtId="3" fontId="7" fillId="0" borderId="19" xfId="90" applyNumberFormat="1" applyFont="1" applyBorder="1" applyAlignment="1">
      <alignment horizontal="center"/>
    </xf>
    <xf numFmtId="0" fontId="7" fillId="0" borderId="19" xfId="90" applyFont="1" applyBorder="1"/>
    <xf numFmtId="0" fontId="7" fillId="0" borderId="84" xfId="90" applyFont="1" applyBorder="1"/>
    <xf numFmtId="0" fontId="7" fillId="0" borderId="70" xfId="90" applyFont="1" applyBorder="1"/>
    <xf numFmtId="3" fontId="7" fillId="0" borderId="70" xfId="90" applyNumberFormat="1" applyFont="1" applyBorder="1"/>
    <xf numFmtId="3" fontId="145" fillId="0" borderId="18" xfId="90" applyNumberFormat="1" applyFont="1" applyBorder="1" applyAlignment="1">
      <alignment horizontal="center"/>
    </xf>
    <xf numFmtId="0" fontId="145" fillId="0" borderId="69" xfId="90" applyFont="1" applyBorder="1"/>
    <xf numFmtId="3" fontId="145" fillId="0" borderId="59" xfId="90" applyNumberFormat="1" applyFont="1" applyBorder="1"/>
    <xf numFmtId="0" fontId="139" fillId="0" borderId="53" xfId="90" applyFont="1" applyBorder="1" applyAlignment="1">
      <alignment horizontal="center"/>
    </xf>
    <xf numFmtId="3" fontId="7" fillId="0" borderId="138" xfId="90" applyNumberFormat="1" applyFont="1" applyBorder="1" applyAlignment="1">
      <alignment horizontal="center"/>
    </xf>
    <xf numFmtId="3" fontId="139" fillId="0" borderId="19" xfId="90" applyNumberFormat="1" applyFont="1" applyBorder="1" applyAlignment="1">
      <alignment horizontal="center"/>
    </xf>
    <xf numFmtId="3" fontId="145" fillId="0" borderId="20" xfId="90" applyNumberFormat="1" applyFont="1" applyBorder="1" applyAlignment="1">
      <alignment horizontal="center"/>
    </xf>
    <xf numFmtId="0" fontId="145" fillId="0" borderId="77" xfId="90" applyFont="1" applyBorder="1"/>
    <xf numFmtId="3" fontId="145" fillId="0" borderId="60" xfId="90" applyNumberFormat="1" applyFont="1" applyBorder="1"/>
    <xf numFmtId="3" fontId="145" fillId="0" borderId="0" xfId="90" applyNumberFormat="1" applyFont="1" applyBorder="1" applyAlignment="1">
      <alignment horizontal="center"/>
    </xf>
    <xf numFmtId="0" fontId="145" fillId="0" borderId="0" xfId="90" applyFont="1" applyBorder="1" applyAlignment="1">
      <alignment wrapText="1"/>
    </xf>
    <xf numFmtId="0" fontId="144" fillId="0" borderId="0" xfId="0" applyFont="1" applyBorder="1" applyAlignment="1">
      <alignment wrapText="1"/>
    </xf>
    <xf numFmtId="0" fontId="145" fillId="0" borderId="0" xfId="90" applyFont="1" applyBorder="1"/>
    <xf numFmtId="3" fontId="145" fillId="0" borderId="0" xfId="90" applyNumberFormat="1" applyFont="1" applyBorder="1"/>
    <xf numFmtId="0" fontId="7" fillId="0" borderId="0" xfId="90" applyFont="1" applyBorder="1"/>
    <xf numFmtId="0" fontId="139" fillId="0" borderId="46" xfId="90" applyFont="1" applyBorder="1"/>
    <xf numFmtId="0" fontId="139" fillId="0" borderId="0" xfId="90" applyFont="1" applyBorder="1"/>
    <xf numFmtId="0" fontId="139" fillId="0" borderId="16" xfId="90" applyFont="1" applyBorder="1"/>
    <xf numFmtId="0" fontId="139" fillId="0" borderId="24" xfId="90" applyFont="1" applyBorder="1"/>
    <xf numFmtId="0" fontId="7" fillId="0" borderId="134" xfId="90" applyFont="1" applyBorder="1"/>
    <xf numFmtId="0" fontId="13" fillId="0" borderId="26" xfId="90" applyFont="1" applyBorder="1"/>
    <xf numFmtId="0" fontId="145" fillId="0" borderId="93" xfId="90" applyFont="1" applyBorder="1"/>
    <xf numFmtId="0" fontId="13" fillId="0" borderId="18" xfId="90" applyFont="1" applyBorder="1"/>
    <xf numFmtId="0" fontId="145" fillId="0" borderId="18" xfId="90" applyFont="1" applyBorder="1" applyAlignment="1">
      <alignment wrapText="1"/>
    </xf>
    <xf numFmtId="0" fontId="144" fillId="0" borderId="86" xfId="0" applyFont="1" applyBorder="1" applyAlignment="1">
      <alignment wrapText="1"/>
    </xf>
    <xf numFmtId="0" fontId="142" fillId="0" borderId="0" xfId="90" applyFont="1" applyAlignment="1">
      <alignment horizontal="center"/>
    </xf>
    <xf numFmtId="0" fontId="146" fillId="0" borderId="0" xfId="90" applyFont="1" applyAlignment="1">
      <alignment horizontal="center"/>
    </xf>
    <xf numFmtId="0" fontId="146" fillId="0" borderId="0" xfId="90" applyFont="1"/>
    <xf numFmtId="0" fontId="13" fillId="0" borderId="0" xfId="90" applyFont="1"/>
    <xf numFmtId="0" fontId="147" fillId="0" borderId="0" xfId="90" applyFont="1" applyBorder="1" applyAlignment="1">
      <alignment horizontal="center"/>
    </xf>
    <xf numFmtId="0" fontId="132" fillId="0" borderId="0" xfId="0" applyFont="1" applyAlignment="1">
      <alignment horizontal="right"/>
    </xf>
    <xf numFmtId="0" fontId="147" fillId="0" borderId="23" xfId="90" applyFont="1" applyBorder="1" applyAlignment="1">
      <alignment horizontal="center"/>
    </xf>
    <xf numFmtId="0" fontId="147" fillId="0" borderId="46" xfId="90" applyFont="1" applyBorder="1"/>
    <xf numFmtId="49" fontId="147" fillId="0" borderId="83" xfId="90" applyNumberFormat="1" applyFont="1" applyBorder="1" applyAlignment="1">
      <alignment horizontal="center"/>
    </xf>
    <xf numFmtId="0" fontId="147" fillId="0" borderId="18" xfId="90" applyFont="1" applyBorder="1" applyAlignment="1">
      <alignment horizontal="center"/>
    </xf>
    <xf numFmtId="0" fontId="147" fillId="0" borderId="86" xfId="90" applyFont="1" applyBorder="1" applyAlignment="1">
      <alignment horizontal="center"/>
    </xf>
    <xf numFmtId="0" fontId="147" fillId="0" borderId="0" xfId="90" applyFont="1" applyBorder="1"/>
    <xf numFmtId="2" fontId="147" fillId="0" borderId="69" xfId="90" applyNumberFormat="1" applyFont="1" applyBorder="1" applyAlignment="1">
      <alignment horizontal="center"/>
    </xf>
    <xf numFmtId="0" fontId="147" fillId="0" borderId="19" xfId="90" applyFont="1" applyBorder="1" applyAlignment="1">
      <alignment horizontal="center"/>
    </xf>
    <xf numFmtId="0" fontId="147" fillId="0" borderId="84" xfId="90" applyFont="1" applyBorder="1" applyAlignment="1">
      <alignment horizontal="center"/>
    </xf>
    <xf numFmtId="0" fontId="147" fillId="0" borderId="16" xfId="90" applyFont="1" applyBorder="1"/>
    <xf numFmtId="49" fontId="147" fillId="0" borderId="70" xfId="90" applyNumberFormat="1" applyFont="1" applyBorder="1" applyAlignment="1">
      <alignment horizontal="center"/>
    </xf>
    <xf numFmtId="3" fontId="147" fillId="0" borderId="18" xfId="90" applyNumberFormat="1" applyFont="1" applyBorder="1" applyAlignment="1">
      <alignment horizontal="center"/>
    </xf>
    <xf numFmtId="0" fontId="147" fillId="0" borderId="18" xfId="90" applyFont="1" applyBorder="1"/>
    <xf numFmtId="0" fontId="147" fillId="0" borderId="86" xfId="90" applyFont="1" applyBorder="1"/>
    <xf numFmtId="3" fontId="147" fillId="0" borderId="59" xfId="90" applyNumberFormat="1" applyFont="1" applyBorder="1"/>
    <xf numFmtId="3" fontId="146" fillId="0" borderId="18" xfId="90" applyNumberFormat="1" applyFont="1" applyBorder="1" applyAlignment="1">
      <alignment horizontal="center"/>
    </xf>
    <xf numFmtId="0" fontId="146" fillId="0" borderId="18" xfId="90" applyFont="1" applyBorder="1"/>
    <xf numFmtId="0" fontId="146" fillId="0" borderId="86" xfId="90" applyFont="1" applyBorder="1"/>
    <xf numFmtId="0" fontId="146" fillId="0" borderId="0" xfId="90" applyFont="1" applyBorder="1"/>
    <xf numFmtId="3" fontId="146" fillId="0" borderId="59" xfId="90" applyNumberFormat="1" applyFont="1" applyBorder="1"/>
    <xf numFmtId="3" fontId="147" fillId="0" borderId="26" xfId="90" applyNumberFormat="1" applyFont="1" applyBorder="1" applyAlignment="1">
      <alignment horizontal="center"/>
    </xf>
    <xf numFmtId="0" fontId="149" fillId="0" borderId="26" xfId="90" applyFont="1" applyBorder="1"/>
    <xf numFmtId="0" fontId="147" fillId="0" borderId="88" xfId="90" applyFont="1" applyBorder="1"/>
    <xf numFmtId="0" fontId="147" fillId="0" borderId="24" xfId="90" applyFont="1" applyBorder="1"/>
    <xf numFmtId="3" fontId="147" fillId="0" borderId="58" xfId="90" applyNumberFormat="1" applyFont="1" applyBorder="1"/>
    <xf numFmtId="0" fontId="146" fillId="0" borderId="134" xfId="90" applyFont="1" applyBorder="1"/>
    <xf numFmtId="0" fontId="149" fillId="0" borderId="18" xfId="90" applyFont="1" applyBorder="1"/>
    <xf numFmtId="3" fontId="150" fillId="0" borderId="20" xfId="90" applyNumberFormat="1" applyFont="1" applyBorder="1" applyAlignment="1">
      <alignment horizontal="center"/>
    </xf>
    <xf numFmtId="0" fontId="150" fillId="0" borderId="93" xfId="90" applyFont="1" applyBorder="1"/>
    <xf numFmtId="3" fontId="150" fillId="0" borderId="60" xfId="90" applyNumberFormat="1" applyFont="1" applyBorder="1"/>
    <xf numFmtId="3" fontId="150" fillId="0" borderId="18" xfId="90" applyNumberFormat="1" applyFont="1" applyBorder="1" applyAlignment="1">
      <alignment horizontal="center"/>
    </xf>
    <xf numFmtId="0" fontId="150" fillId="0" borderId="18" xfId="90" applyFont="1" applyBorder="1" applyAlignment="1">
      <alignment wrapText="1"/>
    </xf>
    <xf numFmtId="0" fontId="148" fillId="0" borderId="86" xfId="0" applyFont="1" applyBorder="1" applyAlignment="1">
      <alignment wrapText="1"/>
    </xf>
    <xf numFmtId="0" fontId="150" fillId="0" borderId="0" xfId="90" applyFont="1" applyBorder="1"/>
    <xf numFmtId="3" fontId="150" fillId="0" borderId="59" xfId="90" applyNumberFormat="1" applyFont="1" applyBorder="1"/>
    <xf numFmtId="3" fontId="146" fillId="0" borderId="0" xfId="90" applyNumberFormat="1" applyFont="1"/>
    <xf numFmtId="0" fontId="4" fillId="0" borderId="0" xfId="91" applyFont="1"/>
    <xf numFmtId="0" fontId="3" fillId="0" borderId="0" xfId="91" applyFont="1"/>
    <xf numFmtId="0" fontId="3" fillId="0" borderId="20" xfId="91" applyFont="1" applyBorder="1" applyAlignment="1">
      <alignment horizontal="centerContinuous"/>
    </xf>
    <xf numFmtId="3" fontId="3" fillId="0" borderId="122" xfId="91" applyNumberFormat="1" applyFont="1" applyBorder="1" applyAlignment="1">
      <alignment horizontal="centerContinuous"/>
    </xf>
    <xf numFmtId="0" fontId="3" fillId="0" borderId="93" xfId="91" applyFont="1" applyBorder="1" applyAlignment="1">
      <alignment horizontal="centerContinuous"/>
    </xf>
    <xf numFmtId="3" fontId="3" fillId="0" borderId="93" xfId="91" applyNumberFormat="1" applyFont="1" applyBorder="1" applyAlignment="1">
      <alignment horizontal="centerContinuous"/>
    </xf>
    <xf numFmtId="3" fontId="3" fillId="0" borderId="81" xfId="91" applyNumberFormat="1" applyFont="1" applyBorder="1" applyAlignment="1">
      <alignment horizontal="justify"/>
    </xf>
    <xf numFmtId="0" fontId="3" fillId="0" borderId="18" xfId="91" applyFont="1" applyBorder="1"/>
    <xf numFmtId="3" fontId="3" fillId="0" borderId="31" xfId="91" applyNumberFormat="1" applyFont="1" applyBorder="1"/>
    <xf numFmtId="0" fontId="3" fillId="0" borderId="0" xfId="91" applyFont="1" applyBorder="1"/>
    <xf numFmtId="3" fontId="3" fillId="0" borderId="0" xfId="91" applyNumberFormat="1" applyFont="1" applyBorder="1"/>
    <xf numFmtId="0" fontId="4" fillId="0" borderId="86" xfId="91" applyFont="1" applyBorder="1"/>
    <xf numFmtId="0" fontId="4" fillId="0" borderId="18" xfId="91" applyFont="1" applyBorder="1"/>
    <xf numFmtId="3" fontId="4" fillId="0" borderId="31" xfId="91" applyNumberFormat="1" applyFont="1" applyBorder="1" applyAlignment="1">
      <alignment horizontal="center"/>
    </xf>
    <xf numFmtId="0" fontId="4" fillId="0" borderId="0" xfId="91" applyFont="1" applyBorder="1"/>
    <xf numFmtId="3" fontId="4" fillId="0" borderId="0" xfId="91" applyNumberFormat="1" applyFont="1" applyBorder="1"/>
    <xf numFmtId="3" fontId="4" fillId="0" borderId="31" xfId="91" applyNumberFormat="1" applyFont="1" applyBorder="1"/>
    <xf numFmtId="0" fontId="3" fillId="0" borderId="17" xfId="91" applyFont="1" applyBorder="1"/>
    <xf numFmtId="3" fontId="3" fillId="0" borderId="139" xfId="91" applyNumberFormat="1" applyFont="1" applyBorder="1" applyAlignment="1">
      <alignment horizontal="center"/>
    </xf>
    <xf numFmtId="0" fontId="3" fillId="0" borderId="22" xfId="91" applyFont="1" applyBorder="1"/>
    <xf numFmtId="3" fontId="3" fillId="0" borderId="22" xfId="91" applyNumberFormat="1" applyFont="1" applyBorder="1"/>
    <xf numFmtId="3" fontId="3" fillId="0" borderId="80" xfId="91" applyNumberFormat="1" applyFont="1" applyBorder="1"/>
    <xf numFmtId="0" fontId="3" fillId="0" borderId="86" xfId="91" applyFont="1" applyBorder="1"/>
    <xf numFmtId="3" fontId="3" fillId="0" borderId="31" xfId="91" applyNumberFormat="1" applyFont="1" applyBorder="1" applyAlignment="1">
      <alignment horizontal="center"/>
    </xf>
    <xf numFmtId="3" fontId="4" fillId="0" borderId="86" xfId="91" applyNumberFormat="1" applyFont="1" applyBorder="1"/>
    <xf numFmtId="3" fontId="4" fillId="0" borderId="0" xfId="91" applyNumberFormat="1" applyFont="1"/>
    <xf numFmtId="3" fontId="3" fillId="0" borderId="0" xfId="91" applyNumberFormat="1" applyFont="1"/>
    <xf numFmtId="0" fontId="4" fillId="0" borderId="47" xfId="91" applyFont="1" applyBorder="1"/>
    <xf numFmtId="3" fontId="4" fillId="0" borderId="31" xfId="91" applyNumberFormat="1" applyFont="1" applyBorder="1" applyAlignment="1">
      <alignment horizontal="right"/>
    </xf>
    <xf numFmtId="0" fontId="4" fillId="0" borderId="18" xfId="91" applyFont="1" applyBorder="1" applyAlignment="1">
      <alignment horizontal="left"/>
    </xf>
    <xf numFmtId="3" fontId="3" fillId="0" borderId="139" xfId="91" applyNumberFormat="1" applyFont="1" applyBorder="1" applyAlignment="1">
      <alignment horizontal="right"/>
    </xf>
    <xf numFmtId="0" fontId="4" fillId="0" borderId="0" xfId="91" applyFont="1" applyBorder="1" applyAlignment="1">
      <alignment horizontal="right"/>
    </xf>
    <xf numFmtId="0" fontId="3" fillId="0" borderId="23" xfId="91" applyFont="1" applyBorder="1"/>
    <xf numFmtId="3" fontId="4" fillId="0" borderId="63" xfId="91" applyNumberFormat="1" applyFont="1" applyBorder="1" applyAlignment="1">
      <alignment horizontal="right"/>
    </xf>
    <xf numFmtId="0" fontId="4" fillId="0" borderId="46" xfId="91" applyFont="1" applyBorder="1"/>
    <xf numFmtId="3" fontId="4" fillId="0" borderId="46" xfId="91" applyNumberFormat="1" applyFont="1" applyBorder="1"/>
    <xf numFmtId="0" fontId="4" fillId="0" borderId="53" xfId="91" applyFont="1" applyBorder="1"/>
    <xf numFmtId="0" fontId="5" fillId="0" borderId="18" xfId="91" applyFont="1" applyBorder="1"/>
    <xf numFmtId="0" fontId="4" fillId="0" borderId="29" xfId="91" applyFont="1" applyBorder="1"/>
    <xf numFmtId="3" fontId="4" fillId="0" borderId="31" xfId="91" applyNumberFormat="1" applyFont="1" applyFill="1" applyBorder="1" applyAlignment="1">
      <alignment horizontal="right"/>
    </xf>
    <xf numFmtId="3" fontId="4" fillId="0" borderId="0" xfId="91" applyNumberFormat="1" applyFont="1" applyFill="1" applyBorder="1"/>
    <xf numFmtId="0" fontId="6" fillId="0" borderId="0" xfId="91" applyFont="1"/>
    <xf numFmtId="0" fontId="4" fillId="0" borderId="0" xfId="91" applyFont="1" applyBorder="1" applyAlignment="1">
      <alignment wrapText="1"/>
    </xf>
    <xf numFmtId="3" fontId="4" fillId="0" borderId="31" xfId="77" applyNumberFormat="1" applyFont="1" applyFill="1" applyBorder="1"/>
    <xf numFmtId="0" fontId="151" fillId="0" borderId="0" xfId="0" applyFont="1"/>
    <xf numFmtId="0" fontId="8" fillId="0" borderId="0" xfId="77" applyFont="1" applyFill="1" applyBorder="1"/>
    <xf numFmtId="3" fontId="3" fillId="0" borderId="53" xfId="91" applyNumberFormat="1" applyFont="1" applyBorder="1"/>
    <xf numFmtId="3" fontId="3" fillId="0" borderId="86" xfId="91" applyNumberFormat="1" applyFont="1" applyBorder="1"/>
    <xf numFmtId="0" fontId="5" fillId="0" borderId="134" xfId="91" applyFont="1" applyBorder="1"/>
    <xf numFmtId="0" fontId="3" fillId="0" borderId="91" xfId="77" applyFont="1" applyFill="1" applyBorder="1"/>
    <xf numFmtId="3" fontId="3" fillId="0" borderId="91" xfId="91" applyNumberFormat="1" applyFont="1" applyBorder="1"/>
    <xf numFmtId="3" fontId="3" fillId="0" borderId="133" xfId="91" applyNumberFormat="1" applyFont="1" applyBorder="1"/>
    <xf numFmtId="0" fontId="3" fillId="0" borderId="19" xfId="91" applyFont="1" applyBorder="1"/>
    <xf numFmtId="0" fontId="3" fillId="0" borderId="16" xfId="91" applyFont="1" applyBorder="1"/>
    <xf numFmtId="3" fontId="3" fillId="0" borderId="16" xfId="91" applyNumberFormat="1" applyFont="1" applyBorder="1"/>
    <xf numFmtId="3" fontId="3" fillId="0" borderId="84" xfId="91" applyNumberFormat="1" applyFont="1" applyBorder="1"/>
    <xf numFmtId="0" fontId="4" fillId="0" borderId="0" xfId="91" applyFont="1" applyFill="1" applyBorder="1" applyAlignment="1">
      <alignment wrapText="1"/>
    </xf>
    <xf numFmtId="0" fontId="4" fillId="0" borderId="0" xfId="91" applyFont="1" applyFill="1" applyBorder="1"/>
    <xf numFmtId="3" fontId="3" fillId="0" borderId="91" xfId="91" applyNumberFormat="1" applyFont="1" applyFill="1" applyBorder="1"/>
    <xf numFmtId="0" fontId="3" fillId="0" borderId="16" xfId="91" applyFont="1" applyFill="1" applyBorder="1"/>
    <xf numFmtId="3" fontId="3" fillId="0" borderId="16" xfId="91" applyNumberFormat="1" applyFont="1" applyFill="1" applyBorder="1"/>
    <xf numFmtId="0" fontId="4" fillId="0" borderId="46" xfId="91" applyFont="1" applyFill="1" applyBorder="1"/>
    <xf numFmtId="3" fontId="4" fillId="0" borderId="46" xfId="91" applyNumberFormat="1" applyFont="1" applyFill="1" applyBorder="1"/>
    <xf numFmtId="3" fontId="6" fillId="0" borderId="0" xfId="91" applyNumberFormat="1" applyFont="1" applyBorder="1"/>
    <xf numFmtId="0" fontId="7" fillId="0" borderId="0" xfId="92" applyFont="1"/>
    <xf numFmtId="3" fontId="7" fillId="0" borderId="0" xfId="92" applyNumberFormat="1" applyFont="1"/>
    <xf numFmtId="0" fontId="152" fillId="0" borderId="0" xfId="90" applyFont="1"/>
    <xf numFmtId="0" fontId="139" fillId="0" borderId="0" xfId="92" applyFont="1"/>
    <xf numFmtId="0" fontId="7" fillId="0" borderId="0" xfId="92" applyFont="1" applyBorder="1"/>
    <xf numFmtId="3" fontId="139" fillId="0" borderId="0" xfId="92" applyNumberFormat="1" applyFont="1"/>
    <xf numFmtId="0" fontId="154" fillId="0" borderId="0" xfId="92" applyFont="1" applyAlignment="1">
      <alignment horizontal="right"/>
    </xf>
    <xf numFmtId="0" fontId="154" fillId="0" borderId="23" xfId="92" applyFont="1" applyBorder="1"/>
    <xf numFmtId="0" fontId="154" fillId="0" borderId="46" xfId="92" applyFont="1" applyBorder="1" applyAlignment="1">
      <alignment horizontal="centerContinuous"/>
    </xf>
    <xf numFmtId="0" fontId="143" fillId="0" borderId="47" xfId="0" applyFont="1" applyBorder="1"/>
    <xf numFmtId="0" fontId="143" fillId="0" borderId="53" xfId="0" applyFont="1" applyBorder="1"/>
    <xf numFmtId="0" fontId="154" fillId="0" borderId="0" xfId="92" applyFont="1"/>
    <xf numFmtId="0" fontId="154" fillId="0" borderId="19" xfId="92" applyFont="1" applyBorder="1"/>
    <xf numFmtId="0" fontId="154" fillId="0" borderId="16" xfId="92" applyFont="1" applyBorder="1"/>
    <xf numFmtId="3" fontId="138" fillId="0" borderId="61" xfId="92" applyNumberFormat="1" applyFont="1" applyBorder="1" applyAlignment="1">
      <alignment horizontal="center"/>
    </xf>
    <xf numFmtId="3" fontId="138" fillId="0" borderId="28" xfId="92" applyNumberFormat="1" applyFont="1" applyBorder="1" applyAlignment="1">
      <alignment horizontal="center"/>
    </xf>
    <xf numFmtId="0" fontId="154" fillId="0" borderId="26" xfId="92" applyFont="1" applyFill="1" applyBorder="1"/>
    <xf numFmtId="0" fontId="154" fillId="0" borderId="91" xfId="92" applyFont="1" applyFill="1" applyBorder="1"/>
    <xf numFmtId="0" fontId="154" fillId="0" borderId="24" xfId="92" applyFont="1" applyFill="1" applyBorder="1"/>
    <xf numFmtId="3" fontId="154" fillId="0" borderId="32" xfId="92" applyNumberFormat="1" applyFont="1" applyFill="1" applyBorder="1"/>
    <xf numFmtId="4" fontId="154" fillId="0" borderId="58" xfId="92" applyNumberFormat="1" applyFont="1" applyFill="1" applyBorder="1"/>
    <xf numFmtId="0" fontId="154" fillId="0" borderId="0" xfId="92" applyFont="1" applyFill="1"/>
    <xf numFmtId="0" fontId="138" fillId="0" borderId="19" xfId="92" applyFont="1" applyFill="1" applyBorder="1"/>
    <xf numFmtId="0" fontId="138" fillId="0" borderId="16" xfId="92" applyFont="1" applyFill="1" applyBorder="1"/>
    <xf numFmtId="3" fontId="138" fillId="0" borderId="61" xfId="92" applyNumberFormat="1" applyFont="1" applyFill="1" applyBorder="1"/>
    <xf numFmtId="4" fontId="138" fillId="0" borderId="28" xfId="92" applyNumberFormat="1" applyFont="1" applyFill="1" applyBorder="1"/>
    <xf numFmtId="0" fontId="95" fillId="0" borderId="26" xfId="92" applyFont="1" applyFill="1" applyBorder="1"/>
    <xf numFmtId="4" fontId="95" fillId="0" borderId="58" xfId="92" applyNumberFormat="1" applyFont="1" applyFill="1" applyBorder="1"/>
    <xf numFmtId="0" fontId="95" fillId="0" borderId="0" xfId="0" applyFont="1" applyFill="1" applyBorder="1" applyAlignment="1">
      <alignment vertical="center" wrapText="1"/>
    </xf>
    <xf numFmtId="0" fontId="95" fillId="0" borderId="0" xfId="92" applyFont="1" applyFill="1"/>
    <xf numFmtId="0" fontId="126" fillId="0" borderId="19" xfId="92" applyFont="1" applyFill="1" applyBorder="1"/>
    <xf numFmtId="0" fontId="126" fillId="0" borderId="22" xfId="92" applyFont="1" applyFill="1" applyBorder="1"/>
    <xf numFmtId="3" fontId="126" fillId="0" borderId="43" xfId="92" applyNumberFormat="1" applyFont="1" applyFill="1" applyBorder="1"/>
    <xf numFmtId="4" fontId="126" fillId="0" borderId="28" xfId="92" applyNumberFormat="1" applyFont="1" applyFill="1" applyBorder="1"/>
    <xf numFmtId="0" fontId="95" fillId="0" borderId="18" xfId="92" applyFont="1" applyFill="1" applyBorder="1"/>
    <xf numFmtId="4" fontId="154" fillId="0" borderId="140" xfId="92" applyNumberFormat="1" applyFont="1" applyFill="1" applyBorder="1"/>
    <xf numFmtId="0" fontId="126" fillId="0" borderId="0" xfId="92" applyFont="1"/>
    <xf numFmtId="3" fontId="154" fillId="0" borderId="0" xfId="92" applyNumberFormat="1" applyFont="1"/>
    <xf numFmtId="4" fontId="154" fillId="0" borderId="0" xfId="92" applyNumberFormat="1" applyFont="1"/>
    <xf numFmtId="0" fontId="2" fillId="0" borderId="0" xfId="93"/>
    <xf numFmtId="0" fontId="9" fillId="0" borderId="0" xfId="93" applyFont="1" applyBorder="1" applyAlignment="1">
      <alignment horizontal="center"/>
    </xf>
    <xf numFmtId="0" fontId="2" fillId="0" borderId="0" xfId="93" applyBorder="1" applyAlignment="1">
      <alignment horizontal="center"/>
    </xf>
    <xf numFmtId="0" fontId="2" fillId="0" borderId="32" xfId="93" applyBorder="1" applyAlignment="1">
      <alignment horizontal="center"/>
    </xf>
    <xf numFmtId="0" fontId="2" fillId="0" borderId="58" xfId="93" applyBorder="1" applyAlignment="1">
      <alignment horizontal="center"/>
    </xf>
    <xf numFmtId="0" fontId="9" fillId="0" borderId="43" xfId="93" applyFont="1" applyBorder="1" applyAlignment="1">
      <alignment horizontal="center"/>
    </xf>
    <xf numFmtId="0" fontId="9" fillId="0" borderId="54" xfId="93" applyFont="1" applyBorder="1" applyAlignment="1">
      <alignment horizontal="center"/>
    </xf>
    <xf numFmtId="3" fontId="2" fillId="0" borderId="91" xfId="93" applyNumberFormat="1" applyFill="1" applyBorder="1"/>
    <xf numFmtId="3" fontId="2" fillId="0" borderId="98" xfId="93" applyNumberFormat="1" applyFill="1" applyBorder="1"/>
    <xf numFmtId="3" fontId="2" fillId="0" borderId="133" xfId="93" applyNumberFormat="1" applyFill="1" applyBorder="1"/>
    <xf numFmtId="0" fontId="2" fillId="0" borderId="0" xfId="93" applyFill="1"/>
    <xf numFmtId="3" fontId="2" fillId="0" borderId="24" xfId="93" applyNumberFormat="1" applyFill="1" applyBorder="1"/>
    <xf numFmtId="3" fontId="2" fillId="0" borderId="32" xfId="93" applyNumberFormat="1" applyFill="1" applyBorder="1"/>
    <xf numFmtId="3" fontId="2" fillId="0" borderId="88" xfId="93" applyNumberFormat="1" applyFill="1" applyBorder="1"/>
    <xf numFmtId="3" fontId="2" fillId="0" borderId="43" xfId="93" applyNumberFormat="1" applyFill="1" applyBorder="1"/>
    <xf numFmtId="3" fontId="2" fillId="0" borderId="54" xfId="93" applyNumberFormat="1" applyFill="1" applyBorder="1"/>
    <xf numFmtId="0" fontId="2" fillId="0" borderId="129" xfId="93" applyFont="1" applyFill="1" applyBorder="1" applyAlignment="1">
      <alignment horizontal="left"/>
    </xf>
    <xf numFmtId="0" fontId="2" fillId="0" borderId="118" xfId="93" applyFill="1" applyBorder="1" applyAlignment="1">
      <alignment horizontal="left"/>
    </xf>
    <xf numFmtId="3" fontId="2" fillId="0" borderId="129" xfId="93" applyNumberFormat="1" applyFill="1" applyBorder="1"/>
    <xf numFmtId="3" fontId="2" fillId="0" borderId="125" xfId="93" applyNumberFormat="1" applyFill="1" applyBorder="1"/>
    <xf numFmtId="3" fontId="2" fillId="0" borderId="116" xfId="93" applyNumberFormat="1" applyFill="1" applyBorder="1"/>
    <xf numFmtId="3" fontId="2" fillId="0" borderId="91" xfId="93" applyNumberFormat="1" applyBorder="1"/>
    <xf numFmtId="3" fontId="2" fillId="0" borderId="98" xfId="93" applyNumberFormat="1" applyBorder="1"/>
    <xf numFmtId="3" fontId="2" fillId="0" borderId="133" xfId="93" applyNumberFormat="1" applyBorder="1"/>
    <xf numFmtId="0" fontId="2" fillId="0" borderId="0" xfId="93" applyBorder="1"/>
    <xf numFmtId="0" fontId="2" fillId="0" borderId="32" xfId="93" applyBorder="1"/>
    <xf numFmtId="3" fontId="2" fillId="0" borderId="24" xfId="93" applyNumberFormat="1" applyBorder="1"/>
    <xf numFmtId="3" fontId="2" fillId="0" borderId="32" xfId="93" applyNumberFormat="1" applyBorder="1"/>
    <xf numFmtId="3" fontId="2" fillId="0" borderId="88" xfId="93" applyNumberFormat="1" applyBorder="1"/>
    <xf numFmtId="0" fontId="2" fillId="0" borderId="143" xfId="93" applyBorder="1"/>
    <xf numFmtId="3" fontId="2" fillId="0" borderId="0" xfId="93" applyNumberFormat="1"/>
    <xf numFmtId="0" fontId="2" fillId="0" borderId="0" xfId="93" applyBorder="1" applyAlignment="1">
      <alignment vertical="center"/>
    </xf>
    <xf numFmtId="0" fontId="2" fillId="0" borderId="55" xfId="93" applyBorder="1"/>
    <xf numFmtId="3" fontId="2" fillId="0" borderId="0" xfId="93" applyNumberFormat="1" applyBorder="1"/>
    <xf numFmtId="3" fontId="2" fillId="0" borderId="15" xfId="93" applyNumberFormat="1" applyBorder="1"/>
    <xf numFmtId="3" fontId="2" fillId="0" borderId="15" xfId="93" applyNumberFormat="1" applyFill="1" applyBorder="1"/>
    <xf numFmtId="3" fontId="2" fillId="0" borderId="0" xfId="93" applyNumberFormat="1" applyFill="1" applyBorder="1"/>
    <xf numFmtId="3" fontId="2" fillId="0" borderId="86" xfId="93" applyNumberFormat="1" applyBorder="1"/>
    <xf numFmtId="0" fontId="2" fillId="0" borderId="0" xfId="93" applyBorder="1" applyAlignment="1">
      <alignment horizontal="left" vertical="center"/>
    </xf>
    <xf numFmtId="3" fontId="2" fillId="0" borderId="49" xfId="93" applyNumberFormat="1" applyBorder="1"/>
    <xf numFmtId="0" fontId="2" fillId="0" borderId="91" xfId="93" applyBorder="1" applyAlignment="1">
      <alignment horizontal="left" vertical="center"/>
    </xf>
    <xf numFmtId="0" fontId="2" fillId="0" borderId="98" xfId="93" applyBorder="1"/>
    <xf numFmtId="0" fontId="2" fillId="0" borderId="15" xfId="93" applyFont="1" applyBorder="1"/>
    <xf numFmtId="0" fontId="2" fillId="0" borderId="15" xfId="93" applyBorder="1"/>
    <xf numFmtId="0" fontId="2" fillId="0" borderId="82" xfId="93" applyBorder="1"/>
    <xf numFmtId="0" fontId="2" fillId="0" borderId="15" xfId="93" applyFill="1" applyBorder="1"/>
    <xf numFmtId="0" fontId="2" fillId="0" borderId="32" xfId="93" applyFill="1" applyBorder="1"/>
    <xf numFmtId="0" fontId="2" fillId="0" borderId="61" xfId="93" applyBorder="1"/>
    <xf numFmtId="0" fontId="2" fillId="0" borderId="97" xfId="93" applyBorder="1"/>
    <xf numFmtId="3" fontId="2" fillId="0" borderId="16" xfId="93" applyNumberFormat="1" applyBorder="1"/>
    <xf numFmtId="3" fontId="2" fillId="0" borderId="61" xfId="93" applyNumberFormat="1" applyBorder="1"/>
    <xf numFmtId="3" fontId="2" fillId="0" borderId="84" xfId="93" applyNumberFormat="1" applyBorder="1"/>
    <xf numFmtId="3" fontId="7" fillId="0" borderId="0" xfId="94" applyNumberFormat="1" applyFont="1" applyAlignment="1">
      <alignment horizontal="center"/>
    </xf>
    <xf numFmtId="3" fontId="7" fillId="0" borderId="0" xfId="94" applyNumberFormat="1" applyFont="1"/>
    <xf numFmtId="3" fontId="156" fillId="0" borderId="0" xfId="94" applyNumberFormat="1" applyFont="1"/>
    <xf numFmtId="3" fontId="7" fillId="0" borderId="0" xfId="94" applyNumberFormat="1" applyFont="1" applyFill="1"/>
    <xf numFmtId="3" fontId="7" fillId="0" borderId="0" xfId="94" applyNumberFormat="1" applyFont="1" applyFill="1" applyAlignment="1">
      <alignment horizontal="center"/>
    </xf>
    <xf numFmtId="0" fontId="4" fillId="0" borderId="0" xfId="78" applyFont="1" applyFill="1" applyAlignment="1">
      <alignment horizontal="right"/>
    </xf>
    <xf numFmtId="3" fontId="138" fillId="0" borderId="20" xfId="94" applyNumberFormat="1" applyFont="1" applyFill="1" applyBorder="1" applyAlignment="1"/>
    <xf numFmtId="3" fontId="154" fillId="0" borderId="93" xfId="94" applyNumberFormat="1" applyFont="1" applyFill="1" applyBorder="1"/>
    <xf numFmtId="3" fontId="154" fillId="0" borderId="0" xfId="94" applyNumberFormat="1" applyFont="1" applyFill="1"/>
    <xf numFmtId="3" fontId="7" fillId="0" borderId="20" xfId="94" applyNumberFormat="1" applyFont="1" applyFill="1" applyBorder="1" applyAlignment="1">
      <alignment horizontal="center"/>
    </xf>
    <xf numFmtId="3" fontId="7" fillId="0" borderId="93" xfId="94" applyNumberFormat="1" applyFont="1" applyFill="1" applyBorder="1"/>
    <xf numFmtId="3" fontId="139" fillId="0" borderId="21" xfId="94" applyNumberFormat="1" applyFont="1" applyFill="1" applyBorder="1" applyAlignment="1">
      <alignment horizontal="center"/>
    </xf>
    <xf numFmtId="3" fontId="139" fillId="0" borderId="93" xfId="94" applyNumberFormat="1" applyFont="1" applyFill="1" applyBorder="1" applyAlignment="1">
      <alignment horizontal="center"/>
    </xf>
    <xf numFmtId="3" fontId="139" fillId="0" borderId="60" xfId="94" applyNumberFormat="1" applyFont="1" applyFill="1" applyBorder="1" applyAlignment="1">
      <alignment horizontal="center"/>
    </xf>
    <xf numFmtId="3" fontId="158" fillId="0" borderId="19" xfId="94" applyNumberFormat="1" applyFont="1" applyFill="1" applyBorder="1" applyAlignment="1">
      <alignment horizontal="center"/>
    </xf>
    <xf numFmtId="3" fontId="158" fillId="0" borderId="16" xfId="94" applyNumberFormat="1" applyFont="1" applyFill="1" applyBorder="1"/>
    <xf numFmtId="3" fontId="138" fillId="0" borderId="61" xfId="94" applyNumberFormat="1" applyFont="1" applyFill="1" applyBorder="1" applyAlignment="1">
      <alignment horizontal="center"/>
    </xf>
    <xf numFmtId="3" fontId="138" fillId="0" borderId="28" xfId="94" applyNumberFormat="1" applyFont="1" applyFill="1" applyBorder="1" applyAlignment="1">
      <alignment horizontal="center"/>
    </xf>
    <xf numFmtId="3" fontId="158" fillId="0" borderId="0" xfId="94" applyNumberFormat="1" applyFont="1" applyFill="1"/>
    <xf numFmtId="3" fontId="138" fillId="0" borderId="20" xfId="94" applyNumberFormat="1" applyFont="1" applyFill="1" applyBorder="1" applyAlignment="1">
      <alignment horizontal="center"/>
    </xf>
    <xf numFmtId="3" fontId="138" fillId="0" borderId="93" xfId="94" applyNumberFormat="1" applyFont="1" applyFill="1" applyBorder="1"/>
    <xf numFmtId="3" fontId="138" fillId="0" borderId="21" xfId="94" applyNumberFormat="1" applyFont="1" applyFill="1" applyBorder="1"/>
    <xf numFmtId="3" fontId="138" fillId="0" borderId="60" xfId="94" applyNumberFormat="1" applyFont="1" applyFill="1" applyBorder="1"/>
    <xf numFmtId="3" fontId="138" fillId="0" borderId="0" xfId="94" applyNumberFormat="1" applyFont="1" applyFill="1"/>
    <xf numFmtId="3" fontId="139" fillId="0" borderId="18" xfId="94" applyNumberFormat="1" applyFont="1" applyFill="1" applyBorder="1" applyAlignment="1">
      <alignment horizontal="center"/>
    </xf>
    <xf numFmtId="3" fontId="139" fillId="0" borderId="0" xfId="94" applyNumberFormat="1" applyFont="1" applyFill="1" applyBorder="1"/>
    <xf numFmtId="3" fontId="139" fillId="0" borderId="15" xfId="94" applyNumberFormat="1" applyFont="1" applyFill="1" applyBorder="1"/>
    <xf numFmtId="3" fontId="139" fillId="0" borderId="59" xfId="94" applyNumberFormat="1" applyFont="1" applyFill="1" applyBorder="1"/>
    <xf numFmtId="3" fontId="139" fillId="0" borderId="0" xfId="94" applyNumberFormat="1" applyFont="1" applyFill="1"/>
    <xf numFmtId="3" fontId="7" fillId="0" borderId="40" xfId="94" applyNumberFormat="1" applyFont="1" applyFill="1" applyBorder="1" applyAlignment="1">
      <alignment horizontal="center"/>
    </xf>
    <xf numFmtId="3" fontId="7" fillId="0" borderId="37" xfId="94" applyNumberFormat="1" applyFont="1" applyFill="1" applyBorder="1"/>
    <xf numFmtId="3" fontId="7" fillId="0" borderId="36" xfId="94" applyNumberFormat="1" applyFont="1" applyFill="1" applyBorder="1"/>
    <xf numFmtId="3" fontId="7" fillId="0" borderId="68" xfId="94" applyNumberFormat="1" applyFont="1" applyFill="1" applyBorder="1"/>
    <xf numFmtId="3" fontId="7" fillId="0" borderId="18" xfId="94" applyNumberFormat="1" applyFont="1" applyFill="1" applyBorder="1" applyAlignment="1">
      <alignment horizontal="center"/>
    </xf>
    <xf numFmtId="3" fontId="7" fillId="0" borderId="0" xfId="94" applyNumberFormat="1" applyFont="1" applyFill="1" applyBorder="1"/>
    <xf numFmtId="3" fontId="7" fillId="0" borderId="15" xfId="94" applyNumberFormat="1" applyFont="1" applyFill="1" applyBorder="1"/>
    <xf numFmtId="3" fontId="7" fillId="0" borderId="59" xfId="94" applyNumberFormat="1" applyFont="1" applyFill="1" applyBorder="1"/>
    <xf numFmtId="3" fontId="139" fillId="0" borderId="40" xfId="94" applyNumberFormat="1" applyFont="1" applyFill="1" applyBorder="1" applyAlignment="1">
      <alignment horizontal="center"/>
    </xf>
    <xf numFmtId="3" fontId="139" fillId="0" borderId="37" xfId="94" applyNumberFormat="1" applyFont="1" applyFill="1" applyBorder="1"/>
    <xf numFmtId="3" fontId="138" fillId="0" borderId="81" xfId="94" applyNumberFormat="1" applyFont="1" applyFill="1" applyBorder="1"/>
    <xf numFmtId="3" fontId="126" fillId="0" borderId="18" xfId="94" applyNumberFormat="1" applyFont="1" applyFill="1" applyBorder="1" applyAlignment="1">
      <alignment horizontal="center"/>
    </xf>
    <xf numFmtId="3" fontId="126" fillId="0" borderId="0" xfId="94" applyNumberFormat="1" applyFont="1" applyFill="1" applyBorder="1"/>
    <xf numFmtId="3" fontId="126" fillId="0" borderId="0" xfId="94" applyNumberFormat="1" applyFont="1" applyFill="1"/>
    <xf numFmtId="3" fontId="13" fillId="0" borderId="40" xfId="94" applyNumberFormat="1" applyFont="1" applyFill="1" applyBorder="1" applyAlignment="1">
      <alignment horizontal="center"/>
    </xf>
    <xf numFmtId="3" fontId="54" fillId="0" borderId="37" xfId="94" applyNumberFormat="1" applyFont="1" applyFill="1" applyBorder="1"/>
    <xf numFmtId="3" fontId="13" fillId="0" borderId="37" xfId="94" applyNumberFormat="1" applyFont="1" applyFill="1" applyBorder="1"/>
    <xf numFmtId="3" fontId="13" fillId="0" borderId="0" xfId="94" applyNumberFormat="1" applyFont="1" applyFill="1"/>
    <xf numFmtId="3" fontId="7" fillId="0" borderId="0" xfId="94" applyNumberFormat="1" applyFont="1" applyFill="1" applyBorder="1" applyAlignment="1">
      <alignment horizontal="center"/>
    </xf>
    <xf numFmtId="3" fontId="7" fillId="0" borderId="37" xfId="94" applyNumberFormat="1" applyFont="1" applyFill="1" applyBorder="1" applyAlignment="1">
      <alignment horizontal="center"/>
    </xf>
    <xf numFmtId="3" fontId="7" fillId="0" borderId="0" xfId="94" applyNumberFormat="1" applyFont="1" applyFill="1" applyBorder="1" applyAlignment="1">
      <alignment horizontal="center" vertical="center"/>
    </xf>
    <xf numFmtId="3" fontId="7" fillId="0" borderId="0" xfId="94" applyNumberFormat="1" applyFont="1" applyFill="1" applyBorder="1" applyAlignment="1">
      <alignment wrapText="1"/>
    </xf>
    <xf numFmtId="3" fontId="155" fillId="0" borderId="37" xfId="94" applyNumberFormat="1" applyFont="1" applyFill="1" applyBorder="1"/>
    <xf numFmtId="3" fontId="126" fillId="0" borderId="40" xfId="94" applyNumberFormat="1" applyFont="1" applyFill="1" applyBorder="1" applyAlignment="1">
      <alignment horizontal="center"/>
    </xf>
    <xf numFmtId="3" fontId="126" fillId="0" borderId="37" xfId="94" applyNumberFormat="1" applyFont="1" applyFill="1" applyBorder="1"/>
    <xf numFmtId="3" fontId="126" fillId="0" borderId="36" xfId="94" applyNumberFormat="1" applyFont="1" applyFill="1" applyBorder="1"/>
    <xf numFmtId="3" fontId="126" fillId="0" borderId="68" xfId="94" applyNumberFormat="1" applyFont="1" applyFill="1" applyBorder="1"/>
    <xf numFmtId="3" fontId="7" fillId="0" borderId="41" xfId="94" applyNumberFormat="1" applyFont="1" applyFill="1" applyBorder="1" applyAlignment="1">
      <alignment horizontal="center"/>
    </xf>
    <xf numFmtId="3" fontId="7" fillId="0" borderId="136" xfId="94" applyNumberFormat="1" applyFont="1" applyFill="1" applyBorder="1"/>
    <xf numFmtId="3" fontId="7" fillId="0" borderId="64" xfId="94" applyNumberFormat="1" applyFont="1" applyFill="1" applyBorder="1"/>
    <xf numFmtId="3" fontId="7" fillId="0" borderId="105" xfId="94" applyNumberFormat="1" applyFont="1" applyFill="1" applyBorder="1"/>
    <xf numFmtId="3" fontId="126" fillId="0" borderId="107" xfId="94" applyNumberFormat="1" applyFont="1" applyFill="1" applyBorder="1" applyAlignment="1">
      <alignment horizontal="center"/>
    </xf>
    <xf numFmtId="3" fontId="126" fillId="0" borderId="108" xfId="94" applyNumberFormat="1" applyFont="1" applyFill="1" applyBorder="1"/>
    <xf numFmtId="3" fontId="7" fillId="0" borderId="37" xfId="95" applyNumberFormat="1" applyFont="1" applyFill="1" applyBorder="1"/>
    <xf numFmtId="3" fontId="7" fillId="0" borderId="36" xfId="95" applyNumberFormat="1" applyFont="1" applyFill="1" applyBorder="1"/>
    <xf numFmtId="3" fontId="138" fillId="0" borderId="19" xfId="94" applyNumberFormat="1" applyFont="1" applyFill="1" applyBorder="1" applyAlignment="1">
      <alignment horizontal="center"/>
    </xf>
    <xf numFmtId="3" fontId="138" fillId="0" borderId="16" xfId="94" applyNumberFormat="1" applyFont="1" applyFill="1" applyBorder="1"/>
    <xf numFmtId="3" fontId="138" fillId="0" borderId="16" xfId="95" applyNumberFormat="1" applyFont="1" applyFill="1" applyBorder="1"/>
    <xf numFmtId="3" fontId="138" fillId="0" borderId="61" xfId="95" applyNumberFormat="1" applyFont="1" applyFill="1" applyBorder="1"/>
    <xf numFmtId="3" fontId="138" fillId="0" borderId="28" xfId="94" applyNumberFormat="1" applyFont="1" applyFill="1" applyBorder="1"/>
    <xf numFmtId="3" fontId="33" fillId="0" borderId="18" xfId="94" applyNumberFormat="1" applyFont="1" applyFill="1" applyBorder="1" applyAlignment="1">
      <alignment horizontal="center"/>
    </xf>
    <xf numFmtId="3" fontId="33" fillId="0" borderId="0" xfId="94" applyNumberFormat="1" applyFont="1" applyFill="1" applyBorder="1"/>
    <xf numFmtId="3" fontId="33" fillId="0" borderId="0" xfId="95" applyNumberFormat="1" applyFont="1" applyFill="1" applyBorder="1"/>
    <xf numFmtId="3" fontId="33" fillId="0" borderId="15" xfId="95" applyNumberFormat="1" applyFont="1" applyFill="1" applyBorder="1"/>
    <xf numFmtId="3" fontId="33" fillId="0" borderId="68" xfId="94" applyNumberFormat="1" applyFont="1" applyFill="1" applyBorder="1"/>
    <xf numFmtId="3" fontId="33" fillId="0" borderId="0" xfId="94" applyNumberFormat="1" applyFont="1" applyFill="1"/>
    <xf numFmtId="3" fontId="33" fillId="0" borderId="40" xfId="94" applyNumberFormat="1" applyFont="1" applyFill="1" applyBorder="1" applyAlignment="1">
      <alignment horizontal="center"/>
    </xf>
    <xf numFmtId="3" fontId="33" fillId="0" borderId="37" xfId="94" applyNumberFormat="1" applyFont="1" applyFill="1" applyBorder="1"/>
    <xf numFmtId="3" fontId="33" fillId="0" borderId="37" xfId="95" applyNumberFormat="1" applyFont="1" applyFill="1" applyBorder="1"/>
    <xf numFmtId="3" fontId="33" fillId="0" borderId="36" xfId="95" applyNumberFormat="1" applyFont="1" applyFill="1" applyBorder="1"/>
    <xf numFmtId="3" fontId="33" fillId="0" borderId="59" xfId="94" applyNumberFormat="1" applyFont="1" applyFill="1" applyBorder="1"/>
    <xf numFmtId="3" fontId="138" fillId="0" borderId="93" xfId="95" applyNumberFormat="1" applyFont="1" applyFill="1" applyBorder="1"/>
    <xf numFmtId="3" fontId="138" fillId="0" borderId="21" xfId="95" applyNumberFormat="1" applyFont="1" applyFill="1" applyBorder="1"/>
    <xf numFmtId="3" fontId="160" fillId="0" borderId="0" xfId="95" applyNumberFormat="1" applyFont="1" applyFill="1" applyBorder="1"/>
    <xf numFmtId="3" fontId="7" fillId="0" borderId="0" xfId="95" applyNumberFormat="1" applyFont="1" applyFill="1" applyBorder="1"/>
    <xf numFmtId="3" fontId="7" fillId="0" borderId="15" xfId="95" applyNumberFormat="1" applyFont="1" applyFill="1" applyBorder="1"/>
    <xf numFmtId="3" fontId="7" fillId="0" borderId="23" xfId="94" applyNumberFormat="1" applyFont="1" applyFill="1" applyBorder="1" applyAlignment="1">
      <alignment horizontal="center"/>
    </xf>
    <xf numFmtId="3" fontId="7" fillId="0" borderId="46" xfId="94" applyNumberFormat="1" applyFont="1" applyFill="1" applyBorder="1"/>
    <xf numFmtId="3" fontId="7" fillId="0" borderId="46" xfId="95" applyNumberFormat="1" applyFont="1" applyFill="1" applyBorder="1"/>
    <xf numFmtId="3" fontId="7" fillId="0" borderId="45" xfId="95" applyNumberFormat="1" applyFont="1" applyFill="1" applyBorder="1"/>
    <xf numFmtId="3" fontId="7" fillId="0" borderId="27" xfId="94" applyNumberFormat="1" applyFont="1" applyFill="1" applyBorder="1"/>
    <xf numFmtId="3" fontId="139" fillId="0" borderId="18" xfId="94" applyNumberFormat="1" applyFont="1" applyFill="1" applyBorder="1" applyAlignment="1"/>
    <xf numFmtId="3" fontId="13" fillId="0" borderId="18" xfId="94" applyNumberFormat="1" applyFont="1" applyFill="1" applyBorder="1" applyAlignment="1">
      <alignment horizontal="center"/>
    </xf>
    <xf numFmtId="3" fontId="13" fillId="0" borderId="0" xfId="94" applyNumberFormat="1" applyFont="1" applyFill="1" applyBorder="1"/>
    <xf numFmtId="3" fontId="13" fillId="0" borderId="59" xfId="94" applyNumberFormat="1" applyFont="1" applyFill="1" applyBorder="1"/>
    <xf numFmtId="3" fontId="33" fillId="0" borderId="36" xfId="94" applyNumberFormat="1" applyFont="1" applyFill="1" applyBorder="1"/>
    <xf numFmtId="3" fontId="33" fillId="0" borderId="15" xfId="94" applyNumberFormat="1" applyFont="1" applyFill="1" applyBorder="1"/>
    <xf numFmtId="3" fontId="13" fillId="0" borderId="67" xfId="94" applyNumberFormat="1" applyFont="1" applyFill="1" applyBorder="1"/>
    <xf numFmtId="3" fontId="13" fillId="0" borderId="40" xfId="94" applyNumberFormat="1" applyFont="1" applyFill="1" applyBorder="1"/>
    <xf numFmtId="3" fontId="13" fillId="0" borderId="19" xfId="94" applyNumberFormat="1" applyFont="1" applyFill="1" applyBorder="1" applyAlignment="1">
      <alignment horizontal="center"/>
    </xf>
    <xf numFmtId="3" fontId="13" fillId="0" borderId="16" xfId="94" applyNumberFormat="1" applyFont="1" applyFill="1" applyBorder="1"/>
    <xf numFmtId="3" fontId="13" fillId="0" borderId="61" xfId="94" applyNumberFormat="1" applyFont="1" applyFill="1" applyBorder="1"/>
    <xf numFmtId="3" fontId="13" fillId="0" borderId="28" xfId="94" applyNumberFormat="1" applyFont="1" applyFill="1" applyBorder="1"/>
    <xf numFmtId="0" fontId="132" fillId="0" borderId="0" xfId="96" applyFont="1"/>
    <xf numFmtId="0" fontId="161" fillId="0" borderId="0" xfId="96" applyFont="1"/>
    <xf numFmtId="3" fontId="132" fillId="0" borderId="0" xfId="96" applyNumberFormat="1" applyFont="1"/>
    <xf numFmtId="3" fontId="161" fillId="0" borderId="0" xfId="96" applyNumberFormat="1" applyFont="1"/>
    <xf numFmtId="0" fontId="131" fillId="0" borderId="0" xfId="96" applyFont="1"/>
    <xf numFmtId="3" fontId="131" fillId="0" borderId="0" xfId="96" applyNumberFormat="1" applyFont="1"/>
    <xf numFmtId="0" fontId="132" fillId="0" borderId="0" xfId="78" applyFont="1" applyAlignment="1">
      <alignment horizontal="right"/>
    </xf>
    <xf numFmtId="0" fontId="132" fillId="0" borderId="0" xfId="96" applyFont="1" applyAlignment="1">
      <alignment horizontal="right"/>
    </xf>
    <xf numFmtId="0" fontId="162" fillId="0" borderId="0" xfId="96" applyFont="1" applyAlignment="1">
      <alignment horizontal="center"/>
    </xf>
    <xf numFmtId="3" fontId="3" fillId="0" borderId="23" xfId="96" applyNumberFormat="1" applyFont="1" applyBorder="1"/>
    <xf numFmtId="0" fontId="131" fillId="0" borderId="0" xfId="96" applyFont="1" applyBorder="1"/>
    <xf numFmtId="3" fontId="3" fillId="0" borderId="18" xfId="96" applyNumberFormat="1" applyFont="1" applyBorder="1"/>
    <xf numFmtId="0" fontId="3" fillId="0" borderId="44" xfId="96" applyFont="1" applyBorder="1" applyAlignment="1">
      <alignment horizontal="center" vertical="center" wrapText="1"/>
    </xf>
    <xf numFmtId="0" fontId="3" fillId="0" borderId="54" xfId="96" applyFont="1" applyBorder="1" applyAlignment="1">
      <alignment horizontal="center" vertical="center" wrapText="1"/>
    </xf>
    <xf numFmtId="3" fontId="3" fillId="0" borderId="19" xfId="96" applyNumberFormat="1" applyFont="1" applyBorder="1"/>
    <xf numFmtId="0" fontId="4" fillId="0" borderId="26" xfId="96" applyFont="1" applyBorder="1"/>
    <xf numFmtId="0" fontId="4" fillId="0" borderId="24" xfId="96" applyFont="1" applyBorder="1"/>
    <xf numFmtId="0" fontId="4" fillId="0" borderId="141" xfId="96" applyFont="1" applyBorder="1"/>
    <xf numFmtId="3" fontId="4" fillId="0" borderId="32" xfId="96" applyNumberFormat="1" applyFont="1" applyFill="1" applyBorder="1"/>
    <xf numFmtId="2" fontId="4" fillId="0" borderId="49" xfId="96" applyNumberFormat="1" applyFont="1" applyBorder="1"/>
    <xf numFmtId="3" fontId="4" fillId="0" borderId="58" xfId="96" applyNumberFormat="1" applyFont="1" applyFill="1" applyBorder="1"/>
    <xf numFmtId="3" fontId="4" fillId="0" borderId="26" xfId="96" applyNumberFormat="1" applyFont="1" applyFill="1" applyBorder="1"/>
    <xf numFmtId="3" fontId="4" fillId="0" borderId="130" xfId="96" applyNumberFormat="1" applyFont="1" applyFill="1" applyBorder="1"/>
    <xf numFmtId="3" fontId="4" fillId="0" borderId="88" xfId="96" applyNumberFormat="1" applyFont="1" applyBorder="1"/>
    <xf numFmtId="3" fontId="132" fillId="0" borderId="0" xfId="96" applyNumberFormat="1" applyFont="1" applyBorder="1"/>
    <xf numFmtId="3" fontId="4" fillId="0" borderId="78" xfId="96" applyNumberFormat="1" applyFont="1" applyFill="1" applyBorder="1"/>
    <xf numFmtId="3" fontId="4" fillId="0" borderId="88" xfId="96" applyNumberFormat="1" applyFont="1" applyFill="1" applyBorder="1"/>
    <xf numFmtId="0" fontId="4" fillId="0" borderId="40" xfId="96" applyFont="1" applyBorder="1"/>
    <xf numFmtId="2" fontId="4" fillId="0" borderId="49" xfId="96" applyNumberFormat="1" applyFont="1" applyFill="1" applyBorder="1"/>
    <xf numFmtId="14" fontId="132" fillId="0" borderId="0" xfId="96" applyNumberFormat="1" applyFont="1"/>
    <xf numFmtId="0" fontId="132" fillId="0" borderId="0" xfId="96" applyFont="1" applyFill="1"/>
    <xf numFmtId="0" fontId="4" fillId="0" borderId="57" xfId="96" applyFont="1" applyFill="1" applyBorder="1"/>
    <xf numFmtId="0" fontId="4" fillId="0" borderId="101" xfId="96" applyFont="1" applyFill="1" applyBorder="1"/>
    <xf numFmtId="0" fontId="4" fillId="0" borderId="142" xfId="96" applyFont="1" applyFill="1" applyBorder="1"/>
    <xf numFmtId="3" fontId="4" fillId="0" borderId="55" xfId="96" applyNumberFormat="1" applyFont="1" applyFill="1" applyBorder="1"/>
    <xf numFmtId="2" fontId="4" fillId="0" borderId="82" xfId="96" applyNumberFormat="1" applyFont="1" applyFill="1" applyBorder="1"/>
    <xf numFmtId="3" fontId="4" fillId="0" borderId="56" xfId="96" applyNumberFormat="1" applyFont="1" applyFill="1" applyBorder="1"/>
    <xf numFmtId="3" fontId="4" fillId="0" borderId="57" xfId="96" applyNumberFormat="1" applyFont="1" applyFill="1" applyBorder="1"/>
    <xf numFmtId="3" fontId="4" fillId="0" borderId="89" xfId="96" applyNumberFormat="1" applyFont="1" applyFill="1" applyBorder="1"/>
    <xf numFmtId="3" fontId="132" fillId="0" borderId="0" xfId="96" applyNumberFormat="1" applyFont="1" applyFill="1" applyBorder="1"/>
    <xf numFmtId="3" fontId="4" fillId="0" borderId="128" xfId="96" applyNumberFormat="1" applyFont="1" applyFill="1" applyBorder="1"/>
    <xf numFmtId="0" fontId="3" fillId="0" borderId="26" xfId="96" applyFont="1" applyFill="1" applyBorder="1" applyAlignment="1">
      <alignment horizontal="left"/>
    </xf>
    <xf numFmtId="3" fontId="3" fillId="0" borderId="58" xfId="96" applyNumberFormat="1" applyFont="1" applyFill="1" applyBorder="1"/>
    <xf numFmtId="3" fontId="3" fillId="0" borderId="24" xfId="96" applyNumberFormat="1" applyFont="1" applyFill="1" applyBorder="1"/>
    <xf numFmtId="3" fontId="3" fillId="0" borderId="78" xfId="96" applyNumberFormat="1" applyFont="1" applyFill="1" applyBorder="1"/>
    <xf numFmtId="3" fontId="3" fillId="0" borderId="88" xfId="96" applyNumberFormat="1" applyFont="1" applyFill="1" applyBorder="1"/>
    <xf numFmtId="3" fontId="4" fillId="0" borderId="26" xfId="96" applyNumberFormat="1" applyFont="1" applyBorder="1"/>
    <xf numFmtId="3" fontId="4" fillId="0" borderId="138" xfId="96" applyNumberFormat="1" applyFont="1" applyBorder="1"/>
    <xf numFmtId="3" fontId="4" fillId="0" borderId="133" xfId="96" applyNumberFormat="1" applyFont="1" applyBorder="1"/>
    <xf numFmtId="0" fontId="4" fillId="0" borderId="26" xfId="96" applyFont="1" applyFill="1" applyBorder="1"/>
    <xf numFmtId="0" fontId="4" fillId="0" borderId="24" xfId="96" applyFont="1" applyFill="1" applyBorder="1"/>
    <xf numFmtId="0" fontId="4" fillId="0" borderId="141" xfId="96" applyFont="1" applyFill="1" applyBorder="1"/>
    <xf numFmtId="14" fontId="132" fillId="0" borderId="0" xfId="96" applyNumberFormat="1" applyFont="1" applyFill="1"/>
    <xf numFmtId="3" fontId="4" fillId="0" borderId="24" xfId="96" applyNumberFormat="1" applyFont="1" applyFill="1" applyBorder="1"/>
    <xf numFmtId="0" fontId="87" fillId="0" borderId="26" xfId="96" applyFont="1" applyFill="1" applyBorder="1"/>
    <xf numFmtId="0" fontId="87" fillId="0" borderId="24" xfId="96" applyFont="1" applyFill="1" applyBorder="1"/>
    <xf numFmtId="0" fontId="4" fillId="0" borderId="49" xfId="96" applyFont="1" applyFill="1" applyBorder="1"/>
    <xf numFmtId="0" fontId="87" fillId="0" borderId="57" xfId="96" applyFont="1" applyFill="1" applyBorder="1"/>
    <xf numFmtId="0" fontId="87" fillId="0" borderId="101" xfId="96" applyFont="1" applyFill="1" applyBorder="1"/>
    <xf numFmtId="0" fontId="87" fillId="0" borderId="142" xfId="96" applyFont="1" applyFill="1" applyBorder="1"/>
    <xf numFmtId="164" fontId="4" fillId="0" borderId="82" xfId="96" applyNumberFormat="1" applyFont="1" applyFill="1" applyBorder="1"/>
    <xf numFmtId="0" fontId="3" fillId="0" borderId="17" xfId="96" applyFont="1" applyBorder="1"/>
    <xf numFmtId="0" fontId="3" fillId="0" borderId="22" xfId="96" applyFont="1" applyBorder="1"/>
    <xf numFmtId="3" fontId="3" fillId="0" borderId="43" xfId="96" applyNumberFormat="1" applyFont="1" applyFill="1" applyBorder="1"/>
    <xf numFmtId="165" fontId="3" fillId="0" borderId="44" xfId="96" applyNumberFormat="1" applyFont="1" applyBorder="1"/>
    <xf numFmtId="3" fontId="3" fillId="0" borderId="54" xfId="96" applyNumberFormat="1" applyFont="1" applyBorder="1"/>
    <xf numFmtId="3" fontId="3" fillId="0" borderId="44" xfId="96" applyNumberFormat="1" applyFont="1" applyBorder="1"/>
    <xf numFmtId="3" fontId="3" fillId="0" borderId="76" xfId="96" applyNumberFormat="1" applyFont="1" applyBorder="1"/>
    <xf numFmtId="3" fontId="3" fillId="0" borderId="80" xfId="96" applyNumberFormat="1" applyFont="1" applyBorder="1"/>
    <xf numFmtId="0" fontId="3" fillId="0" borderId="20" xfId="96" applyFont="1" applyBorder="1"/>
    <xf numFmtId="0" fontId="4" fillId="0" borderId="93" xfId="96" applyFont="1" applyBorder="1"/>
    <xf numFmtId="3" fontId="4" fillId="0" borderId="93" xfId="96" applyNumberFormat="1" applyFont="1" applyBorder="1"/>
    <xf numFmtId="2" fontId="4" fillId="0" borderId="93" xfId="96" applyNumberFormat="1" applyFont="1" applyBorder="1"/>
    <xf numFmtId="3" fontId="3" fillId="0" borderId="77" xfId="96" applyNumberFormat="1" applyFont="1" applyBorder="1"/>
    <xf numFmtId="3" fontId="3" fillId="0" borderId="81" xfId="96" applyNumberFormat="1" applyFont="1" applyBorder="1"/>
    <xf numFmtId="3" fontId="164" fillId="0" borderId="0" xfId="96" applyNumberFormat="1" applyFont="1"/>
    <xf numFmtId="0" fontId="165" fillId="0" borderId="0" xfId="96" applyFont="1"/>
    <xf numFmtId="0" fontId="132" fillId="0" borderId="0" xfId="96" applyFont="1" applyBorder="1"/>
    <xf numFmtId="0" fontId="133" fillId="0" borderId="0" xfId="96" applyFont="1"/>
    <xf numFmtId="0" fontId="165" fillId="0" borderId="0" xfId="96" applyFont="1" applyBorder="1"/>
    <xf numFmtId="0" fontId="168" fillId="0" borderId="0" xfId="99" applyFont="1" applyAlignment="1"/>
    <xf numFmtId="0" fontId="169" fillId="0" borderId="0" xfId="99" applyFont="1"/>
    <xf numFmtId="0" fontId="168" fillId="0" borderId="0" xfId="99" applyFont="1" applyAlignment="1">
      <alignment horizontal="center"/>
    </xf>
    <xf numFmtId="0" fontId="169" fillId="0" borderId="0" xfId="99" applyFont="1" applyAlignment="1">
      <alignment horizontal="right"/>
    </xf>
    <xf numFmtId="0" fontId="170" fillId="0" borderId="94" xfId="99" applyFont="1" applyBorder="1" applyAlignment="1">
      <alignment horizontal="center" vertical="center"/>
    </xf>
    <xf numFmtId="0" fontId="170" fillId="0" borderId="61" xfId="99" applyFont="1" applyBorder="1" applyAlignment="1">
      <alignment horizontal="center" vertical="center"/>
    </xf>
    <xf numFmtId="0" fontId="170" fillId="0" borderId="28" xfId="99" applyFont="1" applyBorder="1" applyAlignment="1">
      <alignment horizontal="center" vertical="center"/>
    </xf>
    <xf numFmtId="0" fontId="170" fillId="0" borderId="78" xfId="99" applyFont="1" applyBorder="1"/>
    <xf numFmtId="3" fontId="171" fillId="0" borderId="124" xfId="99" applyNumberFormat="1" applyFont="1" applyBorder="1"/>
    <xf numFmtId="3" fontId="171" fillId="0" borderId="32" xfId="99" applyNumberFormat="1" applyFont="1" applyBorder="1"/>
    <xf numFmtId="3" fontId="171" fillId="0" borderId="58" xfId="99" applyNumberFormat="1" applyFont="1" applyBorder="1"/>
    <xf numFmtId="0" fontId="170" fillId="0" borderId="89" xfId="99" applyFont="1" applyBorder="1"/>
    <xf numFmtId="3" fontId="171" fillId="0" borderId="131" xfId="99" applyNumberFormat="1" applyFont="1" applyBorder="1"/>
    <xf numFmtId="3" fontId="171" fillId="0" borderId="55" xfId="99" applyNumberFormat="1" applyFont="1" applyBorder="1"/>
    <xf numFmtId="3" fontId="171" fillId="0" borderId="56" xfId="99" applyNumberFormat="1" applyFont="1" applyBorder="1"/>
    <xf numFmtId="0" fontId="170" fillId="0" borderId="77" xfId="99" applyFont="1" applyBorder="1" applyAlignment="1">
      <alignment horizontal="left" vertical="center" wrapText="1"/>
    </xf>
    <xf numFmtId="3" fontId="170" fillId="0" borderId="100" xfId="99" applyNumberFormat="1" applyFont="1" applyBorder="1" applyAlignment="1">
      <alignment horizontal="right" vertical="center"/>
    </xf>
    <xf numFmtId="3" fontId="170" fillId="0" borderId="21" xfId="99" applyNumberFormat="1" applyFont="1" applyBorder="1" applyAlignment="1">
      <alignment horizontal="right" vertical="center"/>
    </xf>
    <xf numFmtId="3" fontId="170" fillId="0" borderId="60" xfId="99" applyNumberFormat="1" applyFont="1" applyBorder="1" applyAlignment="1">
      <alignment horizontal="right" vertical="center"/>
    </xf>
    <xf numFmtId="0" fontId="169" fillId="0" borderId="0" xfId="99" applyFont="1" applyAlignment="1">
      <alignment horizontal="right" vertical="center"/>
    </xf>
    <xf numFmtId="3" fontId="169" fillId="0" borderId="0" xfId="99" applyNumberFormat="1" applyFont="1"/>
    <xf numFmtId="3" fontId="33" fillId="0" borderId="0" xfId="99" applyNumberFormat="1" applyFont="1"/>
    <xf numFmtId="3" fontId="33" fillId="0" borderId="0" xfId="99" applyNumberFormat="1" applyFont="1" applyAlignment="1">
      <alignment horizontal="center"/>
    </xf>
    <xf numFmtId="0" fontId="33" fillId="0" borderId="0" xfId="99" applyFont="1"/>
    <xf numFmtId="3" fontId="169" fillId="0" borderId="0" xfId="99" applyNumberFormat="1" applyFont="1" applyAlignment="1">
      <alignment horizontal="right" vertical="center"/>
    </xf>
    <xf numFmtId="0" fontId="3" fillId="0" borderId="23" xfId="77" applyFont="1" applyFill="1" applyBorder="1" applyAlignment="1">
      <alignment horizontal="center"/>
    </xf>
    <xf numFmtId="0" fontId="33" fillId="0" borderId="26" xfId="77" applyFont="1" applyFill="1" applyBorder="1" applyAlignment="1">
      <alignment horizontal="left" wrapText="1"/>
    </xf>
    <xf numFmtId="3" fontId="98" fillId="0" borderId="36" xfId="77" applyNumberFormat="1" applyFont="1" applyFill="1" applyBorder="1" applyAlignment="1">
      <alignment horizontal="right"/>
    </xf>
    <xf numFmtId="0" fontId="4" fillId="0" borderId="94" xfId="77" applyFont="1" applyFill="1" applyBorder="1" applyAlignment="1">
      <alignment horizontal="center"/>
    </xf>
    <xf numFmtId="0" fontId="34" fillId="0" borderId="91" xfId="77" applyFont="1" applyFill="1" applyBorder="1"/>
    <xf numFmtId="0" fontId="34" fillId="0" borderId="50" xfId="77" applyFont="1" applyFill="1" applyBorder="1"/>
    <xf numFmtId="0" fontId="3" fillId="0" borderId="80" xfId="77" applyFont="1" applyFill="1" applyBorder="1" applyAlignment="1">
      <alignment horizontal="right"/>
    </xf>
    <xf numFmtId="3" fontId="4" fillId="29" borderId="0" xfId="91" applyNumberFormat="1" applyFont="1" applyFill="1" applyBorder="1"/>
    <xf numFmtId="3" fontId="157" fillId="0" borderId="32" xfId="92" applyNumberFormat="1" applyFont="1" applyFill="1" applyBorder="1"/>
    <xf numFmtId="2" fontId="58" fillId="0" borderId="99" xfId="77" applyNumberFormat="1" applyFont="1" applyBorder="1"/>
    <xf numFmtId="2" fontId="58" fillId="0" borderId="67" xfId="77" applyNumberFormat="1" applyFont="1" applyFill="1" applyBorder="1"/>
    <xf numFmtId="2" fontId="58" fillId="0" borderId="68" xfId="77" applyNumberFormat="1" applyFont="1" applyFill="1" applyBorder="1"/>
    <xf numFmtId="2" fontId="35" fillId="0" borderId="58" xfId="77" applyNumberFormat="1" applyFont="1" applyFill="1" applyBorder="1"/>
    <xf numFmtId="2" fontId="35" fillId="0" borderId="110" xfId="77" applyNumberFormat="1" applyFont="1" applyBorder="1"/>
    <xf numFmtId="2" fontId="58" fillId="0" borderId="68" xfId="77" applyNumberFormat="1" applyFont="1" applyBorder="1"/>
    <xf numFmtId="2" fontId="58" fillId="0" borderId="110" xfId="77" applyNumberFormat="1" applyFont="1" applyBorder="1"/>
    <xf numFmtId="2" fontId="58" fillId="0" borderId="59" xfId="77" applyNumberFormat="1" applyFont="1" applyFill="1" applyBorder="1"/>
    <xf numFmtId="2" fontId="34" fillId="0" borderId="68" xfId="77" applyNumberFormat="1" applyFont="1" applyBorder="1"/>
    <xf numFmtId="2" fontId="34" fillId="0" borderId="68" xfId="77" applyNumberFormat="1" applyFont="1" applyFill="1" applyBorder="1"/>
    <xf numFmtId="2" fontId="58" fillId="0" borderId="71" xfId="77" applyNumberFormat="1" applyFont="1" applyFill="1" applyBorder="1"/>
    <xf numFmtId="2" fontId="35" fillId="0" borderId="58" xfId="77" applyNumberFormat="1" applyFont="1" applyBorder="1"/>
    <xf numFmtId="2" fontId="35" fillId="0" borderId="28" xfId="77" applyNumberFormat="1" applyFont="1" applyBorder="1"/>
    <xf numFmtId="3" fontId="98" fillId="28" borderId="144" xfId="0" applyNumberFormat="1" applyFont="1" applyFill="1" applyBorder="1"/>
    <xf numFmtId="2" fontId="60" fillId="0" borderId="71" xfId="0" applyNumberFormat="1" applyFont="1" applyFill="1" applyBorder="1"/>
    <xf numFmtId="0" fontId="4" fillId="29" borderId="0" xfId="0" applyFont="1" applyFill="1"/>
    <xf numFmtId="3" fontId="4" fillId="0" borderId="143" xfId="91" applyNumberFormat="1" applyFont="1" applyBorder="1" applyAlignment="1">
      <alignment horizontal="right"/>
    </xf>
    <xf numFmtId="3" fontId="3" fillId="0" borderId="97" xfId="91" applyNumberFormat="1" applyFont="1" applyBorder="1" applyAlignment="1">
      <alignment horizontal="right"/>
    </xf>
    <xf numFmtId="3" fontId="4" fillId="0" borderId="143" xfId="91" applyNumberFormat="1" applyFont="1" applyFill="1" applyBorder="1" applyAlignment="1">
      <alignment horizontal="right"/>
    </xf>
    <xf numFmtId="3" fontId="3" fillId="0" borderId="97" xfId="91" applyNumberFormat="1" applyFont="1" applyFill="1" applyBorder="1" applyAlignment="1">
      <alignment horizontal="right"/>
    </xf>
    <xf numFmtId="3" fontId="4" fillId="0" borderId="63" xfId="91" applyNumberFormat="1" applyFont="1" applyFill="1" applyBorder="1" applyAlignment="1">
      <alignment horizontal="right"/>
    </xf>
    <xf numFmtId="3" fontId="6" fillId="0" borderId="31" xfId="77" applyNumberFormat="1" applyFont="1" applyFill="1" applyBorder="1"/>
    <xf numFmtId="3" fontId="176" fillId="0" borderId="36" xfId="94" applyNumberFormat="1" applyFont="1" applyFill="1" applyBorder="1"/>
    <xf numFmtId="3" fontId="176" fillId="0" borderId="15" xfId="94" applyNumberFormat="1" applyFont="1" applyFill="1" applyBorder="1"/>
    <xf numFmtId="3" fontId="175" fillId="0" borderId="36" xfId="94" applyNumberFormat="1" applyFont="1" applyFill="1" applyBorder="1"/>
    <xf numFmtId="3" fontId="175" fillId="0" borderId="15" xfId="94" applyNumberFormat="1" applyFont="1" applyFill="1" applyBorder="1"/>
    <xf numFmtId="3" fontId="176" fillId="0" borderId="0" xfId="94" applyNumberFormat="1" applyFont="1" applyFill="1" applyBorder="1"/>
    <xf numFmtId="3" fontId="175" fillId="0" borderId="0" xfId="94" applyNumberFormat="1" applyFont="1" applyFill="1" applyBorder="1"/>
    <xf numFmtId="3" fontId="139" fillId="0" borderId="36" xfId="94" applyNumberFormat="1" applyFont="1" applyFill="1" applyBorder="1"/>
    <xf numFmtId="3" fontId="7" fillId="0" borderId="145" xfId="94" applyNumberFormat="1" applyFont="1" applyFill="1" applyBorder="1"/>
    <xf numFmtId="3" fontId="33" fillId="0" borderId="59" xfId="94" applyNumberFormat="1" applyFont="1" applyFill="1" applyBorder="1" applyAlignment="1">
      <alignment horizontal="right"/>
    </xf>
    <xf numFmtId="3" fontId="33" fillId="0" borderId="68" xfId="94" applyNumberFormat="1" applyFont="1" applyFill="1" applyBorder="1" applyAlignment="1">
      <alignment horizontal="right"/>
    </xf>
    <xf numFmtId="3" fontId="138" fillId="0" borderId="15" xfId="94" applyNumberFormat="1" applyFont="1" applyFill="1" applyBorder="1"/>
    <xf numFmtId="3" fontId="138" fillId="0" borderId="59" xfId="94" applyNumberFormat="1" applyFont="1" applyFill="1" applyBorder="1"/>
    <xf numFmtId="3" fontId="145" fillId="0" borderId="36" xfId="94" applyNumberFormat="1" applyFont="1" applyFill="1" applyBorder="1"/>
    <xf numFmtId="3" fontId="145" fillId="0" borderId="68" xfId="94" applyNumberFormat="1" applyFont="1" applyFill="1" applyBorder="1"/>
    <xf numFmtId="3" fontId="138" fillId="0" borderId="36" xfId="94" applyNumberFormat="1" applyFont="1" applyFill="1" applyBorder="1"/>
    <xf numFmtId="3" fontId="138" fillId="0" borderId="68" xfId="94" applyNumberFormat="1" applyFont="1" applyFill="1" applyBorder="1"/>
    <xf numFmtId="3" fontId="138" fillId="0" borderId="109" xfId="94" applyNumberFormat="1" applyFont="1" applyFill="1" applyBorder="1"/>
    <xf numFmtId="3" fontId="138" fillId="0" borderId="110" xfId="94" applyNumberFormat="1" applyFont="1" applyFill="1" applyBorder="1"/>
    <xf numFmtId="3" fontId="129" fillId="0" borderId="27" xfId="0" applyNumberFormat="1" applyFont="1" applyFill="1" applyBorder="1" applyAlignment="1">
      <alignment horizontal="right"/>
    </xf>
    <xf numFmtId="3" fontId="13" fillId="0" borderId="58" xfId="0" quotePrefix="1" applyNumberFormat="1" applyFont="1" applyFill="1" applyBorder="1" applyAlignment="1">
      <alignment horizontal="right"/>
    </xf>
    <xf numFmtId="3" fontId="33" fillId="0" borderId="59" xfId="0" applyNumberFormat="1" applyFont="1" applyFill="1" applyBorder="1"/>
    <xf numFmtId="3" fontId="33" fillId="0" borderId="58" xfId="0" quotePrefix="1" applyNumberFormat="1" applyFont="1" applyFill="1" applyBorder="1" applyAlignment="1">
      <alignment horizontal="right"/>
    </xf>
    <xf numFmtId="3" fontId="130" fillId="0" borderId="58" xfId="0" applyNumberFormat="1" applyFont="1" applyFill="1" applyBorder="1" applyAlignment="1">
      <alignment horizontal="right"/>
    </xf>
    <xf numFmtId="3" fontId="130" fillId="0" borderId="28" xfId="0" applyNumberFormat="1" applyFont="1" applyFill="1" applyBorder="1" applyAlignment="1">
      <alignment horizontal="right"/>
    </xf>
    <xf numFmtId="3" fontId="159" fillId="0" borderId="15" xfId="94" applyNumberFormat="1" applyFont="1" applyFill="1" applyBorder="1"/>
    <xf numFmtId="3" fontId="155" fillId="0" borderId="36" xfId="94" applyNumberFormat="1" applyFont="1" applyFill="1" applyBorder="1"/>
    <xf numFmtId="3" fontId="155" fillId="0" borderId="15" xfId="94" applyNumberFormat="1" applyFont="1" applyFill="1" applyBorder="1"/>
    <xf numFmtId="3" fontId="155" fillId="0" borderId="0" xfId="94" applyNumberFormat="1" applyFont="1" applyFill="1" applyBorder="1"/>
    <xf numFmtId="0" fontId="177" fillId="0" borderId="0" xfId="102" applyFont="1"/>
    <xf numFmtId="0" fontId="14" fillId="0" borderId="0" xfId="102" applyFont="1"/>
    <xf numFmtId="0" fontId="144" fillId="0" borderId="0" xfId="103"/>
    <xf numFmtId="0" fontId="56" fillId="0" borderId="0" xfId="102" applyFont="1"/>
    <xf numFmtId="0" fontId="56" fillId="0" borderId="0" xfId="102" applyFont="1" applyFill="1"/>
    <xf numFmtId="49" fontId="178" fillId="0" borderId="0" xfId="102" applyNumberFormat="1" applyFont="1"/>
    <xf numFmtId="4" fontId="179" fillId="0" borderId="0" xfId="102" applyNumberFormat="1" applyFont="1"/>
    <xf numFmtId="3" fontId="180" fillId="0" borderId="0" xfId="102" applyNumberFormat="1" applyFont="1" applyBorder="1"/>
    <xf numFmtId="0" fontId="179" fillId="0" borderId="0" xfId="102" applyFont="1"/>
    <xf numFmtId="0" fontId="181" fillId="0" borderId="0" xfId="103" applyFont="1"/>
    <xf numFmtId="49" fontId="177" fillId="0" borderId="0" xfId="102" applyNumberFormat="1" applyFont="1"/>
    <xf numFmtId="4" fontId="179" fillId="0" borderId="0" xfId="102" applyNumberFormat="1" applyFont="1" applyFill="1"/>
    <xf numFmtId="0" fontId="69" fillId="0" borderId="0" xfId="103" applyFont="1"/>
    <xf numFmtId="0" fontId="178" fillId="0" borderId="0" xfId="102" applyFont="1"/>
    <xf numFmtId="4" fontId="182" fillId="0" borderId="0" xfId="102" applyNumberFormat="1" applyFont="1" applyBorder="1"/>
    <xf numFmtId="0" fontId="183" fillId="0" borderId="0" xfId="102" applyFont="1"/>
    <xf numFmtId="0" fontId="179" fillId="0" borderId="0" xfId="102" applyFont="1" applyFill="1"/>
    <xf numFmtId="3" fontId="179" fillId="0" borderId="0" xfId="102" applyNumberFormat="1" applyFont="1" applyFill="1"/>
    <xf numFmtId="0" fontId="184" fillId="0" borderId="0" xfId="102" applyFont="1"/>
    <xf numFmtId="0" fontId="185" fillId="0" borderId="0" xfId="102" applyFont="1"/>
    <xf numFmtId="0" fontId="178" fillId="0" borderId="0" xfId="102" applyFont="1" applyAlignment="1">
      <alignment horizontal="left"/>
    </xf>
    <xf numFmtId="49" fontId="179" fillId="0" borderId="0" xfId="102" applyNumberFormat="1" applyFont="1"/>
    <xf numFmtId="49" fontId="56" fillId="0" borderId="0" xfId="102" applyNumberFormat="1" applyFont="1" applyFill="1"/>
    <xf numFmtId="4" fontId="182" fillId="0" borderId="0" xfId="102" applyNumberFormat="1" applyFont="1" applyFill="1" applyBorder="1"/>
    <xf numFmtId="49" fontId="179" fillId="0" borderId="0" xfId="102" applyNumberFormat="1" applyFont="1" applyFill="1"/>
    <xf numFmtId="0" fontId="75" fillId="0" borderId="18" xfId="0" applyFont="1" applyFill="1" applyBorder="1" applyProtection="1"/>
    <xf numFmtId="0" fontId="75" fillId="0" borderId="0" xfId="0" applyFont="1" applyFill="1" applyBorder="1"/>
    <xf numFmtId="0" fontId="75" fillId="0" borderId="50" xfId="0" applyFont="1" applyFill="1" applyBorder="1" applyProtection="1"/>
    <xf numFmtId="0" fontId="75" fillId="0" borderId="37" xfId="0" applyFont="1" applyFill="1" applyBorder="1" applyProtection="1"/>
    <xf numFmtId="3" fontId="75" fillId="0" borderId="79" xfId="0" applyNumberFormat="1" applyFont="1" applyFill="1" applyBorder="1" applyProtection="1">
      <protection locked="0"/>
    </xf>
    <xf numFmtId="3" fontId="75" fillId="0" borderId="38" xfId="0" applyNumberFormat="1" applyFont="1" applyFill="1" applyBorder="1"/>
    <xf numFmtId="3" fontId="75" fillId="0" borderId="75" xfId="0" applyNumberFormat="1" applyFont="1" applyFill="1" applyBorder="1"/>
    <xf numFmtId="4" fontId="75" fillId="0" borderId="75" xfId="0" applyNumberFormat="1" applyFont="1" applyFill="1" applyBorder="1" applyProtection="1"/>
    <xf numFmtId="3" fontId="187" fillId="0" borderId="0" xfId="0" applyNumberFormat="1" applyFont="1"/>
    <xf numFmtId="0" fontId="187" fillId="0" borderId="0" xfId="0" applyFont="1"/>
    <xf numFmtId="0" fontId="75" fillId="0" borderId="0" xfId="0" applyFont="1" applyFill="1"/>
    <xf numFmtId="0" fontId="5" fillId="0" borderId="0" xfId="0" applyFont="1" applyFill="1"/>
    <xf numFmtId="0" fontId="188" fillId="0" borderId="0" xfId="102" applyFont="1"/>
    <xf numFmtId="0" fontId="189" fillId="0" borderId="0" xfId="103" applyFont="1"/>
    <xf numFmtId="0" fontId="188" fillId="0" borderId="0" xfId="102" applyFont="1" applyBorder="1"/>
    <xf numFmtId="0" fontId="186" fillId="0" borderId="0" xfId="102" applyFont="1" applyBorder="1" applyAlignment="1">
      <alignment horizontal="center"/>
    </xf>
    <xf numFmtId="0" fontId="126" fillId="0" borderId="0" xfId="102" applyFont="1"/>
    <xf numFmtId="0" fontId="33" fillId="0" borderId="0" xfId="103" applyFont="1"/>
    <xf numFmtId="0" fontId="188" fillId="0" borderId="83" xfId="102" applyFont="1" applyBorder="1"/>
    <xf numFmtId="0" fontId="188" fillId="0" borderId="0" xfId="103" applyFont="1"/>
    <xf numFmtId="3" fontId="188" fillId="0" borderId="69" xfId="104" applyNumberFormat="1" applyFont="1" applyBorder="1" applyAlignment="1">
      <alignment horizontal="center"/>
    </xf>
    <xf numFmtId="3" fontId="188" fillId="0" borderId="70" xfId="104" applyNumberFormat="1" applyFont="1" applyBorder="1" applyAlignment="1">
      <alignment horizontal="left"/>
    </xf>
    <xf numFmtId="4" fontId="191" fillId="0" borderId="69" xfId="102" applyNumberFormat="1" applyFont="1" applyBorder="1" applyAlignment="1">
      <alignment horizontal="center"/>
    </xf>
    <xf numFmtId="0" fontId="61" fillId="0" borderId="0" xfId="102" applyFont="1" applyAlignment="1">
      <alignment horizontal="justify"/>
    </xf>
    <xf numFmtId="0" fontId="33" fillId="0" borderId="0" xfId="103" applyFont="1" applyAlignment="1">
      <alignment horizontal="justify"/>
    </xf>
    <xf numFmtId="3" fontId="188" fillId="0" borderId="138" xfId="0" applyNumberFormat="1" applyFont="1" applyFill="1" applyBorder="1" applyAlignment="1">
      <alignment horizontal="left"/>
    </xf>
    <xf numFmtId="4" fontId="190" fillId="0" borderId="69" xfId="102" applyNumberFormat="1" applyFont="1" applyFill="1" applyBorder="1"/>
    <xf numFmtId="3" fontId="190" fillId="0" borderId="86" xfId="102" applyNumberFormat="1" applyFont="1" applyFill="1" applyBorder="1"/>
    <xf numFmtId="4" fontId="190" fillId="0" borderId="86" xfId="102" applyNumberFormat="1" applyFont="1" applyFill="1" applyBorder="1"/>
    <xf numFmtId="0" fontId="61" fillId="0" borderId="0" xfId="102" applyFont="1"/>
    <xf numFmtId="3" fontId="188" fillId="0" borderId="78" xfId="0" applyNumberFormat="1" applyFont="1" applyFill="1" applyBorder="1" applyAlignment="1">
      <alignment horizontal="left"/>
    </xf>
    <xf numFmtId="4" fontId="190" fillId="0" borderId="78" xfId="102" applyNumberFormat="1" applyFont="1" applyFill="1" applyBorder="1"/>
    <xf numFmtId="3" fontId="190" fillId="0" borderId="88" xfId="102" applyNumberFormat="1" applyFont="1" applyFill="1" applyBorder="1"/>
    <xf numFmtId="4" fontId="190" fillId="0" borderId="78" xfId="102" applyNumberFormat="1" applyFont="1" applyBorder="1"/>
    <xf numFmtId="3" fontId="190" fillId="0" borderId="88" xfId="102" applyNumberFormat="1" applyFont="1" applyBorder="1"/>
    <xf numFmtId="3" fontId="188" fillId="0" borderId="69" xfId="0" applyNumberFormat="1" applyFont="1" applyFill="1" applyBorder="1" applyAlignment="1">
      <alignment horizontal="left"/>
    </xf>
    <xf numFmtId="4" fontId="190" fillId="0" borderId="69" xfId="102" applyNumberFormat="1" applyFont="1" applyBorder="1"/>
    <xf numFmtId="3" fontId="190" fillId="0" borderId="86" xfId="102" applyNumberFormat="1" applyFont="1" applyBorder="1"/>
    <xf numFmtId="4" fontId="190" fillId="0" borderId="86" xfId="102" applyNumberFormat="1" applyFont="1" applyBorder="1"/>
    <xf numFmtId="4" fontId="188" fillId="0" borderId="77" xfId="102" applyNumberFormat="1" applyFont="1" applyBorder="1"/>
    <xf numFmtId="4" fontId="190" fillId="0" borderId="77" xfId="102" applyNumberFormat="1" applyFont="1" applyBorder="1"/>
    <xf numFmtId="3" fontId="190" fillId="0" borderId="77" xfId="102" applyNumberFormat="1" applyFont="1" applyBorder="1"/>
    <xf numFmtId="4" fontId="188" fillId="0" borderId="77" xfId="102" applyNumberFormat="1" applyFont="1" applyFill="1" applyBorder="1"/>
    <xf numFmtId="0" fontId="61" fillId="0" borderId="0" xfId="102" applyFont="1" applyFill="1"/>
    <xf numFmtId="0" fontId="33" fillId="0" borderId="0" xfId="103" applyFont="1" applyFill="1"/>
    <xf numFmtId="3" fontId="190" fillId="0" borderId="81" xfId="102" applyNumberFormat="1" applyFont="1" applyBorder="1"/>
    <xf numFmtId="4" fontId="191" fillId="0" borderId="83" xfId="102" applyNumberFormat="1" applyFont="1" applyBorder="1" applyAlignment="1">
      <alignment horizontal="center"/>
    </xf>
    <xf numFmtId="4" fontId="190" fillId="0" borderId="133" xfId="102" applyNumberFormat="1" applyFont="1" applyBorder="1"/>
    <xf numFmtId="3" fontId="190" fillId="0" borderId="133" xfId="102" applyNumberFormat="1" applyFont="1" applyBorder="1"/>
    <xf numFmtId="4" fontId="190" fillId="0" borderId="88" xfId="102" applyNumberFormat="1" applyFont="1" applyBorder="1"/>
    <xf numFmtId="3" fontId="188" fillId="0" borderId="76" xfId="0" applyNumberFormat="1" applyFont="1" applyFill="1" applyBorder="1" applyAlignment="1">
      <alignment horizontal="left"/>
    </xf>
    <xf numFmtId="4" fontId="190" fillId="0" borderId="81" xfId="102" applyNumberFormat="1" applyFont="1" applyBorder="1"/>
    <xf numFmtId="4" fontId="190" fillId="0" borderId="53" xfId="102" applyNumberFormat="1" applyFont="1" applyBorder="1"/>
    <xf numFmtId="3" fontId="188" fillId="0" borderId="75" xfId="0" applyNumberFormat="1" applyFont="1" applyFill="1" applyBorder="1" applyAlignment="1">
      <alignment horizontal="left" wrapText="1"/>
    </xf>
    <xf numFmtId="3" fontId="188" fillId="0" borderId="75" xfId="0" applyNumberFormat="1" applyFont="1" applyFill="1" applyBorder="1" applyAlignment="1">
      <alignment horizontal="left"/>
    </xf>
    <xf numFmtId="4" fontId="190" fillId="0" borderId="138" xfId="102" applyNumberFormat="1" applyFont="1" applyBorder="1"/>
    <xf numFmtId="0" fontId="188" fillId="0" borderId="78" xfId="0" applyFont="1" applyBorder="1" applyAlignment="1">
      <alignment horizontal="left"/>
    </xf>
    <xf numFmtId="4" fontId="190" fillId="0" borderId="84" xfId="102" applyNumberFormat="1" applyFont="1" applyBorder="1"/>
    <xf numFmtId="3" fontId="190" fillId="0" borderId="84" xfId="102" applyNumberFormat="1" applyFont="1" applyBorder="1"/>
    <xf numFmtId="4" fontId="188" fillId="0" borderId="70" xfId="102" applyNumberFormat="1" applyFont="1" applyBorder="1"/>
    <xf numFmtId="4" fontId="188" fillId="0" borderId="70" xfId="102" applyNumberFormat="1" applyFont="1" applyBorder="1" applyAlignment="1">
      <alignment horizontal="left"/>
    </xf>
    <xf numFmtId="4" fontId="190" fillId="0" borderId="86" xfId="102" applyNumberFormat="1" applyFont="1" applyBorder="1" applyAlignment="1">
      <alignment horizontal="center"/>
    </xf>
    <xf numFmtId="4" fontId="190" fillId="0" borderId="70" xfId="102" applyNumberFormat="1" applyFont="1" applyBorder="1" applyAlignment="1">
      <alignment horizontal="center"/>
    </xf>
    <xf numFmtId="3" fontId="190" fillId="0" borderId="70" xfId="102" applyNumberFormat="1" applyFont="1" applyBorder="1" applyAlignment="1">
      <alignment horizontal="center"/>
    </xf>
    <xf numFmtId="4" fontId="190" fillId="0" borderId="83" xfId="102" applyNumberFormat="1" applyFont="1" applyBorder="1" applyAlignment="1">
      <alignment horizontal="justify"/>
    </xf>
    <xf numFmtId="4" fontId="190" fillId="0" borderId="53" xfId="102" applyNumberFormat="1" applyFont="1" applyBorder="1" applyAlignment="1">
      <alignment horizontal="justify"/>
    </xf>
    <xf numFmtId="3" fontId="192" fillId="0" borderId="0" xfId="76" applyNumberFormat="1" applyFont="1" applyFill="1"/>
    <xf numFmtId="3" fontId="192" fillId="0" borderId="0" xfId="76" applyNumberFormat="1" applyFont="1" applyFill="1" applyBorder="1" applyAlignment="1">
      <alignment horizontal="right"/>
    </xf>
    <xf numFmtId="3" fontId="193" fillId="0" borderId="0" xfId="76" applyNumberFormat="1" applyFont="1" applyFill="1"/>
    <xf numFmtId="3" fontId="192" fillId="0" borderId="0" xfId="76" applyNumberFormat="1" applyFont="1" applyFill="1" applyBorder="1" applyAlignment="1">
      <alignment horizontal="center"/>
    </xf>
    <xf numFmtId="3" fontId="192" fillId="0" borderId="0" xfId="76" applyNumberFormat="1" applyFont="1" applyFill="1" applyBorder="1"/>
    <xf numFmtId="3" fontId="194" fillId="0" borderId="0" xfId="76" applyNumberFormat="1" applyFont="1" applyFill="1" applyBorder="1"/>
    <xf numFmtId="3" fontId="195" fillId="0" borderId="23" xfId="76" applyNumberFormat="1" applyFont="1" applyFill="1" applyBorder="1" applyAlignment="1">
      <alignment horizontal="center"/>
    </xf>
    <xf numFmtId="3" fontId="195" fillId="0" borderId="0" xfId="76" applyNumberFormat="1" applyFont="1" applyFill="1" applyBorder="1" applyAlignment="1">
      <alignment horizontal="center"/>
    </xf>
    <xf numFmtId="3" fontId="195" fillId="0" borderId="18" xfId="76" applyNumberFormat="1" applyFont="1" applyFill="1" applyBorder="1" applyAlignment="1">
      <alignment horizontal="center" vertical="center"/>
    </xf>
    <xf numFmtId="3" fontId="195" fillId="0" borderId="0" xfId="76" applyNumberFormat="1" applyFont="1" applyFill="1" applyBorder="1" applyAlignment="1">
      <alignment horizontal="justify"/>
    </xf>
    <xf numFmtId="3" fontId="195" fillId="0" borderId="70" xfId="76" applyNumberFormat="1" applyFont="1" applyFill="1" applyBorder="1" applyAlignment="1">
      <alignment horizontal="center" vertical="center"/>
    </xf>
    <xf numFmtId="3" fontId="195" fillId="0" borderId="70" xfId="76" applyNumberFormat="1" applyFont="1" applyFill="1" applyBorder="1" applyAlignment="1">
      <alignment horizontal="center" vertical="center" wrapText="1"/>
    </xf>
    <xf numFmtId="3" fontId="195" fillId="0" borderId="83" xfId="76" applyNumberFormat="1" applyFont="1" applyFill="1" applyBorder="1" applyAlignment="1">
      <alignment horizontal="center" vertical="center"/>
    </xf>
    <xf numFmtId="3" fontId="195" fillId="0" borderId="83" xfId="76" applyNumberFormat="1" applyFont="1" applyFill="1" applyBorder="1" applyAlignment="1">
      <alignment horizontal="right"/>
    </xf>
    <xf numFmtId="3" fontId="195" fillId="0" borderId="83" xfId="76" applyNumberFormat="1" applyFont="1" applyFill="1" applyBorder="1" applyAlignment="1">
      <alignment horizontal="center"/>
    </xf>
    <xf numFmtId="3" fontId="195" fillId="0" borderId="0" xfId="76" applyNumberFormat="1" applyFont="1" applyFill="1" applyBorder="1"/>
    <xf numFmtId="3" fontId="192" fillId="0" borderId="138" xfId="76" applyNumberFormat="1" applyFont="1" applyFill="1" applyBorder="1" applyAlignment="1">
      <alignment horizontal="left"/>
    </xf>
    <xf numFmtId="3" fontId="192" fillId="0" borderId="138" xfId="76" applyNumberFormat="1" applyFont="1" applyFill="1" applyBorder="1" applyAlignment="1">
      <alignment horizontal="right"/>
    </xf>
    <xf numFmtId="10" fontId="192" fillId="0" borderId="138" xfId="76" applyNumberFormat="1" applyFont="1" applyFill="1" applyBorder="1" applyAlignment="1">
      <alignment horizontal="right"/>
    </xf>
    <xf numFmtId="3" fontId="192" fillId="0" borderId="70" xfId="76" applyNumberFormat="1" applyFont="1" applyBorder="1" applyAlignment="1" applyProtection="1">
      <alignment horizontal="left"/>
    </xf>
    <xf numFmtId="3" fontId="192" fillId="0" borderId="69" xfId="76" applyNumberFormat="1" applyFont="1" applyFill="1" applyBorder="1" applyAlignment="1">
      <alignment horizontal="right"/>
    </xf>
    <xf numFmtId="10" fontId="192" fillId="0" borderId="69" xfId="76" applyNumberFormat="1" applyFont="1" applyFill="1" applyBorder="1" applyAlignment="1">
      <alignment horizontal="right"/>
    </xf>
    <xf numFmtId="10" fontId="192" fillId="0" borderId="76" xfId="76" applyNumberFormat="1" applyFont="1" applyFill="1" applyBorder="1" applyAlignment="1">
      <alignment horizontal="right"/>
    </xf>
    <xf numFmtId="3" fontId="192" fillId="0" borderId="17" xfId="76" applyNumberFormat="1" applyFont="1" applyFill="1" applyBorder="1" applyAlignment="1" applyProtection="1">
      <alignment horizontal="left"/>
    </xf>
    <xf numFmtId="3" fontId="192" fillId="0" borderId="77" xfId="76" applyNumberFormat="1" applyFont="1" applyFill="1" applyBorder="1" applyAlignment="1">
      <alignment horizontal="right"/>
    </xf>
    <xf numFmtId="10" fontId="192" fillId="0" borderId="77" xfId="76" applyNumberFormat="1" applyFont="1" applyFill="1" applyBorder="1" applyAlignment="1">
      <alignment horizontal="right"/>
    </xf>
    <xf numFmtId="10" fontId="192" fillId="0" borderId="70" xfId="76" applyNumberFormat="1" applyFont="1" applyFill="1" applyBorder="1" applyAlignment="1">
      <alignment horizontal="right"/>
    </xf>
    <xf numFmtId="3" fontId="192" fillId="0" borderId="69" xfId="76" applyNumberFormat="1" applyFont="1" applyFill="1" applyBorder="1" applyAlignment="1" applyProtection="1">
      <alignment horizontal="center" vertical="center"/>
    </xf>
    <xf numFmtId="3" fontId="196" fillId="0" borderId="69" xfId="76" applyNumberFormat="1" applyFont="1" applyFill="1" applyBorder="1" applyAlignment="1" applyProtection="1">
      <alignment horizontal="center"/>
    </xf>
    <xf numFmtId="3" fontId="192" fillId="0" borderId="75" xfId="76" applyNumberFormat="1" applyFont="1" applyFill="1" applyBorder="1" applyProtection="1"/>
    <xf numFmtId="3" fontId="192" fillId="0" borderId="78" xfId="76" applyNumberFormat="1" applyFont="1" applyFill="1" applyBorder="1" applyAlignment="1">
      <alignment horizontal="left"/>
    </xf>
    <xf numFmtId="3" fontId="192" fillId="0" borderId="78" xfId="76" applyNumberFormat="1" applyFont="1" applyFill="1" applyBorder="1" applyAlignment="1">
      <alignment horizontal="right"/>
    </xf>
    <xf numFmtId="10" fontId="192" fillId="29" borderId="138" xfId="76" applyNumberFormat="1" applyFont="1" applyFill="1" applyBorder="1" applyAlignment="1">
      <alignment horizontal="right"/>
    </xf>
    <xf numFmtId="10" fontId="192" fillId="0" borderId="78" xfId="76" applyNumberFormat="1" applyFont="1" applyFill="1" applyBorder="1" applyAlignment="1">
      <alignment horizontal="right"/>
    </xf>
    <xf numFmtId="3" fontId="192" fillId="0" borderId="89" xfId="76" applyNumberFormat="1" applyFont="1" applyFill="1" applyBorder="1" applyAlignment="1">
      <alignment horizontal="left"/>
    </xf>
    <xf numFmtId="3" fontId="192" fillId="0" borderId="89" xfId="76" applyNumberFormat="1" applyFont="1" applyFill="1" applyBorder="1" applyAlignment="1">
      <alignment horizontal="right"/>
    </xf>
    <xf numFmtId="3" fontId="192" fillId="0" borderId="77" xfId="76" applyNumberFormat="1" applyFont="1" applyFill="1" applyBorder="1" applyAlignment="1" applyProtection="1">
      <alignment horizontal="left"/>
    </xf>
    <xf numFmtId="3" fontId="196" fillId="0" borderId="83" xfId="76" applyNumberFormat="1" applyFont="1" applyFill="1" applyBorder="1" applyAlignment="1" applyProtection="1">
      <alignment horizontal="center"/>
    </xf>
    <xf numFmtId="3" fontId="192" fillId="0" borderId="83" xfId="76" applyNumberFormat="1" applyFont="1" applyFill="1" applyBorder="1" applyAlignment="1">
      <alignment horizontal="right"/>
    </xf>
    <xf numFmtId="3" fontId="192" fillId="0" borderId="69" xfId="76" applyNumberFormat="1" applyFont="1" applyFill="1" applyBorder="1" applyAlignment="1" applyProtection="1">
      <alignment horizontal="justify"/>
    </xf>
    <xf numFmtId="10" fontId="192" fillId="0" borderId="70" xfId="76" applyNumberFormat="1" applyFont="1" applyFill="1" applyBorder="1" applyAlignment="1"/>
    <xf numFmtId="3" fontId="192" fillId="0" borderId="0" xfId="76" applyNumberFormat="1" applyFont="1" applyFill="1" applyBorder="1" applyAlignment="1">
      <alignment horizontal="justify"/>
    </xf>
    <xf numFmtId="3" fontId="192" fillId="0" borderId="75" xfId="76" applyNumberFormat="1" applyFont="1" applyFill="1" applyBorder="1" applyAlignment="1" applyProtection="1">
      <alignment wrapText="1"/>
    </xf>
    <xf numFmtId="3" fontId="192" fillId="0" borderId="75" xfId="76" applyNumberFormat="1" applyFont="1" applyFill="1" applyBorder="1" applyAlignment="1">
      <alignment horizontal="right"/>
    </xf>
    <xf numFmtId="3" fontId="192" fillId="0" borderId="138" xfId="76" applyNumberFormat="1" applyFont="1" applyFill="1" applyBorder="1" applyAlignment="1" applyProtection="1">
      <alignment horizontal="justify"/>
    </xf>
    <xf numFmtId="3" fontId="192" fillId="0" borderId="140" xfId="76" applyNumberFormat="1" applyFont="1" applyFill="1" applyBorder="1" applyAlignment="1">
      <alignment horizontal="right"/>
    </xf>
    <xf numFmtId="3" fontId="192" fillId="0" borderId="138" xfId="76" applyNumberFormat="1" applyFont="1" applyFill="1" applyBorder="1" applyProtection="1"/>
    <xf numFmtId="3" fontId="192" fillId="0" borderId="76" xfId="76" applyNumberFormat="1" applyFont="1" applyFill="1" applyBorder="1" applyAlignment="1" applyProtection="1">
      <alignment horizontal="justify"/>
    </xf>
    <xf numFmtId="3" fontId="192" fillId="0" borderId="76" xfId="76" applyNumberFormat="1" applyFont="1" applyFill="1" applyBorder="1" applyAlignment="1">
      <alignment horizontal="right"/>
    </xf>
    <xf numFmtId="10" fontId="192" fillId="0" borderId="76" xfId="76" applyNumberFormat="1" applyFont="1" applyFill="1" applyBorder="1" applyAlignment="1"/>
    <xf numFmtId="3" fontId="192" fillId="0" borderId="70" xfId="76" applyNumberFormat="1" applyFont="1" applyFill="1" applyBorder="1" applyAlignment="1" applyProtection="1">
      <alignment horizontal="left"/>
    </xf>
    <xf numFmtId="3" fontId="192" fillId="0" borderId="70" xfId="76" applyNumberFormat="1" applyFont="1" applyFill="1" applyBorder="1" applyAlignment="1">
      <alignment horizontal="right"/>
    </xf>
    <xf numFmtId="3" fontId="192" fillId="0" borderId="77" xfId="76" applyNumberFormat="1" applyFont="1" applyFill="1" applyBorder="1" applyAlignment="1" applyProtection="1">
      <alignment horizontal="left" vertical="center"/>
    </xf>
    <xf numFmtId="3" fontId="74" fillId="0" borderId="0" xfId="76" applyNumberFormat="1" applyFont="1" applyFill="1" applyAlignment="1">
      <alignment horizontal="left"/>
    </xf>
    <xf numFmtId="3" fontId="70" fillId="0" borderId="0" xfId="76" applyNumberFormat="1" applyFont="1" applyFill="1"/>
    <xf numFmtId="3" fontId="193" fillId="0" borderId="23" xfId="76" applyNumberFormat="1" applyFont="1" applyFill="1" applyBorder="1" applyAlignment="1">
      <alignment horizontal="center"/>
    </xf>
    <xf numFmtId="3" fontId="74" fillId="0" borderId="23" xfId="76" applyNumberFormat="1" applyFont="1" applyFill="1" applyBorder="1" applyAlignment="1">
      <alignment horizontal="left"/>
    </xf>
    <xf numFmtId="3" fontId="197" fillId="0" borderId="53" xfId="76" applyNumberFormat="1" applyFont="1" applyFill="1" applyBorder="1" applyAlignment="1">
      <alignment horizontal="center" vertical="center"/>
    </xf>
    <xf numFmtId="3" fontId="15" fillId="0" borderId="0" xfId="76" applyNumberFormat="1" applyFont="1" applyFill="1" applyBorder="1" applyAlignment="1">
      <alignment horizontal="center"/>
    </xf>
    <xf numFmtId="3" fontId="193" fillId="0" borderId="18" xfId="76" applyNumberFormat="1" applyFont="1" applyFill="1" applyBorder="1" applyAlignment="1">
      <alignment horizontal="center"/>
    </xf>
    <xf numFmtId="3" fontId="74" fillId="0" borderId="18" xfId="76" applyNumberFormat="1" applyFont="1" applyFill="1" applyBorder="1" applyAlignment="1">
      <alignment horizontal="left"/>
    </xf>
    <xf numFmtId="3" fontId="197" fillId="0" borderId="86" xfId="76" applyNumberFormat="1" applyFont="1" applyFill="1" applyBorder="1" applyAlignment="1">
      <alignment horizontal="center" vertical="center"/>
    </xf>
    <xf numFmtId="3" fontId="15" fillId="0" borderId="0" xfId="76" applyNumberFormat="1" applyFont="1" applyFill="1" applyBorder="1" applyAlignment="1">
      <alignment horizontal="justify"/>
    </xf>
    <xf numFmtId="3" fontId="198" fillId="0" borderId="70" xfId="76" applyNumberFormat="1" applyFont="1" applyFill="1" applyBorder="1" applyAlignment="1">
      <alignment horizontal="center" vertical="center" wrapText="1"/>
    </xf>
    <xf numFmtId="3" fontId="193" fillId="0" borderId="77" xfId="76" applyNumberFormat="1" applyFont="1" applyFill="1" applyBorder="1" applyAlignment="1">
      <alignment horizontal="center"/>
    </xf>
    <xf numFmtId="3" fontId="193" fillId="0" borderId="0" xfId="76" applyNumberFormat="1" applyFont="1" applyFill="1" applyBorder="1" applyAlignment="1">
      <alignment horizontal="justify"/>
    </xf>
    <xf numFmtId="3" fontId="193" fillId="0" borderId="83" xfId="76" applyNumberFormat="1" applyFont="1" applyFill="1" applyBorder="1" applyAlignment="1">
      <alignment horizontal="center" vertical="center"/>
    </xf>
    <xf numFmtId="3" fontId="193" fillId="0" borderId="83" xfId="76" applyNumberFormat="1" applyFont="1" applyFill="1" applyBorder="1" applyAlignment="1">
      <alignment horizontal="right"/>
    </xf>
    <xf numFmtId="3" fontId="15" fillId="0" borderId="0" xfId="76" applyNumberFormat="1" applyFont="1" applyFill="1" applyBorder="1"/>
    <xf numFmtId="3" fontId="193" fillId="0" borderId="138" xfId="76" applyNumberFormat="1" applyFont="1" applyFill="1" applyBorder="1" applyAlignment="1">
      <alignment horizontal="left"/>
    </xf>
    <xf numFmtId="3" fontId="193" fillId="0" borderId="138" xfId="76" applyNumberFormat="1" applyFont="1" applyFill="1" applyBorder="1" applyAlignment="1">
      <alignment horizontal="right"/>
    </xf>
    <xf numFmtId="10" fontId="193" fillId="0" borderId="138" xfId="76" applyNumberFormat="1" applyFont="1" applyFill="1" applyBorder="1" applyAlignment="1">
      <alignment horizontal="right"/>
    </xf>
    <xf numFmtId="3" fontId="193" fillId="0" borderId="70" xfId="76" applyNumberFormat="1" applyFont="1" applyBorder="1" applyAlignment="1" applyProtection="1">
      <alignment horizontal="left"/>
    </xf>
    <xf numFmtId="3" fontId="193" fillId="0" borderId="69" xfId="76" applyNumberFormat="1" applyFont="1" applyFill="1" applyBorder="1" applyAlignment="1">
      <alignment horizontal="right"/>
    </xf>
    <xf numFmtId="10" fontId="193" fillId="0" borderId="69" xfId="76" applyNumberFormat="1" applyFont="1" applyFill="1" applyBorder="1" applyAlignment="1">
      <alignment horizontal="right"/>
    </xf>
    <xf numFmtId="3" fontId="193" fillId="0" borderId="17" xfId="76" applyNumberFormat="1" applyFont="1" applyFill="1" applyBorder="1" applyAlignment="1" applyProtection="1">
      <alignment horizontal="left"/>
    </xf>
    <xf numFmtId="3" fontId="193" fillId="0" borderId="77" xfId="76" applyNumberFormat="1" applyFont="1" applyFill="1" applyBorder="1" applyAlignment="1">
      <alignment horizontal="right"/>
    </xf>
    <xf numFmtId="10" fontId="193" fillId="0" borderId="77" xfId="76" applyNumberFormat="1" applyFont="1" applyFill="1" applyBorder="1" applyAlignment="1">
      <alignment horizontal="right"/>
    </xf>
    <xf numFmtId="10" fontId="193" fillId="0" borderId="70" xfId="76" applyNumberFormat="1" applyFont="1" applyFill="1" applyBorder="1" applyAlignment="1">
      <alignment horizontal="right"/>
    </xf>
    <xf numFmtId="3" fontId="193" fillId="0" borderId="69" xfId="76" applyNumberFormat="1" applyFont="1" applyFill="1" applyBorder="1" applyAlignment="1" applyProtection="1">
      <alignment horizontal="center" vertical="center"/>
    </xf>
    <xf numFmtId="3" fontId="199" fillId="0" borderId="69" xfId="76" applyNumberFormat="1" applyFont="1" applyFill="1" applyBorder="1" applyAlignment="1" applyProtection="1">
      <alignment horizontal="center"/>
    </xf>
    <xf numFmtId="3" fontId="193" fillId="0" borderId="75" xfId="76" applyNumberFormat="1" applyFont="1" applyFill="1" applyBorder="1" applyProtection="1"/>
    <xf numFmtId="3" fontId="193" fillId="0" borderId="78" xfId="76" applyNumberFormat="1" applyFont="1" applyFill="1" applyBorder="1" applyAlignment="1">
      <alignment horizontal="left"/>
    </xf>
    <xf numFmtId="3" fontId="193" fillId="0" borderId="78" xfId="76" applyNumberFormat="1" applyFont="1" applyFill="1" applyBorder="1" applyAlignment="1">
      <alignment horizontal="right"/>
    </xf>
    <xf numFmtId="3" fontId="193" fillId="0" borderId="89" xfId="76" applyNumberFormat="1" applyFont="1" applyFill="1" applyBorder="1" applyAlignment="1">
      <alignment horizontal="left"/>
    </xf>
    <xf numFmtId="3" fontId="193" fillId="0" borderId="77" xfId="76" applyNumberFormat="1" applyFont="1" applyFill="1" applyBorder="1" applyAlignment="1" applyProtection="1">
      <alignment horizontal="left"/>
    </xf>
    <xf numFmtId="3" fontId="199" fillId="0" borderId="83" xfId="76" applyNumberFormat="1" applyFont="1" applyFill="1" applyBorder="1" applyAlignment="1" applyProtection="1">
      <alignment horizontal="center"/>
    </xf>
    <xf numFmtId="3" fontId="193" fillId="0" borderId="69" xfId="76" applyNumberFormat="1" applyFont="1" applyFill="1" applyBorder="1" applyAlignment="1" applyProtection="1">
      <alignment horizontal="justify"/>
    </xf>
    <xf numFmtId="3" fontId="193" fillId="0" borderId="75" xfId="76" applyNumberFormat="1" applyFont="1" applyFill="1" applyBorder="1" applyAlignment="1">
      <alignment horizontal="right"/>
    </xf>
    <xf numFmtId="3" fontId="193" fillId="0" borderId="138" xfId="76" applyNumberFormat="1" applyFont="1" applyFill="1" applyBorder="1" applyAlignment="1" applyProtection="1">
      <alignment horizontal="justify"/>
    </xf>
    <xf numFmtId="3" fontId="193" fillId="0" borderId="138" xfId="76" applyNumberFormat="1" applyFont="1" applyFill="1" applyBorder="1" applyProtection="1"/>
    <xf numFmtId="3" fontId="193" fillId="0" borderId="76" xfId="76" applyNumberFormat="1" applyFont="1" applyFill="1" applyBorder="1" applyAlignment="1" applyProtection="1">
      <alignment horizontal="justify"/>
    </xf>
    <xf numFmtId="3" fontId="193" fillId="0" borderId="76" xfId="76" applyNumberFormat="1" applyFont="1" applyFill="1" applyBorder="1" applyAlignment="1" applyProtection="1">
      <alignment horizontal="right"/>
    </xf>
    <xf numFmtId="10" fontId="193" fillId="0" borderId="76" xfId="76" applyNumberFormat="1" applyFont="1" applyFill="1" applyBorder="1" applyAlignment="1">
      <alignment horizontal="right"/>
    </xf>
    <xf numFmtId="3" fontId="193" fillId="0" borderId="78" xfId="76" applyNumberFormat="1" applyFont="1" applyFill="1" applyBorder="1" applyAlignment="1" applyProtection="1">
      <alignment horizontal="right"/>
    </xf>
    <xf numFmtId="3" fontId="193" fillId="0" borderId="70" xfId="76" applyNumberFormat="1" applyFont="1" applyFill="1" applyBorder="1" applyAlignment="1" applyProtection="1">
      <alignment horizontal="left"/>
    </xf>
    <xf numFmtId="3" fontId="193" fillId="0" borderId="70" xfId="76" applyNumberFormat="1" applyFont="1" applyFill="1" applyBorder="1" applyAlignment="1">
      <alignment horizontal="right"/>
    </xf>
    <xf numFmtId="3" fontId="193" fillId="0" borderId="76" xfId="76" applyNumberFormat="1" applyFont="1" applyFill="1" applyBorder="1" applyAlignment="1">
      <alignment horizontal="right"/>
    </xf>
    <xf numFmtId="3" fontId="193" fillId="0" borderId="77" xfId="76" applyNumberFormat="1" applyFont="1" applyFill="1" applyBorder="1" applyAlignment="1" applyProtection="1">
      <alignment horizontal="left" vertical="center"/>
    </xf>
    <xf numFmtId="0" fontId="70" fillId="0" borderId="0" xfId="76" applyFont="1" applyBorder="1" applyAlignment="1">
      <alignment horizontal="left"/>
    </xf>
    <xf numFmtId="0" fontId="74" fillId="0" borderId="0" xfId="76" applyFont="1" applyBorder="1" applyAlignment="1">
      <alignment horizontal="left"/>
    </xf>
    <xf numFmtId="3" fontId="70" fillId="0" borderId="0" xfId="76" applyNumberFormat="1" applyFont="1" applyBorder="1" applyAlignment="1">
      <alignment horizontal="left"/>
    </xf>
    <xf numFmtId="0" fontId="200" fillId="0" borderId="0" xfId="76" applyFont="1"/>
    <xf numFmtId="0" fontId="201" fillId="0" borderId="0" xfId="76" applyFont="1" applyAlignment="1">
      <alignment horizontal="left"/>
    </xf>
    <xf numFmtId="3" fontId="200" fillId="0" borderId="0" xfId="76" applyNumberFormat="1" applyFont="1"/>
    <xf numFmtId="3" fontId="192" fillId="0" borderId="78" xfId="76" applyNumberFormat="1" applyFont="1" applyFill="1" applyBorder="1" applyAlignment="1">
      <alignment horizontal="left" wrapText="1"/>
    </xf>
    <xf numFmtId="3" fontId="83" fillId="0" borderId="0" xfId="0" applyNumberFormat="1" applyFont="1" applyFill="1" applyBorder="1"/>
    <xf numFmtId="0" fontId="76" fillId="0" borderId="83" xfId="0" applyFont="1" applyBorder="1" applyAlignment="1">
      <alignment horizontal="center"/>
    </xf>
    <xf numFmtId="0" fontId="76" fillId="0" borderId="70" xfId="0" applyFont="1" applyBorder="1" applyAlignment="1">
      <alignment horizontal="center"/>
    </xf>
    <xf numFmtId="0" fontId="33" fillId="0" borderId="0" xfId="0" applyFont="1" applyFill="1" applyBorder="1"/>
    <xf numFmtId="0" fontId="130" fillId="0" borderId="0" xfId="0" applyFont="1" applyFill="1" applyBorder="1"/>
    <xf numFmtId="0" fontId="33" fillId="0" borderId="0" xfId="0" applyFont="1" applyFill="1" applyBorder="1" applyAlignment="1">
      <alignment wrapText="1"/>
    </xf>
    <xf numFmtId="49" fontId="33" fillId="0" borderId="0" xfId="0" applyNumberFormat="1" applyFont="1" applyFill="1" applyBorder="1"/>
    <xf numFmtId="0" fontId="0" fillId="0" borderId="0" xfId="0" applyFill="1" applyBorder="1"/>
    <xf numFmtId="0" fontId="202" fillId="0" borderId="0" xfId="106" applyFont="1"/>
    <xf numFmtId="0" fontId="130" fillId="0" borderId="0" xfId="106" applyFont="1"/>
    <xf numFmtId="0" fontId="130" fillId="0" borderId="0" xfId="106" applyFont="1" applyAlignment="1">
      <alignment wrapText="1"/>
    </xf>
    <xf numFmtId="3" fontId="202" fillId="0" borderId="0" xfId="106" applyNumberFormat="1" applyFont="1"/>
    <xf numFmtId="0" fontId="128" fillId="0" borderId="115" xfId="106" applyFont="1" applyBorder="1" applyAlignment="1">
      <alignment horizontal="center" wrapText="1"/>
    </xf>
    <xf numFmtId="0" fontId="204" fillId="0" borderId="126" xfId="106" applyNumberFormat="1" applyFont="1" applyBorder="1" applyAlignment="1">
      <alignment horizontal="center" wrapText="1"/>
    </xf>
    <xf numFmtId="0" fontId="205" fillId="0" borderId="134" xfId="106" applyFont="1" applyBorder="1" applyAlignment="1">
      <alignment wrapText="1"/>
    </xf>
    <xf numFmtId="3" fontId="206" fillId="0" borderId="140" xfId="106" applyNumberFormat="1" applyFont="1" applyBorder="1"/>
    <xf numFmtId="0" fontId="205" fillId="0" borderId="26" xfId="106" applyFont="1" applyBorder="1" applyAlignment="1">
      <alignment wrapText="1"/>
    </xf>
    <xf numFmtId="3" fontId="206" fillId="0" borderId="58" xfId="106" applyNumberFormat="1" applyFont="1" applyBorder="1"/>
    <xf numFmtId="0" fontId="205" fillId="0" borderId="18" xfId="106" applyFont="1" applyBorder="1" applyAlignment="1">
      <alignment wrapText="1"/>
    </xf>
    <xf numFmtId="0" fontId="127" fillId="0" borderId="18" xfId="106" applyFont="1" applyBorder="1" applyAlignment="1">
      <alignment wrapText="1"/>
    </xf>
    <xf numFmtId="3" fontId="127" fillId="0" borderId="59" xfId="106" applyNumberFormat="1" applyFont="1" applyBorder="1"/>
    <xf numFmtId="0" fontId="207" fillId="0" borderId="0" xfId="106" applyFont="1" applyBorder="1"/>
    <xf numFmtId="0" fontId="206" fillId="0" borderId="18" xfId="106" applyFont="1" applyFill="1" applyBorder="1" applyAlignment="1">
      <alignment wrapText="1"/>
    </xf>
    <xf numFmtId="3" fontId="206" fillId="0" borderId="59" xfId="106" applyNumberFormat="1" applyFont="1" applyBorder="1"/>
    <xf numFmtId="0" fontId="208" fillId="0" borderId="0" xfId="106" applyFont="1" applyBorder="1"/>
    <xf numFmtId="0" fontId="209" fillId="0" borderId="134" xfId="106" applyFont="1" applyFill="1" applyBorder="1" applyAlignment="1">
      <alignment wrapText="1"/>
    </xf>
    <xf numFmtId="0" fontId="208" fillId="0" borderId="0" xfId="106" applyFont="1"/>
    <xf numFmtId="3" fontId="206" fillId="0" borderId="56" xfId="106" applyNumberFormat="1" applyFont="1" applyBorder="1"/>
    <xf numFmtId="0" fontId="206" fillId="0" borderId="134" xfId="106" applyFont="1" applyBorder="1" applyAlignment="1">
      <alignment wrapText="1"/>
    </xf>
    <xf numFmtId="0" fontId="209" fillId="0" borderId="57" xfId="106" applyFont="1" applyFill="1" applyBorder="1" applyAlignment="1">
      <alignment wrapText="1"/>
    </xf>
    <xf numFmtId="3" fontId="206" fillId="0" borderId="56" xfId="106" applyNumberFormat="1" applyFont="1" applyFill="1" applyBorder="1"/>
    <xf numFmtId="0" fontId="208" fillId="0" borderId="0" xfId="106" applyFont="1" applyFill="1" applyBorder="1"/>
    <xf numFmtId="0" fontId="210" fillId="0" borderId="18" xfId="106" applyFont="1" applyFill="1" applyBorder="1" applyAlignment="1">
      <alignment wrapText="1"/>
    </xf>
    <xf numFmtId="0" fontId="210" fillId="0" borderId="134" xfId="106" applyFont="1" applyFill="1" applyBorder="1" applyAlignment="1">
      <alignment wrapText="1"/>
    </xf>
    <xf numFmtId="3" fontId="206" fillId="0" borderId="59" xfId="106" applyNumberFormat="1" applyFont="1" applyFill="1" applyBorder="1"/>
    <xf numFmtId="0" fontId="205" fillId="0" borderId="134" xfId="106" applyFont="1" applyFill="1" applyBorder="1" applyAlignment="1">
      <alignment wrapText="1"/>
    </xf>
    <xf numFmtId="0" fontId="208" fillId="0" borderId="0" xfId="106" applyFont="1" applyFill="1"/>
    <xf numFmtId="0" fontId="205" fillId="0" borderId="148" xfId="106" applyFont="1" applyFill="1" applyBorder="1" applyAlignment="1">
      <alignment wrapText="1"/>
    </xf>
    <xf numFmtId="3" fontId="206" fillId="0" borderId="149" xfId="106" applyNumberFormat="1" applyFont="1" applyBorder="1"/>
    <xf numFmtId="0" fontId="206" fillId="0" borderId="57" xfId="106" applyFont="1" applyFill="1" applyBorder="1" applyAlignment="1">
      <alignment wrapText="1"/>
    </xf>
    <xf numFmtId="0" fontId="211" fillId="0" borderId="0" xfId="106" applyFont="1" applyFill="1"/>
    <xf numFmtId="0" fontId="211" fillId="0" borderId="0" xfId="106" applyFont="1" applyFill="1" applyBorder="1"/>
    <xf numFmtId="0" fontId="206" fillId="0" borderId="18" xfId="106" applyFont="1" applyBorder="1" applyAlignment="1">
      <alignment wrapText="1"/>
    </xf>
    <xf numFmtId="0" fontId="211" fillId="0" borderId="0" xfId="106" applyFont="1"/>
    <xf numFmtId="0" fontId="206" fillId="0" borderId="57" xfId="106" applyFont="1" applyBorder="1" applyAlignment="1">
      <alignment wrapText="1"/>
    </xf>
    <xf numFmtId="3" fontId="209" fillId="0" borderId="56" xfId="106" applyNumberFormat="1" applyFont="1" applyFill="1" applyBorder="1"/>
    <xf numFmtId="0" fontId="212" fillId="0" borderId="0" xfId="106" applyFont="1" applyFill="1" applyBorder="1"/>
    <xf numFmtId="0" fontId="205" fillId="0" borderId="150" xfId="106" applyFont="1" applyBorder="1" applyAlignment="1">
      <alignment wrapText="1"/>
    </xf>
    <xf numFmtId="3" fontId="206" fillId="0" borderId="86" xfId="106" applyNumberFormat="1" applyFont="1" applyBorder="1"/>
    <xf numFmtId="0" fontId="127" fillId="30" borderId="146" xfId="106" applyFont="1" applyFill="1" applyBorder="1" applyAlignment="1">
      <alignment wrapText="1"/>
    </xf>
    <xf numFmtId="3" fontId="206" fillId="30" borderId="147" xfId="106" applyNumberFormat="1" applyFont="1" applyFill="1" applyBorder="1"/>
    <xf numFmtId="3" fontId="127" fillId="30" borderId="147" xfId="106" applyNumberFormat="1" applyFont="1" applyFill="1" applyBorder="1"/>
    <xf numFmtId="0" fontId="207" fillId="0" borderId="0" xfId="106" applyFont="1"/>
    <xf numFmtId="0" fontId="213" fillId="0" borderId="0" xfId="106" applyFont="1" applyBorder="1"/>
    <xf numFmtId="0" fontId="210" fillId="0" borderId="26" xfId="106" applyFont="1" applyBorder="1" applyAlignment="1">
      <alignment wrapText="1"/>
    </xf>
    <xf numFmtId="0" fontId="214" fillId="0" borderId="26" xfId="106" applyFont="1" applyBorder="1" applyAlignment="1">
      <alignment wrapText="1"/>
    </xf>
    <xf numFmtId="0" fontId="213" fillId="0" borderId="0" xfId="106" applyFont="1"/>
    <xf numFmtId="0" fontId="206" fillId="0" borderId="146" xfId="106" applyFont="1" applyBorder="1" applyAlignment="1">
      <alignment wrapText="1"/>
    </xf>
    <xf numFmtId="3" fontId="206" fillId="0" borderId="147" xfId="106" applyNumberFormat="1" applyFont="1" applyBorder="1"/>
    <xf numFmtId="0" fontId="206" fillId="0" borderId="148" xfId="106" applyFont="1" applyBorder="1" applyAlignment="1">
      <alignment wrapText="1"/>
    </xf>
    <xf numFmtId="3" fontId="206" fillId="0" borderId="140" xfId="106" applyNumberFormat="1" applyFont="1" applyFill="1" applyBorder="1"/>
    <xf numFmtId="0" fontId="206" fillId="0" borderId="151" xfId="106" applyFont="1" applyBorder="1" applyAlignment="1">
      <alignment wrapText="1"/>
    </xf>
    <xf numFmtId="3" fontId="206" fillId="0" borderId="152" xfId="106" applyNumberFormat="1" applyFont="1" applyBorder="1"/>
    <xf numFmtId="0" fontId="206" fillId="0" borderId="153" xfId="106" applyFont="1" applyBorder="1" applyAlignment="1">
      <alignment wrapText="1"/>
    </xf>
    <xf numFmtId="0" fontId="205" fillId="0" borderId="26" xfId="106" applyFont="1" applyFill="1" applyBorder="1" applyAlignment="1">
      <alignment wrapText="1"/>
    </xf>
    <xf numFmtId="0" fontId="205" fillId="0" borderId="57" xfId="106" applyFont="1" applyBorder="1" applyAlignment="1">
      <alignment wrapText="1"/>
    </xf>
    <xf numFmtId="0" fontId="206" fillId="30" borderId="146" xfId="106" applyFont="1" applyFill="1" applyBorder="1" applyAlignment="1">
      <alignment wrapText="1"/>
    </xf>
    <xf numFmtId="0" fontId="206" fillId="30" borderId="154" xfId="106" applyFont="1" applyFill="1" applyBorder="1" applyAlignment="1">
      <alignment wrapText="1"/>
    </xf>
    <xf numFmtId="3" fontId="206" fillId="30" borderId="155" xfId="106" applyNumberFormat="1" applyFont="1" applyFill="1" applyBorder="1"/>
    <xf numFmtId="0" fontId="127" fillId="0" borderId="23" xfId="106" applyFont="1" applyBorder="1" applyAlignment="1">
      <alignment horizontal="center" wrapText="1"/>
    </xf>
    <xf numFmtId="3" fontId="209" fillId="0" borderId="27" xfId="106" applyNumberFormat="1" applyFont="1" applyBorder="1" applyAlignment="1">
      <alignment horizontal="center"/>
    </xf>
    <xf numFmtId="0" fontId="211" fillId="0" borderId="0" xfId="106" applyFont="1" applyBorder="1"/>
    <xf numFmtId="0" fontId="214" fillId="0" borderId="134" xfId="105" applyFont="1" applyFill="1" applyBorder="1" applyAlignment="1">
      <alignment horizontal="left" wrapText="1"/>
    </xf>
    <xf numFmtId="0" fontId="214" fillId="0" borderId="134" xfId="105" applyFont="1" applyFill="1" applyBorder="1" applyAlignment="1">
      <alignment horizontal="left"/>
    </xf>
    <xf numFmtId="3" fontId="127" fillId="0" borderId="58" xfId="106" applyNumberFormat="1" applyFont="1" applyBorder="1"/>
    <xf numFmtId="3" fontId="127" fillId="0" borderId="140" xfId="106" applyNumberFormat="1" applyFont="1" applyBorder="1"/>
    <xf numFmtId="0" fontId="214" fillId="0" borderId="134" xfId="105" applyFont="1" applyBorder="1"/>
    <xf numFmtId="0" fontId="213" fillId="0" borderId="0" xfId="106" applyFont="1" applyFill="1"/>
    <xf numFmtId="3" fontId="127" fillId="30" borderId="146" xfId="106" applyNumberFormat="1" applyFont="1" applyFill="1" applyBorder="1" applyAlignment="1">
      <alignment wrapText="1"/>
    </xf>
    <xf numFmtId="3" fontId="127" fillId="0" borderId="156" xfId="106" applyNumberFormat="1" applyFont="1" applyFill="1" applyBorder="1" applyAlignment="1">
      <alignment wrapText="1"/>
    </xf>
    <xf numFmtId="3" fontId="127" fillId="0" borderId="156" xfId="106" applyNumberFormat="1" applyFont="1" applyFill="1" applyBorder="1"/>
    <xf numFmtId="0" fontId="207" fillId="0" borderId="0" xfId="106" applyFont="1" applyFill="1"/>
    <xf numFmtId="3" fontId="215" fillId="0" borderId="157" xfId="106" applyNumberFormat="1" applyFont="1" applyFill="1" applyBorder="1" applyAlignment="1">
      <alignment wrapText="1"/>
    </xf>
    <xf numFmtId="3" fontId="127" fillId="0" borderId="158" xfId="106" applyNumberFormat="1" applyFont="1" applyFill="1" applyBorder="1"/>
    <xf numFmtId="3" fontId="127" fillId="0" borderId="159" xfId="106" applyNumberFormat="1" applyFont="1" applyFill="1" applyBorder="1"/>
    <xf numFmtId="3" fontId="127" fillId="0" borderId="160" xfId="106" applyNumberFormat="1" applyFont="1" applyFill="1" applyBorder="1"/>
    <xf numFmtId="0" fontId="207" fillId="0" borderId="0" xfId="106" applyFont="1" applyFill="1" applyBorder="1"/>
    <xf numFmtId="0" fontId="127" fillId="0" borderId="161" xfId="105" applyFont="1" applyFill="1" applyBorder="1"/>
    <xf numFmtId="3" fontId="127" fillId="0" borderId="59" xfId="106" applyNumberFormat="1" applyFont="1" applyFill="1" applyBorder="1"/>
    <xf numFmtId="3" fontId="127" fillId="0" borderId="29" xfId="106" applyNumberFormat="1" applyFont="1" applyFill="1" applyBorder="1"/>
    <xf numFmtId="3" fontId="127" fillId="0" borderId="162" xfId="106" applyNumberFormat="1" applyFont="1" applyFill="1" applyBorder="1"/>
    <xf numFmtId="0" fontId="214" fillId="0" borderId="163" xfId="105" applyFont="1" applyFill="1" applyBorder="1"/>
    <xf numFmtId="3" fontId="127" fillId="0" borderId="140" xfId="106" applyNumberFormat="1" applyFont="1" applyFill="1" applyBorder="1"/>
    <xf numFmtId="3" fontId="127" fillId="0" borderId="135" xfId="106" applyNumberFormat="1" applyFont="1" applyFill="1" applyBorder="1"/>
    <xf numFmtId="0" fontId="214" fillId="0" borderId="164" xfId="105" applyFont="1" applyFill="1" applyBorder="1"/>
    <xf numFmtId="3" fontId="127" fillId="0" borderId="58" xfId="106" applyNumberFormat="1" applyFont="1" applyFill="1" applyBorder="1"/>
    <xf numFmtId="3" fontId="127" fillId="0" borderId="49" xfId="106" applyNumberFormat="1" applyFont="1" applyFill="1" applyBorder="1"/>
    <xf numFmtId="0" fontId="127" fillId="30" borderId="165" xfId="106" applyFont="1" applyFill="1" applyBorder="1" applyAlignment="1">
      <alignment wrapText="1"/>
    </xf>
    <xf numFmtId="3" fontId="127" fillId="30" borderId="166" xfId="106" applyNumberFormat="1" applyFont="1" applyFill="1" applyBorder="1"/>
    <xf numFmtId="0" fontId="127" fillId="0" borderId="57" xfId="106" applyFont="1" applyBorder="1" applyAlignment="1">
      <alignment wrapText="1"/>
    </xf>
    <xf numFmtId="3" fontId="127" fillId="0" borderId="69" xfId="107" applyNumberFormat="1" applyFont="1" applyFill="1" applyBorder="1" applyAlignment="1">
      <alignment horizontal="center"/>
    </xf>
    <xf numFmtId="3" fontId="119" fillId="0" borderId="0" xfId="0" applyNumberFormat="1" applyFont="1" applyFill="1" applyBorder="1" applyAlignment="1"/>
    <xf numFmtId="3" fontId="118" fillId="0" borderId="0" xfId="0" applyNumberFormat="1" applyFont="1" applyFill="1" applyBorder="1"/>
    <xf numFmtId="3" fontId="98" fillId="0" borderId="51" xfId="77" applyNumberFormat="1" applyFont="1" applyFill="1" applyBorder="1" applyAlignment="1">
      <alignment horizontal="right"/>
    </xf>
    <xf numFmtId="3" fontId="98" fillId="0" borderId="32" xfId="77" applyNumberFormat="1" applyFont="1" applyFill="1" applyBorder="1" applyAlignment="1">
      <alignment horizontal="right"/>
    </xf>
    <xf numFmtId="0" fontId="33" fillId="0" borderId="131" xfId="77" applyFont="1" applyFill="1" applyBorder="1" applyAlignment="1">
      <alignment horizontal="left" wrapText="1"/>
    </xf>
    <xf numFmtId="3" fontId="33" fillId="0" borderId="55" xfId="0" applyNumberFormat="1" applyFont="1" applyFill="1" applyBorder="1"/>
    <xf numFmtId="0" fontId="3" fillId="0" borderId="20" xfId="77" applyFont="1" applyFill="1" applyBorder="1" applyAlignment="1">
      <alignment horizontal="center"/>
    </xf>
    <xf numFmtId="3" fontId="131" fillId="0" borderId="21" xfId="77" applyNumberFormat="1" applyFont="1" applyFill="1" applyBorder="1" applyAlignment="1">
      <alignment horizontal="right"/>
    </xf>
    <xf numFmtId="3" fontId="131" fillId="0" borderId="60" xfId="77" applyNumberFormat="1" applyFont="1" applyFill="1" applyBorder="1" applyAlignment="1">
      <alignment horizontal="right"/>
    </xf>
    <xf numFmtId="0" fontId="194" fillId="0" borderId="0" xfId="76" applyFont="1" applyAlignment="1">
      <alignment horizontal="center"/>
    </xf>
    <xf numFmtId="3" fontId="194" fillId="0" borderId="0" xfId="76" applyNumberFormat="1" applyFont="1" applyFill="1" applyAlignment="1">
      <alignment horizontal="center"/>
    </xf>
    <xf numFmtId="3" fontId="193" fillId="0" borderId="18" xfId="76" applyNumberFormat="1" applyFont="1" applyFill="1" applyBorder="1" applyAlignment="1">
      <alignment horizontal="center" vertical="center"/>
    </xf>
    <xf numFmtId="3" fontId="193" fillId="0" borderId="19" xfId="76" applyNumberFormat="1" applyFont="1" applyFill="1" applyBorder="1" applyAlignment="1">
      <alignment horizontal="center" vertical="center"/>
    </xf>
    <xf numFmtId="0" fontId="60" fillId="29" borderId="0" xfId="100" applyFont="1" applyFill="1"/>
    <xf numFmtId="0" fontId="69" fillId="29" borderId="0" xfId="0" applyFont="1" applyFill="1"/>
    <xf numFmtId="0" fontId="4" fillId="29" borderId="0" xfId="100" applyFont="1" applyFill="1"/>
    <xf numFmtId="0" fontId="3" fillId="29" borderId="0" xfId="100" applyFont="1" applyFill="1"/>
    <xf numFmtId="0" fontId="3" fillId="29" borderId="0" xfId="100" applyFont="1" applyFill="1" applyAlignment="1">
      <alignment horizontal="right"/>
    </xf>
    <xf numFmtId="0" fontId="35" fillId="29" borderId="83" xfId="100" applyFont="1" applyFill="1" applyBorder="1" applyAlignment="1">
      <alignment horizontal="center"/>
    </xf>
    <xf numFmtId="0" fontId="35" fillId="29" borderId="23" xfId="100" applyFont="1" applyFill="1" applyBorder="1" applyAlignment="1">
      <alignment horizontal="center"/>
    </xf>
    <xf numFmtId="0" fontId="35" fillId="29" borderId="53" xfId="100" applyFont="1" applyFill="1" applyBorder="1" applyAlignment="1">
      <alignment horizontal="center"/>
    </xf>
    <xf numFmtId="0" fontId="35" fillId="29" borderId="46" xfId="100" applyFont="1" applyFill="1" applyBorder="1" applyAlignment="1">
      <alignment horizontal="center"/>
    </xf>
    <xf numFmtId="0" fontId="58" fillId="29" borderId="0" xfId="100" applyFont="1" applyFill="1"/>
    <xf numFmtId="0" fontId="35" fillId="29" borderId="69" xfId="100" applyFont="1" applyFill="1" applyBorder="1" applyAlignment="1">
      <alignment horizontal="center"/>
    </xf>
    <xf numFmtId="0" fontId="58" fillId="29" borderId="18" xfId="100" applyFont="1" applyFill="1" applyBorder="1"/>
    <xf numFmtId="0" fontId="35" fillId="29" borderId="86" xfId="100" applyFont="1" applyFill="1" applyBorder="1" applyAlignment="1">
      <alignment horizontal="center"/>
    </xf>
    <xf numFmtId="0" fontId="58" fillId="29" borderId="0" xfId="100" applyFont="1" applyFill="1" applyBorder="1"/>
    <xf numFmtId="0" fontId="35" fillId="29" borderId="0" xfId="100" applyFont="1" applyFill="1" applyBorder="1" applyAlignment="1">
      <alignment horizontal="center"/>
    </xf>
    <xf numFmtId="0" fontId="35" fillId="29" borderId="70" xfId="100" applyFont="1" applyFill="1" applyBorder="1" applyAlignment="1">
      <alignment horizontal="center"/>
    </xf>
    <xf numFmtId="0" fontId="58" fillId="29" borderId="19" xfId="100" applyFont="1" applyFill="1" applyBorder="1"/>
    <xf numFmtId="0" fontId="35" fillId="29" borderId="70" xfId="100" applyFont="1" applyFill="1" applyBorder="1" applyAlignment="1">
      <alignment horizontal="center" vertical="center" wrapText="1"/>
    </xf>
    <xf numFmtId="0" fontId="35" fillId="29" borderId="84" xfId="100" applyFont="1" applyFill="1" applyBorder="1" applyAlignment="1">
      <alignment horizontal="center" vertical="center" wrapText="1"/>
    </xf>
    <xf numFmtId="0" fontId="35" fillId="29" borderId="84" xfId="100" applyFont="1" applyFill="1" applyBorder="1" applyAlignment="1">
      <alignment horizontal="justify"/>
    </xf>
    <xf numFmtId="0" fontId="58" fillId="29" borderId="16" xfId="100" applyFont="1" applyFill="1" applyBorder="1"/>
    <xf numFmtId="0" fontId="35" fillId="29" borderId="16" xfId="100" applyFont="1" applyFill="1" applyBorder="1" applyAlignment="1">
      <alignment horizontal="center" vertical="center" wrapText="1"/>
    </xf>
    <xf numFmtId="0" fontId="35" fillId="29" borderId="70" xfId="100" applyFont="1" applyFill="1" applyBorder="1" applyAlignment="1">
      <alignment horizontal="justify"/>
    </xf>
    <xf numFmtId="0" fontId="172" fillId="29" borderId="0" xfId="100" applyFont="1" applyFill="1" applyAlignment="1">
      <alignment horizontal="center"/>
    </xf>
    <xf numFmtId="0" fontId="15" fillId="29" borderId="69" xfId="100" applyFont="1" applyFill="1" applyBorder="1" applyAlignment="1">
      <alignment horizontal="center"/>
    </xf>
    <xf numFmtId="0" fontId="15" fillId="29" borderId="18" xfId="100" applyFont="1" applyFill="1" applyBorder="1" applyAlignment="1">
      <alignment horizontal="center"/>
    </xf>
    <xf numFmtId="0" fontId="4" fillId="29" borderId="83" xfId="100" applyFont="1" applyFill="1" applyBorder="1" applyAlignment="1">
      <alignment horizontal="center"/>
    </xf>
    <xf numFmtId="0" fontId="4" fillId="29" borderId="53" xfId="100" applyFont="1" applyFill="1" applyBorder="1" applyAlignment="1">
      <alignment horizontal="center"/>
    </xf>
    <xf numFmtId="0" fontId="15" fillId="29" borderId="53" xfId="100" applyFont="1" applyFill="1" applyBorder="1" applyAlignment="1">
      <alignment horizontal="center"/>
    </xf>
    <xf numFmtId="0" fontId="3" fillId="29" borderId="69" xfId="100" applyFont="1" applyFill="1" applyBorder="1" applyAlignment="1">
      <alignment horizontal="center"/>
    </xf>
    <xf numFmtId="0" fontId="4" fillId="29" borderId="69" xfId="100" applyFont="1" applyFill="1" applyBorder="1" applyAlignment="1">
      <alignment horizontal="center"/>
    </xf>
    <xf numFmtId="0" fontId="4" fillId="29" borderId="86" xfId="100" applyFont="1" applyFill="1" applyBorder="1" applyAlignment="1">
      <alignment horizontal="center"/>
    </xf>
    <xf numFmtId="0" fontId="15" fillId="29" borderId="86" xfId="100" applyFont="1" applyFill="1" applyBorder="1" applyAlignment="1">
      <alignment horizontal="center"/>
    </xf>
    <xf numFmtId="0" fontId="173" fillId="29" borderId="0" xfId="100" applyFont="1" applyFill="1" applyAlignment="1">
      <alignment horizontal="center"/>
    </xf>
    <xf numFmtId="3" fontId="35" fillId="29" borderId="138" xfId="100" applyNumberFormat="1" applyFont="1" applyFill="1" applyBorder="1" applyAlignment="1">
      <alignment horizontal="center"/>
    </xf>
    <xf numFmtId="0" fontId="95" fillId="29" borderId="134" xfId="101" applyFont="1" applyFill="1" applyBorder="1"/>
    <xf numFmtId="3" fontId="35" fillId="29" borderId="138" xfId="100" applyNumberFormat="1" applyFont="1" applyFill="1" applyBorder="1"/>
    <xf numFmtId="3" fontId="14" fillId="29" borderId="69" xfId="100" applyNumberFormat="1" applyFont="1" applyFill="1" applyBorder="1" applyAlignment="1">
      <alignment horizontal="center"/>
    </xf>
    <xf numFmtId="3" fontId="14" fillId="29" borderId="78" xfId="100" applyNumberFormat="1" applyFont="1" applyFill="1" applyBorder="1" applyAlignment="1">
      <alignment horizontal="center"/>
    </xf>
    <xf numFmtId="0" fontId="95" fillId="29" borderId="26" xfId="101" applyFont="1" applyFill="1" applyBorder="1"/>
    <xf numFmtId="3" fontId="35" fillId="29" borderId="78" xfId="100" applyNumberFormat="1" applyFont="1" applyFill="1" applyBorder="1" applyAlignment="1">
      <alignment horizontal="center"/>
    </xf>
    <xf numFmtId="3" fontId="14" fillId="29" borderId="89" xfId="100" applyNumberFormat="1" applyFont="1" applyFill="1" applyBorder="1" applyAlignment="1">
      <alignment horizontal="center"/>
    </xf>
    <xf numFmtId="0" fontId="95" fillId="29" borderId="57" xfId="101" applyFont="1" applyFill="1" applyBorder="1"/>
    <xf numFmtId="3" fontId="58" fillId="29" borderId="138" xfId="100" applyNumberFormat="1" applyFont="1" applyFill="1" applyBorder="1"/>
    <xf numFmtId="3" fontId="35" fillId="29" borderId="77" xfId="100" applyNumberFormat="1" applyFont="1" applyFill="1" applyBorder="1" applyAlignment="1">
      <alignment horizontal="center"/>
    </xf>
    <xf numFmtId="0" fontId="35" fillId="29" borderId="20" xfId="100" applyFont="1" applyFill="1" applyBorder="1"/>
    <xf numFmtId="3" fontId="35" fillId="29" borderId="77" xfId="100" applyNumberFormat="1" applyFont="1" applyFill="1" applyBorder="1"/>
    <xf numFmtId="3" fontId="14" fillId="29" borderId="77" xfId="100" applyNumberFormat="1" applyFont="1" applyFill="1" applyBorder="1" applyAlignment="1">
      <alignment horizontal="center"/>
    </xf>
    <xf numFmtId="3" fontId="14" fillId="29" borderId="130" xfId="100" applyNumberFormat="1" applyFont="1" applyFill="1" applyBorder="1" applyAlignment="1">
      <alignment horizontal="center"/>
    </xf>
    <xf numFmtId="0" fontId="95" fillId="29" borderId="23" xfId="101" applyFont="1" applyFill="1" applyBorder="1"/>
    <xf numFmtId="0" fontId="15" fillId="29" borderId="0" xfId="100" applyFont="1" applyFill="1"/>
    <xf numFmtId="3" fontId="14" fillId="29" borderId="138" xfId="100" applyNumberFormat="1" applyFont="1" applyFill="1" applyBorder="1" applyAlignment="1">
      <alignment horizontal="center"/>
    </xf>
    <xf numFmtId="0" fontId="95" fillId="29" borderId="18" xfId="101" applyFont="1" applyFill="1" applyBorder="1"/>
    <xf numFmtId="3" fontId="15" fillId="29" borderId="77" xfId="100" applyNumberFormat="1" applyFont="1" applyFill="1" applyBorder="1" applyAlignment="1">
      <alignment horizontal="center"/>
    </xf>
    <xf numFmtId="0" fontId="35" fillId="29" borderId="20" xfId="100" applyFont="1" applyFill="1" applyBorder="1" applyAlignment="1">
      <alignment horizontal="justify"/>
    </xf>
    <xf numFmtId="3" fontId="15" fillId="29" borderId="69" xfId="100" applyNumberFormat="1" applyFont="1" applyFill="1" applyBorder="1" applyAlignment="1">
      <alignment horizontal="center"/>
    </xf>
    <xf numFmtId="0" fontId="35" fillId="29" borderId="18" xfId="100" applyFont="1" applyFill="1" applyBorder="1" applyAlignment="1">
      <alignment horizontal="justify"/>
    </xf>
    <xf numFmtId="3" fontId="3" fillId="29" borderId="83" xfId="100" applyNumberFormat="1" applyFont="1" applyFill="1" applyBorder="1" applyAlignment="1">
      <alignment horizontal="center"/>
    </xf>
    <xf numFmtId="0" fontId="35" fillId="29" borderId="23" xfId="100" applyFont="1" applyFill="1" applyBorder="1" applyAlignment="1">
      <alignment horizontal="justify"/>
    </xf>
    <xf numFmtId="3" fontId="3" fillId="29" borderId="77" xfId="100" applyNumberFormat="1" applyFont="1" applyFill="1" applyBorder="1" applyAlignment="1">
      <alignment horizontal="center"/>
    </xf>
    <xf numFmtId="0" fontId="14" fillId="29" borderId="20" xfId="100" applyFont="1" applyFill="1" applyBorder="1"/>
    <xf numFmtId="3" fontId="14" fillId="29" borderId="77" xfId="100" applyNumberFormat="1" applyFont="1" applyFill="1" applyBorder="1"/>
    <xf numFmtId="3" fontId="4" fillId="29" borderId="0" xfId="100" applyNumberFormat="1" applyFont="1" applyFill="1"/>
    <xf numFmtId="3" fontId="3" fillId="29" borderId="0" xfId="100" applyNumberFormat="1" applyFont="1" applyFill="1"/>
    <xf numFmtId="3" fontId="4" fillId="29" borderId="46" xfId="100" applyNumberFormat="1" applyFont="1" applyFill="1" applyBorder="1"/>
    <xf numFmtId="3" fontId="3" fillId="29" borderId="46" xfId="100" applyNumberFormat="1" applyFont="1" applyFill="1" applyBorder="1"/>
    <xf numFmtId="0" fontId="4" fillId="29" borderId="0" xfId="100" applyFont="1" applyFill="1" applyAlignment="1">
      <alignment horizontal="right"/>
    </xf>
    <xf numFmtId="49" fontId="4" fillId="29" borderId="0" xfId="100" applyNumberFormat="1" applyFont="1" applyFill="1" applyAlignment="1">
      <alignment horizontal="right"/>
    </xf>
    <xf numFmtId="3" fontId="4" fillId="29" borderId="0" xfId="100" applyNumberFormat="1" applyFont="1" applyFill="1" applyBorder="1"/>
    <xf numFmtId="0" fontId="4" fillId="29" borderId="0" xfId="100" applyFont="1" applyFill="1" applyBorder="1"/>
    <xf numFmtId="3" fontId="3" fillId="29" borderId="0" xfId="100" applyNumberFormat="1" applyFont="1" applyFill="1" applyBorder="1"/>
    <xf numFmtId="0" fontId="4" fillId="29" borderId="0" xfId="100" applyFont="1" applyFill="1" applyAlignment="1">
      <alignment horizontal="left"/>
    </xf>
    <xf numFmtId="49" fontId="4" fillId="29" borderId="0" xfId="100" applyNumberFormat="1" applyFont="1" applyFill="1" applyAlignment="1">
      <alignment horizontal="left"/>
    </xf>
    <xf numFmtId="0" fontId="3" fillId="29" borderId="0" xfId="100" applyFont="1" applyFill="1" applyBorder="1"/>
    <xf numFmtId="3" fontId="34" fillId="29" borderId="69" xfId="100" applyNumberFormat="1" applyFont="1" applyFill="1" applyBorder="1"/>
    <xf numFmtId="3" fontId="34" fillId="29" borderId="138" xfId="100" applyNumberFormat="1" applyFont="1" applyFill="1" applyBorder="1"/>
    <xf numFmtId="3" fontId="34" fillId="29" borderId="78" xfId="100" applyNumberFormat="1" applyFont="1" applyFill="1" applyBorder="1"/>
    <xf numFmtId="3" fontId="216" fillId="29" borderId="0" xfId="100" applyNumberFormat="1" applyFont="1" applyFill="1"/>
    <xf numFmtId="3" fontId="34" fillId="29" borderId="83" xfId="100" applyNumberFormat="1" applyFont="1" applyFill="1" applyBorder="1"/>
    <xf numFmtId="3" fontId="58" fillId="29" borderId="69" xfId="100" applyNumberFormat="1" applyFont="1" applyFill="1" applyBorder="1"/>
    <xf numFmtId="3" fontId="58" fillId="29" borderId="86" xfId="100" applyNumberFormat="1" applyFont="1" applyFill="1" applyBorder="1"/>
    <xf numFmtId="3" fontId="15" fillId="29" borderId="0" xfId="100" applyNumberFormat="1" applyFont="1" applyFill="1"/>
    <xf numFmtId="3" fontId="15" fillId="29" borderId="0" xfId="100" applyNumberFormat="1" applyFont="1" applyFill="1" applyBorder="1"/>
    <xf numFmtId="0" fontId="34" fillId="29" borderId="0" xfId="0" applyFont="1" applyFill="1"/>
    <xf numFmtId="0" fontId="56" fillId="29" borderId="83" xfId="0" applyFont="1" applyFill="1" applyBorder="1" applyAlignment="1">
      <alignment horizontal="center"/>
    </xf>
    <xf numFmtId="0" fontId="56" fillId="29" borderId="70" xfId="0" applyFont="1" applyFill="1" applyBorder="1" applyAlignment="1">
      <alignment horizontal="center"/>
    </xf>
    <xf numFmtId="3" fontId="56" fillId="29" borderId="83" xfId="0" applyNumberFormat="1" applyFont="1" applyFill="1" applyBorder="1" applyProtection="1"/>
    <xf numFmtId="3" fontId="75" fillId="29" borderId="75" xfId="0" applyNumberFormat="1" applyFont="1" applyFill="1" applyBorder="1"/>
    <xf numFmtId="3" fontId="60" fillId="29" borderId="75" xfId="0" applyNumberFormat="1" applyFont="1" applyFill="1" applyBorder="1"/>
    <xf numFmtId="3" fontId="70" fillId="29" borderId="78" xfId="0" applyNumberFormat="1" applyFont="1" applyFill="1" applyBorder="1"/>
    <xf numFmtId="3" fontId="68" fillId="29" borderId="107" xfId="0" applyNumberFormat="1" applyFont="1" applyFill="1" applyBorder="1"/>
    <xf numFmtId="3" fontId="68" fillId="29" borderId="26" xfId="0" applyNumberFormat="1" applyFont="1" applyFill="1" applyBorder="1"/>
    <xf numFmtId="3" fontId="68" fillId="29" borderId="75" xfId="0" applyNumberFormat="1" applyFont="1" applyFill="1" applyBorder="1"/>
    <xf numFmtId="3" fontId="60" fillId="29" borderId="73" xfId="0" applyNumberFormat="1" applyFont="1" applyFill="1" applyBorder="1"/>
    <xf numFmtId="3" fontId="60" fillId="29" borderId="18" xfId="0" applyNumberFormat="1" applyFont="1" applyFill="1" applyBorder="1"/>
    <xf numFmtId="3" fontId="56" fillId="29" borderId="26" xfId="0" applyNumberFormat="1" applyFont="1" applyFill="1" applyBorder="1"/>
    <xf numFmtId="3" fontId="70" fillId="29" borderId="75" xfId="0" applyNumberFormat="1" applyFont="1" applyFill="1" applyBorder="1"/>
    <xf numFmtId="3" fontId="60" fillId="29" borderId="72" xfId="0" applyNumberFormat="1" applyFont="1" applyFill="1" applyBorder="1" applyProtection="1"/>
    <xf numFmtId="3" fontId="56" fillId="29" borderId="17" xfId="0" applyNumberFormat="1" applyFont="1" applyFill="1" applyBorder="1" applyProtection="1"/>
    <xf numFmtId="3" fontId="56" fillId="29" borderId="20" xfId="0" applyNumberFormat="1" applyFont="1" applyFill="1" applyBorder="1" applyProtection="1"/>
    <xf numFmtId="3" fontId="60" fillId="29" borderId="16" xfId="0" applyNumberFormat="1" applyFont="1" applyFill="1" applyBorder="1" applyProtection="1"/>
    <xf numFmtId="3" fontId="56" fillId="29" borderId="93" xfId="0" applyNumberFormat="1" applyFont="1" applyFill="1" applyBorder="1" applyProtection="1"/>
    <xf numFmtId="3" fontId="60" fillId="29" borderId="75" xfId="0" applyNumberFormat="1" applyFont="1" applyFill="1" applyBorder="1" applyProtection="1"/>
    <xf numFmtId="3" fontId="60" fillId="29" borderId="72" xfId="0" applyNumberFormat="1" applyFont="1" applyFill="1" applyBorder="1"/>
    <xf numFmtId="3" fontId="60" fillId="29" borderId="73" xfId="0" applyNumberFormat="1" applyFont="1" applyFill="1" applyBorder="1" applyProtection="1"/>
    <xf numFmtId="3" fontId="60" fillId="29" borderId="87" xfId="0" applyNumberFormat="1" applyFont="1" applyFill="1" applyBorder="1"/>
    <xf numFmtId="3" fontId="56" fillId="29" borderId="0" xfId="0" applyNumberFormat="1" applyFont="1" applyFill="1" applyBorder="1" applyProtection="1"/>
    <xf numFmtId="3" fontId="56" fillId="29" borderId="77" xfId="0" applyNumberFormat="1" applyFont="1" applyFill="1" applyBorder="1" applyProtection="1">
      <protection locked="0"/>
    </xf>
    <xf numFmtId="3" fontId="56" fillId="29" borderId="83" xfId="0" applyNumberFormat="1" applyFont="1" applyFill="1" applyBorder="1" applyProtection="1">
      <protection locked="0"/>
    </xf>
    <xf numFmtId="3" fontId="56" fillId="29" borderId="69" xfId="0" applyNumberFormat="1" applyFont="1" applyFill="1" applyBorder="1" applyProtection="1">
      <protection locked="0"/>
    </xf>
    <xf numFmtId="3" fontId="60" fillId="29" borderId="73" xfId="0" applyNumberFormat="1" applyFont="1" applyFill="1" applyBorder="1" applyProtection="1">
      <protection locked="0"/>
    </xf>
    <xf numFmtId="3" fontId="56" fillId="29" borderId="70" xfId="0" applyNumberFormat="1" applyFont="1" applyFill="1" applyBorder="1" applyProtection="1">
      <protection locked="0"/>
    </xf>
    <xf numFmtId="0" fontId="56" fillId="29" borderId="46" xfId="0" applyFont="1" applyFill="1" applyBorder="1" applyAlignment="1">
      <alignment horizontal="center"/>
    </xf>
    <xf numFmtId="3" fontId="60" fillId="29" borderId="69" xfId="0" applyNumberFormat="1" applyFont="1" applyFill="1" applyBorder="1" applyProtection="1"/>
    <xf numFmtId="3" fontId="56" fillId="29" borderId="73" xfId="0" applyNumberFormat="1" applyFont="1" applyFill="1" applyBorder="1" applyProtection="1">
      <protection locked="0"/>
    </xf>
    <xf numFmtId="3" fontId="56" fillId="29" borderId="76" xfId="0" applyNumberFormat="1" applyFont="1" applyFill="1" applyBorder="1" applyProtection="1"/>
    <xf numFmtId="3" fontId="56" fillId="29" borderId="69" xfId="0" applyNumberFormat="1" applyFont="1" applyFill="1" applyBorder="1" applyProtection="1"/>
    <xf numFmtId="3" fontId="56" fillId="29" borderId="75" xfId="0" applyNumberFormat="1" applyFont="1" applyFill="1" applyBorder="1" applyProtection="1"/>
    <xf numFmtId="3" fontId="74" fillId="29" borderId="75" xfId="0" applyNumberFormat="1" applyFont="1" applyFill="1" applyBorder="1" applyProtection="1">
      <protection locked="0"/>
    </xf>
    <xf numFmtId="3" fontId="74" fillId="29" borderId="73" xfId="0" applyNumberFormat="1" applyFont="1" applyFill="1" applyBorder="1" applyProtection="1"/>
    <xf numFmtId="3" fontId="74" fillId="29" borderId="73" xfId="0" applyNumberFormat="1" applyFont="1" applyFill="1" applyBorder="1" applyProtection="1">
      <protection locked="0"/>
    </xf>
    <xf numFmtId="3" fontId="56" fillId="29" borderId="76" xfId="0" applyNumberFormat="1" applyFont="1" applyFill="1" applyBorder="1" applyProtection="1">
      <protection locked="0"/>
    </xf>
    <xf numFmtId="0" fontId="60" fillId="29" borderId="83" xfId="0" applyFont="1" applyFill="1" applyBorder="1"/>
    <xf numFmtId="3" fontId="60" fillId="29" borderId="75" xfId="0" applyNumberFormat="1" applyFont="1" applyFill="1" applyBorder="1" applyProtection="1">
      <protection locked="0"/>
    </xf>
    <xf numFmtId="3" fontId="60" fillId="29" borderId="69" xfId="0" applyNumberFormat="1" applyFont="1" applyFill="1" applyBorder="1" applyProtection="1">
      <protection locked="0"/>
    </xf>
    <xf numFmtId="3" fontId="70" fillId="29" borderId="76" xfId="0" applyNumberFormat="1" applyFont="1" applyFill="1" applyBorder="1" applyProtection="1">
      <protection locked="0"/>
    </xf>
    <xf numFmtId="3" fontId="34" fillId="29" borderId="0" xfId="0" applyNumberFormat="1" applyFont="1" applyFill="1"/>
    <xf numFmtId="0" fontId="192" fillId="29" borderId="0" xfId="76" applyFont="1" applyFill="1" applyBorder="1" applyAlignment="1">
      <alignment horizontal="left"/>
    </xf>
    <xf numFmtId="0" fontId="193" fillId="29" borderId="0" xfId="76" applyFont="1" applyFill="1" applyBorder="1" applyAlignment="1">
      <alignment horizontal="left"/>
    </xf>
    <xf numFmtId="0" fontId="192" fillId="29" borderId="0" xfId="76" applyFont="1" applyFill="1"/>
    <xf numFmtId="3" fontId="193" fillId="29" borderId="0" xfId="76" applyNumberFormat="1" applyFont="1" applyFill="1" applyBorder="1" applyAlignment="1">
      <alignment horizontal="right"/>
    </xf>
    <xf numFmtId="0" fontId="193" fillId="29" borderId="0" xfId="76" applyFont="1" applyFill="1"/>
    <xf numFmtId="3" fontId="193" fillId="29" borderId="0" xfId="76" applyNumberFormat="1" applyFont="1" applyFill="1" applyBorder="1" applyAlignment="1">
      <alignment horizontal="center"/>
    </xf>
    <xf numFmtId="3" fontId="192" fillId="29" borderId="0" xfId="76" applyNumberFormat="1" applyFont="1" applyFill="1" applyBorder="1"/>
    <xf numFmtId="3" fontId="192" fillId="29" borderId="0" xfId="76" applyNumberFormat="1" applyFont="1" applyFill="1"/>
    <xf numFmtId="3" fontId="192" fillId="29" borderId="0" xfId="76" applyNumberFormat="1" applyFont="1" applyFill="1" applyBorder="1" applyAlignment="1">
      <alignment horizontal="right"/>
    </xf>
    <xf numFmtId="3" fontId="193" fillId="29" borderId="0" xfId="76" applyNumberFormat="1" applyFont="1" applyFill="1"/>
    <xf numFmtId="3" fontId="192" fillId="29" borderId="0" xfId="76" applyNumberFormat="1" applyFont="1" applyFill="1" applyBorder="1" applyAlignment="1">
      <alignment horizontal="center"/>
    </xf>
    <xf numFmtId="3" fontId="193" fillId="29" borderId="0" xfId="76" applyNumberFormat="1" applyFont="1" applyFill="1" applyBorder="1"/>
    <xf numFmtId="0" fontId="192" fillId="29" borderId="0" xfId="76" applyFont="1" applyFill="1" applyBorder="1" applyProtection="1"/>
    <xf numFmtId="0" fontId="193" fillId="29" borderId="0" xfId="76" applyFont="1" applyFill="1" applyBorder="1" applyProtection="1"/>
    <xf numFmtId="3" fontId="193" fillId="29" borderId="0" xfId="76" applyNumberFormat="1" applyFont="1" applyFill="1" applyBorder="1" applyProtection="1"/>
    <xf numFmtId="3" fontId="8" fillId="0" borderId="0" xfId="76" applyNumberFormat="1" applyFont="1" applyFill="1" applyBorder="1" applyAlignment="1">
      <alignment horizontal="right"/>
    </xf>
    <xf numFmtId="3" fontId="8" fillId="0" borderId="0" xfId="76" applyNumberFormat="1" applyFont="1" applyFill="1" applyBorder="1"/>
    <xf numFmtId="3" fontId="218" fillId="0" borderId="0" xfId="76" applyNumberFormat="1" applyFont="1" applyFill="1" applyBorder="1" applyAlignment="1">
      <alignment horizontal="center"/>
    </xf>
    <xf numFmtId="3" fontId="219" fillId="0" borderId="0" xfId="76" applyNumberFormat="1" applyFont="1" applyFill="1" applyBorder="1"/>
    <xf numFmtId="3" fontId="201" fillId="0" borderId="0" xfId="76" applyNumberFormat="1" applyFont="1" applyFill="1" applyBorder="1" applyAlignment="1">
      <alignment horizontal="right"/>
    </xf>
    <xf numFmtId="0" fontId="200" fillId="0" borderId="0" xfId="76" applyFont="1" applyBorder="1" applyAlignment="1">
      <alignment horizontal="right"/>
    </xf>
    <xf numFmtId="0" fontId="77" fillId="0" borderId="41" xfId="0" applyFont="1" applyFill="1" applyBorder="1"/>
    <xf numFmtId="3" fontId="77" fillId="0" borderId="64" xfId="0" applyNumberFormat="1" applyFont="1" applyFill="1" applyBorder="1"/>
    <xf numFmtId="2" fontId="110" fillId="0" borderId="105" xfId="0" applyNumberFormat="1" applyFont="1" applyBorder="1"/>
    <xf numFmtId="3" fontId="109" fillId="29" borderId="73" xfId="77" applyNumberFormat="1" applyFont="1" applyFill="1" applyBorder="1" applyAlignment="1">
      <alignment horizontal="right"/>
    </xf>
    <xf numFmtId="2" fontId="35" fillId="0" borderId="105" xfId="77" applyNumberFormat="1" applyFont="1" applyFill="1" applyBorder="1"/>
    <xf numFmtId="0" fontId="58" fillId="0" borderId="50" xfId="0" applyFont="1" applyBorder="1" applyAlignment="1">
      <alignment horizontal="justify"/>
    </xf>
    <xf numFmtId="0" fontId="86" fillId="0" borderId="134" xfId="77" applyFont="1" applyFill="1" applyBorder="1" applyAlignment="1">
      <alignment horizontal="right"/>
    </xf>
    <xf numFmtId="0" fontId="86" fillId="0" borderId="136" xfId="0" applyFont="1" applyFill="1" applyBorder="1" applyAlignment="1">
      <alignment wrapText="1"/>
    </xf>
    <xf numFmtId="3" fontId="86" fillId="0" borderId="64" xfId="77" applyNumberFormat="1" applyFont="1" applyFill="1" applyBorder="1"/>
    <xf numFmtId="3" fontId="86" fillId="0" borderId="167" xfId="77" applyNumberFormat="1" applyFont="1" applyFill="1" applyBorder="1"/>
    <xf numFmtId="2" fontId="58" fillId="0" borderId="105" xfId="77" applyNumberFormat="1" applyFont="1" applyFill="1" applyBorder="1"/>
    <xf numFmtId="0" fontId="33" fillId="0" borderId="90" xfId="77" applyFont="1" applyFill="1" applyBorder="1" applyAlignment="1">
      <alignment horizontal="left" wrapText="1"/>
    </xf>
    <xf numFmtId="3" fontId="33" fillId="0" borderId="43" xfId="77" applyNumberFormat="1" applyFont="1" applyFill="1" applyBorder="1" applyAlignment="1">
      <alignment horizontal="right"/>
    </xf>
    <xf numFmtId="3" fontId="4" fillId="0" borderId="80" xfId="0" applyNumberFormat="1" applyFont="1" applyFill="1" applyBorder="1"/>
    <xf numFmtId="0" fontId="61" fillId="29" borderId="0" xfId="0" applyFont="1" applyFill="1" applyAlignment="1">
      <alignment horizontal="center"/>
    </xf>
    <xf numFmtId="0" fontId="8" fillId="29" borderId="0" xfId="100" applyFont="1" applyFill="1" applyAlignment="1">
      <alignment horizontal="left" vertical="top" wrapText="1"/>
    </xf>
    <xf numFmtId="0" fontId="4" fillId="29" borderId="0" xfId="100" applyFont="1" applyFill="1" applyAlignment="1">
      <alignment horizontal="left" vertical="top" wrapText="1"/>
    </xf>
    <xf numFmtId="3" fontId="56" fillId="0" borderId="0" xfId="0" applyNumberFormat="1" applyFont="1" applyFill="1" applyAlignment="1">
      <alignment horizontal="center"/>
    </xf>
    <xf numFmtId="0" fontId="56" fillId="27" borderId="45" xfId="0" applyFont="1" applyFill="1" applyBorder="1" applyAlignment="1">
      <alignment horizontal="center"/>
    </xf>
    <xf numFmtId="3" fontId="56" fillId="0" borderId="20" xfId="0" applyNumberFormat="1" applyFont="1" applyFill="1" applyBorder="1" applyAlignment="1">
      <alignment horizontal="left"/>
    </xf>
    <xf numFmtId="3" fontId="56" fillId="0" borderId="93" xfId="0" applyNumberFormat="1" applyFont="1" applyFill="1" applyBorder="1" applyAlignment="1">
      <alignment horizontal="left"/>
    </xf>
    <xf numFmtId="3" fontId="56" fillId="0" borderId="122" xfId="0" applyNumberFormat="1" applyFont="1" applyFill="1" applyBorder="1" applyAlignment="1">
      <alignment horizontal="left"/>
    </xf>
    <xf numFmtId="3" fontId="75" fillId="0" borderId="20" xfId="0" applyNumberFormat="1" applyFont="1" applyFill="1" applyBorder="1" applyAlignment="1">
      <alignment horizontal="left"/>
    </xf>
    <xf numFmtId="3" fontId="75" fillId="0" borderId="122" xfId="0" applyNumberFormat="1" applyFont="1" applyFill="1" applyBorder="1" applyAlignment="1">
      <alignment horizontal="left"/>
    </xf>
    <xf numFmtId="0" fontId="75" fillId="0" borderId="20" xfId="0" applyFont="1" applyFill="1" applyBorder="1" applyAlignment="1" applyProtection="1">
      <alignment horizontal="left"/>
    </xf>
    <xf numFmtId="0" fontId="75" fillId="0" borderId="93" xfId="0" applyFont="1" applyFill="1" applyBorder="1" applyAlignment="1" applyProtection="1">
      <alignment horizontal="left"/>
    </xf>
    <xf numFmtId="0" fontId="75" fillId="0" borderId="122" xfId="0" applyFont="1" applyFill="1" applyBorder="1" applyAlignment="1" applyProtection="1">
      <alignment horizontal="left"/>
    </xf>
    <xf numFmtId="3" fontId="74" fillId="0" borderId="40" xfId="0" applyNumberFormat="1" applyFont="1" applyFill="1" applyBorder="1" applyAlignment="1">
      <alignment horizontal="left" wrapText="1"/>
    </xf>
    <xf numFmtId="3" fontId="74" fillId="0" borderId="39" xfId="0" applyNumberFormat="1" applyFont="1" applyFill="1" applyBorder="1" applyAlignment="1">
      <alignment horizontal="left" wrapText="1"/>
    </xf>
    <xf numFmtId="3" fontId="108" fillId="0" borderId="40" xfId="0" applyNumberFormat="1" applyFont="1" applyFill="1" applyBorder="1" applyAlignment="1">
      <alignment horizontal="left" wrapText="1"/>
    </xf>
    <xf numFmtId="3" fontId="108" fillId="0" borderId="39" xfId="0" applyNumberFormat="1" applyFont="1" applyFill="1" applyBorder="1" applyAlignment="1">
      <alignment horizontal="left" wrapText="1"/>
    </xf>
    <xf numFmtId="0" fontId="68" fillId="0" borderId="0" xfId="0" applyFont="1" applyFill="1" applyBorder="1" applyAlignment="1" applyProtection="1">
      <alignment horizontal="left" wrapText="1"/>
    </xf>
    <xf numFmtId="0" fontId="68" fillId="0" borderId="86" xfId="0" applyFont="1" applyFill="1" applyBorder="1" applyAlignment="1" applyProtection="1">
      <alignment horizontal="left" wrapText="1"/>
    </xf>
    <xf numFmtId="0" fontId="14" fillId="0" borderId="0" xfId="0" applyFont="1" applyFill="1" applyAlignment="1">
      <alignment horizontal="center"/>
    </xf>
    <xf numFmtId="0" fontId="56" fillId="27" borderId="115" xfId="0" applyFont="1" applyFill="1" applyBorder="1" applyAlignment="1">
      <alignment horizontal="center"/>
    </xf>
    <xf numFmtId="0" fontId="56" fillId="27" borderId="116" xfId="0" applyFont="1" applyFill="1" applyBorder="1" applyAlignment="1">
      <alignment horizontal="center"/>
    </xf>
    <xf numFmtId="0" fontId="60" fillId="0" borderId="37" xfId="0" applyFont="1" applyFill="1" applyBorder="1" applyAlignment="1" applyProtection="1">
      <alignment horizontal="left" wrapText="1"/>
    </xf>
    <xf numFmtId="0" fontId="60" fillId="0" borderId="79" xfId="0" applyFont="1" applyFill="1" applyBorder="1" applyAlignment="1" applyProtection="1">
      <alignment horizontal="left" wrapText="1"/>
    </xf>
    <xf numFmtId="0" fontId="72" fillId="0" borderId="0" xfId="0" applyFont="1" applyFill="1" applyAlignment="1">
      <alignment horizontal="center"/>
    </xf>
    <xf numFmtId="0" fontId="108" fillId="0" borderId="37" xfId="0" applyFont="1" applyFill="1" applyBorder="1" applyAlignment="1" applyProtection="1">
      <alignment horizontal="left" wrapText="1"/>
    </xf>
    <xf numFmtId="0" fontId="108" fillId="0" borderId="79" xfId="0" applyFont="1" applyFill="1" applyBorder="1" applyAlignment="1" applyProtection="1">
      <alignment horizontal="left" wrapText="1"/>
    </xf>
    <xf numFmtId="0" fontId="69" fillId="0" borderId="37" xfId="0" applyFont="1" applyBorder="1" applyAlignment="1">
      <alignment wrapText="1"/>
    </xf>
    <xf numFmtId="0" fontId="69" fillId="0" borderId="79" xfId="0" applyFont="1" applyBorder="1" applyAlignment="1">
      <alignment wrapText="1"/>
    </xf>
    <xf numFmtId="0" fontId="60" fillId="0" borderId="37" xfId="0" applyFont="1" applyFill="1" applyBorder="1" applyAlignment="1" applyProtection="1"/>
    <xf numFmtId="0" fontId="69" fillId="0" borderId="37" xfId="0" applyFont="1" applyBorder="1" applyAlignment="1"/>
    <xf numFmtId="0" fontId="69" fillId="0" borderId="79" xfId="0" applyFont="1" applyBorder="1" applyAlignment="1"/>
    <xf numFmtId="0" fontId="60" fillId="0" borderId="37" xfId="77" applyFont="1" applyFill="1" applyBorder="1" applyAlignment="1">
      <alignment horizontal="left"/>
    </xf>
    <xf numFmtId="0" fontId="56" fillId="0" borderId="0" xfId="77" applyFont="1" applyFill="1" applyBorder="1" applyAlignment="1">
      <alignment horizontal="center" wrapText="1"/>
    </xf>
    <xf numFmtId="0" fontId="56" fillId="0" borderId="86" xfId="77" applyFont="1" applyFill="1" applyBorder="1" applyAlignment="1">
      <alignment horizontal="center" wrapText="1"/>
    </xf>
    <xf numFmtId="0" fontId="60" fillId="0" borderId="37" xfId="0" applyFont="1" applyFill="1" applyBorder="1" applyAlignment="1">
      <alignment horizontal="left"/>
    </xf>
    <xf numFmtId="0" fontId="60" fillId="0" borderId="79" xfId="0" applyFont="1" applyFill="1" applyBorder="1" applyAlignment="1">
      <alignment horizontal="left"/>
    </xf>
    <xf numFmtId="3" fontId="195" fillId="0" borderId="23" xfId="76" applyNumberFormat="1" applyFont="1" applyFill="1" applyBorder="1" applyAlignment="1">
      <alignment horizontal="center" vertical="center" wrapText="1"/>
    </xf>
    <xf numFmtId="3" fontId="195" fillId="0" borderId="46" xfId="76" applyNumberFormat="1" applyFont="1" applyFill="1" applyBorder="1" applyAlignment="1">
      <alignment horizontal="center" vertical="center" wrapText="1"/>
    </xf>
    <xf numFmtId="3" fontId="195" fillId="0" borderId="53" xfId="76" applyNumberFormat="1" applyFont="1" applyFill="1" applyBorder="1" applyAlignment="1">
      <alignment horizontal="center" vertical="center" wrapText="1"/>
    </xf>
    <xf numFmtId="3" fontId="195" fillId="0" borderId="19" xfId="76" applyNumberFormat="1" applyFont="1" applyFill="1" applyBorder="1" applyAlignment="1">
      <alignment horizontal="center" vertical="center" wrapText="1"/>
    </xf>
    <xf numFmtId="3" fontId="195" fillId="0" borderId="16" xfId="76" applyNumberFormat="1" applyFont="1" applyFill="1" applyBorder="1" applyAlignment="1">
      <alignment horizontal="center" vertical="center" wrapText="1"/>
    </xf>
    <xf numFmtId="3" fontId="195" fillId="0" borderId="84" xfId="76" applyNumberFormat="1" applyFont="1" applyFill="1" applyBorder="1" applyAlignment="1">
      <alignment horizontal="center" vertical="center" wrapText="1"/>
    </xf>
    <xf numFmtId="3" fontId="195" fillId="0" borderId="20" xfId="76" applyNumberFormat="1" applyFont="1" applyFill="1" applyBorder="1" applyAlignment="1">
      <alignment horizontal="center" vertical="center"/>
    </xf>
    <xf numFmtId="3" fontId="195" fillId="0" borderId="93" xfId="76" applyNumberFormat="1" applyFont="1" applyFill="1" applyBorder="1" applyAlignment="1">
      <alignment horizontal="center" vertical="center"/>
    </xf>
    <xf numFmtId="3" fontId="195" fillId="0" borderId="81" xfId="76" applyNumberFormat="1" applyFont="1" applyFill="1" applyBorder="1" applyAlignment="1">
      <alignment horizontal="center" vertical="center"/>
    </xf>
    <xf numFmtId="3" fontId="195" fillId="0" borderId="23" xfId="76" applyNumberFormat="1" applyFont="1" applyFill="1" applyBorder="1" applyAlignment="1">
      <alignment horizontal="center" vertical="center"/>
    </xf>
    <xf numFmtId="3" fontId="195" fillId="0" borderId="46" xfId="76" applyNumberFormat="1" applyFont="1" applyFill="1" applyBorder="1" applyAlignment="1">
      <alignment horizontal="center" vertical="center"/>
    </xf>
    <xf numFmtId="3" fontId="195" fillId="0" borderId="53" xfId="76" applyNumberFormat="1" applyFont="1" applyFill="1" applyBorder="1" applyAlignment="1">
      <alignment horizontal="center" vertical="center"/>
    </xf>
    <xf numFmtId="3" fontId="195" fillId="0" borderId="19" xfId="76" applyNumberFormat="1" applyFont="1" applyFill="1" applyBorder="1" applyAlignment="1">
      <alignment horizontal="center" vertical="center"/>
    </xf>
    <xf numFmtId="3" fontId="195" fillId="0" borderId="16" xfId="76" applyNumberFormat="1" applyFont="1" applyFill="1" applyBorder="1" applyAlignment="1">
      <alignment horizontal="center" vertical="center"/>
    </xf>
    <xf numFmtId="3" fontId="195" fillId="0" borderId="84" xfId="76" applyNumberFormat="1" applyFont="1" applyFill="1" applyBorder="1" applyAlignment="1">
      <alignment horizontal="center" vertical="center"/>
    </xf>
    <xf numFmtId="3" fontId="192" fillId="0" borderId="23" xfId="76" applyNumberFormat="1" applyFont="1" applyFill="1" applyBorder="1" applyAlignment="1">
      <alignment horizontal="center" wrapText="1"/>
    </xf>
    <xf numFmtId="3" fontId="192" fillId="0" borderId="46" xfId="76" applyNumberFormat="1" applyFont="1" applyFill="1" applyBorder="1" applyAlignment="1">
      <alignment horizontal="center" wrapText="1"/>
    </xf>
    <xf numFmtId="3" fontId="192" fillId="0" borderId="53" xfId="76" applyNumberFormat="1" applyFont="1" applyFill="1" applyBorder="1" applyAlignment="1">
      <alignment horizontal="center" wrapText="1"/>
    </xf>
    <xf numFmtId="3" fontId="192" fillId="0" borderId="19" xfId="76" applyNumberFormat="1" applyFont="1" applyFill="1" applyBorder="1" applyAlignment="1">
      <alignment horizontal="center" wrapText="1"/>
    </xf>
    <xf numFmtId="3" fontId="192" fillId="0" borderId="16" xfId="76" applyNumberFormat="1" applyFont="1" applyFill="1" applyBorder="1" applyAlignment="1">
      <alignment horizontal="center" wrapText="1"/>
    </xf>
    <xf numFmtId="3" fontId="192" fillId="0" borderId="84" xfId="76" applyNumberFormat="1" applyFont="1" applyFill="1" applyBorder="1" applyAlignment="1">
      <alignment horizontal="center" wrapText="1"/>
    </xf>
    <xf numFmtId="0" fontId="194" fillId="0" borderId="0" xfId="76" applyFont="1" applyAlignment="1">
      <alignment horizontal="center"/>
    </xf>
    <xf numFmtId="3" fontId="194" fillId="0" borderId="0" xfId="76" applyNumberFormat="1" applyFont="1" applyFill="1" applyAlignment="1">
      <alignment horizontal="center"/>
    </xf>
    <xf numFmtId="3" fontId="194" fillId="0" borderId="0" xfId="76" applyNumberFormat="1" applyFont="1" applyFill="1" applyBorder="1" applyAlignment="1">
      <alignment horizontal="center"/>
    </xf>
    <xf numFmtId="0" fontId="76" fillId="0" borderId="0" xfId="105" applyFont="1" applyAlignment="1">
      <alignment horizontal="center"/>
    </xf>
    <xf numFmtId="3" fontId="193" fillId="0" borderId="23" xfId="76" applyNumberFormat="1" applyFont="1" applyFill="1" applyBorder="1" applyAlignment="1">
      <alignment horizontal="center" vertical="center"/>
    </xf>
    <xf numFmtId="3" fontId="193" fillId="0" borderId="46" xfId="76" applyNumberFormat="1" applyFont="1" applyFill="1" applyBorder="1" applyAlignment="1">
      <alignment horizontal="center" vertical="center"/>
    </xf>
    <xf numFmtId="3" fontId="193" fillId="0" borderId="53" xfId="76" applyNumberFormat="1" applyFont="1" applyFill="1" applyBorder="1" applyAlignment="1">
      <alignment horizontal="center" vertical="center"/>
    </xf>
    <xf numFmtId="3" fontId="193" fillId="0" borderId="18" xfId="76" applyNumberFormat="1" applyFont="1" applyFill="1" applyBorder="1" applyAlignment="1">
      <alignment horizontal="center" vertical="center"/>
    </xf>
    <xf numFmtId="3" fontId="193" fillId="0" borderId="0" xfId="76" applyNumberFormat="1" applyFont="1" applyFill="1" applyBorder="1" applyAlignment="1">
      <alignment horizontal="center" vertical="center"/>
    </xf>
    <xf numFmtId="3" fontId="193" fillId="0" borderId="86" xfId="76" applyNumberFormat="1" applyFont="1" applyFill="1" applyBorder="1" applyAlignment="1">
      <alignment horizontal="center" vertical="center"/>
    </xf>
    <xf numFmtId="3" fontId="193" fillId="0" borderId="19" xfId="76" applyNumberFormat="1" applyFont="1" applyFill="1" applyBorder="1" applyAlignment="1">
      <alignment horizontal="center" vertical="center"/>
    </xf>
    <xf numFmtId="3" fontId="193" fillId="0" borderId="16" xfId="76" applyNumberFormat="1" applyFont="1" applyFill="1" applyBorder="1" applyAlignment="1">
      <alignment horizontal="center" vertical="center"/>
    </xf>
    <xf numFmtId="3" fontId="193" fillId="0" borderId="84" xfId="76" applyNumberFormat="1" applyFont="1" applyFill="1" applyBorder="1" applyAlignment="1">
      <alignment horizontal="center" vertical="center"/>
    </xf>
    <xf numFmtId="3" fontId="193" fillId="0" borderId="23" xfId="76" applyNumberFormat="1" applyFont="1" applyFill="1" applyBorder="1" applyAlignment="1">
      <alignment horizontal="center" vertical="center" wrapText="1"/>
    </xf>
    <xf numFmtId="3" fontId="193" fillId="0" borderId="46" xfId="76" applyNumberFormat="1" applyFont="1" applyFill="1" applyBorder="1" applyAlignment="1">
      <alignment horizontal="center" vertical="center" wrapText="1"/>
    </xf>
    <xf numFmtId="3" fontId="193" fillId="0" borderId="53" xfId="76" applyNumberFormat="1" applyFont="1" applyFill="1" applyBorder="1" applyAlignment="1">
      <alignment horizontal="center" vertical="center" wrapText="1"/>
    </xf>
    <xf numFmtId="3" fontId="193" fillId="0" borderId="18" xfId="76" applyNumberFormat="1" applyFont="1" applyFill="1" applyBorder="1" applyAlignment="1">
      <alignment horizontal="center" vertical="center" wrapText="1"/>
    </xf>
    <xf numFmtId="3" fontId="193" fillId="0" borderId="0" xfId="76" applyNumberFormat="1" applyFont="1" applyFill="1" applyBorder="1" applyAlignment="1">
      <alignment horizontal="center" vertical="center" wrapText="1"/>
    </xf>
    <xf numFmtId="3" fontId="193" fillId="0" borderId="86" xfId="76" applyNumberFormat="1" applyFont="1" applyFill="1" applyBorder="1" applyAlignment="1">
      <alignment horizontal="center" vertical="center" wrapText="1"/>
    </xf>
    <xf numFmtId="3" fontId="193" fillId="0" borderId="19" xfId="76" applyNumberFormat="1" applyFont="1" applyFill="1" applyBorder="1" applyAlignment="1">
      <alignment horizontal="center" vertical="center" wrapText="1"/>
    </xf>
    <xf numFmtId="3" fontId="193" fillId="0" borderId="16" xfId="76" applyNumberFormat="1" applyFont="1" applyFill="1" applyBorder="1" applyAlignment="1">
      <alignment horizontal="center" vertical="center" wrapText="1"/>
    </xf>
    <xf numFmtId="3" fontId="193" fillId="0" borderId="84" xfId="76" applyNumberFormat="1" applyFont="1" applyFill="1" applyBorder="1" applyAlignment="1">
      <alignment horizontal="center" vertical="center" wrapText="1"/>
    </xf>
    <xf numFmtId="3" fontId="218" fillId="0" borderId="0" xfId="76" applyNumberFormat="1" applyFont="1" applyFill="1" applyBorder="1" applyAlignment="1">
      <alignment horizontal="center"/>
    </xf>
    <xf numFmtId="4" fontId="190" fillId="0" borderId="20" xfId="102" applyNumberFormat="1" applyFont="1" applyBorder="1" applyAlignment="1">
      <alignment horizontal="center"/>
    </xf>
    <xf numFmtId="4" fontId="190" fillId="0" borderId="81" xfId="102" applyNumberFormat="1" applyFont="1" applyBorder="1" applyAlignment="1">
      <alignment horizontal="center"/>
    </xf>
    <xf numFmtId="0" fontId="190" fillId="0" borderId="0" xfId="102" applyFont="1" applyAlignment="1">
      <alignment horizontal="center"/>
    </xf>
    <xf numFmtId="0" fontId="186" fillId="0" borderId="16" xfId="102" applyFont="1" applyBorder="1" applyAlignment="1">
      <alignment horizontal="center"/>
    </xf>
    <xf numFmtId="0" fontId="190" fillId="27" borderId="20" xfId="102" applyFont="1" applyFill="1" applyBorder="1" applyAlignment="1">
      <alignment horizontal="center" vertical="center"/>
    </xf>
    <xf numFmtId="0" fontId="190" fillId="27" borderId="93" xfId="102" applyFont="1" applyFill="1" applyBorder="1" applyAlignment="1">
      <alignment horizontal="center" vertical="center"/>
    </xf>
    <xf numFmtId="0" fontId="190" fillId="27" borderId="81" xfId="102" applyFont="1" applyFill="1" applyBorder="1" applyAlignment="1">
      <alignment horizontal="center" vertical="center"/>
    </xf>
    <xf numFmtId="0" fontId="190" fillId="0" borderId="23" xfId="102" applyFont="1" applyBorder="1" applyAlignment="1">
      <alignment horizontal="center" vertical="center" wrapText="1"/>
    </xf>
    <xf numFmtId="0" fontId="190" fillId="0" borderId="53" xfId="102" applyFont="1" applyBorder="1" applyAlignment="1">
      <alignment horizontal="center" vertical="center" wrapText="1"/>
    </xf>
    <xf numFmtId="0" fontId="190" fillId="0" borderId="19" xfId="102" applyFont="1" applyBorder="1" applyAlignment="1">
      <alignment horizontal="center" vertical="center" wrapText="1"/>
    </xf>
    <xf numFmtId="0" fontId="190" fillId="0" borderId="84" xfId="102" applyFont="1" applyBorder="1" applyAlignment="1">
      <alignment horizontal="center" vertical="center" wrapText="1"/>
    </xf>
    <xf numFmtId="4" fontId="190" fillId="0" borderId="19" xfId="102" applyNumberFormat="1" applyFont="1" applyBorder="1" applyAlignment="1">
      <alignment horizontal="center"/>
    </xf>
    <xf numFmtId="4" fontId="190" fillId="0" borderId="16" xfId="102" applyNumberFormat="1" applyFont="1" applyBorder="1" applyAlignment="1">
      <alignment horizontal="center"/>
    </xf>
    <xf numFmtId="4" fontId="190" fillId="0" borderId="93" xfId="102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5" fillId="27" borderId="117" xfId="0" applyFont="1" applyFill="1" applyBorder="1" applyAlignment="1">
      <alignment horizontal="center"/>
    </xf>
    <xf numFmtId="0" fontId="35" fillId="27" borderId="118" xfId="0" applyFont="1" applyFill="1" applyBorder="1" applyAlignment="1">
      <alignment horizontal="center"/>
    </xf>
    <xf numFmtId="0" fontId="71" fillId="0" borderId="0" xfId="0" applyFont="1" applyFill="1" applyAlignment="1">
      <alignment horizontal="center"/>
    </xf>
    <xf numFmtId="0" fontId="89" fillId="27" borderId="46" xfId="0" applyFont="1" applyFill="1" applyBorder="1" applyAlignment="1">
      <alignment horizontal="center"/>
    </xf>
    <xf numFmtId="0" fontId="97" fillId="27" borderId="46" xfId="0" applyFont="1" applyFill="1" applyBorder="1" applyAlignment="1">
      <alignment horizontal="center"/>
    </xf>
    <xf numFmtId="0" fontId="120" fillId="0" borderId="0" xfId="0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56" fillId="0" borderId="0" xfId="0" applyNumberFormat="1" applyFont="1" applyAlignment="1">
      <alignment horizontal="center"/>
    </xf>
    <xf numFmtId="0" fontId="97" fillId="27" borderId="47" xfId="0" applyFont="1" applyFill="1" applyBorder="1" applyAlignment="1">
      <alignment horizontal="center"/>
    </xf>
    <xf numFmtId="0" fontId="97" fillId="27" borderId="63" xfId="0" applyFont="1" applyFill="1" applyBorder="1" applyAlignment="1">
      <alignment horizontal="center"/>
    </xf>
    <xf numFmtId="0" fontId="56" fillId="0" borderId="0" xfId="0" applyFont="1" applyAlignment="1">
      <alignment horizontal="center"/>
    </xf>
    <xf numFmtId="0" fontId="76" fillId="27" borderId="23" xfId="0" applyFont="1" applyFill="1" applyBorder="1" applyAlignment="1">
      <alignment horizontal="center"/>
    </xf>
    <xf numFmtId="0" fontId="76" fillId="27" borderId="53" xfId="0" applyFont="1" applyFill="1" applyBorder="1" applyAlignment="1">
      <alignment horizontal="center"/>
    </xf>
    <xf numFmtId="0" fontId="76" fillId="27" borderId="115" xfId="0" applyFont="1" applyFill="1" applyBorder="1" applyAlignment="1">
      <alignment horizontal="center"/>
    </xf>
    <xf numFmtId="0" fontId="76" fillId="27" borderId="116" xfId="0" applyFont="1" applyFill="1" applyBorder="1" applyAlignment="1">
      <alignment horizontal="center"/>
    </xf>
    <xf numFmtId="0" fontId="71" fillId="0" borderId="0" xfId="0" applyFont="1" applyAlignment="1">
      <alignment horizontal="center"/>
    </xf>
    <xf numFmtId="0" fontId="97" fillId="0" borderId="20" xfId="0" applyFont="1" applyFill="1" applyBorder="1" applyAlignment="1" applyProtection="1">
      <alignment horizontal="left" wrapText="1"/>
    </xf>
    <xf numFmtId="0" fontId="97" fillId="0" borderId="93" xfId="0" applyFont="1" applyFill="1" applyBorder="1" applyAlignment="1" applyProtection="1">
      <alignment horizontal="left" wrapText="1"/>
    </xf>
    <xf numFmtId="0" fontId="97" fillId="0" borderId="122" xfId="0" applyFont="1" applyFill="1" applyBorder="1" applyAlignment="1" applyProtection="1">
      <alignment horizontal="left" wrapText="1"/>
    </xf>
    <xf numFmtId="0" fontId="97" fillId="0" borderId="20" xfId="0" applyFont="1" applyFill="1" applyBorder="1" applyAlignment="1" applyProtection="1">
      <alignment horizontal="left"/>
    </xf>
    <xf numFmtId="0" fontId="97" fillId="0" borderId="93" xfId="0" applyFont="1" applyFill="1" applyBorder="1" applyAlignment="1" applyProtection="1">
      <alignment horizontal="left"/>
    </xf>
    <xf numFmtId="0" fontId="97" fillId="0" borderId="122" xfId="0" applyFont="1" applyFill="1" applyBorder="1" applyAlignment="1" applyProtection="1">
      <alignment horizontal="left"/>
    </xf>
    <xf numFmtId="0" fontId="97" fillId="0" borderId="23" xfId="0" applyFont="1" applyFill="1" applyBorder="1" applyAlignment="1">
      <alignment horizontal="center"/>
    </xf>
    <xf numFmtId="0" fontId="97" fillId="0" borderId="46" xfId="0" applyFont="1" applyFill="1" applyBorder="1" applyAlignment="1">
      <alignment horizontal="center"/>
    </xf>
    <xf numFmtId="0" fontId="97" fillId="27" borderId="117" xfId="0" applyFont="1" applyFill="1" applyBorder="1" applyAlignment="1">
      <alignment horizontal="center"/>
    </xf>
    <xf numFmtId="0" fontId="97" fillId="27" borderId="118" xfId="0" applyFont="1" applyFill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56" fillId="0" borderId="0" xfId="0" applyFont="1" applyAlignment="1" applyProtection="1">
      <alignment horizontal="center"/>
    </xf>
    <xf numFmtId="0" fontId="122" fillId="0" borderId="0" xfId="77" applyFont="1" applyFill="1" applyAlignment="1">
      <alignment horizontal="center"/>
    </xf>
    <xf numFmtId="0" fontId="97" fillId="0" borderId="20" xfId="77" applyFont="1" applyFill="1" applyBorder="1" applyAlignment="1">
      <alignment horizontal="left"/>
    </xf>
    <xf numFmtId="0" fontId="97" fillId="0" borderId="81" xfId="77" applyFont="1" applyFill="1" applyBorder="1" applyAlignment="1">
      <alignment horizontal="left"/>
    </xf>
    <xf numFmtId="0" fontId="97" fillId="27" borderId="115" xfId="0" applyFont="1" applyFill="1" applyBorder="1" applyAlignment="1">
      <alignment horizontal="center"/>
    </xf>
    <xf numFmtId="0" fontId="97" fillId="27" borderId="116" xfId="0" applyFont="1" applyFill="1" applyBorder="1" applyAlignment="1">
      <alignment horizontal="center"/>
    </xf>
    <xf numFmtId="0" fontId="3" fillId="0" borderId="0" xfId="77" applyFont="1" applyFill="1" applyBorder="1" applyAlignment="1">
      <alignment horizontal="center"/>
    </xf>
    <xf numFmtId="0" fontId="3" fillId="27" borderId="0" xfId="0" applyFont="1" applyFill="1" applyBorder="1" applyAlignment="1">
      <alignment horizontal="center"/>
    </xf>
    <xf numFmtId="0" fontId="97" fillId="0" borderId="19" xfId="77" applyFont="1" applyFill="1" applyBorder="1" applyAlignment="1">
      <alignment horizontal="left"/>
    </xf>
    <xf numFmtId="0" fontId="97" fillId="0" borderId="84" xfId="77" applyFont="1" applyFill="1" applyBorder="1" applyAlignment="1">
      <alignment horizontal="left"/>
    </xf>
    <xf numFmtId="0" fontId="14" fillId="0" borderId="0" xfId="77" applyFont="1" applyAlignment="1">
      <alignment horizontal="center"/>
    </xf>
    <xf numFmtId="0" fontId="35" fillId="0" borderId="23" xfId="77" applyFont="1" applyBorder="1" applyAlignment="1">
      <alignment horizontal="center"/>
    </xf>
    <xf numFmtId="0" fontId="35" fillId="0" borderId="46" xfId="77" applyFont="1" applyBorder="1" applyAlignment="1">
      <alignment horizontal="center"/>
    </xf>
    <xf numFmtId="0" fontId="35" fillId="27" borderId="47" xfId="0" applyFont="1" applyFill="1" applyBorder="1" applyAlignment="1">
      <alignment horizontal="center"/>
    </xf>
    <xf numFmtId="0" fontId="35" fillId="27" borderId="63" xfId="0" applyFont="1" applyFill="1" applyBorder="1" applyAlignment="1">
      <alignment horizontal="center"/>
    </xf>
    <xf numFmtId="0" fontId="56" fillId="0" borderId="0" xfId="77" applyFont="1" applyAlignment="1">
      <alignment horizontal="center"/>
    </xf>
    <xf numFmtId="0" fontId="126" fillId="0" borderId="0" xfId="0" applyFont="1" applyAlignment="1">
      <alignment horizontal="center"/>
    </xf>
    <xf numFmtId="0" fontId="9" fillId="0" borderId="0" xfId="78" applyFont="1" applyAlignment="1">
      <alignment horizontal="center"/>
    </xf>
    <xf numFmtId="0" fontId="70" fillId="0" borderId="0" xfId="77" applyFont="1" applyFill="1" applyAlignment="1">
      <alignment horizontal="center"/>
    </xf>
    <xf numFmtId="0" fontId="131" fillId="0" borderId="0" xfId="77" applyFont="1" applyFill="1" applyAlignment="1">
      <alignment horizontal="center"/>
    </xf>
    <xf numFmtId="0" fontId="138" fillId="0" borderId="0" xfId="89" applyFont="1" applyAlignment="1">
      <alignment horizontal="center"/>
    </xf>
    <xf numFmtId="0" fontId="126" fillId="0" borderId="0" xfId="89" applyFont="1" applyAlignment="1">
      <alignment horizontal="center"/>
    </xf>
    <xf numFmtId="0" fontId="138" fillId="0" borderId="0" xfId="89" applyFont="1" applyBorder="1" applyAlignment="1">
      <alignment horizontal="center"/>
    </xf>
    <xf numFmtId="0" fontId="3" fillId="0" borderId="23" xfId="77" applyFont="1" applyFill="1" applyBorder="1" applyAlignment="1">
      <alignment horizontal="center"/>
    </xf>
    <xf numFmtId="0" fontId="3" fillId="0" borderId="46" xfId="77" applyFont="1" applyFill="1" applyBorder="1" applyAlignment="1">
      <alignment horizontal="center"/>
    </xf>
    <xf numFmtId="0" fontId="145" fillId="0" borderId="20" xfId="90" applyFont="1" applyBorder="1" applyAlignment="1">
      <alignment wrapText="1"/>
    </xf>
    <xf numFmtId="0" fontId="144" fillId="0" borderId="81" xfId="0" applyFont="1" applyBorder="1" applyAlignment="1">
      <alignment wrapText="1"/>
    </xf>
    <xf numFmtId="0" fontId="138" fillId="0" borderId="0" xfId="0" applyFont="1" applyAlignment="1">
      <alignment horizontal="center"/>
    </xf>
    <xf numFmtId="0" fontId="126" fillId="0" borderId="0" xfId="90" applyFont="1" applyBorder="1" applyAlignment="1">
      <alignment horizontal="center"/>
    </xf>
    <xf numFmtId="0" fontId="143" fillId="0" borderId="0" xfId="0" applyFont="1" applyAlignment="1"/>
    <xf numFmtId="0" fontId="139" fillId="0" borderId="23" xfId="90" applyFont="1" applyBorder="1" applyAlignment="1">
      <alignment horizontal="center"/>
    </xf>
    <xf numFmtId="0" fontId="144" fillId="0" borderId="53" xfId="0" applyFont="1" applyBorder="1" applyAlignment="1">
      <alignment horizontal="center"/>
    </xf>
    <xf numFmtId="0" fontId="139" fillId="0" borderId="17" xfId="90" applyFont="1" applyBorder="1" applyAlignment="1">
      <alignment wrapText="1"/>
    </xf>
    <xf numFmtId="0" fontId="144" fillId="0" borderId="80" xfId="0" applyFont="1" applyBorder="1" applyAlignment="1"/>
    <xf numFmtId="0" fontId="7" fillId="0" borderId="18" xfId="90" applyFont="1" applyBorder="1" applyAlignment="1">
      <alignment wrapText="1"/>
    </xf>
    <xf numFmtId="0" fontId="144" fillId="0" borderId="86" xfId="0" applyFont="1" applyBorder="1" applyAlignment="1">
      <alignment wrapText="1"/>
    </xf>
    <xf numFmtId="0" fontId="145" fillId="0" borderId="18" xfId="90" applyFont="1" applyBorder="1" applyAlignment="1">
      <alignment wrapText="1"/>
    </xf>
    <xf numFmtId="0" fontId="13" fillId="0" borderId="26" xfId="90" applyFont="1" applyBorder="1" applyAlignment="1">
      <alignment wrapText="1"/>
    </xf>
    <xf numFmtId="0" fontId="0" fillId="0" borderId="88" xfId="0" applyBorder="1" applyAlignment="1"/>
    <xf numFmtId="0" fontId="0" fillId="0" borderId="86" xfId="0" applyBorder="1" applyAlignment="1">
      <alignment wrapText="1"/>
    </xf>
    <xf numFmtId="0" fontId="144" fillId="0" borderId="88" xfId="0" applyFont="1" applyBorder="1" applyAlignment="1"/>
    <xf numFmtId="0" fontId="0" fillId="0" borderId="88" xfId="0" applyBorder="1" applyAlignment="1">
      <alignment wrapText="1"/>
    </xf>
    <xf numFmtId="0" fontId="149" fillId="0" borderId="26" xfId="90" applyFont="1" applyBorder="1" applyAlignment="1">
      <alignment wrapText="1"/>
    </xf>
    <xf numFmtId="0" fontId="148" fillId="0" borderId="88" xfId="0" applyFont="1" applyBorder="1" applyAlignment="1"/>
    <xf numFmtId="0" fontId="150" fillId="0" borderId="20" xfId="90" applyFont="1" applyBorder="1" applyAlignment="1">
      <alignment wrapText="1"/>
    </xf>
    <xf numFmtId="0" fontId="148" fillId="0" borderId="81" xfId="0" applyFont="1" applyBorder="1" applyAlignment="1">
      <alignment wrapText="1"/>
    </xf>
    <xf numFmtId="0" fontId="138" fillId="0" borderId="0" xfId="90" applyFont="1" applyBorder="1" applyAlignment="1">
      <alignment horizontal="center"/>
    </xf>
    <xf numFmtId="0" fontId="147" fillId="0" borderId="23" xfId="90" applyFont="1" applyBorder="1" applyAlignment="1">
      <alignment horizontal="center"/>
    </xf>
    <xf numFmtId="0" fontId="148" fillId="0" borderId="53" xfId="0" applyFont="1" applyBorder="1" applyAlignment="1">
      <alignment horizontal="center"/>
    </xf>
    <xf numFmtId="0" fontId="99" fillId="0" borderId="16" xfId="91" applyFont="1" applyBorder="1" applyAlignment="1">
      <alignment horizontal="center"/>
    </xf>
    <xf numFmtId="0" fontId="56" fillId="0" borderId="0" xfId="91" applyFont="1" applyAlignment="1">
      <alignment horizontal="center"/>
    </xf>
    <xf numFmtId="0" fontId="98" fillId="0" borderId="0" xfId="91" applyFont="1" applyAlignment="1">
      <alignment horizontal="center"/>
    </xf>
    <xf numFmtId="0" fontId="99" fillId="0" borderId="0" xfId="91" applyFont="1" applyAlignment="1">
      <alignment horizontal="center"/>
    </xf>
    <xf numFmtId="0" fontId="154" fillId="0" borderId="24" xfId="92" applyFont="1" applyFill="1" applyBorder="1" applyAlignment="1">
      <alignment wrapText="1"/>
    </xf>
    <xf numFmtId="0" fontId="143" fillId="0" borderId="24" xfId="0" applyFont="1" applyFill="1" applyBorder="1" applyAlignment="1"/>
    <xf numFmtId="0" fontId="143" fillId="0" borderId="141" xfId="0" applyFont="1" applyFill="1" applyBorder="1" applyAlignment="1"/>
    <xf numFmtId="0" fontId="153" fillId="0" borderId="0" xfId="92" applyFont="1" applyAlignment="1">
      <alignment horizontal="center"/>
    </xf>
    <xf numFmtId="0" fontId="138" fillId="0" borderId="18" xfId="92" applyFont="1" applyBorder="1" applyAlignment="1">
      <alignment horizontal="center"/>
    </xf>
    <xf numFmtId="0" fontId="138" fillId="0" borderId="0" xfId="92" applyFont="1" applyBorder="1" applyAlignment="1">
      <alignment horizontal="center"/>
    </xf>
    <xf numFmtId="0" fontId="14" fillId="0" borderId="135" xfId="0" applyFont="1" applyBorder="1" applyAlignment="1">
      <alignment horizontal="center"/>
    </xf>
    <xf numFmtId="0" fontId="14" fillId="0" borderId="133" xfId="0" applyFont="1" applyBorder="1" applyAlignment="1">
      <alignment horizontal="center"/>
    </xf>
    <xf numFmtId="0" fontId="3" fillId="0" borderId="0" xfId="93" applyFont="1" applyBorder="1" applyAlignment="1">
      <alignment horizontal="center"/>
    </xf>
    <xf numFmtId="0" fontId="9" fillId="0" borderId="0" xfId="93" applyFont="1" applyBorder="1" applyAlignment="1">
      <alignment horizontal="left"/>
    </xf>
    <xf numFmtId="0" fontId="2" fillId="0" borderId="23" xfId="93" applyBorder="1" applyAlignment="1">
      <alignment horizontal="center" vertical="center"/>
    </xf>
    <xf numFmtId="0" fontId="2" fillId="0" borderId="63" xfId="93" applyBorder="1" applyAlignment="1">
      <alignment horizontal="center" vertical="center"/>
    </xf>
    <xf numFmtId="0" fontId="2" fillId="0" borderId="18" xfId="93" applyBorder="1" applyAlignment="1">
      <alignment horizontal="center" vertical="center"/>
    </xf>
    <xf numFmtId="0" fontId="2" fillId="0" borderId="31" xfId="93" applyBorder="1" applyAlignment="1">
      <alignment horizontal="center" vertical="center"/>
    </xf>
    <xf numFmtId="0" fontId="2" fillId="0" borderId="19" xfId="93" applyBorder="1" applyAlignment="1">
      <alignment horizontal="center" vertical="center"/>
    </xf>
    <xf numFmtId="0" fontId="2" fillId="0" borderId="97" xfId="93" applyBorder="1" applyAlignment="1">
      <alignment horizontal="center" vertical="center"/>
    </xf>
    <xf numFmtId="0" fontId="2" fillId="0" borderId="47" xfId="93" applyBorder="1" applyAlignment="1">
      <alignment horizontal="center" vertical="center"/>
    </xf>
    <xf numFmtId="0" fontId="2" fillId="0" borderId="29" xfId="93" applyBorder="1" applyAlignment="1">
      <alignment horizontal="center" vertical="center"/>
    </xf>
    <xf numFmtId="0" fontId="2" fillId="0" borderId="33" xfId="93" applyBorder="1" applyAlignment="1">
      <alignment horizontal="center" vertical="center"/>
    </xf>
    <xf numFmtId="0" fontId="2" fillId="0" borderId="117" xfId="93" applyBorder="1" applyAlignment="1">
      <alignment horizontal="center"/>
    </xf>
    <xf numFmtId="0" fontId="2" fillId="0" borderId="129" xfId="93" applyBorder="1" applyAlignment="1">
      <alignment horizontal="center"/>
    </xf>
    <xf numFmtId="0" fontId="2" fillId="0" borderId="116" xfId="93" applyBorder="1" applyAlignment="1">
      <alignment horizontal="center"/>
    </xf>
    <xf numFmtId="0" fontId="2" fillId="0" borderId="49" xfId="93" applyBorder="1" applyAlignment="1">
      <alignment horizontal="center"/>
    </xf>
    <xf numFmtId="0" fontId="2" fillId="0" borderId="24" xfId="93" applyBorder="1" applyAlignment="1">
      <alignment horizontal="center"/>
    </xf>
    <xf numFmtId="0" fontId="2" fillId="0" borderId="141" xfId="93" applyBorder="1" applyAlignment="1">
      <alignment horizontal="center"/>
    </xf>
    <xf numFmtId="0" fontId="2" fillId="0" borderId="88" xfId="93" applyBorder="1" applyAlignment="1">
      <alignment horizontal="center"/>
    </xf>
    <xf numFmtId="0" fontId="2" fillId="0" borderId="55" xfId="93" applyBorder="1" applyAlignment="1">
      <alignment horizontal="center" vertical="center"/>
    </xf>
    <xf numFmtId="0" fontId="2" fillId="0" borderId="98" xfId="93" applyBorder="1" applyAlignment="1">
      <alignment horizontal="center" vertical="center"/>
    </xf>
    <xf numFmtId="0" fontId="2" fillId="0" borderId="82" xfId="93" applyBorder="1" applyAlignment="1">
      <alignment horizontal="center" vertical="center"/>
    </xf>
    <xf numFmtId="0" fontId="2" fillId="0" borderId="142" xfId="93" applyBorder="1" applyAlignment="1">
      <alignment horizontal="center" vertical="center"/>
    </xf>
    <xf numFmtId="0" fontId="2" fillId="0" borderId="135" xfId="93" applyBorder="1" applyAlignment="1">
      <alignment horizontal="center" vertical="center"/>
    </xf>
    <xf numFmtId="0" fontId="2" fillId="0" borderId="143" xfId="93" applyBorder="1" applyAlignment="1">
      <alignment horizontal="center" vertical="center"/>
    </xf>
    <xf numFmtId="0" fontId="2" fillId="0" borderId="82" xfId="93" applyBorder="1" applyAlignment="1">
      <alignment horizontal="center"/>
    </xf>
    <xf numFmtId="0" fontId="2" fillId="0" borderId="142" xfId="93" applyBorder="1" applyAlignment="1">
      <alignment horizontal="center"/>
    </xf>
    <xf numFmtId="0" fontId="2" fillId="0" borderId="128" xfId="93" applyBorder="1" applyAlignment="1">
      <alignment horizontal="center" vertical="center"/>
    </xf>
    <xf numFmtId="0" fontId="2" fillId="0" borderId="133" xfId="93" applyBorder="1" applyAlignment="1">
      <alignment horizontal="center" vertical="center"/>
    </xf>
    <xf numFmtId="0" fontId="2" fillId="0" borderId="135" xfId="93" applyBorder="1" applyAlignment="1">
      <alignment horizontal="center"/>
    </xf>
    <xf numFmtId="0" fontId="2" fillId="0" borderId="143" xfId="93" applyBorder="1" applyAlignment="1">
      <alignment horizontal="center"/>
    </xf>
    <xf numFmtId="49" fontId="2" fillId="0" borderId="134" xfId="93" applyNumberFormat="1" applyFill="1" applyBorder="1" applyAlignment="1">
      <alignment horizontal="center"/>
    </xf>
    <xf numFmtId="49" fontId="2" fillId="0" borderId="143" xfId="93" applyNumberFormat="1" applyFill="1" applyBorder="1" applyAlignment="1">
      <alignment horizontal="center"/>
    </xf>
    <xf numFmtId="0" fontId="2" fillId="0" borderId="91" xfId="93" applyFill="1" applyBorder="1" applyAlignment="1">
      <alignment horizontal="left"/>
    </xf>
    <xf numFmtId="0" fontId="2" fillId="0" borderId="143" xfId="93" applyFill="1" applyBorder="1" applyAlignment="1">
      <alignment horizontal="left"/>
    </xf>
    <xf numFmtId="49" fontId="2" fillId="0" borderId="26" xfId="93" applyNumberFormat="1" applyFill="1" applyBorder="1" applyAlignment="1">
      <alignment horizontal="center"/>
    </xf>
    <xf numFmtId="49" fontId="2" fillId="0" borderId="141" xfId="93" applyNumberFormat="1" applyFill="1" applyBorder="1" applyAlignment="1">
      <alignment horizontal="center"/>
    </xf>
    <xf numFmtId="0" fontId="2" fillId="0" borderId="24" xfId="93" applyFill="1" applyBorder="1" applyAlignment="1">
      <alignment horizontal="left"/>
    </xf>
    <xf numFmtId="0" fontId="2" fillId="0" borderId="141" xfId="93" applyFill="1" applyBorder="1" applyAlignment="1">
      <alignment horizontal="left"/>
    </xf>
    <xf numFmtId="49" fontId="2" fillId="0" borderId="17" xfId="93" applyNumberFormat="1" applyFill="1" applyBorder="1" applyAlignment="1">
      <alignment horizontal="center"/>
    </xf>
    <xf numFmtId="49" fontId="2" fillId="0" borderId="139" xfId="93" applyNumberFormat="1" applyFill="1" applyBorder="1" applyAlignment="1">
      <alignment horizontal="center"/>
    </xf>
    <xf numFmtId="0" fontId="2" fillId="0" borderId="22" xfId="93" applyFont="1" applyFill="1" applyBorder="1" applyAlignment="1">
      <alignment horizontal="left"/>
    </xf>
    <xf numFmtId="0" fontId="2" fillId="0" borderId="139" xfId="93" applyFill="1" applyBorder="1" applyAlignment="1">
      <alignment horizontal="left"/>
    </xf>
    <xf numFmtId="49" fontId="2" fillId="0" borderId="26" xfId="93" applyNumberFormat="1" applyFont="1" applyBorder="1" applyAlignment="1">
      <alignment horizontal="center"/>
    </xf>
    <xf numFmtId="49" fontId="2" fillId="0" borderId="141" xfId="93" applyNumberFormat="1" applyBorder="1" applyAlignment="1">
      <alignment horizontal="center"/>
    </xf>
    <xf numFmtId="49" fontId="2" fillId="0" borderId="115" xfId="93" applyNumberFormat="1" applyFont="1" applyFill="1" applyBorder="1" applyAlignment="1">
      <alignment horizontal="center"/>
    </xf>
    <xf numFmtId="49" fontId="2" fillId="0" borderId="118" xfId="93" applyNumberFormat="1" applyFill="1" applyBorder="1" applyAlignment="1">
      <alignment horizontal="center"/>
    </xf>
    <xf numFmtId="49" fontId="2" fillId="0" borderId="134" xfId="93" applyNumberFormat="1" applyFont="1" applyBorder="1" applyAlignment="1">
      <alignment horizontal="center"/>
    </xf>
    <xf numFmtId="49" fontId="2" fillId="0" borderId="143" xfId="93" applyNumberFormat="1" applyBorder="1" applyAlignment="1">
      <alignment horizontal="center"/>
    </xf>
    <xf numFmtId="0" fontId="2" fillId="0" borderId="91" xfId="93" applyBorder="1" applyAlignment="1">
      <alignment horizontal="left"/>
    </xf>
    <xf numFmtId="0" fontId="2" fillId="0" borderId="143" xfId="93" applyBorder="1" applyAlignment="1">
      <alignment horizontal="left"/>
    </xf>
    <xf numFmtId="49" fontId="2" fillId="0" borderId="57" xfId="93" applyNumberFormat="1" applyFont="1" applyBorder="1" applyAlignment="1">
      <alignment horizontal="center"/>
    </xf>
    <xf numFmtId="49" fontId="2" fillId="0" borderId="142" xfId="93" applyNumberFormat="1" applyBorder="1" applyAlignment="1">
      <alignment horizontal="center"/>
    </xf>
    <xf numFmtId="0" fontId="2" fillId="0" borderId="24" xfId="93" applyBorder="1" applyAlignment="1">
      <alignment horizontal="left"/>
    </xf>
    <xf numFmtId="0" fontId="2" fillId="0" borderId="141" xfId="93" applyBorder="1" applyAlignment="1">
      <alignment horizontal="left"/>
    </xf>
    <xf numFmtId="49" fontId="2" fillId="0" borderId="101" xfId="93" applyNumberFormat="1" applyBorder="1" applyAlignment="1">
      <alignment horizontal="center"/>
    </xf>
    <xf numFmtId="49" fontId="2" fillId="0" borderId="91" xfId="93" applyNumberFormat="1" applyBorder="1" applyAlignment="1">
      <alignment horizontal="center"/>
    </xf>
    <xf numFmtId="0" fontId="2" fillId="0" borderId="19" xfId="93" applyBorder="1" applyAlignment="1">
      <alignment horizontal="center"/>
    </xf>
    <xf numFmtId="0" fontId="2" fillId="0" borderId="16" xfId="93" applyBorder="1" applyAlignment="1">
      <alignment horizontal="center"/>
    </xf>
    <xf numFmtId="0" fontId="33" fillId="0" borderId="37" xfId="0" applyFont="1" applyFill="1" applyBorder="1" applyAlignment="1">
      <alignment wrapText="1"/>
    </xf>
    <xf numFmtId="0" fontId="0" fillId="0" borderId="39" xfId="0" applyFill="1" applyBorder="1" applyAlignment="1"/>
    <xf numFmtId="3" fontId="153" fillId="0" borderId="0" xfId="94" applyNumberFormat="1" applyFont="1" applyFill="1" applyAlignment="1">
      <alignment horizontal="center"/>
    </xf>
    <xf numFmtId="3" fontId="138" fillId="0" borderId="20" xfId="94" applyNumberFormat="1" applyFont="1" applyFill="1" applyBorder="1" applyAlignment="1">
      <alignment horizontal="center"/>
    </xf>
    <xf numFmtId="3" fontId="138" fillId="0" borderId="93" xfId="94" applyNumberFormat="1" applyFont="1" applyFill="1" applyBorder="1" applyAlignment="1">
      <alignment horizontal="center"/>
    </xf>
    <xf numFmtId="3" fontId="138" fillId="0" borderId="81" xfId="94" applyNumberFormat="1" applyFont="1" applyFill="1" applyBorder="1" applyAlignment="1">
      <alignment horizontal="center"/>
    </xf>
    <xf numFmtId="3" fontId="33" fillId="0" borderId="37" xfId="94" applyNumberFormat="1" applyFont="1" applyFill="1" applyBorder="1" applyAlignment="1">
      <alignment horizontal="left" wrapText="1"/>
    </xf>
    <xf numFmtId="3" fontId="33" fillId="0" borderId="39" xfId="94" applyNumberFormat="1" applyFont="1" applyFill="1" applyBorder="1" applyAlignment="1">
      <alignment horizontal="left" wrapText="1"/>
    </xf>
    <xf numFmtId="3" fontId="33" fillId="0" borderId="0" xfId="94" applyNumberFormat="1" applyFont="1" applyFill="1" applyBorder="1" applyAlignment="1">
      <alignment wrapText="1"/>
    </xf>
    <xf numFmtId="0" fontId="0" fillId="0" borderId="31" xfId="0" applyFill="1" applyBorder="1" applyAlignment="1"/>
    <xf numFmtId="0" fontId="14" fillId="0" borderId="0" xfId="97" applyFont="1" applyAlignment="1">
      <alignment horizontal="center"/>
    </xf>
    <xf numFmtId="0" fontId="14" fillId="0" borderId="0" xfId="98" applyFont="1" applyAlignment="1">
      <alignment horizontal="center"/>
    </xf>
    <xf numFmtId="0" fontId="3" fillId="0" borderId="23" xfId="96" applyFont="1" applyBorder="1" applyAlignment="1">
      <alignment horizontal="center" vertical="center"/>
    </xf>
    <xf numFmtId="0" fontId="3" fillId="0" borderId="46" xfId="96" applyFont="1" applyBorder="1" applyAlignment="1">
      <alignment horizontal="center" vertical="center"/>
    </xf>
    <xf numFmtId="0" fontId="3" fillId="0" borderId="63" xfId="96" applyFont="1" applyBorder="1" applyAlignment="1">
      <alignment horizontal="center" vertical="center"/>
    </xf>
    <xf numFmtId="0" fontId="3" fillId="0" borderId="18" xfId="96" applyFont="1" applyBorder="1" applyAlignment="1">
      <alignment horizontal="center" vertical="center"/>
    </xf>
    <xf numFmtId="0" fontId="3" fillId="0" borderId="0" xfId="96" applyFont="1" applyBorder="1" applyAlignment="1">
      <alignment horizontal="center" vertical="center"/>
    </xf>
    <xf numFmtId="0" fontId="3" fillId="0" borderId="31" xfId="96" applyFont="1" applyBorder="1" applyAlignment="1">
      <alignment horizontal="center" vertical="center"/>
    </xf>
    <xf numFmtId="0" fontId="3" fillId="0" borderId="19" xfId="96" applyFont="1" applyBorder="1" applyAlignment="1">
      <alignment horizontal="center" vertical="center"/>
    </xf>
    <xf numFmtId="0" fontId="3" fillId="0" borderId="16" xfId="96" applyFont="1" applyBorder="1" applyAlignment="1">
      <alignment horizontal="center" vertical="center"/>
    </xf>
    <xf numFmtId="0" fontId="3" fillId="0" borderId="97" xfId="96" applyFont="1" applyBorder="1" applyAlignment="1">
      <alignment horizontal="center" vertical="center"/>
    </xf>
    <xf numFmtId="3" fontId="3" fillId="0" borderId="45" xfId="96" applyNumberFormat="1" applyFont="1" applyBorder="1" applyAlignment="1">
      <alignment horizontal="center" vertical="center" wrapText="1"/>
    </xf>
    <xf numFmtId="3" fontId="3" fillId="0" borderId="15" xfId="96" applyNumberFormat="1" applyFont="1" applyBorder="1" applyAlignment="1">
      <alignment horizontal="center" vertical="center" wrapText="1"/>
    </xf>
    <xf numFmtId="3" fontId="3" fillId="0" borderId="61" xfId="96" applyNumberFormat="1" applyFont="1" applyBorder="1" applyAlignment="1">
      <alignment horizontal="center" vertical="center" wrapText="1"/>
    </xf>
    <xf numFmtId="0" fontId="3" fillId="0" borderId="47" xfId="96" applyFont="1" applyBorder="1" applyAlignment="1">
      <alignment horizontal="center" vertical="center"/>
    </xf>
    <xf numFmtId="0" fontId="3" fillId="0" borderId="53" xfId="96" applyFont="1" applyBorder="1" applyAlignment="1">
      <alignment horizontal="center" vertical="center"/>
    </xf>
    <xf numFmtId="0" fontId="3" fillId="0" borderId="135" xfId="96" applyFont="1" applyBorder="1" applyAlignment="1">
      <alignment horizontal="center" vertical="center"/>
    </xf>
    <xf numFmtId="0" fontId="3" fillId="0" borderId="133" xfId="96" applyFont="1" applyBorder="1" applyAlignment="1">
      <alignment horizontal="center" vertical="center"/>
    </xf>
    <xf numFmtId="0" fontId="3" fillId="0" borderId="83" xfId="96" applyFont="1" applyBorder="1" applyAlignment="1">
      <alignment horizontal="center" vertical="center" wrapText="1"/>
    </xf>
    <xf numFmtId="0" fontId="3" fillId="0" borderId="69" xfId="96" applyFont="1" applyBorder="1" applyAlignment="1">
      <alignment horizontal="center" vertical="center"/>
    </xf>
    <xf numFmtId="0" fontId="3" fillId="0" borderId="70" xfId="96" applyFont="1" applyBorder="1" applyAlignment="1">
      <alignment horizontal="center" vertical="center"/>
    </xf>
    <xf numFmtId="0" fontId="4" fillId="0" borderId="26" xfId="96" applyFont="1" applyFill="1" applyBorder="1" applyAlignment="1">
      <alignment horizontal="left" wrapText="1"/>
    </xf>
    <xf numFmtId="0" fontId="4" fillId="0" borderId="24" xfId="96" applyFont="1" applyFill="1" applyBorder="1" applyAlignment="1">
      <alignment horizontal="left" wrapText="1"/>
    </xf>
    <xf numFmtId="0" fontId="4" fillId="0" borderId="141" xfId="96" applyFont="1" applyFill="1" applyBorder="1" applyAlignment="1">
      <alignment horizontal="left" wrapText="1"/>
    </xf>
    <xf numFmtId="0" fontId="87" fillId="0" borderId="26" xfId="96" applyFont="1" applyFill="1" applyBorder="1" applyAlignment="1">
      <alignment wrapText="1"/>
    </xf>
    <xf numFmtId="0" fontId="163" fillId="0" borderId="24" xfId="0" applyFont="1" applyBorder="1" applyAlignment="1">
      <alignment wrapText="1"/>
    </xf>
    <xf numFmtId="0" fontId="163" fillId="0" borderId="141" xfId="0" applyFont="1" applyBorder="1" applyAlignment="1">
      <alignment wrapText="1"/>
    </xf>
    <xf numFmtId="0" fontId="121" fillId="0" borderId="26" xfId="96" applyFont="1" applyFill="1" applyBorder="1" applyAlignment="1">
      <alignment horizontal="left" wrapText="1"/>
    </xf>
    <xf numFmtId="0" fontId="121" fillId="0" borderId="24" xfId="96" applyFont="1" applyFill="1" applyBorder="1" applyAlignment="1">
      <alignment horizontal="left" wrapText="1"/>
    </xf>
    <xf numFmtId="0" fontId="121" fillId="0" borderId="141" xfId="96" applyFont="1" applyFill="1" applyBorder="1" applyAlignment="1">
      <alignment horizontal="left" wrapText="1"/>
    </xf>
    <xf numFmtId="0" fontId="167" fillId="0" borderId="0" xfId="99" applyFont="1" applyAlignment="1">
      <alignment horizontal="center" wrapText="1"/>
    </xf>
    <xf numFmtId="0" fontId="167" fillId="0" borderId="0" xfId="99" applyFont="1" applyAlignment="1">
      <alignment horizontal="center"/>
    </xf>
    <xf numFmtId="0" fontId="170" fillId="0" borderId="83" xfId="99" applyFont="1" applyBorder="1" applyAlignment="1">
      <alignment horizontal="center" vertical="center" wrapText="1"/>
    </xf>
    <xf numFmtId="0" fontId="170" fillId="0" borderId="70" xfId="99" applyFont="1" applyBorder="1" applyAlignment="1">
      <alignment horizontal="center" vertical="center" wrapText="1"/>
    </xf>
    <xf numFmtId="0" fontId="170" fillId="0" borderId="115" xfId="99" applyFont="1" applyBorder="1" applyAlignment="1">
      <alignment horizontal="center" vertical="center"/>
    </xf>
    <xf numFmtId="0" fontId="170" fillId="0" borderId="129" xfId="99" applyFont="1" applyBorder="1" applyAlignment="1">
      <alignment horizontal="center" vertical="center"/>
    </xf>
    <xf numFmtId="0" fontId="170" fillId="0" borderId="116" xfId="99" applyFont="1" applyBorder="1" applyAlignment="1">
      <alignment horizontal="center" vertical="center"/>
    </xf>
    <xf numFmtId="3" fontId="126" fillId="0" borderId="121" xfId="94" applyNumberFormat="1" applyFont="1" applyFill="1" applyBorder="1" applyAlignment="1">
      <alignment horizontal="center"/>
    </xf>
    <xf numFmtId="3" fontId="126" fillId="0" borderId="127" xfId="94" applyNumberFormat="1" applyFont="1" applyFill="1" applyBorder="1"/>
    <xf numFmtId="3" fontId="126" fillId="0" borderId="127" xfId="95" applyNumberFormat="1" applyFont="1" applyFill="1" applyBorder="1"/>
    <xf numFmtId="3" fontId="126" fillId="0" borderId="144" xfId="95" applyNumberFormat="1" applyFont="1" applyFill="1" applyBorder="1"/>
    <xf numFmtId="3" fontId="126" fillId="0" borderId="145" xfId="94" applyNumberFormat="1" applyFont="1" applyFill="1" applyBorder="1"/>
  </cellXfs>
  <cellStyles count="108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 xr:uid="{00000000-0005-0000-0000-00001E000000}"/>
    <cellStyle name="60% - Accent2" xfId="32" xr:uid="{00000000-0005-0000-0000-00001F000000}"/>
    <cellStyle name="60% - Accent3" xfId="33" xr:uid="{00000000-0005-0000-0000-000020000000}"/>
    <cellStyle name="60% - Accent4" xfId="34" xr:uid="{00000000-0005-0000-0000-000021000000}"/>
    <cellStyle name="60% - Accent5" xfId="35" xr:uid="{00000000-0005-0000-0000-000022000000}"/>
    <cellStyle name="60% - Accent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evitel" xfId="44" builtinId="20" customBuiltin="1"/>
    <cellStyle name="Calculation" xfId="45" xr:uid="{00000000-0005-0000-0000-00002C000000}"/>
    <cellStyle name="Check Cell" xfId="46" xr:uid="{00000000-0005-0000-0000-00002D000000}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 xr:uid="{00000000-0005-0000-0000-000034000000}"/>
    <cellStyle name="Figyelmeztetés" xfId="54" builtinId="11" customBuiltin="1"/>
    <cellStyle name="Good" xfId="55" xr:uid="{00000000-0005-0000-0000-000036000000}"/>
    <cellStyle name="Heading 1" xfId="56" xr:uid="{00000000-0005-0000-0000-000037000000}"/>
    <cellStyle name="Heading 2" xfId="57" xr:uid="{00000000-0005-0000-0000-000038000000}"/>
    <cellStyle name="Heading 3" xfId="58" xr:uid="{00000000-0005-0000-0000-000039000000}"/>
    <cellStyle name="Heading 4" xfId="59" xr:uid="{00000000-0005-0000-0000-00003A000000}"/>
    <cellStyle name="Hivatkozott cella" xfId="60" builtinId="24" customBuiltin="1"/>
    <cellStyle name="Input" xfId="61" xr:uid="{00000000-0005-0000-0000-00003C000000}"/>
    <cellStyle name="Jegyzet" xfId="62" builtinId="10" customBuiltin="1"/>
    <cellStyle name="Jelölőszín (1)" xfId="63" xr:uid="{00000000-0005-0000-0000-00003E000000}"/>
    <cellStyle name="Jelölőszín (2)" xfId="64" xr:uid="{00000000-0005-0000-0000-00003F000000}"/>
    <cellStyle name="Jelölőszín (3)" xfId="65" xr:uid="{00000000-0005-0000-0000-000040000000}"/>
    <cellStyle name="Jelölőszín (4)" xfId="66" xr:uid="{00000000-0005-0000-0000-000041000000}"/>
    <cellStyle name="Jelölőszín (5)" xfId="67" xr:uid="{00000000-0005-0000-0000-000042000000}"/>
    <cellStyle name="Jelölőszín (6)" xfId="68" xr:uid="{00000000-0005-0000-0000-000043000000}"/>
    <cellStyle name="Jó" xfId="69" builtinId="26" customBuiltin="1"/>
    <cellStyle name="Kimenet" xfId="70" builtinId="21" customBuiltin="1"/>
    <cellStyle name="Linked Cell" xfId="71" xr:uid="{00000000-0005-0000-0000-000046000000}"/>
    <cellStyle name="Magyarázó szöveg" xfId="72" builtinId="53" customBuiltin="1"/>
    <cellStyle name="Neutral" xfId="73" xr:uid="{00000000-0005-0000-0000-000048000000}"/>
    <cellStyle name="Normál" xfId="0" builtinId="0"/>
    <cellStyle name="Normal 2" xfId="74" xr:uid="{00000000-0005-0000-0000-00004A000000}"/>
    <cellStyle name="Normál 2" xfId="75" xr:uid="{00000000-0005-0000-0000-00004B000000}"/>
    <cellStyle name="Normál 2 2" xfId="106" xr:uid="{00000000-0005-0000-0000-00004C000000}"/>
    <cellStyle name="Normál 3" xfId="76" xr:uid="{00000000-0005-0000-0000-00004D000000}"/>
    <cellStyle name="Normál 5" xfId="99" xr:uid="{00000000-0005-0000-0000-00004E000000}"/>
    <cellStyle name="Normál_99LETSZ_LETSZ02" xfId="102" xr:uid="{00000000-0005-0000-0000-00004F000000}"/>
    <cellStyle name="Normál_ESZKFOR" xfId="90" xr:uid="{00000000-0005-0000-0000-000050000000}"/>
    <cellStyle name="Normál_GAZDTÁRS11" xfId="98" xr:uid="{00000000-0005-0000-0000-000051000000}"/>
    <cellStyle name="Normál_GAZDTÁRS13" xfId="97" xr:uid="{00000000-0005-0000-0000-000052000000}"/>
    <cellStyle name="Normál_GAZDTÁRS15" xfId="96" xr:uid="{00000000-0005-0000-0000-000053000000}"/>
    <cellStyle name="Normál_GUCIFEJL" xfId="77" xr:uid="{00000000-0005-0000-0000-000054000000}"/>
    <cellStyle name="Normál_IKÖZI" xfId="105" xr:uid="{00000000-0005-0000-0000-000055000000}"/>
    <cellStyle name="Normál_kiemelt eik 2013" xfId="101" xr:uid="{00000000-0005-0000-0000-000056000000}"/>
    <cellStyle name="Normál_kozvetetttam" xfId="88" xr:uid="{00000000-0005-0000-0000-000057000000}"/>
    <cellStyle name="Normál_LAKAS" xfId="91" xr:uid="{00000000-0005-0000-0000-000058000000}"/>
    <cellStyle name="Normál_LETSZ06" xfId="104" xr:uid="{00000000-0005-0000-0000-000059000000}"/>
    <cellStyle name="Normál_letsz2011" xfId="103" xr:uid="{00000000-0005-0000-0000-00005A000000}"/>
    <cellStyle name="Normál_módIV12önk" xfId="100" xr:uid="{00000000-0005-0000-0000-00005B000000}"/>
    <cellStyle name="Normál_Munkafüzet1" xfId="93" xr:uid="{00000000-0005-0000-0000-00005C000000}"/>
    <cellStyle name="Normál_Munkafüzet2" xfId="78" xr:uid="{00000000-0005-0000-0000-00005D000000}"/>
    <cellStyle name="Normál_össz 97 norma kerekítés_1_98 évi norma tény (2)" xfId="107" xr:uid="{00000000-0005-0000-0000-00005E000000}"/>
    <cellStyle name="Normál_SEGÉLY98" xfId="92" xr:uid="{00000000-0005-0000-0000-00005F000000}"/>
    <cellStyle name="Normál_TÖBBEV" xfId="89" xr:uid="{00000000-0005-0000-0000-000060000000}"/>
    <cellStyle name="Normál_VAGYONRE" xfId="94" xr:uid="{00000000-0005-0000-0000-000061000000}"/>
    <cellStyle name="Normál_VAGYONZ" xfId="95" xr:uid="{00000000-0005-0000-0000-000062000000}"/>
    <cellStyle name="Note" xfId="79" xr:uid="{00000000-0005-0000-0000-000063000000}"/>
    <cellStyle name="Output" xfId="80" xr:uid="{00000000-0005-0000-0000-000064000000}"/>
    <cellStyle name="Összesen" xfId="81" builtinId="25" customBuiltin="1"/>
    <cellStyle name="Rossz" xfId="82" builtinId="27" customBuiltin="1"/>
    <cellStyle name="Semleges" xfId="83" builtinId="28" customBuiltin="1"/>
    <cellStyle name="Számítás" xfId="84" builtinId="22" customBuiltin="1"/>
    <cellStyle name="Title" xfId="85" xr:uid="{00000000-0005-0000-0000-000069000000}"/>
    <cellStyle name="Total" xfId="86" xr:uid="{00000000-0005-0000-0000-00006A000000}"/>
    <cellStyle name="Warning Text" xfId="87" xr:uid="{00000000-0005-0000-0000-00006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externalLink" Target="externalLinks/externalLink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ndalf\Dokumentumok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ndalf\Dokumentumok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21/k&#246;lts&#233;gvet&#233;s/Int&#233;zm&#233;nyi%20k&#246;lts&#233;gvet&#233;s/INTkvet&#233;s%20kgy%20t&#225;bla%2020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21/Rendeletm&#243;dos&#237;t&#225;s/INTrend.m&#243;d.202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21/Besz&#225;mol&#243;/INT%20besz&#225;mol&#243;%20202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21/Rendeletm&#243;dos&#237;t&#225;s/Int.l&#233;tsz&#225;m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2021"/>
      <sheetName val="int.kiadások2021"/>
    </sheetNames>
    <sheetDataSet>
      <sheetData sheetId="0">
        <row r="9">
          <cell r="B9">
            <v>483</v>
          </cell>
          <cell r="L9">
            <v>154117</v>
          </cell>
        </row>
        <row r="10">
          <cell r="B10">
            <v>472</v>
          </cell>
          <cell r="L10">
            <v>104273</v>
          </cell>
        </row>
        <row r="11">
          <cell r="B11">
            <v>399</v>
          </cell>
          <cell r="L11">
            <v>108476</v>
          </cell>
        </row>
        <row r="12">
          <cell r="B12">
            <v>420</v>
          </cell>
          <cell r="L12">
            <v>137047</v>
          </cell>
        </row>
        <row r="13">
          <cell r="B13">
            <v>388</v>
          </cell>
          <cell r="L13">
            <v>116209</v>
          </cell>
        </row>
        <row r="14">
          <cell r="B14">
            <v>472</v>
          </cell>
          <cell r="L14">
            <v>110169</v>
          </cell>
        </row>
        <row r="15">
          <cell r="B15">
            <v>420</v>
          </cell>
          <cell r="L15">
            <v>88441</v>
          </cell>
        </row>
        <row r="16">
          <cell r="B16">
            <v>336</v>
          </cell>
          <cell r="L16">
            <v>90408</v>
          </cell>
        </row>
        <row r="17">
          <cell r="B17">
            <v>210</v>
          </cell>
          <cell r="L17">
            <v>117995</v>
          </cell>
        </row>
        <row r="18">
          <cell r="B18">
            <v>315</v>
          </cell>
          <cell r="L18">
            <v>148650</v>
          </cell>
        </row>
        <row r="19">
          <cell r="B19">
            <v>231</v>
          </cell>
          <cell r="L19">
            <v>72608</v>
          </cell>
        </row>
        <row r="20">
          <cell r="B20">
            <v>315</v>
          </cell>
          <cell r="L20">
            <v>63042</v>
          </cell>
        </row>
        <row r="21">
          <cell r="B21">
            <v>367</v>
          </cell>
          <cell r="L21">
            <v>94000</v>
          </cell>
        </row>
        <row r="22">
          <cell r="B22">
            <v>94</v>
          </cell>
          <cell r="L22">
            <v>100825</v>
          </cell>
        </row>
        <row r="23">
          <cell r="B23">
            <v>514</v>
          </cell>
          <cell r="L23">
            <v>129721</v>
          </cell>
        </row>
        <row r="24">
          <cell r="B24">
            <v>315</v>
          </cell>
          <cell r="L24">
            <v>117226</v>
          </cell>
        </row>
        <row r="25">
          <cell r="B25">
            <v>178</v>
          </cell>
          <cell r="L25">
            <v>78522</v>
          </cell>
        </row>
        <row r="26">
          <cell r="B26">
            <v>231</v>
          </cell>
          <cell r="L26">
            <v>62010</v>
          </cell>
        </row>
        <row r="28">
          <cell r="B28">
            <v>324805</v>
          </cell>
          <cell r="L28">
            <v>1062874</v>
          </cell>
        </row>
        <row r="32">
          <cell r="B32">
            <v>224317</v>
          </cell>
          <cell r="L32">
            <v>84254</v>
          </cell>
        </row>
        <row r="33">
          <cell r="B33">
            <v>25400</v>
          </cell>
          <cell r="L33">
            <v>96672</v>
          </cell>
        </row>
        <row r="34">
          <cell r="B34">
            <v>68788</v>
          </cell>
          <cell r="L34">
            <v>356192</v>
          </cell>
        </row>
        <row r="35">
          <cell r="B35">
            <v>24000</v>
          </cell>
          <cell r="L35">
            <v>213576</v>
          </cell>
        </row>
        <row r="36">
          <cell r="B36">
            <v>175509</v>
          </cell>
          <cell r="C36">
            <v>14324</v>
          </cell>
          <cell r="L36">
            <v>317025</v>
          </cell>
        </row>
        <row r="39">
          <cell r="B39">
            <v>109773</v>
          </cell>
          <cell r="L39">
            <v>779343</v>
          </cell>
        </row>
        <row r="41">
          <cell r="B41">
            <v>30503</v>
          </cell>
          <cell r="C41">
            <v>496020</v>
          </cell>
          <cell r="I41">
            <v>2455</v>
          </cell>
          <cell r="L41">
            <v>457710</v>
          </cell>
          <cell r="M41">
            <v>1778</v>
          </cell>
        </row>
        <row r="43">
          <cell r="B43">
            <v>59692</v>
          </cell>
          <cell r="L43">
            <v>903539</v>
          </cell>
        </row>
        <row r="45">
          <cell r="B45">
            <v>104347</v>
          </cell>
        </row>
        <row r="46">
          <cell r="B46">
            <v>14550</v>
          </cell>
          <cell r="E46">
            <v>1850</v>
          </cell>
          <cell r="L46">
            <v>2012120</v>
          </cell>
        </row>
      </sheetData>
      <sheetData sheetId="1">
        <row r="9">
          <cell r="B9">
            <v>128175</v>
          </cell>
          <cell r="C9">
            <v>22320</v>
          </cell>
          <cell r="D9">
            <v>4105</v>
          </cell>
        </row>
        <row r="10">
          <cell r="B10">
            <v>87990</v>
          </cell>
          <cell r="C10">
            <v>13678</v>
          </cell>
          <cell r="D10">
            <v>3077</v>
          </cell>
        </row>
        <row r="11">
          <cell r="B11">
            <v>91283</v>
          </cell>
          <cell r="C11">
            <v>14147</v>
          </cell>
          <cell r="D11">
            <v>3445</v>
          </cell>
        </row>
        <row r="12">
          <cell r="B12">
            <v>113930</v>
          </cell>
          <cell r="C12">
            <v>19841</v>
          </cell>
          <cell r="D12">
            <v>3696</v>
          </cell>
        </row>
        <row r="13">
          <cell r="B13">
            <v>96391</v>
          </cell>
          <cell r="C13">
            <v>16755</v>
          </cell>
          <cell r="D13">
            <v>3451</v>
          </cell>
        </row>
        <row r="14">
          <cell r="B14">
            <v>93013</v>
          </cell>
          <cell r="C14">
            <v>14450</v>
          </cell>
          <cell r="D14">
            <v>3178</v>
          </cell>
        </row>
        <row r="15">
          <cell r="B15">
            <v>74315</v>
          </cell>
          <cell r="C15">
            <v>11636</v>
          </cell>
          <cell r="D15">
            <v>2910</v>
          </cell>
        </row>
        <row r="16">
          <cell r="B16">
            <v>76006</v>
          </cell>
          <cell r="C16">
            <v>11756</v>
          </cell>
          <cell r="D16">
            <v>2982</v>
          </cell>
        </row>
        <row r="17">
          <cell r="B17">
            <v>97531</v>
          </cell>
          <cell r="C17">
            <v>17094</v>
          </cell>
          <cell r="D17">
            <v>3580</v>
          </cell>
        </row>
        <row r="18">
          <cell r="B18">
            <v>123555</v>
          </cell>
          <cell r="C18">
            <v>21422</v>
          </cell>
          <cell r="D18">
            <v>3988</v>
          </cell>
        </row>
        <row r="19">
          <cell r="B19">
            <v>60732</v>
          </cell>
          <cell r="C19">
            <v>9480</v>
          </cell>
          <cell r="D19">
            <v>2627</v>
          </cell>
        </row>
        <row r="20">
          <cell r="B20">
            <v>52643</v>
          </cell>
          <cell r="C20">
            <v>8183</v>
          </cell>
          <cell r="D20">
            <v>2531</v>
          </cell>
        </row>
        <row r="21">
          <cell r="B21">
            <v>79046</v>
          </cell>
          <cell r="C21">
            <v>12298</v>
          </cell>
          <cell r="D21">
            <v>3023</v>
          </cell>
        </row>
        <row r="22">
          <cell r="B22">
            <v>84631</v>
          </cell>
          <cell r="C22">
            <v>13129</v>
          </cell>
          <cell r="D22">
            <v>3159</v>
          </cell>
        </row>
        <row r="23">
          <cell r="B23">
            <v>107631</v>
          </cell>
          <cell r="C23">
            <v>18796</v>
          </cell>
          <cell r="D23">
            <v>3808</v>
          </cell>
        </row>
        <row r="24">
          <cell r="B24">
            <v>99116</v>
          </cell>
          <cell r="C24">
            <v>15408</v>
          </cell>
          <cell r="D24">
            <v>3017</v>
          </cell>
        </row>
        <row r="25">
          <cell r="B25">
            <v>65429</v>
          </cell>
          <cell r="C25">
            <v>10182</v>
          </cell>
          <cell r="D25">
            <v>3089</v>
          </cell>
        </row>
        <row r="26">
          <cell r="B26">
            <v>51209</v>
          </cell>
          <cell r="C26">
            <v>7962</v>
          </cell>
          <cell r="D26">
            <v>3070</v>
          </cell>
        </row>
        <row r="28">
          <cell r="B28">
            <v>213533</v>
          </cell>
          <cell r="C28">
            <v>36866</v>
          </cell>
          <cell r="D28">
            <v>1137280</v>
          </cell>
        </row>
        <row r="32">
          <cell r="B32">
            <v>114401</v>
          </cell>
          <cell r="C32">
            <v>20521</v>
          </cell>
          <cell r="D32">
            <v>173649</v>
          </cell>
        </row>
        <row r="33">
          <cell r="B33">
            <v>83368</v>
          </cell>
          <cell r="C33">
            <v>12539</v>
          </cell>
          <cell r="D33">
            <v>26165</v>
          </cell>
        </row>
        <row r="34">
          <cell r="B34">
            <v>316381</v>
          </cell>
          <cell r="C34">
            <v>49573</v>
          </cell>
          <cell r="D34">
            <v>59026</v>
          </cell>
        </row>
        <row r="35">
          <cell r="B35">
            <v>158111</v>
          </cell>
          <cell r="C35">
            <v>24192</v>
          </cell>
          <cell r="D35">
            <v>55273</v>
          </cell>
        </row>
        <row r="36">
          <cell r="B36">
            <v>329346</v>
          </cell>
          <cell r="C36">
            <v>50398</v>
          </cell>
          <cell r="D36">
            <v>127114</v>
          </cell>
        </row>
        <row r="39">
          <cell r="B39">
            <v>521006</v>
          </cell>
          <cell r="C39">
            <v>95461</v>
          </cell>
          <cell r="D39">
            <v>272649</v>
          </cell>
        </row>
        <row r="41">
          <cell r="B41">
            <v>599003</v>
          </cell>
          <cell r="C41">
            <v>98911</v>
          </cell>
          <cell r="D41">
            <v>286319</v>
          </cell>
          <cell r="I41">
            <v>4233</v>
          </cell>
        </row>
        <row r="43">
          <cell r="B43">
            <v>707434</v>
          </cell>
          <cell r="C43">
            <v>125946</v>
          </cell>
          <cell r="D43">
            <v>129851</v>
          </cell>
        </row>
        <row r="45">
          <cell r="B45">
            <v>50098</v>
          </cell>
          <cell r="C45">
            <v>7831</v>
          </cell>
          <cell r="D45">
            <v>46418</v>
          </cell>
        </row>
        <row r="46">
          <cell r="B46">
            <v>1440291</v>
          </cell>
          <cell r="C46">
            <v>249293</v>
          </cell>
          <cell r="D46">
            <v>331935</v>
          </cell>
          <cell r="F46">
            <v>7001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 RM I maradvány"/>
      <sheetName val="int.kiadások RM I maradvány"/>
      <sheetName val="int.bevételek RM I"/>
      <sheetName val="int.kiadások RM I"/>
      <sheetName val="int.bevételek RM II"/>
      <sheetName val="int.kiadások RM II"/>
      <sheetName val="int.bevételek RM III"/>
      <sheetName val="int.kiadások RM III"/>
      <sheetName val="int.bevételek RM IV"/>
      <sheetName val="int.kiadások RM IV"/>
      <sheetName val="int.bevételek RM V"/>
      <sheetName val="int.kiadások RM V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D10">
            <v>1119</v>
          </cell>
          <cell r="G10">
            <v>0</v>
          </cell>
          <cell r="J10">
            <v>0</v>
          </cell>
          <cell r="M10">
            <v>0</v>
          </cell>
          <cell r="T10">
            <v>0</v>
          </cell>
          <cell r="W10">
            <v>0</v>
          </cell>
          <cell r="Z10">
            <v>0</v>
          </cell>
          <cell r="AJ10">
            <v>686</v>
          </cell>
          <cell r="AM10">
            <v>151777</v>
          </cell>
          <cell r="AP10">
            <v>10147</v>
          </cell>
        </row>
        <row r="11">
          <cell r="D11">
            <v>500</v>
          </cell>
          <cell r="G11">
            <v>0</v>
          </cell>
          <cell r="J11">
            <v>0</v>
          </cell>
          <cell r="M11">
            <v>0</v>
          </cell>
          <cell r="T11">
            <v>0</v>
          </cell>
          <cell r="W11">
            <v>0</v>
          </cell>
          <cell r="Z11">
            <v>0</v>
          </cell>
          <cell r="AJ11">
            <v>487</v>
          </cell>
          <cell r="AM11">
            <v>106436</v>
          </cell>
          <cell r="AP11">
            <v>2365</v>
          </cell>
        </row>
        <row r="12">
          <cell r="D12">
            <v>805</v>
          </cell>
          <cell r="G12">
            <v>400</v>
          </cell>
          <cell r="J12">
            <v>0</v>
          </cell>
          <cell r="M12">
            <v>0</v>
          </cell>
          <cell r="T12">
            <v>0</v>
          </cell>
          <cell r="W12">
            <v>0</v>
          </cell>
          <cell r="Z12">
            <v>0</v>
          </cell>
          <cell r="AJ12">
            <v>1870</v>
          </cell>
          <cell r="AM12">
            <v>111622</v>
          </cell>
          <cell r="AP12">
            <v>2258</v>
          </cell>
        </row>
        <row r="13">
          <cell r="D13">
            <v>361</v>
          </cell>
          <cell r="G13">
            <v>0</v>
          </cell>
          <cell r="J13">
            <v>0</v>
          </cell>
          <cell r="M13">
            <v>0</v>
          </cell>
          <cell r="T13">
            <v>0</v>
          </cell>
          <cell r="W13">
            <v>0</v>
          </cell>
          <cell r="Z13">
            <v>0</v>
          </cell>
          <cell r="AJ13">
            <v>636</v>
          </cell>
          <cell r="AM13">
            <v>134361</v>
          </cell>
          <cell r="AP13">
            <v>609</v>
          </cell>
        </row>
        <row r="14">
          <cell r="D14">
            <v>500</v>
          </cell>
          <cell r="G14">
            <v>0</v>
          </cell>
          <cell r="J14">
            <v>0</v>
          </cell>
          <cell r="M14">
            <v>0</v>
          </cell>
          <cell r="T14">
            <v>0</v>
          </cell>
          <cell r="W14">
            <v>0</v>
          </cell>
          <cell r="Z14">
            <v>0</v>
          </cell>
          <cell r="AJ14">
            <v>827</v>
          </cell>
          <cell r="AM14">
            <v>117633</v>
          </cell>
          <cell r="AP14">
            <v>3778</v>
          </cell>
        </row>
        <row r="15">
          <cell r="D15">
            <v>644</v>
          </cell>
          <cell r="G15">
            <v>0</v>
          </cell>
          <cell r="J15">
            <v>166</v>
          </cell>
          <cell r="M15">
            <v>0</v>
          </cell>
          <cell r="T15">
            <v>0</v>
          </cell>
          <cell r="W15">
            <v>0</v>
          </cell>
          <cell r="Z15">
            <v>0</v>
          </cell>
          <cell r="AJ15">
            <v>1089</v>
          </cell>
          <cell r="AM15">
            <v>110745</v>
          </cell>
          <cell r="AP15">
            <v>3238</v>
          </cell>
        </row>
        <row r="16">
          <cell r="D16">
            <v>426</v>
          </cell>
          <cell r="G16">
            <v>0</v>
          </cell>
          <cell r="J16">
            <v>0</v>
          </cell>
          <cell r="M16">
            <v>0</v>
          </cell>
          <cell r="T16">
            <v>0</v>
          </cell>
          <cell r="W16">
            <v>0</v>
          </cell>
          <cell r="Z16">
            <v>0</v>
          </cell>
          <cell r="AJ16">
            <v>255</v>
          </cell>
          <cell r="AM16">
            <v>88669</v>
          </cell>
          <cell r="AP16">
            <v>2244</v>
          </cell>
        </row>
        <row r="17">
          <cell r="D17">
            <v>562</v>
          </cell>
          <cell r="G17">
            <v>0</v>
          </cell>
          <cell r="J17">
            <v>0</v>
          </cell>
          <cell r="M17">
            <v>0</v>
          </cell>
          <cell r="T17">
            <v>0</v>
          </cell>
          <cell r="W17">
            <v>0</v>
          </cell>
          <cell r="Z17">
            <v>0</v>
          </cell>
          <cell r="AJ17">
            <v>636</v>
          </cell>
          <cell r="AM17">
            <v>93277</v>
          </cell>
          <cell r="AP17">
            <v>2084</v>
          </cell>
        </row>
        <row r="18">
          <cell r="D18">
            <v>472</v>
          </cell>
          <cell r="G18">
            <v>0</v>
          </cell>
          <cell r="J18">
            <v>0</v>
          </cell>
          <cell r="M18">
            <v>0</v>
          </cell>
          <cell r="T18">
            <v>0</v>
          </cell>
          <cell r="W18">
            <v>0</v>
          </cell>
          <cell r="Z18">
            <v>0</v>
          </cell>
          <cell r="AJ18">
            <v>777</v>
          </cell>
          <cell r="AM18">
            <v>122427</v>
          </cell>
          <cell r="AP18">
            <v>3650</v>
          </cell>
        </row>
        <row r="19">
          <cell r="D19">
            <v>1112</v>
          </cell>
          <cell r="G19">
            <v>0</v>
          </cell>
          <cell r="J19">
            <v>0</v>
          </cell>
          <cell r="M19">
            <v>0</v>
          </cell>
          <cell r="T19">
            <v>0</v>
          </cell>
          <cell r="W19">
            <v>0</v>
          </cell>
          <cell r="Z19">
            <v>0</v>
          </cell>
          <cell r="AJ19">
            <v>2298</v>
          </cell>
          <cell r="AM19">
            <v>149468</v>
          </cell>
          <cell r="AP19">
            <v>2251</v>
          </cell>
        </row>
        <row r="20">
          <cell r="D20">
            <v>204</v>
          </cell>
          <cell r="G20">
            <v>0</v>
          </cell>
          <cell r="J20">
            <v>0</v>
          </cell>
          <cell r="M20">
            <v>0</v>
          </cell>
          <cell r="T20">
            <v>0</v>
          </cell>
          <cell r="W20">
            <v>0</v>
          </cell>
          <cell r="Z20">
            <v>0</v>
          </cell>
          <cell r="AJ20">
            <v>436</v>
          </cell>
          <cell r="AM20">
            <v>74074</v>
          </cell>
          <cell r="AP20">
            <v>2036</v>
          </cell>
        </row>
        <row r="21">
          <cell r="D21">
            <v>740</v>
          </cell>
          <cell r="G21">
            <v>0</v>
          </cell>
          <cell r="J21">
            <v>0</v>
          </cell>
          <cell r="M21">
            <v>0</v>
          </cell>
          <cell r="T21">
            <v>0</v>
          </cell>
          <cell r="W21">
            <v>0</v>
          </cell>
          <cell r="Z21">
            <v>0</v>
          </cell>
          <cell r="AJ21">
            <v>435</v>
          </cell>
          <cell r="AM21">
            <v>64563</v>
          </cell>
          <cell r="AP21">
            <v>1082</v>
          </cell>
        </row>
        <row r="22">
          <cell r="D22">
            <v>371</v>
          </cell>
          <cell r="G22">
            <v>0</v>
          </cell>
          <cell r="J22">
            <v>0</v>
          </cell>
          <cell r="M22">
            <v>0</v>
          </cell>
          <cell r="T22">
            <v>0</v>
          </cell>
          <cell r="W22">
            <v>0</v>
          </cell>
          <cell r="Z22">
            <v>0</v>
          </cell>
          <cell r="AJ22">
            <v>418</v>
          </cell>
          <cell r="AM22">
            <v>96616</v>
          </cell>
          <cell r="AP22">
            <v>331</v>
          </cell>
        </row>
        <row r="23">
          <cell r="D23">
            <v>801</v>
          </cell>
          <cell r="G23">
            <v>400</v>
          </cell>
          <cell r="J23">
            <v>0</v>
          </cell>
          <cell r="M23">
            <v>0</v>
          </cell>
          <cell r="T23">
            <v>0</v>
          </cell>
          <cell r="W23">
            <v>0</v>
          </cell>
          <cell r="Z23">
            <v>0</v>
          </cell>
          <cell r="AJ23">
            <v>797</v>
          </cell>
          <cell r="AM23">
            <v>101028</v>
          </cell>
          <cell r="AP23">
            <v>4731</v>
          </cell>
        </row>
        <row r="24">
          <cell r="D24">
            <v>775</v>
          </cell>
          <cell r="G24">
            <v>0</v>
          </cell>
          <cell r="J24">
            <v>0</v>
          </cell>
          <cell r="M24">
            <v>0</v>
          </cell>
          <cell r="T24">
            <v>0</v>
          </cell>
          <cell r="W24">
            <v>0</v>
          </cell>
          <cell r="Z24">
            <v>0</v>
          </cell>
          <cell r="AJ24">
            <v>1745</v>
          </cell>
          <cell r="AM24">
            <v>134880</v>
          </cell>
          <cell r="AP24">
            <v>4012</v>
          </cell>
        </row>
        <row r="25">
          <cell r="D25">
            <v>375</v>
          </cell>
          <cell r="G25">
            <v>0</v>
          </cell>
          <cell r="J25">
            <v>0</v>
          </cell>
          <cell r="M25">
            <v>0</v>
          </cell>
          <cell r="T25">
            <v>0</v>
          </cell>
          <cell r="W25">
            <v>0</v>
          </cell>
          <cell r="Z25">
            <v>0</v>
          </cell>
          <cell r="AJ25">
            <v>1135</v>
          </cell>
          <cell r="AM25">
            <v>122775</v>
          </cell>
          <cell r="AP25">
            <v>2859</v>
          </cell>
        </row>
        <row r="26">
          <cell r="D26">
            <v>677</v>
          </cell>
          <cell r="G26">
            <v>0</v>
          </cell>
          <cell r="J26">
            <v>0</v>
          </cell>
          <cell r="M26">
            <v>0</v>
          </cell>
          <cell r="T26">
            <v>0</v>
          </cell>
          <cell r="W26">
            <v>0</v>
          </cell>
          <cell r="Z26">
            <v>0</v>
          </cell>
          <cell r="AJ26">
            <v>536</v>
          </cell>
          <cell r="AM26">
            <v>77950</v>
          </cell>
          <cell r="AP26">
            <v>2480</v>
          </cell>
        </row>
        <row r="27">
          <cell r="D27">
            <v>420</v>
          </cell>
          <cell r="G27">
            <v>0</v>
          </cell>
          <cell r="J27">
            <v>0</v>
          </cell>
          <cell r="M27">
            <v>0</v>
          </cell>
          <cell r="T27">
            <v>0</v>
          </cell>
          <cell r="W27">
            <v>0</v>
          </cell>
          <cell r="Z27">
            <v>0</v>
          </cell>
          <cell r="AJ27">
            <v>362</v>
          </cell>
          <cell r="AM27">
            <v>64497</v>
          </cell>
          <cell r="AP27">
            <v>1707</v>
          </cell>
        </row>
        <row r="29">
          <cell r="D29">
            <v>308104</v>
          </cell>
          <cell r="G29">
            <v>7494</v>
          </cell>
          <cell r="J29">
            <v>0</v>
          </cell>
          <cell r="M29">
            <v>0</v>
          </cell>
          <cell r="T29">
            <v>0</v>
          </cell>
          <cell r="W29">
            <v>0</v>
          </cell>
          <cell r="Z29">
            <v>0</v>
          </cell>
          <cell r="AJ29">
            <v>3510</v>
          </cell>
          <cell r="AM29">
            <v>1110213</v>
          </cell>
          <cell r="AP29">
            <v>73677</v>
          </cell>
        </row>
        <row r="33">
          <cell r="D33">
            <v>127799</v>
          </cell>
          <cell r="G33">
            <v>13136</v>
          </cell>
          <cell r="J33">
            <v>5070</v>
          </cell>
          <cell r="M33">
            <v>0</v>
          </cell>
          <cell r="T33">
            <v>0</v>
          </cell>
          <cell r="W33">
            <v>3260</v>
          </cell>
          <cell r="Z33">
            <v>4148</v>
          </cell>
          <cell r="AJ33">
            <v>107037</v>
          </cell>
          <cell r="AM33">
            <v>114709</v>
          </cell>
          <cell r="AP33">
            <v>13872</v>
          </cell>
        </row>
        <row r="34">
          <cell r="D34">
            <v>33759</v>
          </cell>
          <cell r="G34">
            <v>8321</v>
          </cell>
          <cell r="J34">
            <v>0</v>
          </cell>
          <cell r="M34">
            <v>0</v>
          </cell>
          <cell r="T34">
            <v>0</v>
          </cell>
          <cell r="W34">
            <v>11929</v>
          </cell>
          <cell r="Z34">
            <v>0</v>
          </cell>
          <cell r="AJ34">
            <v>2182</v>
          </cell>
          <cell r="AM34">
            <v>120694</v>
          </cell>
          <cell r="AP34">
            <v>7963</v>
          </cell>
        </row>
        <row r="35">
          <cell r="D35">
            <v>60634</v>
          </cell>
          <cell r="G35">
            <v>120650</v>
          </cell>
          <cell r="J35">
            <v>5000</v>
          </cell>
          <cell r="M35">
            <v>0</v>
          </cell>
          <cell r="T35">
            <v>236</v>
          </cell>
          <cell r="W35">
            <v>24000</v>
          </cell>
          <cell r="Z35">
            <v>0</v>
          </cell>
          <cell r="AJ35">
            <v>100966</v>
          </cell>
          <cell r="AM35">
            <v>458314</v>
          </cell>
          <cell r="AP35">
            <v>48696</v>
          </cell>
        </row>
        <row r="36">
          <cell r="D36">
            <v>30902</v>
          </cell>
          <cell r="G36">
            <v>18778</v>
          </cell>
          <cell r="J36">
            <v>0</v>
          </cell>
          <cell r="M36">
            <v>0</v>
          </cell>
          <cell r="T36">
            <v>0</v>
          </cell>
          <cell r="W36">
            <v>0</v>
          </cell>
          <cell r="Z36">
            <v>0</v>
          </cell>
          <cell r="AJ36">
            <v>66530</v>
          </cell>
          <cell r="AM36">
            <v>379463</v>
          </cell>
          <cell r="AP36">
            <v>43773</v>
          </cell>
        </row>
        <row r="37">
          <cell r="D37">
            <v>141711</v>
          </cell>
          <cell r="G37">
            <v>41699</v>
          </cell>
          <cell r="J37">
            <v>824</v>
          </cell>
          <cell r="M37">
            <v>0</v>
          </cell>
          <cell r="T37">
            <v>451</v>
          </cell>
          <cell r="W37">
            <v>1000</v>
          </cell>
          <cell r="Z37">
            <v>0</v>
          </cell>
          <cell r="AJ37">
            <v>77089</v>
          </cell>
          <cell r="AM37">
            <v>421752</v>
          </cell>
          <cell r="AP37">
            <v>19510</v>
          </cell>
        </row>
        <row r="40">
          <cell r="D40">
            <v>133268</v>
          </cell>
          <cell r="G40">
            <v>15583</v>
          </cell>
          <cell r="J40">
            <v>0</v>
          </cell>
          <cell r="M40">
            <v>0</v>
          </cell>
          <cell r="T40">
            <v>20</v>
          </cell>
          <cell r="W40">
            <v>0</v>
          </cell>
          <cell r="Z40">
            <v>0</v>
          </cell>
          <cell r="AJ40">
            <v>5047</v>
          </cell>
          <cell r="AM40">
            <v>933788</v>
          </cell>
          <cell r="AP40">
            <v>89964</v>
          </cell>
        </row>
        <row r="42">
          <cell r="D42">
            <v>27686</v>
          </cell>
          <cell r="G42">
            <v>661154</v>
          </cell>
          <cell r="J42">
            <v>0</v>
          </cell>
          <cell r="M42">
            <v>0</v>
          </cell>
          <cell r="T42">
            <v>174</v>
          </cell>
          <cell r="W42">
            <v>6650</v>
          </cell>
          <cell r="AJ42">
            <v>36554</v>
          </cell>
          <cell r="AM42">
            <v>545139</v>
          </cell>
          <cell r="AP42">
            <v>93112</v>
          </cell>
        </row>
        <row r="44">
          <cell r="D44">
            <v>66793</v>
          </cell>
          <cell r="G44">
            <v>14018</v>
          </cell>
          <cell r="J44">
            <v>0</v>
          </cell>
          <cell r="M44">
            <v>0</v>
          </cell>
          <cell r="T44">
            <v>75</v>
          </cell>
          <cell r="W44">
            <v>0</v>
          </cell>
          <cell r="Z44">
            <v>0</v>
          </cell>
          <cell r="AJ44">
            <v>714</v>
          </cell>
          <cell r="AM44">
            <v>933836</v>
          </cell>
          <cell r="AP44">
            <v>48910</v>
          </cell>
        </row>
        <row r="46">
          <cell r="D46">
            <v>64797</v>
          </cell>
          <cell r="G46">
            <v>99</v>
          </cell>
          <cell r="J46">
            <v>0</v>
          </cell>
          <cell r="M46">
            <v>0</v>
          </cell>
          <cell r="T46">
            <v>0</v>
          </cell>
          <cell r="W46">
            <v>0</v>
          </cell>
          <cell r="Z46">
            <v>0</v>
          </cell>
          <cell r="AJ46">
            <v>22225</v>
          </cell>
          <cell r="AM46">
            <v>0</v>
          </cell>
          <cell r="AP46">
            <v>45482</v>
          </cell>
        </row>
        <row r="47">
          <cell r="D47">
            <v>16935</v>
          </cell>
          <cell r="G47">
            <v>64426</v>
          </cell>
          <cell r="J47">
            <v>0</v>
          </cell>
          <cell r="M47">
            <v>1850</v>
          </cell>
          <cell r="T47">
            <v>314</v>
          </cell>
          <cell r="W47">
            <v>0</v>
          </cell>
          <cell r="Z47">
            <v>0</v>
          </cell>
          <cell r="AJ47">
            <v>58946</v>
          </cell>
          <cell r="AM47">
            <v>2188990</v>
          </cell>
          <cell r="AP47">
            <v>38479</v>
          </cell>
        </row>
      </sheetData>
      <sheetData sheetId="7">
        <row r="10">
          <cell r="D10">
            <v>126503</v>
          </cell>
          <cell r="G10">
            <v>22043</v>
          </cell>
          <cell r="J10">
            <v>5036</v>
          </cell>
          <cell r="N10">
            <v>0</v>
          </cell>
          <cell r="Q10">
            <v>0</v>
          </cell>
          <cell r="X10">
            <v>10147</v>
          </cell>
          <cell r="AA10">
            <v>0</v>
          </cell>
          <cell r="AD10">
            <v>0</v>
          </cell>
        </row>
        <row r="11">
          <cell r="D11">
            <v>89008</v>
          </cell>
          <cell r="G11">
            <v>14165</v>
          </cell>
          <cell r="J11">
            <v>4250</v>
          </cell>
          <cell r="N11">
            <v>0</v>
          </cell>
          <cell r="Q11">
            <v>0</v>
          </cell>
          <cell r="X11">
            <v>2365</v>
          </cell>
          <cell r="AA11">
            <v>0</v>
          </cell>
          <cell r="AD11">
            <v>0</v>
          </cell>
        </row>
        <row r="12">
          <cell r="D12">
            <v>95121</v>
          </cell>
          <cell r="G12">
            <v>14687</v>
          </cell>
          <cell r="J12">
            <v>4889</v>
          </cell>
          <cell r="N12">
            <v>0</v>
          </cell>
          <cell r="Q12">
            <v>0</v>
          </cell>
          <cell r="X12">
            <v>1554</v>
          </cell>
          <cell r="AA12">
            <v>704</v>
          </cell>
          <cell r="AD12">
            <v>0</v>
          </cell>
        </row>
        <row r="13">
          <cell r="D13">
            <v>110901</v>
          </cell>
          <cell r="G13">
            <v>19367</v>
          </cell>
          <cell r="J13">
            <v>5090</v>
          </cell>
          <cell r="N13">
            <v>0</v>
          </cell>
          <cell r="Q13">
            <v>0</v>
          </cell>
          <cell r="X13">
            <v>609</v>
          </cell>
          <cell r="AA13">
            <v>0</v>
          </cell>
          <cell r="AD13">
            <v>0</v>
          </cell>
        </row>
        <row r="14">
          <cell r="D14">
            <v>95773</v>
          </cell>
          <cell r="G14">
            <v>16642</v>
          </cell>
          <cell r="J14">
            <v>6545</v>
          </cell>
          <cell r="N14">
            <v>0</v>
          </cell>
          <cell r="Q14">
            <v>0</v>
          </cell>
          <cell r="X14">
            <v>3532</v>
          </cell>
          <cell r="AA14">
            <v>246</v>
          </cell>
          <cell r="AD14">
            <v>0</v>
          </cell>
        </row>
        <row r="15">
          <cell r="D15">
            <v>92230</v>
          </cell>
          <cell r="G15">
            <v>14320</v>
          </cell>
          <cell r="J15">
            <v>6094</v>
          </cell>
          <cell r="N15">
            <v>0</v>
          </cell>
          <cell r="Q15">
            <v>0</v>
          </cell>
          <cell r="X15">
            <v>1592</v>
          </cell>
          <cell r="AA15">
            <v>1646</v>
          </cell>
          <cell r="AD15">
            <v>0</v>
          </cell>
        </row>
        <row r="16">
          <cell r="D16">
            <v>74935</v>
          </cell>
          <cell r="G16">
            <v>11731</v>
          </cell>
          <cell r="J16">
            <v>2684</v>
          </cell>
          <cell r="N16">
            <v>0</v>
          </cell>
          <cell r="Q16">
            <v>0</v>
          </cell>
          <cell r="X16">
            <v>2244</v>
          </cell>
          <cell r="AA16">
            <v>0</v>
          </cell>
          <cell r="AD16">
            <v>0</v>
          </cell>
        </row>
        <row r="17">
          <cell r="D17">
            <v>78178</v>
          </cell>
          <cell r="G17">
            <v>12570</v>
          </cell>
          <cell r="J17">
            <v>3727</v>
          </cell>
          <cell r="N17">
            <v>0</v>
          </cell>
          <cell r="Q17">
            <v>0</v>
          </cell>
          <cell r="X17">
            <v>2084</v>
          </cell>
          <cell r="AA17">
            <v>0</v>
          </cell>
          <cell r="AD17">
            <v>0</v>
          </cell>
        </row>
        <row r="18">
          <cell r="D18">
            <v>102441</v>
          </cell>
          <cell r="G18">
            <v>17862</v>
          </cell>
          <cell r="J18">
            <v>3373</v>
          </cell>
          <cell r="N18">
            <v>0</v>
          </cell>
          <cell r="Q18">
            <v>0</v>
          </cell>
          <cell r="X18">
            <v>3650</v>
          </cell>
          <cell r="AA18">
            <v>0</v>
          </cell>
          <cell r="AD18">
            <v>0</v>
          </cell>
        </row>
        <row r="19">
          <cell r="D19">
            <v>126240</v>
          </cell>
          <cell r="G19">
            <v>21769</v>
          </cell>
          <cell r="J19">
            <v>4869</v>
          </cell>
          <cell r="N19">
            <v>0</v>
          </cell>
          <cell r="Q19">
            <v>0</v>
          </cell>
          <cell r="X19">
            <v>1129</v>
          </cell>
          <cell r="AA19">
            <v>1122</v>
          </cell>
          <cell r="AD19">
            <v>0</v>
          </cell>
        </row>
        <row r="20">
          <cell r="D20">
            <v>62862</v>
          </cell>
          <cell r="G20">
            <v>9950</v>
          </cell>
          <cell r="J20">
            <v>1902</v>
          </cell>
          <cell r="N20">
            <v>0</v>
          </cell>
          <cell r="Q20">
            <v>0</v>
          </cell>
          <cell r="X20">
            <v>2036</v>
          </cell>
          <cell r="AA20">
            <v>0</v>
          </cell>
          <cell r="AD20">
            <v>0</v>
          </cell>
        </row>
        <row r="21">
          <cell r="D21">
            <v>52258</v>
          </cell>
          <cell r="G21">
            <v>8366</v>
          </cell>
          <cell r="J21">
            <v>5114</v>
          </cell>
          <cell r="N21">
            <v>0</v>
          </cell>
          <cell r="Q21">
            <v>0</v>
          </cell>
          <cell r="X21">
            <v>698</v>
          </cell>
          <cell r="AA21">
            <v>384</v>
          </cell>
          <cell r="AD21">
            <v>0</v>
          </cell>
        </row>
        <row r="22">
          <cell r="D22">
            <v>81811</v>
          </cell>
          <cell r="G22">
            <v>12699</v>
          </cell>
          <cell r="J22">
            <v>2895</v>
          </cell>
          <cell r="N22">
            <v>0</v>
          </cell>
          <cell r="Q22">
            <v>0</v>
          </cell>
          <cell r="X22">
            <v>331</v>
          </cell>
          <cell r="AA22">
            <v>0</v>
          </cell>
          <cell r="AD22">
            <v>0</v>
          </cell>
        </row>
        <row r="23">
          <cell r="D23">
            <v>86102</v>
          </cell>
          <cell r="G23">
            <v>13298</v>
          </cell>
          <cell r="J23">
            <v>3626</v>
          </cell>
          <cell r="N23">
            <v>0</v>
          </cell>
          <cell r="Q23">
            <v>0</v>
          </cell>
          <cell r="X23">
            <v>4651</v>
          </cell>
          <cell r="AA23">
            <v>80</v>
          </cell>
          <cell r="AD23">
            <v>0</v>
          </cell>
        </row>
        <row r="24">
          <cell r="D24">
            <v>112294</v>
          </cell>
          <cell r="G24">
            <v>19542</v>
          </cell>
          <cell r="J24">
            <v>5564</v>
          </cell>
          <cell r="N24">
            <v>0</v>
          </cell>
          <cell r="Q24">
            <v>0</v>
          </cell>
          <cell r="X24">
            <v>4012</v>
          </cell>
          <cell r="AA24">
            <v>0</v>
          </cell>
          <cell r="AD24">
            <v>0</v>
          </cell>
        </row>
        <row r="25">
          <cell r="D25">
            <v>104281</v>
          </cell>
          <cell r="G25">
            <v>16220</v>
          </cell>
          <cell r="J25">
            <v>3784</v>
          </cell>
          <cell r="N25">
            <v>0</v>
          </cell>
          <cell r="Q25">
            <v>0</v>
          </cell>
          <cell r="X25">
            <v>2214</v>
          </cell>
          <cell r="AA25">
            <v>645</v>
          </cell>
          <cell r="AD25">
            <v>0</v>
          </cell>
        </row>
        <row r="26">
          <cell r="D26">
            <v>65492</v>
          </cell>
          <cell r="G26">
            <v>10177</v>
          </cell>
          <cell r="J26">
            <v>3494</v>
          </cell>
          <cell r="N26">
            <v>0</v>
          </cell>
          <cell r="Q26">
            <v>0</v>
          </cell>
          <cell r="X26">
            <v>2480</v>
          </cell>
          <cell r="AA26">
            <v>0</v>
          </cell>
          <cell r="AD26">
            <v>0</v>
          </cell>
        </row>
        <row r="27">
          <cell r="D27">
            <v>54208</v>
          </cell>
          <cell r="G27">
            <v>8412</v>
          </cell>
          <cell r="J27">
            <v>2659</v>
          </cell>
          <cell r="N27">
            <v>0</v>
          </cell>
          <cell r="Q27">
            <v>0</v>
          </cell>
          <cell r="X27">
            <v>1707</v>
          </cell>
          <cell r="AA27">
            <v>0</v>
          </cell>
          <cell r="AD27">
            <v>0</v>
          </cell>
        </row>
        <row r="29">
          <cell r="D29">
            <v>225167</v>
          </cell>
          <cell r="G29">
            <v>38456</v>
          </cell>
          <cell r="J29">
            <v>1165698</v>
          </cell>
          <cell r="N29">
            <v>0</v>
          </cell>
          <cell r="Q29">
            <v>0</v>
          </cell>
          <cell r="X29">
            <v>27202</v>
          </cell>
          <cell r="AA29">
            <v>46475</v>
          </cell>
          <cell r="AD29">
            <v>0</v>
          </cell>
        </row>
        <row r="33">
          <cell r="D33">
            <v>133067</v>
          </cell>
          <cell r="G33">
            <v>21941</v>
          </cell>
          <cell r="J33">
            <v>151930</v>
          </cell>
          <cell r="N33">
            <v>0</v>
          </cell>
          <cell r="Q33">
            <v>60813</v>
          </cell>
          <cell r="X33">
            <v>21280</v>
          </cell>
          <cell r="AA33">
            <v>0</v>
          </cell>
          <cell r="AD33">
            <v>0</v>
          </cell>
        </row>
        <row r="34">
          <cell r="D34">
            <v>99236</v>
          </cell>
          <cell r="G34">
            <v>15957</v>
          </cell>
          <cell r="J34">
            <v>49763</v>
          </cell>
          <cell r="N34">
            <v>0</v>
          </cell>
          <cell r="Q34">
            <v>0</v>
          </cell>
          <cell r="X34">
            <v>19892</v>
          </cell>
          <cell r="AA34">
            <v>0</v>
          </cell>
          <cell r="AD34">
            <v>0</v>
          </cell>
        </row>
        <row r="35">
          <cell r="D35">
            <v>452310</v>
          </cell>
          <cell r="G35">
            <v>69737</v>
          </cell>
          <cell r="J35">
            <v>223517</v>
          </cell>
          <cell r="N35">
            <v>0</v>
          </cell>
          <cell r="Q35">
            <v>0</v>
          </cell>
          <cell r="X35">
            <v>72932</v>
          </cell>
          <cell r="AA35">
            <v>0</v>
          </cell>
          <cell r="AD35">
            <v>0</v>
          </cell>
        </row>
        <row r="36">
          <cell r="D36">
            <v>211654</v>
          </cell>
          <cell r="G36">
            <v>32063</v>
          </cell>
          <cell r="J36">
            <v>251956</v>
          </cell>
          <cell r="N36">
            <v>0</v>
          </cell>
          <cell r="Q36">
            <v>0</v>
          </cell>
          <cell r="X36">
            <v>43773</v>
          </cell>
          <cell r="AA36">
            <v>0</v>
          </cell>
          <cell r="AD36">
            <v>0</v>
          </cell>
        </row>
        <row r="37">
          <cell r="D37">
            <v>397765</v>
          </cell>
          <cell r="G37">
            <v>67066</v>
          </cell>
          <cell r="J37">
            <v>209271</v>
          </cell>
          <cell r="N37">
            <v>0</v>
          </cell>
          <cell r="Q37">
            <v>8973</v>
          </cell>
          <cell r="X37">
            <v>20961</v>
          </cell>
          <cell r="AA37">
            <v>0</v>
          </cell>
          <cell r="AD37">
            <v>0</v>
          </cell>
        </row>
        <row r="40">
          <cell r="D40">
            <v>681136</v>
          </cell>
          <cell r="G40">
            <v>118347</v>
          </cell>
          <cell r="J40">
            <v>283303</v>
          </cell>
          <cell r="N40">
            <v>0</v>
          </cell>
          <cell r="Q40">
            <v>4900</v>
          </cell>
          <cell r="X40">
            <v>26223</v>
          </cell>
          <cell r="AA40">
            <v>63761</v>
          </cell>
          <cell r="AD40">
            <v>0</v>
          </cell>
        </row>
        <row r="42">
          <cell r="D42">
            <v>770327</v>
          </cell>
          <cell r="G42">
            <v>130648</v>
          </cell>
          <cell r="J42">
            <v>369558</v>
          </cell>
          <cell r="N42">
            <v>0</v>
          </cell>
          <cell r="Q42">
            <v>0</v>
          </cell>
          <cell r="X42">
            <v>65462</v>
          </cell>
          <cell r="AA42">
            <v>34474</v>
          </cell>
          <cell r="AD42">
            <v>0</v>
          </cell>
        </row>
        <row r="44">
          <cell r="D44">
            <v>731027</v>
          </cell>
          <cell r="G44">
            <v>132912</v>
          </cell>
          <cell r="J44">
            <v>151422</v>
          </cell>
          <cell r="N44">
            <v>0</v>
          </cell>
          <cell r="Q44">
            <v>0</v>
          </cell>
          <cell r="X44">
            <v>23766</v>
          </cell>
          <cell r="AA44">
            <v>25219</v>
          </cell>
          <cell r="AD44">
            <v>0</v>
          </cell>
        </row>
        <row r="46">
          <cell r="D46">
            <v>45106</v>
          </cell>
          <cell r="G46">
            <v>6903</v>
          </cell>
          <cell r="J46">
            <v>34704</v>
          </cell>
          <cell r="N46">
            <v>0</v>
          </cell>
          <cell r="Q46">
            <v>0</v>
          </cell>
          <cell r="X46">
            <v>12606</v>
          </cell>
          <cell r="AA46">
            <v>33284</v>
          </cell>
          <cell r="AD46">
            <v>0</v>
          </cell>
        </row>
        <row r="47">
          <cell r="D47">
            <v>1603035</v>
          </cell>
          <cell r="G47">
            <v>275502</v>
          </cell>
          <cell r="J47">
            <v>385781</v>
          </cell>
          <cell r="N47">
            <v>0</v>
          </cell>
          <cell r="Q47">
            <v>66829</v>
          </cell>
          <cell r="X47">
            <v>38793</v>
          </cell>
          <cell r="AA47">
            <v>0</v>
          </cell>
          <cell r="AD47">
            <v>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éves besz.bevételei2021"/>
      <sheetName val="éves besz.kiadásai2021"/>
    </sheetNames>
    <sheetDataSet>
      <sheetData sheetId="0">
        <row r="10">
          <cell r="BD10">
            <v>154600</v>
          </cell>
          <cell r="BE10">
            <v>163729</v>
          </cell>
          <cell r="BF10">
            <v>154680</v>
          </cell>
        </row>
        <row r="11">
          <cell r="BD11">
            <v>104745</v>
          </cell>
          <cell r="BE11">
            <v>109788</v>
          </cell>
          <cell r="BF11">
            <v>99633</v>
          </cell>
        </row>
        <row r="12">
          <cell r="BD12">
            <v>108875</v>
          </cell>
          <cell r="BE12">
            <v>116955</v>
          </cell>
          <cell r="BF12">
            <v>107450</v>
          </cell>
        </row>
        <row r="13">
          <cell r="BD13">
            <v>137467</v>
          </cell>
          <cell r="BE13">
            <v>135967</v>
          </cell>
          <cell r="BF13">
            <v>130262</v>
          </cell>
        </row>
        <row r="14">
          <cell r="BD14">
            <v>116597</v>
          </cell>
          <cell r="BE14">
            <v>122738</v>
          </cell>
          <cell r="BF14">
            <v>116680</v>
          </cell>
        </row>
        <row r="15">
          <cell r="BD15">
            <v>110641</v>
          </cell>
          <cell r="BE15">
            <v>115882</v>
          </cell>
          <cell r="BF15">
            <v>111234</v>
          </cell>
        </row>
        <row r="16">
          <cell r="BD16">
            <v>88861</v>
          </cell>
          <cell r="BE16">
            <v>91594</v>
          </cell>
          <cell r="BF16">
            <v>81588</v>
          </cell>
        </row>
        <row r="17">
          <cell r="BD17">
            <v>90744</v>
          </cell>
          <cell r="BE17">
            <v>96559</v>
          </cell>
          <cell r="BF17">
            <v>87658</v>
          </cell>
        </row>
        <row r="18">
          <cell r="BD18">
            <v>118205</v>
          </cell>
          <cell r="BE18">
            <v>127326</v>
          </cell>
          <cell r="BF18">
            <v>113035</v>
          </cell>
        </row>
        <row r="19">
          <cell r="BD19">
            <v>148965</v>
          </cell>
          <cell r="BE19">
            <v>155129</v>
          </cell>
          <cell r="BF19">
            <v>148876</v>
          </cell>
        </row>
        <row r="20">
          <cell r="BD20">
            <v>72839</v>
          </cell>
          <cell r="BE20">
            <v>76750</v>
          </cell>
          <cell r="BF20">
            <v>73115</v>
          </cell>
        </row>
        <row r="21">
          <cell r="BD21">
            <v>63357</v>
          </cell>
          <cell r="BE21">
            <v>66820</v>
          </cell>
          <cell r="BF21">
            <v>61239</v>
          </cell>
        </row>
        <row r="22">
          <cell r="BD22">
            <v>94367</v>
          </cell>
          <cell r="BE22">
            <v>97736</v>
          </cell>
          <cell r="BF22">
            <v>87063</v>
          </cell>
        </row>
        <row r="23">
          <cell r="BD23">
            <v>100919</v>
          </cell>
          <cell r="BE23">
            <v>107757</v>
          </cell>
          <cell r="BF23">
            <v>99312</v>
          </cell>
        </row>
        <row r="24">
          <cell r="BD24">
            <v>130235</v>
          </cell>
          <cell r="BE24">
            <v>141412</v>
          </cell>
          <cell r="BF24">
            <v>136514</v>
          </cell>
        </row>
        <row r="25">
          <cell r="BD25">
            <v>117541</v>
          </cell>
          <cell r="BE25">
            <v>127144</v>
          </cell>
          <cell r="BF25">
            <v>112547</v>
          </cell>
        </row>
        <row r="26">
          <cell r="BD26">
            <v>78700</v>
          </cell>
          <cell r="BE26">
            <v>81643</v>
          </cell>
          <cell r="BF26">
            <v>75077</v>
          </cell>
        </row>
        <row r="27">
          <cell r="BD27">
            <v>62241</v>
          </cell>
          <cell r="BE27">
            <v>66986</v>
          </cell>
          <cell r="BF27">
            <v>65309</v>
          </cell>
        </row>
        <row r="28">
          <cell r="BD28">
            <v>1899899</v>
          </cell>
          <cell r="BE28">
            <v>2001915</v>
          </cell>
          <cell r="BF28">
            <v>1861272</v>
          </cell>
        </row>
        <row r="29">
          <cell r="BD29">
            <v>1387679</v>
          </cell>
          <cell r="BE29">
            <v>1502998</v>
          </cell>
          <cell r="BF29">
            <v>1293481</v>
          </cell>
        </row>
        <row r="30">
          <cell r="BD30">
            <v>3287578</v>
          </cell>
          <cell r="BE30">
            <v>3504913</v>
          </cell>
          <cell r="BF30">
            <v>3154753</v>
          </cell>
        </row>
        <row r="33">
          <cell r="BD33">
            <v>308571</v>
          </cell>
          <cell r="BE33">
            <v>389031</v>
          </cell>
          <cell r="BF33">
            <v>389028</v>
          </cell>
        </row>
        <row r="34">
          <cell r="BD34">
            <v>122072</v>
          </cell>
          <cell r="BE34">
            <v>184848</v>
          </cell>
          <cell r="BF34">
            <v>169864</v>
          </cell>
        </row>
        <row r="35">
          <cell r="BD35">
            <v>424980</v>
          </cell>
          <cell r="BE35">
            <v>818496</v>
          </cell>
          <cell r="BF35">
            <v>737117</v>
          </cell>
        </row>
        <row r="36">
          <cell r="BD36">
            <v>237576</v>
          </cell>
          <cell r="BE36">
            <v>539446</v>
          </cell>
          <cell r="BF36">
            <v>490917</v>
          </cell>
        </row>
        <row r="37">
          <cell r="BD37">
            <v>506858</v>
          </cell>
          <cell r="BE37">
            <v>704036</v>
          </cell>
          <cell r="BF37">
            <v>704032</v>
          </cell>
        </row>
        <row r="38">
          <cell r="BD38">
            <v>1600057</v>
          </cell>
          <cell r="BE38">
            <v>2635857</v>
          </cell>
          <cell r="BF38">
            <v>2490958</v>
          </cell>
        </row>
        <row r="40">
          <cell r="BD40">
            <v>889116</v>
          </cell>
          <cell r="BE40">
            <v>1177670</v>
          </cell>
          <cell r="BF40">
            <v>1139716</v>
          </cell>
        </row>
        <row r="42">
          <cell r="BD42">
            <v>988466</v>
          </cell>
          <cell r="BE42">
            <v>1370469</v>
          </cell>
          <cell r="BF42">
            <v>1193666</v>
          </cell>
        </row>
        <row r="44">
          <cell r="BD44">
            <v>963231</v>
          </cell>
          <cell r="BE44">
            <v>1064346</v>
          </cell>
          <cell r="BF44">
            <v>1020562</v>
          </cell>
        </row>
        <row r="46">
          <cell r="BD46">
            <v>104347</v>
          </cell>
          <cell r="BE46">
            <v>132603</v>
          </cell>
          <cell r="BF46">
            <v>127705</v>
          </cell>
        </row>
        <row r="47">
          <cell r="BD47">
            <v>2028520</v>
          </cell>
          <cell r="BE47">
            <v>2369940</v>
          </cell>
          <cell r="BF47">
            <v>2064302</v>
          </cell>
        </row>
        <row r="48">
          <cell r="BD48">
            <v>2132867</v>
          </cell>
          <cell r="BE48">
            <v>2502543</v>
          </cell>
          <cell r="BF48">
            <v>2192007</v>
          </cell>
        </row>
        <row r="49">
          <cell r="BD49">
            <v>6573737</v>
          </cell>
          <cell r="BE49">
            <v>8750885</v>
          </cell>
          <cell r="BF49">
            <v>8036909</v>
          </cell>
        </row>
        <row r="50">
          <cell r="BD50">
            <v>9861315</v>
          </cell>
          <cell r="BE50">
            <v>12255798</v>
          </cell>
          <cell r="BF50">
            <v>11191662</v>
          </cell>
        </row>
      </sheetData>
      <sheetData sheetId="1">
        <row r="10">
          <cell r="AP10">
            <v>10147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étszám ei mód 2020-2021eltérés"/>
      <sheetName val="2021 évi nyitó létszám"/>
      <sheetName val="létszám ei mód RM I."/>
      <sheetName val="létszám ei mód RM II."/>
      <sheetName val="létszám ei mód RM III."/>
    </sheetNames>
    <sheetDataSet>
      <sheetData sheetId="0"/>
      <sheetData sheetId="1"/>
      <sheetData sheetId="2"/>
      <sheetData sheetId="3"/>
      <sheetData sheetId="4">
        <row r="9">
          <cell r="F9">
            <v>33</v>
          </cell>
          <cell r="G9">
            <v>33</v>
          </cell>
          <cell r="L9">
            <v>1</v>
          </cell>
          <cell r="M9">
            <v>1</v>
          </cell>
        </row>
        <row r="10">
          <cell r="F10">
            <v>23</v>
          </cell>
          <cell r="G10">
            <v>23</v>
          </cell>
          <cell r="L10">
            <v>1</v>
          </cell>
          <cell r="M10">
            <v>1</v>
          </cell>
        </row>
        <row r="11">
          <cell r="F11">
            <v>23</v>
          </cell>
          <cell r="G11">
            <v>23</v>
          </cell>
          <cell r="L11">
            <v>1</v>
          </cell>
          <cell r="M11">
            <v>1</v>
          </cell>
        </row>
        <row r="12">
          <cell r="F12">
            <v>28</v>
          </cell>
          <cell r="G12">
            <v>28</v>
          </cell>
          <cell r="L12">
            <v>1</v>
          </cell>
          <cell r="M12">
            <v>1</v>
          </cell>
        </row>
        <row r="13">
          <cell r="F13">
            <v>26</v>
          </cell>
          <cell r="G13">
            <v>26</v>
          </cell>
          <cell r="L13">
            <v>1</v>
          </cell>
          <cell r="M13">
            <v>1</v>
          </cell>
        </row>
        <row r="14">
          <cell r="F14">
            <v>23</v>
          </cell>
          <cell r="G14">
            <v>23</v>
          </cell>
          <cell r="L14">
            <v>1</v>
          </cell>
          <cell r="M14">
            <v>1</v>
          </cell>
        </row>
        <row r="15">
          <cell r="F15">
            <v>18</v>
          </cell>
          <cell r="G15">
            <v>18</v>
          </cell>
          <cell r="L15">
            <v>1</v>
          </cell>
          <cell r="M15">
            <v>1</v>
          </cell>
        </row>
        <row r="16">
          <cell r="F16">
            <v>18</v>
          </cell>
          <cell r="G16">
            <v>18</v>
          </cell>
          <cell r="L16">
            <v>1</v>
          </cell>
          <cell r="M16">
            <v>1</v>
          </cell>
        </row>
        <row r="17">
          <cell r="F17">
            <v>26</v>
          </cell>
          <cell r="G17">
            <v>26</v>
          </cell>
          <cell r="L17">
            <v>1</v>
          </cell>
          <cell r="M17">
            <v>1</v>
          </cell>
        </row>
        <row r="18">
          <cell r="F18">
            <v>29</v>
          </cell>
          <cell r="G18">
            <v>29</v>
          </cell>
          <cell r="L18">
            <v>1</v>
          </cell>
          <cell r="M18">
            <v>1</v>
          </cell>
        </row>
        <row r="19">
          <cell r="F19">
            <v>15</v>
          </cell>
          <cell r="G19">
            <v>15</v>
          </cell>
          <cell r="L19">
            <v>1</v>
          </cell>
          <cell r="M19">
            <v>1</v>
          </cell>
        </row>
        <row r="20">
          <cell r="F20">
            <v>12.5</v>
          </cell>
          <cell r="G20">
            <v>12</v>
          </cell>
          <cell r="L20">
            <v>1</v>
          </cell>
          <cell r="M20">
            <v>1</v>
          </cell>
        </row>
        <row r="21">
          <cell r="F21">
            <v>18</v>
          </cell>
          <cell r="G21">
            <v>18</v>
          </cell>
          <cell r="L21">
            <v>1</v>
          </cell>
          <cell r="M21">
            <v>1</v>
          </cell>
        </row>
        <row r="22">
          <cell r="F22">
            <v>20</v>
          </cell>
          <cell r="G22">
            <v>20</v>
          </cell>
          <cell r="L22">
            <v>1</v>
          </cell>
          <cell r="M22">
            <v>1</v>
          </cell>
        </row>
        <row r="23">
          <cell r="F23">
            <v>29</v>
          </cell>
          <cell r="G23">
            <v>29</v>
          </cell>
          <cell r="L23">
            <v>1</v>
          </cell>
          <cell r="M23">
            <v>1</v>
          </cell>
        </row>
        <row r="24">
          <cell r="F24">
            <v>23</v>
          </cell>
          <cell r="G24">
            <v>23</v>
          </cell>
          <cell r="L24">
            <v>1</v>
          </cell>
          <cell r="M24">
            <v>1</v>
          </cell>
        </row>
        <row r="25">
          <cell r="F25">
            <v>16</v>
          </cell>
          <cell r="G25">
            <v>16</v>
          </cell>
          <cell r="L25">
            <v>1</v>
          </cell>
          <cell r="M25">
            <v>1</v>
          </cell>
        </row>
        <row r="26">
          <cell r="F26">
            <v>11.5</v>
          </cell>
          <cell r="G26">
            <v>12</v>
          </cell>
          <cell r="L26">
            <v>1.5</v>
          </cell>
          <cell r="M26">
            <v>1</v>
          </cell>
        </row>
        <row r="28">
          <cell r="F28">
            <v>0</v>
          </cell>
          <cell r="G28">
            <v>0</v>
          </cell>
          <cell r="L28">
            <v>44</v>
          </cell>
          <cell r="M28">
            <v>44</v>
          </cell>
        </row>
        <row r="32">
          <cell r="F32">
            <v>26.5</v>
          </cell>
          <cell r="G32">
            <v>26</v>
          </cell>
          <cell r="L32">
            <v>16.5</v>
          </cell>
          <cell r="M32">
            <v>17</v>
          </cell>
        </row>
        <row r="33">
          <cell r="F33">
            <v>18</v>
          </cell>
          <cell r="G33">
            <v>18</v>
          </cell>
          <cell r="L33">
            <v>1</v>
          </cell>
          <cell r="M33">
            <v>1</v>
          </cell>
        </row>
        <row r="34">
          <cell r="F34">
            <v>77</v>
          </cell>
          <cell r="G34">
            <v>77</v>
          </cell>
          <cell r="L34">
            <v>7.5</v>
          </cell>
          <cell r="M34">
            <v>7</v>
          </cell>
        </row>
        <row r="35">
          <cell r="F35">
            <v>35</v>
          </cell>
          <cell r="G35">
            <v>35</v>
          </cell>
          <cell r="L35">
            <v>11</v>
          </cell>
          <cell r="M35">
            <v>11</v>
          </cell>
        </row>
        <row r="36">
          <cell r="F36">
            <v>66.5</v>
          </cell>
          <cell r="G36">
            <v>67</v>
          </cell>
          <cell r="L36">
            <v>34.25</v>
          </cell>
          <cell r="M36">
            <v>34</v>
          </cell>
        </row>
        <row r="39">
          <cell r="F39">
            <v>167.25</v>
          </cell>
          <cell r="G39">
            <v>167</v>
          </cell>
          <cell r="L39">
            <v>21</v>
          </cell>
          <cell r="M39">
            <v>21</v>
          </cell>
        </row>
        <row r="41">
          <cell r="F41">
            <v>81</v>
          </cell>
          <cell r="G41">
            <v>81</v>
          </cell>
          <cell r="L41">
            <v>41</v>
          </cell>
          <cell r="M41">
            <v>41</v>
          </cell>
        </row>
        <row r="43">
          <cell r="F43">
            <v>135.01</v>
          </cell>
          <cell r="G43">
            <v>135</v>
          </cell>
          <cell r="L43">
            <v>40.74499999999999</v>
          </cell>
          <cell r="M43">
            <v>41</v>
          </cell>
        </row>
        <row r="45">
          <cell r="F45">
            <v>1</v>
          </cell>
          <cell r="G45">
            <v>1</v>
          </cell>
          <cell r="L45">
            <v>15</v>
          </cell>
          <cell r="M45">
            <v>15</v>
          </cell>
        </row>
        <row r="46">
          <cell r="F46">
            <v>280.5</v>
          </cell>
          <cell r="G46">
            <v>281</v>
          </cell>
          <cell r="L46">
            <v>0</v>
          </cell>
          <cell r="M4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zoomScale="75" zoomScaleNormal="75" workbookViewId="0">
      <selection activeCell="G3" sqref="G3"/>
    </sheetView>
  </sheetViews>
  <sheetFormatPr defaultRowHeight="15.75" x14ac:dyDescent="0.25"/>
  <cols>
    <col min="1" max="1" width="14.33203125" style="2181" customWidth="1"/>
    <col min="2" max="2" width="121" style="2181" customWidth="1"/>
    <col min="3" max="4" width="46.5" style="2181" customWidth="1"/>
    <col min="5" max="5" width="46.33203125" style="2182" customWidth="1"/>
    <col min="6" max="6" width="14.33203125" style="2182" customWidth="1"/>
    <col min="7" max="7" width="121.1640625" style="2181" customWidth="1"/>
    <col min="8" max="9" width="46.33203125" style="2181" customWidth="1"/>
    <col min="10" max="10" width="46.33203125" style="2182" customWidth="1"/>
    <col min="11" max="11" width="5.83203125" style="2181" customWidth="1"/>
    <col min="12" max="247" width="9.33203125" style="2181"/>
    <col min="248" max="248" width="14.33203125" style="2181" customWidth="1"/>
    <col min="249" max="249" width="121" style="2181" customWidth="1"/>
    <col min="250" max="250" width="37.6640625" style="2181" customWidth="1"/>
    <col min="251" max="252" width="35.83203125" style="2181" customWidth="1"/>
    <col min="253" max="253" width="14.33203125" style="2181" customWidth="1"/>
    <col min="254" max="254" width="121" style="2181" customWidth="1"/>
    <col min="255" max="255" width="37.1640625" style="2181" customWidth="1"/>
    <col min="256" max="257" width="35.83203125" style="2181" customWidth="1"/>
    <col min="258" max="259" width="18.1640625" style="2181" customWidth="1"/>
    <col min="260" max="260" width="15" style="2181" bestFit="1" customWidth="1"/>
    <col min="261" max="261" width="17.5" style="2181" customWidth="1"/>
    <col min="262" max="503" width="9.33203125" style="2181"/>
    <col min="504" max="504" width="14.33203125" style="2181" customWidth="1"/>
    <col min="505" max="505" width="121" style="2181" customWidth="1"/>
    <col min="506" max="506" width="37.6640625" style="2181" customWidth="1"/>
    <col min="507" max="508" width="35.83203125" style="2181" customWidth="1"/>
    <col min="509" max="509" width="14.33203125" style="2181" customWidth="1"/>
    <col min="510" max="510" width="121" style="2181" customWidth="1"/>
    <col min="511" max="511" width="37.1640625" style="2181" customWidth="1"/>
    <col min="512" max="513" width="35.83203125" style="2181" customWidth="1"/>
    <col min="514" max="515" width="18.1640625" style="2181" customWidth="1"/>
    <col min="516" max="516" width="15" style="2181" bestFit="1" customWidth="1"/>
    <col min="517" max="517" width="17.5" style="2181" customWidth="1"/>
    <col min="518" max="759" width="9.33203125" style="2181"/>
    <col min="760" max="760" width="14.33203125" style="2181" customWidth="1"/>
    <col min="761" max="761" width="121" style="2181" customWidth="1"/>
    <col min="762" max="762" width="37.6640625" style="2181" customWidth="1"/>
    <col min="763" max="764" width="35.83203125" style="2181" customWidth="1"/>
    <col min="765" max="765" width="14.33203125" style="2181" customWidth="1"/>
    <col min="766" max="766" width="121" style="2181" customWidth="1"/>
    <col min="767" max="767" width="37.1640625" style="2181" customWidth="1"/>
    <col min="768" max="769" width="35.83203125" style="2181" customWidth="1"/>
    <col min="770" max="771" width="18.1640625" style="2181" customWidth="1"/>
    <col min="772" max="772" width="15" style="2181" bestFit="1" customWidth="1"/>
    <col min="773" max="773" width="17.5" style="2181" customWidth="1"/>
    <col min="774" max="1015" width="9.33203125" style="2181"/>
    <col min="1016" max="1016" width="14.33203125" style="2181" customWidth="1"/>
    <col min="1017" max="1017" width="121" style="2181" customWidth="1"/>
    <col min="1018" max="1018" width="37.6640625" style="2181" customWidth="1"/>
    <col min="1019" max="1020" width="35.83203125" style="2181" customWidth="1"/>
    <col min="1021" max="1021" width="14.33203125" style="2181" customWidth="1"/>
    <col min="1022" max="1022" width="121" style="2181" customWidth="1"/>
    <col min="1023" max="1023" width="37.1640625" style="2181" customWidth="1"/>
    <col min="1024" max="1025" width="35.83203125" style="2181" customWidth="1"/>
    <col min="1026" max="1027" width="18.1640625" style="2181" customWidth="1"/>
    <col min="1028" max="1028" width="15" style="2181" bestFit="1" customWidth="1"/>
    <col min="1029" max="1029" width="17.5" style="2181" customWidth="1"/>
    <col min="1030" max="1271" width="9.33203125" style="2181"/>
    <col min="1272" max="1272" width="14.33203125" style="2181" customWidth="1"/>
    <col min="1273" max="1273" width="121" style="2181" customWidth="1"/>
    <col min="1274" max="1274" width="37.6640625" style="2181" customWidth="1"/>
    <col min="1275" max="1276" width="35.83203125" style="2181" customWidth="1"/>
    <col min="1277" max="1277" width="14.33203125" style="2181" customWidth="1"/>
    <col min="1278" max="1278" width="121" style="2181" customWidth="1"/>
    <col min="1279" max="1279" width="37.1640625" style="2181" customWidth="1"/>
    <col min="1280" max="1281" width="35.83203125" style="2181" customWidth="1"/>
    <col min="1282" max="1283" width="18.1640625" style="2181" customWidth="1"/>
    <col min="1284" max="1284" width="15" style="2181" bestFit="1" customWidth="1"/>
    <col min="1285" max="1285" width="17.5" style="2181" customWidth="1"/>
    <col min="1286" max="1527" width="9.33203125" style="2181"/>
    <col min="1528" max="1528" width="14.33203125" style="2181" customWidth="1"/>
    <col min="1529" max="1529" width="121" style="2181" customWidth="1"/>
    <col min="1530" max="1530" width="37.6640625" style="2181" customWidth="1"/>
    <col min="1531" max="1532" width="35.83203125" style="2181" customWidth="1"/>
    <col min="1533" max="1533" width="14.33203125" style="2181" customWidth="1"/>
    <col min="1534" max="1534" width="121" style="2181" customWidth="1"/>
    <col min="1535" max="1535" width="37.1640625" style="2181" customWidth="1"/>
    <col min="1536" max="1537" width="35.83203125" style="2181" customWidth="1"/>
    <col min="1538" max="1539" width="18.1640625" style="2181" customWidth="1"/>
    <col min="1540" max="1540" width="15" style="2181" bestFit="1" customWidth="1"/>
    <col min="1541" max="1541" width="17.5" style="2181" customWidth="1"/>
    <col min="1542" max="1783" width="9.33203125" style="2181"/>
    <col min="1784" max="1784" width="14.33203125" style="2181" customWidth="1"/>
    <col min="1785" max="1785" width="121" style="2181" customWidth="1"/>
    <col min="1786" max="1786" width="37.6640625" style="2181" customWidth="1"/>
    <col min="1787" max="1788" width="35.83203125" style="2181" customWidth="1"/>
    <col min="1789" max="1789" width="14.33203125" style="2181" customWidth="1"/>
    <col min="1790" max="1790" width="121" style="2181" customWidth="1"/>
    <col min="1791" max="1791" width="37.1640625" style="2181" customWidth="1"/>
    <col min="1792" max="1793" width="35.83203125" style="2181" customWidth="1"/>
    <col min="1794" max="1795" width="18.1640625" style="2181" customWidth="1"/>
    <col min="1796" max="1796" width="15" style="2181" bestFit="1" customWidth="1"/>
    <col min="1797" max="1797" width="17.5" style="2181" customWidth="1"/>
    <col min="1798" max="2039" width="9.33203125" style="2181"/>
    <col min="2040" max="2040" width="14.33203125" style="2181" customWidth="1"/>
    <col min="2041" max="2041" width="121" style="2181" customWidth="1"/>
    <col min="2042" max="2042" width="37.6640625" style="2181" customWidth="1"/>
    <col min="2043" max="2044" width="35.83203125" style="2181" customWidth="1"/>
    <col min="2045" max="2045" width="14.33203125" style="2181" customWidth="1"/>
    <col min="2046" max="2046" width="121" style="2181" customWidth="1"/>
    <col min="2047" max="2047" width="37.1640625" style="2181" customWidth="1"/>
    <col min="2048" max="2049" width="35.83203125" style="2181" customWidth="1"/>
    <col min="2050" max="2051" width="18.1640625" style="2181" customWidth="1"/>
    <col min="2052" max="2052" width="15" style="2181" bestFit="1" customWidth="1"/>
    <col min="2053" max="2053" width="17.5" style="2181" customWidth="1"/>
    <col min="2054" max="2295" width="9.33203125" style="2181"/>
    <col min="2296" max="2296" width="14.33203125" style="2181" customWidth="1"/>
    <col min="2297" max="2297" width="121" style="2181" customWidth="1"/>
    <col min="2298" max="2298" width="37.6640625" style="2181" customWidth="1"/>
    <col min="2299" max="2300" width="35.83203125" style="2181" customWidth="1"/>
    <col min="2301" max="2301" width="14.33203125" style="2181" customWidth="1"/>
    <col min="2302" max="2302" width="121" style="2181" customWidth="1"/>
    <col min="2303" max="2303" width="37.1640625" style="2181" customWidth="1"/>
    <col min="2304" max="2305" width="35.83203125" style="2181" customWidth="1"/>
    <col min="2306" max="2307" width="18.1640625" style="2181" customWidth="1"/>
    <col min="2308" max="2308" width="15" style="2181" bestFit="1" customWidth="1"/>
    <col min="2309" max="2309" width="17.5" style="2181" customWidth="1"/>
    <col min="2310" max="2551" width="9.33203125" style="2181"/>
    <col min="2552" max="2552" width="14.33203125" style="2181" customWidth="1"/>
    <col min="2553" max="2553" width="121" style="2181" customWidth="1"/>
    <col min="2554" max="2554" width="37.6640625" style="2181" customWidth="1"/>
    <col min="2555" max="2556" width="35.83203125" style="2181" customWidth="1"/>
    <col min="2557" max="2557" width="14.33203125" style="2181" customWidth="1"/>
    <col min="2558" max="2558" width="121" style="2181" customWidth="1"/>
    <col min="2559" max="2559" width="37.1640625" style="2181" customWidth="1"/>
    <col min="2560" max="2561" width="35.83203125" style="2181" customWidth="1"/>
    <col min="2562" max="2563" width="18.1640625" style="2181" customWidth="1"/>
    <col min="2564" max="2564" width="15" style="2181" bestFit="1" customWidth="1"/>
    <col min="2565" max="2565" width="17.5" style="2181" customWidth="1"/>
    <col min="2566" max="2807" width="9.33203125" style="2181"/>
    <col min="2808" max="2808" width="14.33203125" style="2181" customWidth="1"/>
    <col min="2809" max="2809" width="121" style="2181" customWidth="1"/>
    <col min="2810" max="2810" width="37.6640625" style="2181" customWidth="1"/>
    <col min="2811" max="2812" width="35.83203125" style="2181" customWidth="1"/>
    <col min="2813" max="2813" width="14.33203125" style="2181" customWidth="1"/>
    <col min="2814" max="2814" width="121" style="2181" customWidth="1"/>
    <col min="2815" max="2815" width="37.1640625" style="2181" customWidth="1"/>
    <col min="2816" max="2817" width="35.83203125" style="2181" customWidth="1"/>
    <col min="2818" max="2819" width="18.1640625" style="2181" customWidth="1"/>
    <col min="2820" max="2820" width="15" style="2181" bestFit="1" customWidth="1"/>
    <col min="2821" max="2821" width="17.5" style="2181" customWidth="1"/>
    <col min="2822" max="3063" width="9.33203125" style="2181"/>
    <col min="3064" max="3064" width="14.33203125" style="2181" customWidth="1"/>
    <col min="3065" max="3065" width="121" style="2181" customWidth="1"/>
    <col min="3066" max="3066" width="37.6640625" style="2181" customWidth="1"/>
    <col min="3067" max="3068" width="35.83203125" style="2181" customWidth="1"/>
    <col min="3069" max="3069" width="14.33203125" style="2181" customWidth="1"/>
    <col min="3070" max="3070" width="121" style="2181" customWidth="1"/>
    <col min="3071" max="3071" width="37.1640625" style="2181" customWidth="1"/>
    <col min="3072" max="3073" width="35.83203125" style="2181" customWidth="1"/>
    <col min="3074" max="3075" width="18.1640625" style="2181" customWidth="1"/>
    <col min="3076" max="3076" width="15" style="2181" bestFit="1" customWidth="1"/>
    <col min="3077" max="3077" width="17.5" style="2181" customWidth="1"/>
    <col min="3078" max="3319" width="9.33203125" style="2181"/>
    <col min="3320" max="3320" width="14.33203125" style="2181" customWidth="1"/>
    <col min="3321" max="3321" width="121" style="2181" customWidth="1"/>
    <col min="3322" max="3322" width="37.6640625" style="2181" customWidth="1"/>
    <col min="3323" max="3324" width="35.83203125" style="2181" customWidth="1"/>
    <col min="3325" max="3325" width="14.33203125" style="2181" customWidth="1"/>
    <col min="3326" max="3326" width="121" style="2181" customWidth="1"/>
    <col min="3327" max="3327" width="37.1640625" style="2181" customWidth="1"/>
    <col min="3328" max="3329" width="35.83203125" style="2181" customWidth="1"/>
    <col min="3330" max="3331" width="18.1640625" style="2181" customWidth="1"/>
    <col min="3332" max="3332" width="15" style="2181" bestFit="1" customWidth="1"/>
    <col min="3333" max="3333" width="17.5" style="2181" customWidth="1"/>
    <col min="3334" max="3575" width="9.33203125" style="2181"/>
    <col min="3576" max="3576" width="14.33203125" style="2181" customWidth="1"/>
    <col min="3577" max="3577" width="121" style="2181" customWidth="1"/>
    <col min="3578" max="3578" width="37.6640625" style="2181" customWidth="1"/>
    <col min="3579" max="3580" width="35.83203125" style="2181" customWidth="1"/>
    <col min="3581" max="3581" width="14.33203125" style="2181" customWidth="1"/>
    <col min="3582" max="3582" width="121" style="2181" customWidth="1"/>
    <col min="3583" max="3583" width="37.1640625" style="2181" customWidth="1"/>
    <col min="3584" max="3585" width="35.83203125" style="2181" customWidth="1"/>
    <col min="3586" max="3587" width="18.1640625" style="2181" customWidth="1"/>
    <col min="3588" max="3588" width="15" style="2181" bestFit="1" customWidth="1"/>
    <col min="3589" max="3589" width="17.5" style="2181" customWidth="1"/>
    <col min="3590" max="3831" width="9.33203125" style="2181"/>
    <col min="3832" max="3832" width="14.33203125" style="2181" customWidth="1"/>
    <col min="3833" max="3833" width="121" style="2181" customWidth="1"/>
    <col min="3834" max="3834" width="37.6640625" style="2181" customWidth="1"/>
    <col min="3835" max="3836" width="35.83203125" style="2181" customWidth="1"/>
    <col min="3837" max="3837" width="14.33203125" style="2181" customWidth="1"/>
    <col min="3838" max="3838" width="121" style="2181" customWidth="1"/>
    <col min="3839" max="3839" width="37.1640625" style="2181" customWidth="1"/>
    <col min="3840" max="3841" width="35.83203125" style="2181" customWidth="1"/>
    <col min="3842" max="3843" width="18.1640625" style="2181" customWidth="1"/>
    <col min="3844" max="3844" width="15" style="2181" bestFit="1" customWidth="1"/>
    <col min="3845" max="3845" width="17.5" style="2181" customWidth="1"/>
    <col min="3846" max="4087" width="9.33203125" style="2181"/>
    <col min="4088" max="4088" width="14.33203125" style="2181" customWidth="1"/>
    <col min="4089" max="4089" width="121" style="2181" customWidth="1"/>
    <col min="4090" max="4090" width="37.6640625" style="2181" customWidth="1"/>
    <col min="4091" max="4092" width="35.83203125" style="2181" customWidth="1"/>
    <col min="4093" max="4093" width="14.33203125" style="2181" customWidth="1"/>
    <col min="4094" max="4094" width="121" style="2181" customWidth="1"/>
    <col min="4095" max="4095" width="37.1640625" style="2181" customWidth="1"/>
    <col min="4096" max="4097" width="35.83203125" style="2181" customWidth="1"/>
    <col min="4098" max="4099" width="18.1640625" style="2181" customWidth="1"/>
    <col min="4100" max="4100" width="15" style="2181" bestFit="1" customWidth="1"/>
    <col min="4101" max="4101" width="17.5" style="2181" customWidth="1"/>
    <col min="4102" max="4343" width="9.33203125" style="2181"/>
    <col min="4344" max="4344" width="14.33203125" style="2181" customWidth="1"/>
    <col min="4345" max="4345" width="121" style="2181" customWidth="1"/>
    <col min="4346" max="4346" width="37.6640625" style="2181" customWidth="1"/>
    <col min="4347" max="4348" width="35.83203125" style="2181" customWidth="1"/>
    <col min="4349" max="4349" width="14.33203125" style="2181" customWidth="1"/>
    <col min="4350" max="4350" width="121" style="2181" customWidth="1"/>
    <col min="4351" max="4351" width="37.1640625" style="2181" customWidth="1"/>
    <col min="4352" max="4353" width="35.83203125" style="2181" customWidth="1"/>
    <col min="4354" max="4355" width="18.1640625" style="2181" customWidth="1"/>
    <col min="4356" max="4356" width="15" style="2181" bestFit="1" customWidth="1"/>
    <col min="4357" max="4357" width="17.5" style="2181" customWidth="1"/>
    <col min="4358" max="4599" width="9.33203125" style="2181"/>
    <col min="4600" max="4600" width="14.33203125" style="2181" customWidth="1"/>
    <col min="4601" max="4601" width="121" style="2181" customWidth="1"/>
    <col min="4602" max="4602" width="37.6640625" style="2181" customWidth="1"/>
    <col min="4603" max="4604" width="35.83203125" style="2181" customWidth="1"/>
    <col min="4605" max="4605" width="14.33203125" style="2181" customWidth="1"/>
    <col min="4606" max="4606" width="121" style="2181" customWidth="1"/>
    <col min="4607" max="4607" width="37.1640625" style="2181" customWidth="1"/>
    <col min="4608" max="4609" width="35.83203125" style="2181" customWidth="1"/>
    <col min="4610" max="4611" width="18.1640625" style="2181" customWidth="1"/>
    <col min="4612" max="4612" width="15" style="2181" bestFit="1" customWidth="1"/>
    <col min="4613" max="4613" width="17.5" style="2181" customWidth="1"/>
    <col min="4614" max="4855" width="9.33203125" style="2181"/>
    <col min="4856" max="4856" width="14.33203125" style="2181" customWidth="1"/>
    <col min="4857" max="4857" width="121" style="2181" customWidth="1"/>
    <col min="4858" max="4858" width="37.6640625" style="2181" customWidth="1"/>
    <col min="4859" max="4860" width="35.83203125" style="2181" customWidth="1"/>
    <col min="4861" max="4861" width="14.33203125" style="2181" customWidth="1"/>
    <col min="4862" max="4862" width="121" style="2181" customWidth="1"/>
    <col min="4863" max="4863" width="37.1640625" style="2181" customWidth="1"/>
    <col min="4864" max="4865" width="35.83203125" style="2181" customWidth="1"/>
    <col min="4866" max="4867" width="18.1640625" style="2181" customWidth="1"/>
    <col min="4868" max="4868" width="15" style="2181" bestFit="1" customWidth="1"/>
    <col min="4869" max="4869" width="17.5" style="2181" customWidth="1"/>
    <col min="4870" max="5111" width="9.33203125" style="2181"/>
    <col min="5112" max="5112" width="14.33203125" style="2181" customWidth="1"/>
    <col min="5113" max="5113" width="121" style="2181" customWidth="1"/>
    <col min="5114" max="5114" width="37.6640625" style="2181" customWidth="1"/>
    <col min="5115" max="5116" width="35.83203125" style="2181" customWidth="1"/>
    <col min="5117" max="5117" width="14.33203125" style="2181" customWidth="1"/>
    <col min="5118" max="5118" width="121" style="2181" customWidth="1"/>
    <col min="5119" max="5119" width="37.1640625" style="2181" customWidth="1"/>
    <col min="5120" max="5121" width="35.83203125" style="2181" customWidth="1"/>
    <col min="5122" max="5123" width="18.1640625" style="2181" customWidth="1"/>
    <col min="5124" max="5124" width="15" style="2181" bestFit="1" customWidth="1"/>
    <col min="5125" max="5125" width="17.5" style="2181" customWidth="1"/>
    <col min="5126" max="5367" width="9.33203125" style="2181"/>
    <col min="5368" max="5368" width="14.33203125" style="2181" customWidth="1"/>
    <col min="5369" max="5369" width="121" style="2181" customWidth="1"/>
    <col min="5370" max="5370" width="37.6640625" style="2181" customWidth="1"/>
    <col min="5371" max="5372" width="35.83203125" style="2181" customWidth="1"/>
    <col min="5373" max="5373" width="14.33203125" style="2181" customWidth="1"/>
    <col min="5374" max="5374" width="121" style="2181" customWidth="1"/>
    <col min="5375" max="5375" width="37.1640625" style="2181" customWidth="1"/>
    <col min="5376" max="5377" width="35.83203125" style="2181" customWidth="1"/>
    <col min="5378" max="5379" width="18.1640625" style="2181" customWidth="1"/>
    <col min="5380" max="5380" width="15" style="2181" bestFit="1" customWidth="1"/>
    <col min="5381" max="5381" width="17.5" style="2181" customWidth="1"/>
    <col min="5382" max="5623" width="9.33203125" style="2181"/>
    <col min="5624" max="5624" width="14.33203125" style="2181" customWidth="1"/>
    <col min="5625" max="5625" width="121" style="2181" customWidth="1"/>
    <col min="5626" max="5626" width="37.6640625" style="2181" customWidth="1"/>
    <col min="5627" max="5628" width="35.83203125" style="2181" customWidth="1"/>
    <col min="5629" max="5629" width="14.33203125" style="2181" customWidth="1"/>
    <col min="5630" max="5630" width="121" style="2181" customWidth="1"/>
    <col min="5631" max="5631" width="37.1640625" style="2181" customWidth="1"/>
    <col min="5632" max="5633" width="35.83203125" style="2181" customWidth="1"/>
    <col min="5634" max="5635" width="18.1640625" style="2181" customWidth="1"/>
    <col min="5636" max="5636" width="15" style="2181" bestFit="1" customWidth="1"/>
    <col min="5637" max="5637" width="17.5" style="2181" customWidth="1"/>
    <col min="5638" max="5879" width="9.33203125" style="2181"/>
    <col min="5880" max="5880" width="14.33203125" style="2181" customWidth="1"/>
    <col min="5881" max="5881" width="121" style="2181" customWidth="1"/>
    <col min="5882" max="5882" width="37.6640625" style="2181" customWidth="1"/>
    <col min="5883" max="5884" width="35.83203125" style="2181" customWidth="1"/>
    <col min="5885" max="5885" width="14.33203125" style="2181" customWidth="1"/>
    <col min="5886" max="5886" width="121" style="2181" customWidth="1"/>
    <col min="5887" max="5887" width="37.1640625" style="2181" customWidth="1"/>
    <col min="5888" max="5889" width="35.83203125" style="2181" customWidth="1"/>
    <col min="5890" max="5891" width="18.1640625" style="2181" customWidth="1"/>
    <col min="5892" max="5892" width="15" style="2181" bestFit="1" customWidth="1"/>
    <col min="5893" max="5893" width="17.5" style="2181" customWidth="1"/>
    <col min="5894" max="6135" width="9.33203125" style="2181"/>
    <col min="6136" max="6136" width="14.33203125" style="2181" customWidth="1"/>
    <col min="6137" max="6137" width="121" style="2181" customWidth="1"/>
    <col min="6138" max="6138" width="37.6640625" style="2181" customWidth="1"/>
    <col min="6139" max="6140" width="35.83203125" style="2181" customWidth="1"/>
    <col min="6141" max="6141" width="14.33203125" style="2181" customWidth="1"/>
    <col min="6142" max="6142" width="121" style="2181" customWidth="1"/>
    <col min="6143" max="6143" width="37.1640625" style="2181" customWidth="1"/>
    <col min="6144" max="6145" width="35.83203125" style="2181" customWidth="1"/>
    <col min="6146" max="6147" width="18.1640625" style="2181" customWidth="1"/>
    <col min="6148" max="6148" width="15" style="2181" bestFit="1" customWidth="1"/>
    <col min="6149" max="6149" width="17.5" style="2181" customWidth="1"/>
    <col min="6150" max="6391" width="9.33203125" style="2181"/>
    <col min="6392" max="6392" width="14.33203125" style="2181" customWidth="1"/>
    <col min="6393" max="6393" width="121" style="2181" customWidth="1"/>
    <col min="6394" max="6394" width="37.6640625" style="2181" customWidth="1"/>
    <col min="6395" max="6396" width="35.83203125" style="2181" customWidth="1"/>
    <col min="6397" max="6397" width="14.33203125" style="2181" customWidth="1"/>
    <col min="6398" max="6398" width="121" style="2181" customWidth="1"/>
    <col min="6399" max="6399" width="37.1640625" style="2181" customWidth="1"/>
    <col min="6400" max="6401" width="35.83203125" style="2181" customWidth="1"/>
    <col min="6402" max="6403" width="18.1640625" style="2181" customWidth="1"/>
    <col min="6404" max="6404" width="15" style="2181" bestFit="1" customWidth="1"/>
    <col min="6405" max="6405" width="17.5" style="2181" customWidth="1"/>
    <col min="6406" max="6647" width="9.33203125" style="2181"/>
    <col min="6648" max="6648" width="14.33203125" style="2181" customWidth="1"/>
    <col min="6649" max="6649" width="121" style="2181" customWidth="1"/>
    <col min="6650" max="6650" width="37.6640625" style="2181" customWidth="1"/>
    <col min="6651" max="6652" width="35.83203125" style="2181" customWidth="1"/>
    <col min="6653" max="6653" width="14.33203125" style="2181" customWidth="1"/>
    <col min="6654" max="6654" width="121" style="2181" customWidth="1"/>
    <col min="6655" max="6655" width="37.1640625" style="2181" customWidth="1"/>
    <col min="6656" max="6657" width="35.83203125" style="2181" customWidth="1"/>
    <col min="6658" max="6659" width="18.1640625" style="2181" customWidth="1"/>
    <col min="6660" max="6660" width="15" style="2181" bestFit="1" customWidth="1"/>
    <col min="6661" max="6661" width="17.5" style="2181" customWidth="1"/>
    <col min="6662" max="6903" width="9.33203125" style="2181"/>
    <col min="6904" max="6904" width="14.33203125" style="2181" customWidth="1"/>
    <col min="6905" max="6905" width="121" style="2181" customWidth="1"/>
    <col min="6906" max="6906" width="37.6640625" style="2181" customWidth="1"/>
    <col min="6907" max="6908" width="35.83203125" style="2181" customWidth="1"/>
    <col min="6909" max="6909" width="14.33203125" style="2181" customWidth="1"/>
    <col min="6910" max="6910" width="121" style="2181" customWidth="1"/>
    <col min="6911" max="6911" width="37.1640625" style="2181" customWidth="1"/>
    <col min="6912" max="6913" width="35.83203125" style="2181" customWidth="1"/>
    <col min="6914" max="6915" width="18.1640625" style="2181" customWidth="1"/>
    <col min="6916" max="6916" width="15" style="2181" bestFit="1" customWidth="1"/>
    <col min="6917" max="6917" width="17.5" style="2181" customWidth="1"/>
    <col min="6918" max="7159" width="9.33203125" style="2181"/>
    <col min="7160" max="7160" width="14.33203125" style="2181" customWidth="1"/>
    <col min="7161" max="7161" width="121" style="2181" customWidth="1"/>
    <col min="7162" max="7162" width="37.6640625" style="2181" customWidth="1"/>
    <col min="7163" max="7164" width="35.83203125" style="2181" customWidth="1"/>
    <col min="7165" max="7165" width="14.33203125" style="2181" customWidth="1"/>
    <col min="7166" max="7166" width="121" style="2181" customWidth="1"/>
    <col min="7167" max="7167" width="37.1640625" style="2181" customWidth="1"/>
    <col min="7168" max="7169" width="35.83203125" style="2181" customWidth="1"/>
    <col min="7170" max="7171" width="18.1640625" style="2181" customWidth="1"/>
    <col min="7172" max="7172" width="15" style="2181" bestFit="1" customWidth="1"/>
    <col min="7173" max="7173" width="17.5" style="2181" customWidth="1"/>
    <col min="7174" max="7415" width="9.33203125" style="2181"/>
    <col min="7416" max="7416" width="14.33203125" style="2181" customWidth="1"/>
    <col min="7417" max="7417" width="121" style="2181" customWidth="1"/>
    <col min="7418" max="7418" width="37.6640625" style="2181" customWidth="1"/>
    <col min="7419" max="7420" width="35.83203125" style="2181" customWidth="1"/>
    <col min="7421" max="7421" width="14.33203125" style="2181" customWidth="1"/>
    <col min="7422" max="7422" width="121" style="2181" customWidth="1"/>
    <col min="7423" max="7423" width="37.1640625" style="2181" customWidth="1"/>
    <col min="7424" max="7425" width="35.83203125" style="2181" customWidth="1"/>
    <col min="7426" max="7427" width="18.1640625" style="2181" customWidth="1"/>
    <col min="7428" max="7428" width="15" style="2181" bestFit="1" customWidth="1"/>
    <col min="7429" max="7429" width="17.5" style="2181" customWidth="1"/>
    <col min="7430" max="7671" width="9.33203125" style="2181"/>
    <col min="7672" max="7672" width="14.33203125" style="2181" customWidth="1"/>
    <col min="7673" max="7673" width="121" style="2181" customWidth="1"/>
    <col min="7674" max="7674" width="37.6640625" style="2181" customWidth="1"/>
    <col min="7675" max="7676" width="35.83203125" style="2181" customWidth="1"/>
    <col min="7677" max="7677" width="14.33203125" style="2181" customWidth="1"/>
    <col min="7678" max="7678" width="121" style="2181" customWidth="1"/>
    <col min="7679" max="7679" width="37.1640625" style="2181" customWidth="1"/>
    <col min="7680" max="7681" width="35.83203125" style="2181" customWidth="1"/>
    <col min="7682" max="7683" width="18.1640625" style="2181" customWidth="1"/>
    <col min="7684" max="7684" width="15" style="2181" bestFit="1" customWidth="1"/>
    <col min="7685" max="7685" width="17.5" style="2181" customWidth="1"/>
    <col min="7686" max="7927" width="9.33203125" style="2181"/>
    <col min="7928" max="7928" width="14.33203125" style="2181" customWidth="1"/>
    <col min="7929" max="7929" width="121" style="2181" customWidth="1"/>
    <col min="7930" max="7930" width="37.6640625" style="2181" customWidth="1"/>
    <col min="7931" max="7932" width="35.83203125" style="2181" customWidth="1"/>
    <col min="7933" max="7933" width="14.33203125" style="2181" customWidth="1"/>
    <col min="7934" max="7934" width="121" style="2181" customWidth="1"/>
    <col min="7935" max="7935" width="37.1640625" style="2181" customWidth="1"/>
    <col min="7936" max="7937" width="35.83203125" style="2181" customWidth="1"/>
    <col min="7938" max="7939" width="18.1640625" style="2181" customWidth="1"/>
    <col min="7940" max="7940" width="15" style="2181" bestFit="1" customWidth="1"/>
    <col min="7941" max="7941" width="17.5" style="2181" customWidth="1"/>
    <col min="7942" max="8183" width="9.33203125" style="2181"/>
    <col min="8184" max="8184" width="14.33203125" style="2181" customWidth="1"/>
    <col min="8185" max="8185" width="121" style="2181" customWidth="1"/>
    <col min="8186" max="8186" width="37.6640625" style="2181" customWidth="1"/>
    <col min="8187" max="8188" width="35.83203125" style="2181" customWidth="1"/>
    <col min="8189" max="8189" width="14.33203125" style="2181" customWidth="1"/>
    <col min="8190" max="8190" width="121" style="2181" customWidth="1"/>
    <col min="8191" max="8191" width="37.1640625" style="2181" customWidth="1"/>
    <col min="8192" max="8193" width="35.83203125" style="2181" customWidth="1"/>
    <col min="8194" max="8195" width="18.1640625" style="2181" customWidth="1"/>
    <col min="8196" max="8196" width="15" style="2181" bestFit="1" customWidth="1"/>
    <col min="8197" max="8197" width="17.5" style="2181" customWidth="1"/>
    <col min="8198" max="8439" width="9.33203125" style="2181"/>
    <col min="8440" max="8440" width="14.33203125" style="2181" customWidth="1"/>
    <col min="8441" max="8441" width="121" style="2181" customWidth="1"/>
    <col min="8442" max="8442" width="37.6640625" style="2181" customWidth="1"/>
    <col min="8443" max="8444" width="35.83203125" style="2181" customWidth="1"/>
    <col min="8445" max="8445" width="14.33203125" style="2181" customWidth="1"/>
    <col min="8446" max="8446" width="121" style="2181" customWidth="1"/>
    <col min="8447" max="8447" width="37.1640625" style="2181" customWidth="1"/>
    <col min="8448" max="8449" width="35.83203125" style="2181" customWidth="1"/>
    <col min="8450" max="8451" width="18.1640625" style="2181" customWidth="1"/>
    <col min="8452" max="8452" width="15" style="2181" bestFit="1" customWidth="1"/>
    <col min="8453" max="8453" width="17.5" style="2181" customWidth="1"/>
    <col min="8454" max="8695" width="9.33203125" style="2181"/>
    <col min="8696" max="8696" width="14.33203125" style="2181" customWidth="1"/>
    <col min="8697" max="8697" width="121" style="2181" customWidth="1"/>
    <col min="8698" max="8698" width="37.6640625" style="2181" customWidth="1"/>
    <col min="8699" max="8700" width="35.83203125" style="2181" customWidth="1"/>
    <col min="8701" max="8701" width="14.33203125" style="2181" customWidth="1"/>
    <col min="8702" max="8702" width="121" style="2181" customWidth="1"/>
    <col min="8703" max="8703" width="37.1640625" style="2181" customWidth="1"/>
    <col min="8704" max="8705" width="35.83203125" style="2181" customWidth="1"/>
    <col min="8706" max="8707" width="18.1640625" style="2181" customWidth="1"/>
    <col min="8708" max="8708" width="15" style="2181" bestFit="1" customWidth="1"/>
    <col min="8709" max="8709" width="17.5" style="2181" customWidth="1"/>
    <col min="8710" max="8951" width="9.33203125" style="2181"/>
    <col min="8952" max="8952" width="14.33203125" style="2181" customWidth="1"/>
    <col min="8953" max="8953" width="121" style="2181" customWidth="1"/>
    <col min="8954" max="8954" width="37.6640625" style="2181" customWidth="1"/>
    <col min="8955" max="8956" width="35.83203125" style="2181" customWidth="1"/>
    <col min="8957" max="8957" width="14.33203125" style="2181" customWidth="1"/>
    <col min="8958" max="8958" width="121" style="2181" customWidth="1"/>
    <col min="8959" max="8959" width="37.1640625" style="2181" customWidth="1"/>
    <col min="8960" max="8961" width="35.83203125" style="2181" customWidth="1"/>
    <col min="8962" max="8963" width="18.1640625" style="2181" customWidth="1"/>
    <col min="8964" max="8964" width="15" style="2181" bestFit="1" customWidth="1"/>
    <col min="8965" max="8965" width="17.5" style="2181" customWidth="1"/>
    <col min="8966" max="9207" width="9.33203125" style="2181"/>
    <col min="9208" max="9208" width="14.33203125" style="2181" customWidth="1"/>
    <col min="9209" max="9209" width="121" style="2181" customWidth="1"/>
    <col min="9210" max="9210" width="37.6640625" style="2181" customWidth="1"/>
    <col min="9211" max="9212" width="35.83203125" style="2181" customWidth="1"/>
    <col min="9213" max="9213" width="14.33203125" style="2181" customWidth="1"/>
    <col min="9214" max="9214" width="121" style="2181" customWidth="1"/>
    <col min="9215" max="9215" width="37.1640625" style="2181" customWidth="1"/>
    <col min="9216" max="9217" width="35.83203125" style="2181" customWidth="1"/>
    <col min="9218" max="9219" width="18.1640625" style="2181" customWidth="1"/>
    <col min="9220" max="9220" width="15" style="2181" bestFit="1" customWidth="1"/>
    <col min="9221" max="9221" width="17.5" style="2181" customWidth="1"/>
    <col min="9222" max="9463" width="9.33203125" style="2181"/>
    <col min="9464" max="9464" width="14.33203125" style="2181" customWidth="1"/>
    <col min="9465" max="9465" width="121" style="2181" customWidth="1"/>
    <col min="9466" max="9466" width="37.6640625" style="2181" customWidth="1"/>
    <col min="9467" max="9468" width="35.83203125" style="2181" customWidth="1"/>
    <col min="9469" max="9469" width="14.33203125" style="2181" customWidth="1"/>
    <col min="9470" max="9470" width="121" style="2181" customWidth="1"/>
    <col min="9471" max="9471" width="37.1640625" style="2181" customWidth="1"/>
    <col min="9472" max="9473" width="35.83203125" style="2181" customWidth="1"/>
    <col min="9474" max="9475" width="18.1640625" style="2181" customWidth="1"/>
    <col min="9476" max="9476" width="15" style="2181" bestFit="1" customWidth="1"/>
    <col min="9477" max="9477" width="17.5" style="2181" customWidth="1"/>
    <col min="9478" max="9719" width="9.33203125" style="2181"/>
    <col min="9720" max="9720" width="14.33203125" style="2181" customWidth="1"/>
    <col min="9721" max="9721" width="121" style="2181" customWidth="1"/>
    <col min="9722" max="9722" width="37.6640625" style="2181" customWidth="1"/>
    <col min="9723" max="9724" width="35.83203125" style="2181" customWidth="1"/>
    <col min="9725" max="9725" width="14.33203125" style="2181" customWidth="1"/>
    <col min="9726" max="9726" width="121" style="2181" customWidth="1"/>
    <col min="9727" max="9727" width="37.1640625" style="2181" customWidth="1"/>
    <col min="9728" max="9729" width="35.83203125" style="2181" customWidth="1"/>
    <col min="9730" max="9731" width="18.1640625" style="2181" customWidth="1"/>
    <col min="9732" max="9732" width="15" style="2181" bestFit="1" customWidth="1"/>
    <col min="9733" max="9733" width="17.5" style="2181" customWidth="1"/>
    <col min="9734" max="9975" width="9.33203125" style="2181"/>
    <col min="9976" max="9976" width="14.33203125" style="2181" customWidth="1"/>
    <col min="9977" max="9977" width="121" style="2181" customWidth="1"/>
    <col min="9978" max="9978" width="37.6640625" style="2181" customWidth="1"/>
    <col min="9979" max="9980" width="35.83203125" style="2181" customWidth="1"/>
    <col min="9981" max="9981" width="14.33203125" style="2181" customWidth="1"/>
    <col min="9982" max="9982" width="121" style="2181" customWidth="1"/>
    <col min="9983" max="9983" width="37.1640625" style="2181" customWidth="1"/>
    <col min="9984" max="9985" width="35.83203125" style="2181" customWidth="1"/>
    <col min="9986" max="9987" width="18.1640625" style="2181" customWidth="1"/>
    <col min="9988" max="9988" width="15" style="2181" bestFit="1" customWidth="1"/>
    <col min="9989" max="9989" width="17.5" style="2181" customWidth="1"/>
    <col min="9990" max="10231" width="9.33203125" style="2181"/>
    <col min="10232" max="10232" width="14.33203125" style="2181" customWidth="1"/>
    <col min="10233" max="10233" width="121" style="2181" customWidth="1"/>
    <col min="10234" max="10234" width="37.6640625" style="2181" customWidth="1"/>
    <col min="10235" max="10236" width="35.83203125" style="2181" customWidth="1"/>
    <col min="10237" max="10237" width="14.33203125" style="2181" customWidth="1"/>
    <col min="10238" max="10238" width="121" style="2181" customWidth="1"/>
    <col min="10239" max="10239" width="37.1640625" style="2181" customWidth="1"/>
    <col min="10240" max="10241" width="35.83203125" style="2181" customWidth="1"/>
    <col min="10242" max="10243" width="18.1640625" style="2181" customWidth="1"/>
    <col min="10244" max="10244" width="15" style="2181" bestFit="1" customWidth="1"/>
    <col min="10245" max="10245" width="17.5" style="2181" customWidth="1"/>
    <col min="10246" max="10487" width="9.33203125" style="2181"/>
    <col min="10488" max="10488" width="14.33203125" style="2181" customWidth="1"/>
    <col min="10489" max="10489" width="121" style="2181" customWidth="1"/>
    <col min="10490" max="10490" width="37.6640625" style="2181" customWidth="1"/>
    <col min="10491" max="10492" width="35.83203125" style="2181" customWidth="1"/>
    <col min="10493" max="10493" width="14.33203125" style="2181" customWidth="1"/>
    <col min="10494" max="10494" width="121" style="2181" customWidth="1"/>
    <col min="10495" max="10495" width="37.1640625" style="2181" customWidth="1"/>
    <col min="10496" max="10497" width="35.83203125" style="2181" customWidth="1"/>
    <col min="10498" max="10499" width="18.1640625" style="2181" customWidth="1"/>
    <col min="10500" max="10500" width="15" style="2181" bestFit="1" customWidth="1"/>
    <col min="10501" max="10501" width="17.5" style="2181" customWidth="1"/>
    <col min="10502" max="10743" width="9.33203125" style="2181"/>
    <col min="10744" max="10744" width="14.33203125" style="2181" customWidth="1"/>
    <col min="10745" max="10745" width="121" style="2181" customWidth="1"/>
    <col min="10746" max="10746" width="37.6640625" style="2181" customWidth="1"/>
    <col min="10747" max="10748" width="35.83203125" style="2181" customWidth="1"/>
    <col min="10749" max="10749" width="14.33203125" style="2181" customWidth="1"/>
    <col min="10750" max="10750" width="121" style="2181" customWidth="1"/>
    <col min="10751" max="10751" width="37.1640625" style="2181" customWidth="1"/>
    <col min="10752" max="10753" width="35.83203125" style="2181" customWidth="1"/>
    <col min="10754" max="10755" width="18.1640625" style="2181" customWidth="1"/>
    <col min="10756" max="10756" width="15" style="2181" bestFit="1" customWidth="1"/>
    <col min="10757" max="10757" width="17.5" style="2181" customWidth="1"/>
    <col min="10758" max="10999" width="9.33203125" style="2181"/>
    <col min="11000" max="11000" width="14.33203125" style="2181" customWidth="1"/>
    <col min="11001" max="11001" width="121" style="2181" customWidth="1"/>
    <col min="11002" max="11002" width="37.6640625" style="2181" customWidth="1"/>
    <col min="11003" max="11004" width="35.83203125" style="2181" customWidth="1"/>
    <col min="11005" max="11005" width="14.33203125" style="2181" customWidth="1"/>
    <col min="11006" max="11006" width="121" style="2181" customWidth="1"/>
    <col min="11007" max="11007" width="37.1640625" style="2181" customWidth="1"/>
    <col min="11008" max="11009" width="35.83203125" style="2181" customWidth="1"/>
    <col min="11010" max="11011" width="18.1640625" style="2181" customWidth="1"/>
    <col min="11012" max="11012" width="15" style="2181" bestFit="1" customWidth="1"/>
    <col min="11013" max="11013" width="17.5" style="2181" customWidth="1"/>
    <col min="11014" max="11255" width="9.33203125" style="2181"/>
    <col min="11256" max="11256" width="14.33203125" style="2181" customWidth="1"/>
    <col min="11257" max="11257" width="121" style="2181" customWidth="1"/>
    <col min="11258" max="11258" width="37.6640625" style="2181" customWidth="1"/>
    <col min="11259" max="11260" width="35.83203125" style="2181" customWidth="1"/>
    <col min="11261" max="11261" width="14.33203125" style="2181" customWidth="1"/>
    <col min="11262" max="11262" width="121" style="2181" customWidth="1"/>
    <col min="11263" max="11263" width="37.1640625" style="2181" customWidth="1"/>
    <col min="11264" max="11265" width="35.83203125" style="2181" customWidth="1"/>
    <col min="11266" max="11267" width="18.1640625" style="2181" customWidth="1"/>
    <col min="11268" max="11268" width="15" style="2181" bestFit="1" customWidth="1"/>
    <col min="11269" max="11269" width="17.5" style="2181" customWidth="1"/>
    <col min="11270" max="11511" width="9.33203125" style="2181"/>
    <col min="11512" max="11512" width="14.33203125" style="2181" customWidth="1"/>
    <col min="11513" max="11513" width="121" style="2181" customWidth="1"/>
    <col min="11514" max="11514" width="37.6640625" style="2181" customWidth="1"/>
    <col min="11515" max="11516" width="35.83203125" style="2181" customWidth="1"/>
    <col min="11517" max="11517" width="14.33203125" style="2181" customWidth="1"/>
    <col min="11518" max="11518" width="121" style="2181" customWidth="1"/>
    <col min="11519" max="11519" width="37.1640625" style="2181" customWidth="1"/>
    <col min="11520" max="11521" width="35.83203125" style="2181" customWidth="1"/>
    <col min="11522" max="11523" width="18.1640625" style="2181" customWidth="1"/>
    <col min="11524" max="11524" width="15" style="2181" bestFit="1" customWidth="1"/>
    <col min="11525" max="11525" width="17.5" style="2181" customWidth="1"/>
    <col min="11526" max="11767" width="9.33203125" style="2181"/>
    <col min="11768" max="11768" width="14.33203125" style="2181" customWidth="1"/>
    <col min="11769" max="11769" width="121" style="2181" customWidth="1"/>
    <col min="11770" max="11770" width="37.6640625" style="2181" customWidth="1"/>
    <col min="11771" max="11772" width="35.83203125" style="2181" customWidth="1"/>
    <col min="11773" max="11773" width="14.33203125" style="2181" customWidth="1"/>
    <col min="11774" max="11774" width="121" style="2181" customWidth="1"/>
    <col min="11775" max="11775" width="37.1640625" style="2181" customWidth="1"/>
    <col min="11776" max="11777" width="35.83203125" style="2181" customWidth="1"/>
    <col min="11778" max="11779" width="18.1640625" style="2181" customWidth="1"/>
    <col min="11780" max="11780" width="15" style="2181" bestFit="1" customWidth="1"/>
    <col min="11781" max="11781" width="17.5" style="2181" customWidth="1"/>
    <col min="11782" max="12023" width="9.33203125" style="2181"/>
    <col min="12024" max="12024" width="14.33203125" style="2181" customWidth="1"/>
    <col min="12025" max="12025" width="121" style="2181" customWidth="1"/>
    <col min="12026" max="12026" width="37.6640625" style="2181" customWidth="1"/>
    <col min="12027" max="12028" width="35.83203125" style="2181" customWidth="1"/>
    <col min="12029" max="12029" width="14.33203125" style="2181" customWidth="1"/>
    <col min="12030" max="12030" width="121" style="2181" customWidth="1"/>
    <col min="12031" max="12031" width="37.1640625" style="2181" customWidth="1"/>
    <col min="12032" max="12033" width="35.83203125" style="2181" customWidth="1"/>
    <col min="12034" max="12035" width="18.1640625" style="2181" customWidth="1"/>
    <col min="12036" max="12036" width="15" style="2181" bestFit="1" customWidth="1"/>
    <col min="12037" max="12037" width="17.5" style="2181" customWidth="1"/>
    <col min="12038" max="12279" width="9.33203125" style="2181"/>
    <col min="12280" max="12280" width="14.33203125" style="2181" customWidth="1"/>
    <col min="12281" max="12281" width="121" style="2181" customWidth="1"/>
    <col min="12282" max="12282" width="37.6640625" style="2181" customWidth="1"/>
    <col min="12283" max="12284" width="35.83203125" style="2181" customWidth="1"/>
    <col min="12285" max="12285" width="14.33203125" style="2181" customWidth="1"/>
    <col min="12286" max="12286" width="121" style="2181" customWidth="1"/>
    <col min="12287" max="12287" width="37.1640625" style="2181" customWidth="1"/>
    <col min="12288" max="12289" width="35.83203125" style="2181" customWidth="1"/>
    <col min="12290" max="12291" width="18.1640625" style="2181" customWidth="1"/>
    <col min="12292" max="12292" width="15" style="2181" bestFit="1" customWidth="1"/>
    <col min="12293" max="12293" width="17.5" style="2181" customWidth="1"/>
    <col min="12294" max="12535" width="9.33203125" style="2181"/>
    <col min="12536" max="12536" width="14.33203125" style="2181" customWidth="1"/>
    <col min="12537" max="12537" width="121" style="2181" customWidth="1"/>
    <col min="12538" max="12538" width="37.6640625" style="2181" customWidth="1"/>
    <col min="12539" max="12540" width="35.83203125" style="2181" customWidth="1"/>
    <col min="12541" max="12541" width="14.33203125" style="2181" customWidth="1"/>
    <col min="12542" max="12542" width="121" style="2181" customWidth="1"/>
    <col min="12543" max="12543" width="37.1640625" style="2181" customWidth="1"/>
    <col min="12544" max="12545" width="35.83203125" style="2181" customWidth="1"/>
    <col min="12546" max="12547" width="18.1640625" style="2181" customWidth="1"/>
    <col min="12548" max="12548" width="15" style="2181" bestFit="1" customWidth="1"/>
    <col min="12549" max="12549" width="17.5" style="2181" customWidth="1"/>
    <col min="12550" max="12791" width="9.33203125" style="2181"/>
    <col min="12792" max="12792" width="14.33203125" style="2181" customWidth="1"/>
    <col min="12793" max="12793" width="121" style="2181" customWidth="1"/>
    <col min="12794" max="12794" width="37.6640625" style="2181" customWidth="1"/>
    <col min="12795" max="12796" width="35.83203125" style="2181" customWidth="1"/>
    <col min="12797" max="12797" width="14.33203125" style="2181" customWidth="1"/>
    <col min="12798" max="12798" width="121" style="2181" customWidth="1"/>
    <col min="12799" max="12799" width="37.1640625" style="2181" customWidth="1"/>
    <col min="12800" max="12801" width="35.83203125" style="2181" customWidth="1"/>
    <col min="12802" max="12803" width="18.1640625" style="2181" customWidth="1"/>
    <col min="12804" max="12804" width="15" style="2181" bestFit="1" customWidth="1"/>
    <col min="12805" max="12805" width="17.5" style="2181" customWidth="1"/>
    <col min="12806" max="13047" width="9.33203125" style="2181"/>
    <col min="13048" max="13048" width="14.33203125" style="2181" customWidth="1"/>
    <col min="13049" max="13049" width="121" style="2181" customWidth="1"/>
    <col min="13050" max="13050" width="37.6640625" style="2181" customWidth="1"/>
    <col min="13051" max="13052" width="35.83203125" style="2181" customWidth="1"/>
    <col min="13053" max="13053" width="14.33203125" style="2181" customWidth="1"/>
    <col min="13054" max="13054" width="121" style="2181" customWidth="1"/>
    <col min="13055" max="13055" width="37.1640625" style="2181" customWidth="1"/>
    <col min="13056" max="13057" width="35.83203125" style="2181" customWidth="1"/>
    <col min="13058" max="13059" width="18.1640625" style="2181" customWidth="1"/>
    <col min="13060" max="13060" width="15" style="2181" bestFit="1" customWidth="1"/>
    <col min="13061" max="13061" width="17.5" style="2181" customWidth="1"/>
    <col min="13062" max="13303" width="9.33203125" style="2181"/>
    <col min="13304" max="13304" width="14.33203125" style="2181" customWidth="1"/>
    <col min="13305" max="13305" width="121" style="2181" customWidth="1"/>
    <col min="13306" max="13306" width="37.6640625" style="2181" customWidth="1"/>
    <col min="13307" max="13308" width="35.83203125" style="2181" customWidth="1"/>
    <col min="13309" max="13309" width="14.33203125" style="2181" customWidth="1"/>
    <col min="13310" max="13310" width="121" style="2181" customWidth="1"/>
    <col min="13311" max="13311" width="37.1640625" style="2181" customWidth="1"/>
    <col min="13312" max="13313" width="35.83203125" style="2181" customWidth="1"/>
    <col min="13314" max="13315" width="18.1640625" style="2181" customWidth="1"/>
    <col min="13316" max="13316" width="15" style="2181" bestFit="1" customWidth="1"/>
    <col min="13317" max="13317" width="17.5" style="2181" customWidth="1"/>
    <col min="13318" max="13559" width="9.33203125" style="2181"/>
    <col min="13560" max="13560" width="14.33203125" style="2181" customWidth="1"/>
    <col min="13561" max="13561" width="121" style="2181" customWidth="1"/>
    <col min="13562" max="13562" width="37.6640625" style="2181" customWidth="1"/>
    <col min="13563" max="13564" width="35.83203125" style="2181" customWidth="1"/>
    <col min="13565" max="13565" width="14.33203125" style="2181" customWidth="1"/>
    <col min="13566" max="13566" width="121" style="2181" customWidth="1"/>
    <col min="13567" max="13567" width="37.1640625" style="2181" customWidth="1"/>
    <col min="13568" max="13569" width="35.83203125" style="2181" customWidth="1"/>
    <col min="13570" max="13571" width="18.1640625" style="2181" customWidth="1"/>
    <col min="13572" max="13572" width="15" style="2181" bestFit="1" customWidth="1"/>
    <col min="13573" max="13573" width="17.5" style="2181" customWidth="1"/>
    <col min="13574" max="13815" width="9.33203125" style="2181"/>
    <col min="13816" max="13816" width="14.33203125" style="2181" customWidth="1"/>
    <col min="13817" max="13817" width="121" style="2181" customWidth="1"/>
    <col min="13818" max="13818" width="37.6640625" style="2181" customWidth="1"/>
    <col min="13819" max="13820" width="35.83203125" style="2181" customWidth="1"/>
    <col min="13821" max="13821" width="14.33203125" style="2181" customWidth="1"/>
    <col min="13822" max="13822" width="121" style="2181" customWidth="1"/>
    <col min="13823" max="13823" width="37.1640625" style="2181" customWidth="1"/>
    <col min="13824" max="13825" width="35.83203125" style="2181" customWidth="1"/>
    <col min="13826" max="13827" width="18.1640625" style="2181" customWidth="1"/>
    <col min="13828" max="13828" width="15" style="2181" bestFit="1" customWidth="1"/>
    <col min="13829" max="13829" width="17.5" style="2181" customWidth="1"/>
    <col min="13830" max="14071" width="9.33203125" style="2181"/>
    <col min="14072" max="14072" width="14.33203125" style="2181" customWidth="1"/>
    <col min="14073" max="14073" width="121" style="2181" customWidth="1"/>
    <col min="14074" max="14074" width="37.6640625" style="2181" customWidth="1"/>
    <col min="14075" max="14076" width="35.83203125" style="2181" customWidth="1"/>
    <col min="14077" max="14077" width="14.33203125" style="2181" customWidth="1"/>
    <col min="14078" max="14078" width="121" style="2181" customWidth="1"/>
    <col min="14079" max="14079" width="37.1640625" style="2181" customWidth="1"/>
    <col min="14080" max="14081" width="35.83203125" style="2181" customWidth="1"/>
    <col min="14082" max="14083" width="18.1640625" style="2181" customWidth="1"/>
    <col min="14084" max="14084" width="15" style="2181" bestFit="1" customWidth="1"/>
    <col min="14085" max="14085" width="17.5" style="2181" customWidth="1"/>
    <col min="14086" max="14327" width="9.33203125" style="2181"/>
    <col min="14328" max="14328" width="14.33203125" style="2181" customWidth="1"/>
    <col min="14329" max="14329" width="121" style="2181" customWidth="1"/>
    <col min="14330" max="14330" width="37.6640625" style="2181" customWidth="1"/>
    <col min="14331" max="14332" width="35.83203125" style="2181" customWidth="1"/>
    <col min="14333" max="14333" width="14.33203125" style="2181" customWidth="1"/>
    <col min="14334" max="14334" width="121" style="2181" customWidth="1"/>
    <col min="14335" max="14335" width="37.1640625" style="2181" customWidth="1"/>
    <col min="14336" max="14337" width="35.83203125" style="2181" customWidth="1"/>
    <col min="14338" max="14339" width="18.1640625" style="2181" customWidth="1"/>
    <col min="14340" max="14340" width="15" style="2181" bestFit="1" customWidth="1"/>
    <col min="14341" max="14341" width="17.5" style="2181" customWidth="1"/>
    <col min="14342" max="14583" width="9.33203125" style="2181"/>
    <col min="14584" max="14584" width="14.33203125" style="2181" customWidth="1"/>
    <col min="14585" max="14585" width="121" style="2181" customWidth="1"/>
    <col min="14586" max="14586" width="37.6640625" style="2181" customWidth="1"/>
    <col min="14587" max="14588" width="35.83203125" style="2181" customWidth="1"/>
    <col min="14589" max="14589" width="14.33203125" style="2181" customWidth="1"/>
    <col min="14590" max="14590" width="121" style="2181" customWidth="1"/>
    <col min="14591" max="14591" width="37.1640625" style="2181" customWidth="1"/>
    <col min="14592" max="14593" width="35.83203125" style="2181" customWidth="1"/>
    <col min="14594" max="14595" width="18.1640625" style="2181" customWidth="1"/>
    <col min="14596" max="14596" width="15" style="2181" bestFit="1" customWidth="1"/>
    <col min="14597" max="14597" width="17.5" style="2181" customWidth="1"/>
    <col min="14598" max="14839" width="9.33203125" style="2181"/>
    <col min="14840" max="14840" width="14.33203125" style="2181" customWidth="1"/>
    <col min="14841" max="14841" width="121" style="2181" customWidth="1"/>
    <col min="14842" max="14842" width="37.6640625" style="2181" customWidth="1"/>
    <col min="14843" max="14844" width="35.83203125" style="2181" customWidth="1"/>
    <col min="14845" max="14845" width="14.33203125" style="2181" customWidth="1"/>
    <col min="14846" max="14846" width="121" style="2181" customWidth="1"/>
    <col min="14847" max="14847" width="37.1640625" style="2181" customWidth="1"/>
    <col min="14848" max="14849" width="35.83203125" style="2181" customWidth="1"/>
    <col min="14850" max="14851" width="18.1640625" style="2181" customWidth="1"/>
    <col min="14852" max="14852" width="15" style="2181" bestFit="1" customWidth="1"/>
    <col min="14853" max="14853" width="17.5" style="2181" customWidth="1"/>
    <col min="14854" max="15095" width="9.33203125" style="2181"/>
    <col min="15096" max="15096" width="14.33203125" style="2181" customWidth="1"/>
    <col min="15097" max="15097" width="121" style="2181" customWidth="1"/>
    <col min="15098" max="15098" width="37.6640625" style="2181" customWidth="1"/>
    <col min="15099" max="15100" width="35.83203125" style="2181" customWidth="1"/>
    <col min="15101" max="15101" width="14.33203125" style="2181" customWidth="1"/>
    <col min="15102" max="15102" width="121" style="2181" customWidth="1"/>
    <col min="15103" max="15103" width="37.1640625" style="2181" customWidth="1"/>
    <col min="15104" max="15105" width="35.83203125" style="2181" customWidth="1"/>
    <col min="15106" max="15107" width="18.1640625" style="2181" customWidth="1"/>
    <col min="15108" max="15108" width="15" style="2181" bestFit="1" customWidth="1"/>
    <col min="15109" max="15109" width="17.5" style="2181" customWidth="1"/>
    <col min="15110" max="15351" width="9.33203125" style="2181"/>
    <col min="15352" max="15352" width="14.33203125" style="2181" customWidth="1"/>
    <col min="15353" max="15353" width="121" style="2181" customWidth="1"/>
    <col min="15354" max="15354" width="37.6640625" style="2181" customWidth="1"/>
    <col min="15355" max="15356" width="35.83203125" style="2181" customWidth="1"/>
    <col min="15357" max="15357" width="14.33203125" style="2181" customWidth="1"/>
    <col min="15358" max="15358" width="121" style="2181" customWidth="1"/>
    <col min="15359" max="15359" width="37.1640625" style="2181" customWidth="1"/>
    <col min="15360" max="15361" width="35.83203125" style="2181" customWidth="1"/>
    <col min="15362" max="15363" width="18.1640625" style="2181" customWidth="1"/>
    <col min="15364" max="15364" width="15" style="2181" bestFit="1" customWidth="1"/>
    <col min="15365" max="15365" width="17.5" style="2181" customWidth="1"/>
    <col min="15366" max="15607" width="9.33203125" style="2181"/>
    <col min="15608" max="15608" width="14.33203125" style="2181" customWidth="1"/>
    <col min="15609" max="15609" width="121" style="2181" customWidth="1"/>
    <col min="15610" max="15610" width="37.6640625" style="2181" customWidth="1"/>
    <col min="15611" max="15612" width="35.83203125" style="2181" customWidth="1"/>
    <col min="15613" max="15613" width="14.33203125" style="2181" customWidth="1"/>
    <col min="15614" max="15614" width="121" style="2181" customWidth="1"/>
    <col min="15615" max="15615" width="37.1640625" style="2181" customWidth="1"/>
    <col min="15616" max="15617" width="35.83203125" style="2181" customWidth="1"/>
    <col min="15618" max="15619" width="18.1640625" style="2181" customWidth="1"/>
    <col min="15620" max="15620" width="15" style="2181" bestFit="1" customWidth="1"/>
    <col min="15621" max="15621" width="17.5" style="2181" customWidth="1"/>
    <col min="15622" max="15863" width="9.33203125" style="2181"/>
    <col min="15864" max="15864" width="14.33203125" style="2181" customWidth="1"/>
    <col min="15865" max="15865" width="121" style="2181" customWidth="1"/>
    <col min="15866" max="15866" width="37.6640625" style="2181" customWidth="1"/>
    <col min="15867" max="15868" width="35.83203125" style="2181" customWidth="1"/>
    <col min="15869" max="15869" width="14.33203125" style="2181" customWidth="1"/>
    <col min="15870" max="15870" width="121" style="2181" customWidth="1"/>
    <col min="15871" max="15871" width="37.1640625" style="2181" customWidth="1"/>
    <col min="15872" max="15873" width="35.83203125" style="2181" customWidth="1"/>
    <col min="15874" max="15875" width="18.1640625" style="2181" customWidth="1"/>
    <col min="15876" max="15876" width="15" style="2181" bestFit="1" customWidth="1"/>
    <col min="15877" max="15877" width="17.5" style="2181" customWidth="1"/>
    <col min="15878" max="16119" width="9.33203125" style="2181"/>
    <col min="16120" max="16120" width="14.33203125" style="2181" customWidth="1"/>
    <col min="16121" max="16121" width="121" style="2181" customWidth="1"/>
    <col min="16122" max="16122" width="37.6640625" style="2181" customWidth="1"/>
    <col min="16123" max="16124" width="35.83203125" style="2181" customWidth="1"/>
    <col min="16125" max="16125" width="14.33203125" style="2181" customWidth="1"/>
    <col min="16126" max="16126" width="121" style="2181" customWidth="1"/>
    <col min="16127" max="16127" width="37.1640625" style="2181" customWidth="1"/>
    <col min="16128" max="16129" width="35.83203125" style="2181" customWidth="1"/>
    <col min="16130" max="16131" width="18.1640625" style="2181" customWidth="1"/>
    <col min="16132" max="16132" width="15" style="2181" bestFit="1" customWidth="1"/>
    <col min="16133" max="16133" width="17.5" style="2181" customWidth="1"/>
    <col min="16134" max="16384" width="9.33203125" style="2181"/>
  </cols>
  <sheetData>
    <row r="1" spans="1:11" s="2179" customFormat="1" ht="29.25" customHeight="1" x14ac:dyDescent="0.3">
      <c r="B1" s="2341" t="s">
        <v>713</v>
      </c>
      <c r="C1" s="2341"/>
      <c r="D1" s="2341"/>
      <c r="E1" s="2341"/>
      <c r="F1" s="2180"/>
      <c r="G1" s="2341" t="s">
        <v>713</v>
      </c>
      <c r="H1" s="2341"/>
      <c r="I1" s="2341"/>
      <c r="J1" s="2341"/>
    </row>
    <row r="2" spans="1:11" s="2179" customFormat="1" ht="36" customHeight="1" x14ac:dyDescent="0.3">
      <c r="B2" s="2341" t="s">
        <v>1240</v>
      </c>
      <c r="C2" s="2341"/>
      <c r="D2" s="2341"/>
      <c r="E2" s="2341"/>
      <c r="F2" s="2180"/>
      <c r="G2" s="2341" t="s">
        <v>1418</v>
      </c>
      <c r="H2" s="2341"/>
      <c r="I2" s="2341"/>
      <c r="J2" s="2341"/>
    </row>
    <row r="3" spans="1:11" ht="16.5" thickBot="1" x14ac:dyDescent="0.3">
      <c r="J3" s="2183" t="s">
        <v>19</v>
      </c>
    </row>
    <row r="4" spans="1:11" s="2188" customFormat="1" ht="33.75" customHeight="1" x14ac:dyDescent="0.25">
      <c r="A4" s="2184"/>
      <c r="B4" s="2185" t="s">
        <v>732</v>
      </c>
      <c r="C4" s="2184" t="s">
        <v>1180</v>
      </c>
      <c r="D4" s="2186" t="s">
        <v>1181</v>
      </c>
      <c r="E4" s="2186" t="s">
        <v>746</v>
      </c>
      <c r="F4" s="2184"/>
      <c r="G4" s="2187" t="s">
        <v>736</v>
      </c>
      <c r="H4" s="2184" t="s">
        <v>1180</v>
      </c>
      <c r="I4" s="2187" t="s">
        <v>1181</v>
      </c>
      <c r="J4" s="2184" t="s">
        <v>746</v>
      </c>
    </row>
    <row r="5" spans="1:11" s="2188" customFormat="1" ht="25.5" customHeight="1" x14ac:dyDescent="0.25">
      <c r="A5" s="2189"/>
      <c r="B5" s="2190"/>
      <c r="C5" s="2189" t="s">
        <v>1182</v>
      </c>
      <c r="D5" s="2191" t="s">
        <v>1183</v>
      </c>
      <c r="E5" s="2191" t="s">
        <v>1184</v>
      </c>
      <c r="F5" s="2189"/>
      <c r="G5" s="2192"/>
      <c r="H5" s="2189" t="s">
        <v>1185</v>
      </c>
      <c r="I5" s="2193" t="s">
        <v>1186</v>
      </c>
      <c r="J5" s="2189" t="s">
        <v>1187</v>
      </c>
    </row>
    <row r="6" spans="1:11" s="2188" customFormat="1" ht="48.75" customHeight="1" thickBot="1" x14ac:dyDescent="0.3">
      <c r="A6" s="2194"/>
      <c r="B6" s="2195"/>
      <c r="C6" s="2196" t="s">
        <v>93</v>
      </c>
      <c r="D6" s="2197"/>
      <c r="E6" s="2198"/>
      <c r="F6" s="2194"/>
      <c r="G6" s="2199"/>
      <c r="H6" s="2196" t="s">
        <v>93</v>
      </c>
      <c r="I6" s="2200"/>
      <c r="J6" s="2201"/>
      <c r="K6" s="2202"/>
    </row>
    <row r="7" spans="1:11" ht="24" customHeight="1" x14ac:dyDescent="0.25">
      <c r="A7" s="2203"/>
      <c r="B7" s="2204" t="s">
        <v>1188</v>
      </c>
      <c r="C7" s="2205"/>
      <c r="D7" s="2206"/>
      <c r="E7" s="2207"/>
      <c r="F7" s="2208"/>
      <c r="G7" s="2204" t="s">
        <v>1189</v>
      </c>
      <c r="H7" s="2209"/>
      <c r="I7" s="2210"/>
      <c r="J7" s="2211"/>
      <c r="K7" s="2212"/>
    </row>
    <row r="8" spans="1:11" ht="27" customHeight="1" x14ac:dyDescent="0.25">
      <c r="A8" s="2213" t="s">
        <v>1190</v>
      </c>
      <c r="B8" s="2214" t="s">
        <v>1191</v>
      </c>
      <c r="C8" s="2222">
        <v>966157</v>
      </c>
      <c r="D8" s="2222">
        <v>6582739</v>
      </c>
      <c r="E8" s="2215">
        <f>SUM(C8:D8)</f>
        <v>7548896</v>
      </c>
      <c r="F8" s="2216" t="s">
        <v>1192</v>
      </c>
      <c r="G8" s="2214" t="s">
        <v>1193</v>
      </c>
      <c r="H8" s="2253">
        <v>6337074</v>
      </c>
      <c r="I8" s="2253">
        <v>264517</v>
      </c>
      <c r="J8" s="2254">
        <f>SUM(H8:I8)</f>
        <v>6601591</v>
      </c>
      <c r="K8" s="2241"/>
    </row>
    <row r="9" spans="1:11" ht="27" customHeight="1" x14ac:dyDescent="0.25">
      <c r="A9" s="2213" t="s">
        <v>1194</v>
      </c>
      <c r="B9" s="2214" t="s">
        <v>98</v>
      </c>
      <c r="C9" s="2222">
        <v>1602</v>
      </c>
      <c r="D9" s="2222">
        <v>9976612</v>
      </c>
      <c r="E9" s="2215">
        <f>SUM(C9:D9)</f>
        <v>9978214</v>
      </c>
      <c r="F9" s="2217" t="s">
        <v>1195</v>
      </c>
      <c r="G9" s="2218" t="s">
        <v>1196</v>
      </c>
      <c r="H9" s="2255">
        <v>1039689</v>
      </c>
      <c r="I9" s="2255">
        <f>36880-1</f>
        <v>36879</v>
      </c>
      <c r="J9" s="2254">
        <f>SUM(H9:I9)</f>
        <v>1076568</v>
      </c>
      <c r="K9" s="2241"/>
    </row>
    <row r="10" spans="1:11" ht="27" customHeight="1" x14ac:dyDescent="0.25">
      <c r="A10" s="2213" t="s">
        <v>1197</v>
      </c>
      <c r="B10" s="2214" t="s">
        <v>1198</v>
      </c>
      <c r="C10" s="2222">
        <v>1022158</v>
      </c>
      <c r="D10" s="2222">
        <f>1823917</f>
        <v>1823917</v>
      </c>
      <c r="E10" s="2215">
        <f>SUM(C10:D10)</f>
        <v>2846075</v>
      </c>
      <c r="F10" s="2217" t="s">
        <v>1199</v>
      </c>
      <c r="G10" s="2218" t="s">
        <v>1200</v>
      </c>
      <c r="H10" s="2255">
        <v>2739366</v>
      </c>
      <c r="I10" s="2255">
        <v>3999414</v>
      </c>
      <c r="J10" s="2254">
        <f>SUM(H10:I10)</f>
        <v>6738780</v>
      </c>
      <c r="K10" s="2241"/>
    </row>
    <row r="11" spans="1:11" ht="27" customHeight="1" x14ac:dyDescent="0.25">
      <c r="A11" s="2219" t="s">
        <v>1201</v>
      </c>
      <c r="B11" s="2218" t="s">
        <v>174</v>
      </c>
      <c r="C11" s="2222">
        <f>11060+1</f>
        <v>11061</v>
      </c>
      <c r="D11" s="2222">
        <f>80867</f>
        <v>80867</v>
      </c>
      <c r="E11" s="2215">
        <f>SUM(C11:D11)</f>
        <v>91928</v>
      </c>
      <c r="F11" s="2220" t="s">
        <v>1202</v>
      </c>
      <c r="G11" s="2221" t="s">
        <v>1203</v>
      </c>
      <c r="H11" s="2255">
        <v>0</v>
      </c>
      <c r="I11" s="2255">
        <v>145104</v>
      </c>
      <c r="J11" s="2254">
        <f>SUM(H11:I11)</f>
        <v>145104</v>
      </c>
      <c r="K11" s="2241"/>
    </row>
    <row r="12" spans="1:11" ht="24" customHeight="1" thickBot="1" x14ac:dyDescent="0.4">
      <c r="A12" s="2213"/>
      <c r="B12" s="2214"/>
      <c r="C12" s="2222"/>
      <c r="D12" s="2222"/>
      <c r="E12" s="2215"/>
      <c r="F12" s="2217" t="s">
        <v>1204</v>
      </c>
      <c r="G12" s="2218" t="s">
        <v>1205</v>
      </c>
      <c r="H12" s="2254">
        <v>141233</v>
      </c>
      <c r="I12" s="2254">
        <v>5119491</v>
      </c>
      <c r="J12" s="2254">
        <f>SUM(H12:I12)</f>
        <v>5260724</v>
      </c>
      <c r="K12" s="2256"/>
    </row>
    <row r="13" spans="1:11" ht="27" customHeight="1" thickBot="1" x14ac:dyDescent="0.4">
      <c r="A13" s="2223"/>
      <c r="B13" s="2224" t="s">
        <v>1206</v>
      </c>
      <c r="C13" s="2225">
        <f>SUM(C8:C12)</f>
        <v>2000978</v>
      </c>
      <c r="D13" s="2225">
        <f>SUM(D8:D12)</f>
        <v>18464135</v>
      </c>
      <c r="E13" s="2225">
        <f>SUM(C13:D13)</f>
        <v>20465113</v>
      </c>
      <c r="F13" s="2226"/>
      <c r="G13" s="2224" t="s">
        <v>1207</v>
      </c>
      <c r="H13" s="2240">
        <f>SUM(H8:H12)</f>
        <v>10257362</v>
      </c>
      <c r="I13" s="2240">
        <f>SUM(I8:I12)</f>
        <v>9565405</v>
      </c>
      <c r="J13" s="2240">
        <f>SUM(J8:J12)</f>
        <v>19822767</v>
      </c>
      <c r="K13" s="2256" t="s">
        <v>1208</v>
      </c>
    </row>
    <row r="14" spans="1:11" s="2229" customFormat="1" ht="27" customHeight="1" x14ac:dyDescent="0.35">
      <c r="A14" s="2213" t="s">
        <v>1209</v>
      </c>
      <c r="B14" s="2218" t="s">
        <v>180</v>
      </c>
      <c r="C14" s="2222">
        <v>46840</v>
      </c>
      <c r="D14" s="2222">
        <v>1625393</v>
      </c>
      <c r="E14" s="2215">
        <f>SUM(C14:D14)</f>
        <v>1672233</v>
      </c>
      <c r="F14" s="2227" t="s">
        <v>1210</v>
      </c>
      <c r="G14" s="2228" t="s">
        <v>200</v>
      </c>
      <c r="H14" s="2257">
        <v>305078</v>
      </c>
      <c r="I14" s="2257">
        <v>1487915</v>
      </c>
      <c r="J14" s="2254">
        <f>SUM(H14:I14)</f>
        <v>1792993</v>
      </c>
      <c r="K14" s="2256"/>
    </row>
    <row r="15" spans="1:11" ht="27" customHeight="1" x14ac:dyDescent="0.35">
      <c r="A15" s="2213" t="s">
        <v>1211</v>
      </c>
      <c r="B15" s="2218" t="s">
        <v>185</v>
      </c>
      <c r="C15" s="2222">
        <v>1271</v>
      </c>
      <c r="D15" s="2222">
        <f>2033409+1</f>
        <v>2033410</v>
      </c>
      <c r="E15" s="2215">
        <f>SUM(C15:D15)</f>
        <v>2034681</v>
      </c>
      <c r="F15" s="2230" t="s">
        <v>1212</v>
      </c>
      <c r="G15" s="2218" t="s">
        <v>1213</v>
      </c>
      <c r="H15" s="2255">
        <v>141902</v>
      </c>
      <c r="I15" s="2255">
        <v>1280710</v>
      </c>
      <c r="J15" s="2254">
        <f>SUM(H15:I15)</f>
        <v>1422612</v>
      </c>
      <c r="K15" s="2256"/>
    </row>
    <row r="16" spans="1:11" ht="27" customHeight="1" thickBot="1" x14ac:dyDescent="0.4">
      <c r="A16" s="2213" t="s">
        <v>1214</v>
      </c>
      <c r="B16" s="2218" t="s">
        <v>1215</v>
      </c>
      <c r="C16" s="2222">
        <v>4148</v>
      </c>
      <c r="D16" s="2222">
        <v>71496</v>
      </c>
      <c r="E16" s="2215">
        <f>SUM(C16:D16)</f>
        <v>75644</v>
      </c>
      <c r="F16" s="2220" t="s">
        <v>1216</v>
      </c>
      <c r="G16" s="2231" t="s">
        <v>1217</v>
      </c>
      <c r="H16" s="2253">
        <v>0</v>
      </c>
      <c r="I16" s="2253">
        <v>807747</v>
      </c>
      <c r="J16" s="2254">
        <f>SUM(H16:I16)</f>
        <v>807747</v>
      </c>
      <c r="K16" s="2256"/>
    </row>
    <row r="17" spans="1:11" ht="27" customHeight="1" thickBot="1" x14ac:dyDescent="0.4">
      <c r="A17" s="2232"/>
      <c r="B17" s="2224" t="s">
        <v>1218</v>
      </c>
      <c r="C17" s="2225">
        <f>SUM(C14:C16)</f>
        <v>52259</v>
      </c>
      <c r="D17" s="2225">
        <f>SUM(D14:D16)</f>
        <v>3730299</v>
      </c>
      <c r="E17" s="2225">
        <f>SUM(E14:E16)</f>
        <v>3782558</v>
      </c>
      <c r="F17" s="2232"/>
      <c r="G17" s="2233" t="s">
        <v>1219</v>
      </c>
      <c r="H17" s="2240">
        <f>SUM(H14:H16)</f>
        <v>446980</v>
      </c>
      <c r="I17" s="2240">
        <f>SUM(I14:I16)</f>
        <v>3576372</v>
      </c>
      <c r="J17" s="2240">
        <f>SUM(J14:J16)</f>
        <v>4023352</v>
      </c>
      <c r="K17" s="2256" t="s">
        <v>1208</v>
      </c>
    </row>
    <row r="18" spans="1:11" ht="27" customHeight="1" thickBot="1" x14ac:dyDescent="0.3">
      <c r="A18" s="2232"/>
      <c r="B18" s="2233" t="s">
        <v>1220</v>
      </c>
      <c r="C18" s="2225">
        <f>+C13+C17</f>
        <v>2053237</v>
      </c>
      <c r="D18" s="2225">
        <f>D13+D17</f>
        <v>22194434</v>
      </c>
      <c r="E18" s="2225">
        <f>SUM(E13+E17)</f>
        <v>24247671</v>
      </c>
      <c r="F18" s="2232"/>
      <c r="G18" s="2224" t="s">
        <v>1221</v>
      </c>
      <c r="H18" s="2240">
        <f>SUM(H17,H13)</f>
        <v>10704342</v>
      </c>
      <c r="I18" s="2240">
        <f>SUM(I17,I13)</f>
        <v>13141777</v>
      </c>
      <c r="J18" s="2240">
        <f>SUM(J17,J13)</f>
        <v>23846119</v>
      </c>
      <c r="K18" s="2241"/>
    </row>
    <row r="19" spans="1:11" ht="27" customHeight="1" thickBot="1" x14ac:dyDescent="0.3">
      <c r="A19" s="2234" t="s">
        <v>1222</v>
      </c>
      <c r="B19" s="2235" t="s">
        <v>1223</v>
      </c>
      <c r="C19" s="2258">
        <v>496225</v>
      </c>
      <c r="D19" s="2259">
        <v>8898793</v>
      </c>
      <c r="E19" s="2215">
        <f>SUM(C19:D19)</f>
        <v>9395018</v>
      </c>
      <c r="F19" s="2236" t="s">
        <v>1224</v>
      </c>
      <c r="G19" s="2237" t="s">
        <v>1225</v>
      </c>
      <c r="H19" s="2255">
        <v>0</v>
      </c>
      <c r="I19" s="2255">
        <f>217593+120749</f>
        <v>338342</v>
      </c>
      <c r="J19" s="2254">
        <f>SUM(H19:I19)</f>
        <v>338342</v>
      </c>
      <c r="K19" s="2241"/>
    </row>
    <row r="20" spans="1:11" ht="36.75" customHeight="1" thickBot="1" x14ac:dyDescent="0.3">
      <c r="A20" s="2238"/>
      <c r="B20" s="2239" t="s">
        <v>1226</v>
      </c>
      <c r="C20" s="2225">
        <f>SUM(C18:C19)</f>
        <v>2549462</v>
      </c>
      <c r="D20" s="2225">
        <f>SUM(D18:D19)</f>
        <v>31093227</v>
      </c>
      <c r="E20" s="2225">
        <f>SUM(C20:D20)</f>
        <v>33642689</v>
      </c>
      <c r="F20" s="2238"/>
      <c r="G20" s="2239" t="s">
        <v>1227</v>
      </c>
      <c r="H20" s="2240">
        <f>SUM(H18:H19)</f>
        <v>10704342</v>
      </c>
      <c r="I20" s="2240">
        <f>SUM(I18:I19)</f>
        <v>13480119</v>
      </c>
      <c r="J20" s="2240">
        <f>SUM(J18:J19)</f>
        <v>24184461</v>
      </c>
      <c r="K20" s="2241"/>
    </row>
    <row r="21" spans="1:11" s="2241" customFormat="1" ht="24" customHeight="1" x14ac:dyDescent="0.25">
      <c r="E21" s="2242"/>
      <c r="F21" s="2242"/>
      <c r="H21" s="2243"/>
      <c r="I21" s="2243"/>
      <c r="J21" s="2244"/>
      <c r="K21" s="2247"/>
    </row>
    <row r="22" spans="1:11" ht="58.5" customHeight="1" x14ac:dyDescent="0.25">
      <c r="A22" s="2241"/>
      <c r="B22" s="2245"/>
      <c r="C22" s="2241"/>
      <c r="E22" s="2260"/>
      <c r="F22" s="2242"/>
      <c r="G22" s="2342" t="s">
        <v>1417</v>
      </c>
      <c r="H22" s="2343"/>
      <c r="I22" s="2343"/>
      <c r="J22" s="2343"/>
      <c r="K22" s="2247"/>
    </row>
    <row r="23" spans="1:11" ht="24" customHeight="1" x14ac:dyDescent="0.25">
      <c r="A23" s="2241"/>
      <c r="B23" s="2246"/>
      <c r="C23" s="2241"/>
      <c r="E23" s="2242"/>
      <c r="F23" s="2242"/>
      <c r="H23" s="2247"/>
      <c r="I23" s="2248"/>
      <c r="J23" s="2249"/>
      <c r="K23" s="2247"/>
    </row>
    <row r="24" spans="1:11" ht="24" customHeight="1" x14ac:dyDescent="0.25">
      <c r="A24" s="2241"/>
      <c r="B24" s="2246"/>
      <c r="C24" s="2241"/>
      <c r="D24" s="2241"/>
      <c r="E24" s="2242"/>
      <c r="F24" s="2242"/>
      <c r="H24" s="2247"/>
      <c r="J24" s="2249"/>
      <c r="K24" s="2247"/>
    </row>
    <row r="25" spans="1:11" ht="24" customHeight="1" x14ac:dyDescent="0.25">
      <c r="A25" s="2241"/>
      <c r="B25" s="2250"/>
      <c r="C25" s="2241"/>
      <c r="D25" s="2241"/>
      <c r="E25" s="2242"/>
      <c r="F25" s="2242"/>
      <c r="H25" s="2247"/>
      <c r="I25" s="2247"/>
      <c r="J25" s="2249"/>
      <c r="K25" s="2247"/>
    </row>
    <row r="26" spans="1:11" ht="24" customHeight="1" x14ac:dyDescent="0.25">
      <c r="A26" s="2241"/>
      <c r="B26" s="2251"/>
      <c r="C26" s="2241"/>
      <c r="E26" s="2242"/>
      <c r="F26" s="2242"/>
      <c r="H26" s="2247"/>
      <c r="I26" s="2247"/>
      <c r="J26" s="2249"/>
      <c r="K26" s="2247"/>
    </row>
    <row r="27" spans="1:11" ht="24" customHeight="1" x14ac:dyDescent="0.25">
      <c r="A27" s="2241"/>
      <c r="C27" s="2241"/>
      <c r="E27" s="2242"/>
      <c r="F27" s="2242"/>
      <c r="H27" s="2248"/>
      <c r="I27" s="2247"/>
      <c r="J27" s="2249"/>
      <c r="K27" s="2247"/>
    </row>
    <row r="28" spans="1:11" ht="24" customHeight="1" x14ac:dyDescent="0.25">
      <c r="A28" s="2241"/>
      <c r="B28" s="2245"/>
      <c r="C28" s="2241"/>
      <c r="D28" s="2241"/>
      <c r="E28" s="2260"/>
      <c r="F28" s="2242"/>
      <c r="G28" s="2245"/>
      <c r="H28" s="2248"/>
      <c r="I28" s="2248"/>
      <c r="J28" s="2261"/>
      <c r="K28" s="2247"/>
    </row>
    <row r="29" spans="1:11" ht="24" customHeight="1" x14ac:dyDescent="0.25">
      <c r="A29" s="2241"/>
      <c r="B29" s="2246"/>
      <c r="C29" s="2241"/>
      <c r="D29" s="2241"/>
      <c r="E29" s="2242"/>
      <c r="F29" s="2242"/>
      <c r="H29" s="2247"/>
      <c r="I29" s="2248"/>
      <c r="J29" s="2249"/>
      <c r="K29" s="2247"/>
    </row>
    <row r="30" spans="1:11" ht="24" customHeight="1" x14ac:dyDescent="0.25">
      <c r="A30" s="2241"/>
      <c r="B30" s="2246"/>
      <c r="C30" s="2241"/>
      <c r="D30" s="2241"/>
      <c r="E30" s="2242"/>
      <c r="F30" s="2242"/>
      <c r="H30" s="2248"/>
      <c r="J30" s="2249"/>
      <c r="K30" s="2247"/>
    </row>
    <row r="31" spans="1:11" ht="24" customHeight="1" x14ac:dyDescent="0.25">
      <c r="A31" s="2241"/>
      <c r="B31" s="2250"/>
      <c r="C31" s="2241"/>
      <c r="E31" s="2242"/>
      <c r="F31" s="2242"/>
      <c r="H31" s="2248"/>
      <c r="I31" s="2247"/>
      <c r="J31" s="2249"/>
      <c r="K31" s="2247"/>
    </row>
    <row r="32" spans="1:11" ht="24" customHeight="1" x14ac:dyDescent="0.25">
      <c r="A32" s="2241"/>
      <c r="B32" s="2251"/>
      <c r="C32" s="2241"/>
      <c r="E32" s="2242"/>
      <c r="F32" s="2242"/>
      <c r="H32" s="2248"/>
      <c r="I32" s="2247"/>
      <c r="J32" s="2249"/>
      <c r="K32" s="2247"/>
    </row>
    <row r="33" spans="1:11" ht="24" customHeight="1" x14ac:dyDescent="0.25">
      <c r="A33" s="2241"/>
      <c r="B33" s="2251"/>
      <c r="C33" s="2241"/>
      <c r="E33" s="2242"/>
      <c r="F33" s="2242"/>
      <c r="H33" s="2248"/>
      <c r="I33" s="2247"/>
      <c r="J33" s="2249"/>
      <c r="K33" s="2247"/>
    </row>
    <row r="34" spans="1:11" ht="24" customHeight="1" x14ac:dyDescent="0.25">
      <c r="A34" s="2241"/>
      <c r="C34" s="2241"/>
      <c r="D34" s="2241"/>
      <c r="E34" s="2242"/>
      <c r="F34" s="2242"/>
      <c r="H34" s="2248"/>
      <c r="I34" s="2247"/>
      <c r="J34" s="2249"/>
      <c r="K34" s="2247"/>
    </row>
    <row r="35" spans="1:11" ht="24" customHeight="1" x14ac:dyDescent="0.25">
      <c r="A35" s="2241"/>
      <c r="C35" s="2241"/>
      <c r="E35" s="2242"/>
      <c r="F35" s="2242"/>
      <c r="H35" s="2247"/>
      <c r="I35" s="2247"/>
      <c r="J35" s="2252"/>
      <c r="K35" s="2247"/>
    </row>
    <row r="36" spans="1:11" ht="24" customHeight="1" x14ac:dyDescent="0.25">
      <c r="A36" s="2241"/>
      <c r="C36" s="2241"/>
      <c r="E36" s="2242"/>
      <c r="F36" s="2242"/>
      <c r="H36" s="2247"/>
      <c r="I36" s="2247"/>
      <c r="J36" s="2252"/>
      <c r="K36" s="2247"/>
    </row>
    <row r="37" spans="1:11" ht="24" customHeight="1" x14ac:dyDescent="0.25">
      <c r="A37" s="2241"/>
      <c r="C37" s="2241"/>
      <c r="E37" s="2242"/>
      <c r="F37" s="2242"/>
      <c r="H37" s="2247"/>
      <c r="I37" s="2247"/>
      <c r="K37" s="2247"/>
    </row>
    <row r="38" spans="1:11" ht="24" customHeight="1" x14ac:dyDescent="0.25">
      <c r="A38" s="2241"/>
      <c r="C38" s="2241"/>
      <c r="E38" s="2242"/>
      <c r="F38" s="2242"/>
      <c r="H38" s="2247"/>
      <c r="I38" s="2247"/>
      <c r="K38" s="2247"/>
    </row>
    <row r="39" spans="1:11" ht="24" customHeight="1" x14ac:dyDescent="0.25">
      <c r="A39" s="2247"/>
      <c r="B39" s="2250"/>
      <c r="C39" s="2241"/>
      <c r="E39" s="2241"/>
      <c r="F39" s="2242"/>
      <c r="G39" s="2245"/>
      <c r="H39" s="2247"/>
      <c r="K39" s="2247"/>
    </row>
    <row r="40" spans="1:11" ht="24" customHeight="1" x14ac:dyDescent="0.25">
      <c r="C40" s="2241"/>
      <c r="F40" s="2249"/>
      <c r="H40" s="2248"/>
      <c r="J40" s="2249"/>
      <c r="K40" s="2247"/>
    </row>
    <row r="41" spans="1:11" ht="24" customHeight="1" x14ac:dyDescent="0.25">
      <c r="C41" s="2241"/>
      <c r="E41" s="2181"/>
      <c r="F41" s="2249"/>
      <c r="H41" s="2248"/>
      <c r="J41" s="2241"/>
      <c r="K41" s="2248"/>
    </row>
    <row r="42" spans="1:11" ht="24" customHeight="1" x14ac:dyDescent="0.25">
      <c r="C42" s="2241"/>
      <c r="E42" s="2241"/>
      <c r="H42" s="2248"/>
      <c r="J42" s="2181"/>
      <c r="K42" s="2248"/>
    </row>
    <row r="43" spans="1:11" ht="24" customHeight="1" x14ac:dyDescent="0.25">
      <c r="E43" s="2181"/>
      <c r="F43" s="2242"/>
      <c r="J43" s="2181"/>
    </row>
    <row r="44" spans="1:11" ht="24" customHeight="1" x14ac:dyDescent="0.25">
      <c r="E44" s="2242"/>
      <c r="F44" s="2242"/>
      <c r="J44" s="2242"/>
    </row>
    <row r="45" spans="1:11" ht="24" customHeight="1" x14ac:dyDescent="0.25"/>
    <row r="46" spans="1:11" ht="24" customHeight="1" x14ac:dyDescent="0.25"/>
    <row r="47" spans="1:11" ht="24" customHeight="1" x14ac:dyDescent="0.25"/>
    <row r="48" spans="1:11" ht="24" customHeight="1" x14ac:dyDescent="0.25"/>
    <row r="49" ht="24" customHeight="1" x14ac:dyDescent="0.25"/>
  </sheetData>
  <mergeCells count="5">
    <mergeCell ref="B1:E1"/>
    <mergeCell ref="G1:J1"/>
    <mergeCell ref="B2:E2"/>
    <mergeCell ref="G2:J2"/>
    <mergeCell ref="G22:J2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59" orientation="landscape" r:id="rId1"/>
  <headerFooter alignWithMargins="0">
    <oddHeader xml:space="preserve">&amp;R&amp;"Arial,Félkövér"&amp;14 1. melléklet  a .../2022. (........) önkormányzati rendelethez </oddHeader>
  </headerFooter>
  <colBreaks count="1" manualBreakCount="1">
    <brk id="5" max="2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21"/>
  <dimension ref="A1:H48"/>
  <sheetViews>
    <sheetView zoomScale="75" zoomScaleNormal="75" zoomScaleSheetLayoutView="75" workbookViewId="0">
      <selection activeCell="R13" sqref="R13"/>
    </sheetView>
  </sheetViews>
  <sheetFormatPr defaultColWidth="9.33203125" defaultRowHeight="15" customHeight="1" x14ac:dyDescent="0.2"/>
  <cols>
    <col min="1" max="1" width="17.33203125" style="4" customWidth="1"/>
    <col min="2" max="2" width="128.33203125" style="4" customWidth="1"/>
    <col min="3" max="6" width="27.83203125" style="4" customWidth="1"/>
    <col min="7" max="7" width="22.1640625" style="3" customWidth="1"/>
    <col min="8" max="8" width="9.33203125" style="963"/>
    <col min="9" max="16384" width="9.33203125" style="4"/>
  </cols>
  <sheetData>
    <row r="1" spans="1:6" ht="15" customHeight="1" x14ac:dyDescent="0.25">
      <c r="B1" s="2443"/>
      <c r="C1" s="2443"/>
      <c r="D1" s="35"/>
    </row>
    <row r="2" spans="1:6" ht="27" customHeight="1" x14ac:dyDescent="0.3">
      <c r="B2" s="2444" t="s">
        <v>24</v>
      </c>
      <c r="C2" s="2444"/>
      <c r="D2" s="2444"/>
      <c r="E2" s="2444"/>
      <c r="F2" s="2444"/>
    </row>
    <row r="3" spans="1:6" ht="18" customHeight="1" x14ac:dyDescent="0.25">
      <c r="B3" s="35"/>
      <c r="C3" s="35"/>
      <c r="D3" s="35"/>
      <c r="E3" s="36"/>
      <c r="F3" s="36"/>
    </row>
    <row r="4" spans="1:6" ht="27" customHeight="1" thickBot="1" x14ac:dyDescent="0.35">
      <c r="B4" s="670" t="s">
        <v>158</v>
      </c>
      <c r="C4" s="671"/>
      <c r="D4" s="671"/>
      <c r="E4" s="671"/>
      <c r="F4" s="958" t="s">
        <v>19</v>
      </c>
    </row>
    <row r="5" spans="1:6" ht="27" customHeight="1" x14ac:dyDescent="0.25">
      <c r="A5" s="37"/>
      <c r="B5" s="672" t="s">
        <v>33</v>
      </c>
      <c r="C5" s="2440" t="s">
        <v>514</v>
      </c>
      <c r="D5" s="2440"/>
      <c r="E5" s="673" t="s">
        <v>410</v>
      </c>
      <c r="F5" s="674" t="s">
        <v>107</v>
      </c>
    </row>
    <row r="6" spans="1:6" ht="28.5" customHeight="1" thickBot="1" x14ac:dyDescent="0.3">
      <c r="B6" s="675"/>
      <c r="C6" s="676" t="s">
        <v>213</v>
      </c>
      <c r="D6" s="676" t="s">
        <v>105</v>
      </c>
      <c r="E6" s="677" t="s">
        <v>106</v>
      </c>
      <c r="F6" s="678" t="s">
        <v>108</v>
      </c>
    </row>
    <row r="7" spans="1:6" ht="39" customHeight="1" x14ac:dyDescent="0.25">
      <c r="B7" s="679" t="s">
        <v>399</v>
      </c>
      <c r="C7" s="680">
        <v>779343</v>
      </c>
      <c r="D7" s="680">
        <v>933788</v>
      </c>
      <c r="E7" s="681">
        <f>1049818-E8-E9</f>
        <v>895920</v>
      </c>
      <c r="F7" s="682">
        <f t="shared" ref="F7:F10" si="0">+E7/D7*100</f>
        <v>95.944689801111167</v>
      </c>
    </row>
    <row r="8" spans="1:6" ht="39" customHeight="1" x14ac:dyDescent="0.25">
      <c r="B8" s="683" t="s">
        <v>400</v>
      </c>
      <c r="C8" s="681">
        <v>109773</v>
      </c>
      <c r="D8" s="681">
        <v>148851</v>
      </c>
      <c r="E8" s="681">
        <v>148851</v>
      </c>
      <c r="F8" s="684">
        <f t="shared" si="0"/>
        <v>100</v>
      </c>
    </row>
    <row r="9" spans="1:6" ht="39" customHeight="1" x14ac:dyDescent="0.25">
      <c r="B9" s="683" t="s">
        <v>568</v>
      </c>
      <c r="C9" s="685"/>
      <c r="D9" s="685">
        <v>5047</v>
      </c>
      <c r="E9" s="685">
        <v>5047</v>
      </c>
      <c r="F9" s="682">
        <f t="shared" si="0"/>
        <v>100</v>
      </c>
    </row>
    <row r="10" spans="1:6" ht="24.75" customHeight="1" thickBot="1" x14ac:dyDescent="0.3">
      <c r="B10" s="686" t="s">
        <v>157</v>
      </c>
      <c r="C10" s="687">
        <f>SUM(C7:C9)</f>
        <v>889116</v>
      </c>
      <c r="D10" s="687">
        <f>SUM(D7:D9)</f>
        <v>1087686</v>
      </c>
      <c r="E10" s="687">
        <f>SUM(E7:E9)</f>
        <v>1049818</v>
      </c>
      <c r="F10" s="688">
        <f t="shared" si="0"/>
        <v>96.518480517355187</v>
      </c>
    </row>
    <row r="11" spans="1:6" ht="24.75" customHeight="1" x14ac:dyDescent="0.25">
      <c r="A11" s="5"/>
      <c r="B11" s="689" t="s">
        <v>154</v>
      </c>
      <c r="C11" s="692"/>
      <c r="D11" s="693"/>
      <c r="E11" s="694"/>
      <c r="F11" s="695"/>
    </row>
    <row r="12" spans="1:6" ht="24.75" customHeight="1" x14ac:dyDescent="0.25">
      <c r="A12" s="5"/>
      <c r="B12" s="696" t="s">
        <v>605</v>
      </c>
      <c r="C12" s="697">
        <v>2000</v>
      </c>
      <c r="D12" s="697">
        <v>2000</v>
      </c>
      <c r="E12" s="698">
        <v>640</v>
      </c>
      <c r="F12" s="699">
        <f t="shared" ref="F12:F24" si="1">+E12/D12*100</f>
        <v>32</v>
      </c>
    </row>
    <row r="13" spans="1:6" ht="24.75" customHeight="1" x14ac:dyDescent="0.25">
      <c r="A13" s="5"/>
      <c r="B13" s="683" t="s">
        <v>606</v>
      </c>
      <c r="C13" s="685">
        <v>114048</v>
      </c>
      <c r="D13" s="685">
        <v>114048</v>
      </c>
      <c r="E13" s="700">
        <v>114048</v>
      </c>
      <c r="F13" s="684">
        <f t="shared" si="1"/>
        <v>100</v>
      </c>
    </row>
    <row r="14" spans="1:6" ht="24.75" customHeight="1" x14ac:dyDescent="0.25">
      <c r="A14" s="5"/>
      <c r="B14" s="696" t="s">
        <v>170</v>
      </c>
      <c r="C14" s="697"/>
      <c r="D14" s="697">
        <v>1388</v>
      </c>
      <c r="E14" s="698">
        <v>977</v>
      </c>
      <c r="F14" s="690">
        <f t="shared" si="1"/>
        <v>70.389048991354457</v>
      </c>
    </row>
    <row r="15" spans="1:6" ht="24.75" customHeight="1" x14ac:dyDescent="0.25">
      <c r="A15" s="5"/>
      <c r="B15" s="683" t="s">
        <v>75</v>
      </c>
      <c r="C15" s="685">
        <v>150000</v>
      </c>
      <c r="D15" s="685">
        <v>221886</v>
      </c>
      <c r="E15" s="700">
        <v>136203</v>
      </c>
      <c r="F15" s="684">
        <f t="shared" si="1"/>
        <v>61.384224331413428</v>
      </c>
    </row>
    <row r="16" spans="1:6" ht="24.75" customHeight="1" x14ac:dyDescent="0.25">
      <c r="A16" s="5"/>
      <c r="B16" s="696" t="s">
        <v>67</v>
      </c>
      <c r="C16" s="697">
        <v>2500</v>
      </c>
      <c r="D16" s="697">
        <v>3043</v>
      </c>
      <c r="E16" s="698">
        <v>2492</v>
      </c>
      <c r="F16" s="690">
        <f t="shared" si="1"/>
        <v>81.892868879395337</v>
      </c>
    </row>
    <row r="17" spans="1:6" ht="24.75" customHeight="1" x14ac:dyDescent="0.25">
      <c r="A17" s="5"/>
      <c r="B17" s="696" t="s">
        <v>155</v>
      </c>
      <c r="C17" s="697">
        <v>500</v>
      </c>
      <c r="D17" s="697">
        <v>0</v>
      </c>
      <c r="E17" s="698">
        <v>0</v>
      </c>
      <c r="F17" s="690"/>
    </row>
    <row r="18" spans="1:6" ht="24.75" customHeight="1" x14ac:dyDescent="0.25">
      <c r="A18" s="5"/>
      <c r="B18" s="696" t="s">
        <v>49</v>
      </c>
      <c r="C18" s="697">
        <v>6500</v>
      </c>
      <c r="D18" s="697">
        <v>6500</v>
      </c>
      <c r="E18" s="698">
        <v>6500</v>
      </c>
      <c r="F18" s="690">
        <f t="shared" si="1"/>
        <v>100</v>
      </c>
    </row>
    <row r="19" spans="1:6" ht="24.75" customHeight="1" x14ac:dyDescent="0.25">
      <c r="A19" s="5"/>
      <c r="B19" s="696" t="s">
        <v>469</v>
      </c>
      <c r="C19" s="697">
        <v>10000</v>
      </c>
      <c r="D19" s="697">
        <v>10000</v>
      </c>
      <c r="E19" s="698">
        <v>9802</v>
      </c>
      <c r="F19" s="690">
        <f t="shared" si="1"/>
        <v>98.02</v>
      </c>
    </row>
    <row r="20" spans="1:6" ht="42.75" customHeight="1" x14ac:dyDescent="0.25">
      <c r="A20" s="5"/>
      <c r="B20" s="975" t="s">
        <v>470</v>
      </c>
      <c r="C20" s="697">
        <v>4500</v>
      </c>
      <c r="D20" s="697">
        <v>4500</v>
      </c>
      <c r="E20" s="698">
        <v>2750</v>
      </c>
      <c r="F20" s="690">
        <f t="shared" si="1"/>
        <v>61.111111111111114</v>
      </c>
    </row>
    <row r="21" spans="1:6" ht="24.75" customHeight="1" x14ac:dyDescent="0.25">
      <c r="A21" s="5"/>
      <c r="B21" s="696" t="s">
        <v>6</v>
      </c>
      <c r="C21" s="697">
        <v>57000</v>
      </c>
      <c r="D21" s="697">
        <v>57087</v>
      </c>
      <c r="E21" s="698">
        <v>52136</v>
      </c>
      <c r="F21" s="690">
        <f t="shared" si="1"/>
        <v>91.327272408779578</v>
      </c>
    </row>
    <row r="22" spans="1:6" ht="24.75" customHeight="1" x14ac:dyDescent="0.25">
      <c r="A22" s="5"/>
      <c r="B22" s="696" t="s">
        <v>473</v>
      </c>
      <c r="C22" s="697">
        <v>3000</v>
      </c>
      <c r="D22" s="697">
        <v>12632</v>
      </c>
      <c r="E22" s="698">
        <v>10317</v>
      </c>
      <c r="F22" s="690">
        <f t="shared" si="1"/>
        <v>81.673527549081697</v>
      </c>
    </row>
    <row r="23" spans="1:6" ht="24.75" customHeight="1" x14ac:dyDescent="0.25">
      <c r="A23" s="5"/>
      <c r="B23" s="696" t="s">
        <v>474</v>
      </c>
      <c r="C23" s="697"/>
      <c r="D23" s="697">
        <v>660</v>
      </c>
      <c r="E23" s="698">
        <v>333</v>
      </c>
      <c r="F23" s="690">
        <f t="shared" si="1"/>
        <v>50.454545454545453</v>
      </c>
    </row>
    <row r="24" spans="1:6" ht="24.75" customHeight="1" x14ac:dyDescent="0.25">
      <c r="A24" s="5"/>
      <c r="B24" s="696" t="s">
        <v>169</v>
      </c>
      <c r="C24" s="697">
        <v>500</v>
      </c>
      <c r="D24" s="697">
        <v>340</v>
      </c>
      <c r="E24" s="698">
        <v>340</v>
      </c>
      <c r="F24" s="690">
        <f t="shared" si="1"/>
        <v>100</v>
      </c>
    </row>
    <row r="25" spans="1:6" ht="24.75" customHeight="1" x14ac:dyDescent="0.25">
      <c r="A25" s="5"/>
      <c r="B25" s="683" t="s">
        <v>269</v>
      </c>
      <c r="C25" s="685">
        <v>5000</v>
      </c>
      <c r="D25" s="685">
        <v>1894</v>
      </c>
      <c r="E25" s="700">
        <v>0</v>
      </c>
      <c r="F25" s="682">
        <f t="shared" ref="F25:F33" si="2">+E25/D25*100</f>
        <v>0</v>
      </c>
    </row>
    <row r="26" spans="1:6" ht="54.75" customHeight="1" x14ac:dyDescent="0.25">
      <c r="A26" s="5"/>
      <c r="B26" s="701" t="s">
        <v>471</v>
      </c>
      <c r="C26" s="697">
        <v>10000</v>
      </c>
      <c r="D26" s="697">
        <v>10000</v>
      </c>
      <c r="E26" s="698">
        <v>10000</v>
      </c>
      <c r="F26" s="690">
        <f t="shared" si="2"/>
        <v>100</v>
      </c>
    </row>
    <row r="27" spans="1:6" ht="24.75" customHeight="1" x14ac:dyDescent="0.25">
      <c r="A27" s="5"/>
      <c r="B27" s="696" t="s">
        <v>333</v>
      </c>
      <c r="C27" s="697">
        <v>4500</v>
      </c>
      <c r="D27" s="697">
        <v>5456</v>
      </c>
      <c r="E27" s="698">
        <v>5083</v>
      </c>
      <c r="F27" s="690">
        <f t="shared" si="2"/>
        <v>93.163489736070375</v>
      </c>
    </row>
    <row r="28" spans="1:6" ht="24" customHeight="1" x14ac:dyDescent="0.25">
      <c r="A28" s="5"/>
      <c r="B28" s="701" t="s">
        <v>362</v>
      </c>
      <c r="C28" s="697">
        <v>3000</v>
      </c>
      <c r="D28" s="697">
        <v>5714</v>
      </c>
      <c r="E28" s="698">
        <v>5714</v>
      </c>
      <c r="F28" s="690">
        <f t="shared" si="2"/>
        <v>100</v>
      </c>
    </row>
    <row r="29" spans="1:6" ht="42.75" customHeight="1" x14ac:dyDescent="0.25">
      <c r="A29" s="5"/>
      <c r="B29" s="701" t="s">
        <v>665</v>
      </c>
      <c r="C29" s="697"/>
      <c r="D29" s="697">
        <v>2800</v>
      </c>
      <c r="E29" s="698">
        <v>2800</v>
      </c>
      <c r="F29" s="690">
        <f t="shared" si="2"/>
        <v>100</v>
      </c>
    </row>
    <row r="30" spans="1:6" ht="24.75" customHeight="1" thickBot="1" x14ac:dyDescent="0.3">
      <c r="A30" s="5"/>
      <c r="B30" s="696" t="s">
        <v>666</v>
      </c>
      <c r="C30" s="697"/>
      <c r="D30" s="697">
        <v>1300</v>
      </c>
      <c r="E30" s="698"/>
      <c r="F30" s="690">
        <f t="shared" si="2"/>
        <v>0</v>
      </c>
    </row>
    <row r="31" spans="1:6" ht="42" customHeight="1" thickBot="1" x14ac:dyDescent="0.3">
      <c r="B31" s="702" t="s">
        <v>156</v>
      </c>
      <c r="C31" s="691">
        <f>SUM(C12:C30)</f>
        <v>373048</v>
      </c>
      <c r="D31" s="691">
        <f t="shared" ref="D31:E31" si="3">SUM(D12:D30)</f>
        <v>461248</v>
      </c>
      <c r="E31" s="691">
        <f t="shared" si="3"/>
        <v>360135</v>
      </c>
      <c r="F31" s="703">
        <f t="shared" si="2"/>
        <v>78.078387331760794</v>
      </c>
    </row>
    <row r="32" spans="1:6" ht="27" customHeight="1" thickBot="1" x14ac:dyDescent="0.3">
      <c r="B32" s="704" t="s">
        <v>162</v>
      </c>
      <c r="C32" s="705">
        <f>C31</f>
        <v>373048</v>
      </c>
      <c r="D32" s="705">
        <f t="shared" ref="D32:E32" si="4">D31</f>
        <v>461248</v>
      </c>
      <c r="E32" s="705">
        <f t="shared" si="4"/>
        <v>360135</v>
      </c>
      <c r="F32" s="703">
        <f t="shared" si="2"/>
        <v>78.078387331760794</v>
      </c>
    </row>
    <row r="33" spans="2:8" s="7" customFormat="1" ht="27" customHeight="1" thickBot="1" x14ac:dyDescent="0.3">
      <c r="B33" s="984" t="s">
        <v>427</v>
      </c>
      <c r="C33" s="691">
        <f>C10+C32</f>
        <v>1262164</v>
      </c>
      <c r="D33" s="691">
        <f>D10+D32</f>
        <v>1548934</v>
      </c>
      <c r="E33" s="691">
        <f>E10+E32</f>
        <v>1409953</v>
      </c>
      <c r="F33" s="703">
        <f t="shared" si="2"/>
        <v>91.027312977828629</v>
      </c>
      <c r="G33" s="3"/>
      <c r="H33" s="963"/>
    </row>
    <row r="34" spans="2:8" ht="27" customHeight="1" x14ac:dyDescent="0.25">
      <c r="B34" s="1075"/>
      <c r="C34" s="1074"/>
      <c r="D34" s="1074"/>
      <c r="E34" s="1074"/>
      <c r="F34" s="1074"/>
    </row>
    <row r="35" spans="2:8" ht="27" customHeight="1" thickBot="1" x14ac:dyDescent="0.3">
      <c r="B35" s="1076" t="s">
        <v>20</v>
      </c>
      <c r="C35" s="1074"/>
      <c r="D35" s="1074"/>
      <c r="E35" s="1074"/>
      <c r="F35" s="1074"/>
    </row>
    <row r="36" spans="2:8" ht="27" customHeight="1" x14ac:dyDescent="0.25">
      <c r="B36" s="672" t="s">
        <v>33</v>
      </c>
      <c r="C36" s="2440" t="s">
        <v>514</v>
      </c>
      <c r="D36" s="2440"/>
      <c r="E36" s="673" t="s">
        <v>410</v>
      </c>
      <c r="F36" s="674" t="s">
        <v>107</v>
      </c>
    </row>
    <row r="37" spans="2:8" ht="27" customHeight="1" thickBot="1" x14ac:dyDescent="0.3">
      <c r="B37" s="706"/>
      <c r="C37" s="707" t="s">
        <v>213</v>
      </c>
      <c r="D37" s="707" t="s">
        <v>105</v>
      </c>
      <c r="E37" s="677" t="s">
        <v>106</v>
      </c>
      <c r="F37" s="678" t="s">
        <v>108</v>
      </c>
    </row>
    <row r="38" spans="2:8" ht="42.75" customHeight="1" x14ac:dyDescent="0.25">
      <c r="B38" s="708" t="s">
        <v>401</v>
      </c>
      <c r="C38" s="685"/>
      <c r="D38" s="685">
        <v>20</v>
      </c>
      <c r="E38" s="685">
        <v>20</v>
      </c>
      <c r="F38" s="709">
        <f t="shared" ref="F38:F41" si="5">+E38/D38*100</f>
        <v>100</v>
      </c>
    </row>
    <row r="39" spans="2:8" ht="42.75" customHeight="1" x14ac:dyDescent="0.25">
      <c r="B39" s="710" t="s">
        <v>402</v>
      </c>
      <c r="C39" s="681"/>
      <c r="D39" s="681">
        <v>89964</v>
      </c>
      <c r="E39" s="681">
        <f>89773-E38</f>
        <v>89753</v>
      </c>
      <c r="F39" s="711">
        <f t="shared" si="5"/>
        <v>99.765461740251666</v>
      </c>
    </row>
    <row r="40" spans="2:8" s="1081" customFormat="1" ht="42.75" customHeight="1" thickBot="1" x14ac:dyDescent="0.3">
      <c r="B40" s="1142" t="s">
        <v>699</v>
      </c>
      <c r="C40" s="1112"/>
      <c r="D40" s="1112"/>
      <c r="E40" s="1112"/>
      <c r="F40" s="1113"/>
      <c r="G40" s="1114"/>
      <c r="H40" s="1115"/>
    </row>
    <row r="41" spans="2:8" ht="27" customHeight="1" thickBot="1" x14ac:dyDescent="0.3">
      <c r="B41" s="712" t="s">
        <v>428</v>
      </c>
      <c r="C41" s="591">
        <f>+C38+C40</f>
        <v>0</v>
      </c>
      <c r="D41" s="591">
        <f>+D38+D40+D39</f>
        <v>89984</v>
      </c>
      <c r="E41" s="591">
        <f>+E38+E40+E39</f>
        <v>89773</v>
      </c>
      <c r="F41" s="713">
        <f t="shared" si="5"/>
        <v>99.765513869132292</v>
      </c>
    </row>
    <row r="42" spans="2:8" ht="27" customHeight="1" thickBot="1" x14ac:dyDescent="0.25">
      <c r="B42" s="129"/>
      <c r="C42" s="3"/>
      <c r="D42" s="3"/>
      <c r="E42" s="3"/>
      <c r="F42" s="130"/>
    </row>
    <row r="43" spans="2:8" ht="27" customHeight="1" thickBot="1" x14ac:dyDescent="0.3">
      <c r="B43" s="59" t="s">
        <v>429</v>
      </c>
      <c r="C43" s="714">
        <f>+C33+C41</f>
        <v>1262164</v>
      </c>
      <c r="D43" s="714">
        <f>+D33+D41</f>
        <v>1638918</v>
      </c>
      <c r="E43" s="714">
        <f>+E33+E41</f>
        <v>1499726</v>
      </c>
      <c r="F43" s="715">
        <f>+E43/D43*100</f>
        <v>91.507079670856015</v>
      </c>
    </row>
    <row r="48" spans="2:8" ht="15" customHeight="1" x14ac:dyDescent="0.2">
      <c r="B48" s="160"/>
    </row>
  </sheetData>
  <mergeCells count="4">
    <mergeCell ref="B1:C1"/>
    <mergeCell ref="C5:D5"/>
    <mergeCell ref="C36:D36"/>
    <mergeCell ref="B2:F2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50" orientation="portrait" r:id="rId1"/>
  <headerFooter alignWithMargins="0">
    <oddHeader xml:space="preserve">&amp;R&amp;"Arial,Félkövér"&amp;12 &amp;14 10. melléklet a .../2022. (........) önkormányzati rendelethez 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8"/>
  <dimension ref="A1:F46"/>
  <sheetViews>
    <sheetView zoomScale="75" zoomScaleNormal="75" workbookViewId="0">
      <selection activeCell="R13" sqref="R13"/>
    </sheetView>
  </sheetViews>
  <sheetFormatPr defaultColWidth="9.33203125" defaultRowHeight="15" customHeight="1" x14ac:dyDescent="0.2"/>
  <cols>
    <col min="1" max="1" width="11.5" style="29" bestFit="1" customWidth="1"/>
    <col min="2" max="2" width="118.5" style="6" customWidth="1"/>
    <col min="3" max="6" width="25.83203125" style="6" customWidth="1"/>
    <col min="7" max="16384" width="9.33203125" style="6"/>
  </cols>
  <sheetData>
    <row r="1" spans="1:6" ht="15" customHeight="1" x14ac:dyDescent="0.25">
      <c r="B1" s="2436"/>
      <c r="C1" s="2436"/>
    </row>
    <row r="2" spans="1:6" ht="24" customHeight="1" x14ac:dyDescent="0.3">
      <c r="B2" s="2444" t="s">
        <v>25</v>
      </c>
      <c r="C2" s="2444"/>
      <c r="D2" s="2444"/>
      <c r="E2" s="2444"/>
      <c r="F2" s="2444"/>
    </row>
    <row r="3" spans="1:6" ht="15" customHeight="1" x14ac:dyDescent="0.25">
      <c r="B3" s="11"/>
      <c r="C3" s="11"/>
    </row>
    <row r="4" spans="1:6" ht="22.5" customHeight="1" thickBot="1" x14ac:dyDescent="0.35">
      <c r="B4" s="289" t="s">
        <v>158</v>
      </c>
      <c r="C4" s="14"/>
      <c r="D4" s="14"/>
      <c r="E4" s="14"/>
      <c r="F4" s="958" t="s">
        <v>19</v>
      </c>
    </row>
    <row r="5" spans="1:6" ht="22.5" customHeight="1" x14ac:dyDescent="0.25">
      <c r="B5" s="716" t="s">
        <v>33</v>
      </c>
      <c r="C5" s="2445" t="s">
        <v>514</v>
      </c>
      <c r="D5" s="2446"/>
      <c r="E5" s="717" t="s">
        <v>410</v>
      </c>
      <c r="F5" s="718" t="s">
        <v>107</v>
      </c>
    </row>
    <row r="6" spans="1:6" ht="36" customHeight="1" thickBot="1" x14ac:dyDescent="0.3">
      <c r="B6" s="719"/>
      <c r="C6" s="720" t="s">
        <v>213</v>
      </c>
      <c r="D6" s="720" t="s">
        <v>105</v>
      </c>
      <c r="E6" s="653" t="s">
        <v>106</v>
      </c>
      <c r="F6" s="721" t="s">
        <v>108</v>
      </c>
    </row>
    <row r="7" spans="1:6" s="8" customFormat="1" ht="44.25" customHeight="1" x14ac:dyDescent="0.25">
      <c r="A7" s="30"/>
      <c r="B7" s="722" t="s">
        <v>403</v>
      </c>
      <c r="C7" s="723">
        <v>457710</v>
      </c>
      <c r="D7" s="723">
        <v>545139</v>
      </c>
      <c r="E7" s="723">
        <f>1052302-E8-E9</f>
        <v>326908</v>
      </c>
      <c r="F7" s="724">
        <f t="shared" ref="F7:F10" si="0">+E7/D7*100</f>
        <v>59.967824719933816</v>
      </c>
    </row>
    <row r="8" spans="1:6" s="8" customFormat="1" ht="44.25" customHeight="1" x14ac:dyDescent="0.25">
      <c r="A8" s="30"/>
      <c r="B8" s="726" t="s">
        <v>433</v>
      </c>
      <c r="C8" s="727">
        <v>526523</v>
      </c>
      <c r="D8" s="727">
        <v>688840</v>
      </c>
      <c r="E8" s="727">
        <v>688840</v>
      </c>
      <c r="F8" s="724">
        <f t="shared" si="0"/>
        <v>100</v>
      </c>
    </row>
    <row r="9" spans="1:6" s="8" customFormat="1" ht="44.25" customHeight="1" thickBot="1" x14ac:dyDescent="0.3">
      <c r="A9" s="30"/>
      <c r="B9" s="726" t="s">
        <v>569</v>
      </c>
      <c r="C9" s="1831"/>
      <c r="D9" s="1831">
        <v>36554</v>
      </c>
      <c r="E9" s="1831">
        <v>36554</v>
      </c>
      <c r="F9" s="724">
        <f t="shared" si="0"/>
        <v>100</v>
      </c>
    </row>
    <row r="10" spans="1:6" s="8" customFormat="1" ht="22.5" customHeight="1" thickBot="1" x14ac:dyDescent="0.3">
      <c r="A10" s="30"/>
      <c r="B10" s="662" t="s">
        <v>159</v>
      </c>
      <c r="C10" s="728">
        <f>SUM(C7:C9)</f>
        <v>984233</v>
      </c>
      <c r="D10" s="729">
        <f>SUM(D7:D9)</f>
        <v>1270533</v>
      </c>
      <c r="E10" s="729">
        <f>SUM(E7:E9)</f>
        <v>1052302</v>
      </c>
      <c r="F10" s="730">
        <f t="shared" si="0"/>
        <v>82.823665343599899</v>
      </c>
    </row>
    <row r="11" spans="1:6" ht="22.5" customHeight="1" x14ac:dyDescent="0.25">
      <c r="A11" s="155"/>
      <c r="B11" s="731" t="s">
        <v>50</v>
      </c>
      <c r="C11" s="732">
        <v>10000</v>
      </c>
      <c r="D11" s="732">
        <v>0</v>
      </c>
      <c r="E11" s="723"/>
      <c r="F11" s="724"/>
    </row>
    <row r="12" spans="1:6" ht="22.5" customHeight="1" x14ac:dyDescent="0.25">
      <c r="B12" s="736" t="s">
        <v>73</v>
      </c>
      <c r="C12" s="737">
        <v>800</v>
      </c>
      <c r="D12" s="737">
        <v>0</v>
      </c>
      <c r="E12" s="740"/>
      <c r="F12" s="735"/>
    </row>
    <row r="13" spans="1:6" ht="22.5" customHeight="1" x14ac:dyDescent="0.25">
      <c r="B13" s="736" t="s">
        <v>334</v>
      </c>
      <c r="C13" s="737">
        <v>500</v>
      </c>
      <c r="D13" s="737">
        <v>124</v>
      </c>
      <c r="E13" s="740"/>
      <c r="F13" s="735">
        <f t="shared" ref="F13:F24" si="1">+E13/D13*100</f>
        <v>0</v>
      </c>
    </row>
    <row r="14" spans="1:6" ht="22.5" customHeight="1" x14ac:dyDescent="0.25">
      <c r="B14" s="736" t="s">
        <v>171</v>
      </c>
      <c r="C14" s="737"/>
      <c r="D14" s="737">
        <v>3037</v>
      </c>
      <c r="E14" s="740">
        <v>2098</v>
      </c>
      <c r="F14" s="735">
        <f t="shared" si="1"/>
        <v>69.081330260125128</v>
      </c>
    </row>
    <row r="15" spans="1:6" ht="22.5" customHeight="1" x14ac:dyDescent="0.25">
      <c r="B15" s="736" t="s">
        <v>61</v>
      </c>
      <c r="C15" s="737">
        <v>2000</v>
      </c>
      <c r="D15" s="737">
        <v>2000</v>
      </c>
      <c r="E15" s="740">
        <v>2000</v>
      </c>
      <c r="F15" s="735">
        <f t="shared" si="1"/>
        <v>100</v>
      </c>
    </row>
    <row r="16" spans="1:6" ht="22.5" customHeight="1" x14ac:dyDescent="0.25">
      <c r="B16" s="736" t="s">
        <v>74</v>
      </c>
      <c r="C16" s="737">
        <v>2000</v>
      </c>
      <c r="D16" s="737">
        <v>0</v>
      </c>
      <c r="E16" s="740"/>
      <c r="F16" s="735"/>
    </row>
    <row r="17" spans="1:6" ht="39.75" customHeight="1" x14ac:dyDescent="0.25">
      <c r="B17" s="739" t="s">
        <v>51</v>
      </c>
      <c r="C17" s="737">
        <v>2000</v>
      </c>
      <c r="D17" s="737">
        <v>2000</v>
      </c>
      <c r="E17" s="737">
        <v>2000</v>
      </c>
      <c r="F17" s="735">
        <f t="shared" si="1"/>
        <v>100</v>
      </c>
    </row>
    <row r="18" spans="1:6" ht="22.5" customHeight="1" x14ac:dyDescent="0.25">
      <c r="B18" s="736" t="s">
        <v>570</v>
      </c>
      <c r="C18" s="737"/>
      <c r="D18" s="737">
        <v>23938</v>
      </c>
      <c r="E18" s="737">
        <v>23938</v>
      </c>
      <c r="F18" s="735">
        <f>+E17/D17*100</f>
        <v>100</v>
      </c>
    </row>
    <row r="19" spans="1:6" ht="22.5" customHeight="1" x14ac:dyDescent="0.25">
      <c r="B19" s="736" t="s">
        <v>86</v>
      </c>
      <c r="C19" s="737">
        <v>3000</v>
      </c>
      <c r="D19" s="737">
        <v>3000</v>
      </c>
      <c r="E19" s="740">
        <v>991</v>
      </c>
      <c r="F19" s="735">
        <f t="shared" si="1"/>
        <v>33.033333333333331</v>
      </c>
    </row>
    <row r="20" spans="1:6" ht="22.5" customHeight="1" x14ac:dyDescent="0.25">
      <c r="B20" s="736" t="s">
        <v>633</v>
      </c>
      <c r="C20" s="737">
        <v>160</v>
      </c>
      <c r="D20" s="737">
        <v>0</v>
      </c>
      <c r="E20" s="740"/>
      <c r="F20" s="735"/>
    </row>
    <row r="21" spans="1:6" ht="22.5" customHeight="1" x14ac:dyDescent="0.25">
      <c r="B21" s="736" t="s">
        <v>475</v>
      </c>
      <c r="C21" s="737">
        <v>42735</v>
      </c>
      <c r="D21" s="737">
        <v>70455</v>
      </c>
      <c r="E21" s="740">
        <v>70150</v>
      </c>
      <c r="F21" s="735">
        <f t="shared" si="1"/>
        <v>99.567099567099575</v>
      </c>
    </row>
    <row r="22" spans="1:6" ht="22.5" customHeight="1" x14ac:dyDescent="0.25">
      <c r="B22" s="736" t="s">
        <v>238</v>
      </c>
      <c r="C22" s="737"/>
      <c r="D22" s="737">
        <v>1094</v>
      </c>
      <c r="E22" s="740">
        <v>1093</v>
      </c>
      <c r="F22" s="735">
        <f t="shared" si="1"/>
        <v>99.908592321755023</v>
      </c>
    </row>
    <row r="23" spans="1:6" ht="22.5" customHeight="1" thickBot="1" x14ac:dyDescent="0.3">
      <c r="B23" s="742" t="s">
        <v>163</v>
      </c>
      <c r="C23" s="743">
        <f>SUM(C11:C22)</f>
        <v>63195</v>
      </c>
      <c r="D23" s="743">
        <f>SUM(D11:D22)</f>
        <v>105648</v>
      </c>
      <c r="E23" s="743">
        <f>SUM(E11:E22)</f>
        <v>102270</v>
      </c>
      <c r="F23" s="744">
        <f t="shared" si="1"/>
        <v>96.802589731940031</v>
      </c>
    </row>
    <row r="24" spans="1:6" s="8" customFormat="1" ht="22.5" customHeight="1" thickBot="1" x14ac:dyDescent="0.3">
      <c r="A24" s="30"/>
      <c r="B24" s="745" t="s">
        <v>430</v>
      </c>
      <c r="C24" s="746">
        <f>+C10+C23</f>
        <v>1047428</v>
      </c>
      <c r="D24" s="747">
        <f>+D10+D23</f>
        <v>1376181</v>
      </c>
      <c r="E24" s="746">
        <f>+E10+E23</f>
        <v>1154572</v>
      </c>
      <c r="F24" s="730">
        <f t="shared" si="1"/>
        <v>83.896812991895686</v>
      </c>
    </row>
    <row r="26" spans="1:6" ht="23.25" customHeight="1" thickBot="1" x14ac:dyDescent="0.35">
      <c r="B26" s="56" t="s">
        <v>20</v>
      </c>
      <c r="C26" s="40"/>
      <c r="D26" s="40"/>
      <c r="E26" s="40"/>
      <c r="F26" s="13"/>
    </row>
    <row r="27" spans="1:6" ht="22.5" customHeight="1" x14ac:dyDescent="0.25">
      <c r="B27" s="748" t="s">
        <v>33</v>
      </c>
      <c r="C27" s="2445" t="s">
        <v>514</v>
      </c>
      <c r="D27" s="2441"/>
      <c r="E27" s="717" t="s">
        <v>410</v>
      </c>
      <c r="F27" s="718" t="s">
        <v>107</v>
      </c>
    </row>
    <row r="28" spans="1:6" ht="22.5" customHeight="1" thickBot="1" x14ac:dyDescent="0.3">
      <c r="B28" s="749"/>
      <c r="C28" s="720" t="s">
        <v>213</v>
      </c>
      <c r="D28" s="720" t="s">
        <v>105</v>
      </c>
      <c r="E28" s="653" t="s">
        <v>106</v>
      </c>
      <c r="F28" s="721" t="s">
        <v>108</v>
      </c>
    </row>
    <row r="29" spans="1:6" s="124" customFormat="1" ht="44.25" customHeight="1" x14ac:dyDescent="0.25">
      <c r="A29" s="126"/>
      <c r="B29" s="985" t="s">
        <v>403</v>
      </c>
      <c r="C29" s="732">
        <v>1778</v>
      </c>
      <c r="D29" s="986">
        <v>93112</v>
      </c>
      <c r="E29" s="732">
        <f>71121-E30</f>
        <v>64297</v>
      </c>
      <c r="F29" s="987">
        <f>+E29/D29*100</f>
        <v>69.053398058252426</v>
      </c>
    </row>
    <row r="30" spans="1:6" ht="44.25" customHeight="1" x14ac:dyDescent="0.25">
      <c r="B30" s="726" t="s">
        <v>433</v>
      </c>
      <c r="C30" s="1144">
        <v>2455</v>
      </c>
      <c r="D30" s="1144">
        <v>6824</v>
      </c>
      <c r="E30" s="1144">
        <v>6824</v>
      </c>
      <c r="F30" s="750">
        <f t="shared" ref="F30:F32" si="2">+E30/D30*100</f>
        <v>100</v>
      </c>
    </row>
    <row r="31" spans="1:6" ht="44.25" customHeight="1" thickBot="1" x14ac:dyDescent="0.3">
      <c r="B31" s="726" t="s">
        <v>700</v>
      </c>
      <c r="C31" s="1143"/>
      <c r="D31" s="1144"/>
      <c r="E31" s="1143"/>
      <c r="F31" s="750"/>
    </row>
    <row r="32" spans="1:6" ht="22.5" customHeight="1" thickBot="1" x14ac:dyDescent="0.3">
      <c r="B32" s="662" t="s">
        <v>431</v>
      </c>
      <c r="C32" s="751">
        <f>SUM(C29:C31)</f>
        <v>4233</v>
      </c>
      <c r="D32" s="751">
        <f t="shared" ref="D32:E32" si="3">SUM(D29:D31)</f>
        <v>99936</v>
      </c>
      <c r="E32" s="751">
        <f t="shared" si="3"/>
        <v>71121</v>
      </c>
      <c r="F32" s="637">
        <f t="shared" si="2"/>
        <v>71.166546589817486</v>
      </c>
    </row>
    <row r="33" spans="2:6" ht="22.5" customHeight="1" thickBot="1" x14ac:dyDescent="0.3">
      <c r="B33" s="64"/>
      <c r="C33" s="58"/>
      <c r="D33" s="58"/>
      <c r="E33" s="65"/>
      <c r="F33" s="294"/>
    </row>
    <row r="34" spans="2:6" ht="22.5" customHeight="1" thickBot="1" x14ac:dyDescent="0.3">
      <c r="B34" s="59" t="s">
        <v>432</v>
      </c>
      <c r="C34" s="60">
        <f>+C24+C32</f>
        <v>1051661</v>
      </c>
      <c r="D34" s="60">
        <f>+D24+D32</f>
        <v>1476117</v>
      </c>
      <c r="E34" s="60">
        <f>+E24+E32</f>
        <v>1225693</v>
      </c>
      <c r="F34" s="116">
        <f>+E34/D34*100</f>
        <v>83.034949126661374</v>
      </c>
    </row>
    <row r="36" spans="2:6" ht="15" customHeight="1" x14ac:dyDescent="0.2">
      <c r="E36" s="4"/>
    </row>
    <row r="37" spans="2:6" ht="15" customHeight="1" x14ac:dyDescent="0.2">
      <c r="E37" s="4"/>
      <c r="F37" s="4"/>
    </row>
    <row r="38" spans="2:6" ht="15" customHeight="1" x14ac:dyDescent="0.2">
      <c r="E38" s="4"/>
    </row>
    <row r="40" spans="2:6" ht="15" customHeight="1" x14ac:dyDescent="0.2">
      <c r="E40" s="4"/>
    </row>
    <row r="46" spans="2:6" ht="15" customHeight="1" x14ac:dyDescent="0.2">
      <c r="B46" s="125"/>
    </row>
  </sheetData>
  <mergeCells count="4">
    <mergeCell ref="B1:C1"/>
    <mergeCell ref="C5:D5"/>
    <mergeCell ref="C27:D27"/>
    <mergeCell ref="B2:F2"/>
  </mergeCells>
  <phoneticPr fontId="0" type="noConversion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52" orientation="portrait" r:id="rId1"/>
  <headerFooter alignWithMargins="0">
    <oddHeader xml:space="preserve">&amp;R&amp;"Arial,Félkövér"&amp;14 11. melléklet a .../2022. (........) önkormányzati rendelethez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9"/>
  <dimension ref="A1:F48"/>
  <sheetViews>
    <sheetView zoomScale="75" zoomScaleNormal="75" workbookViewId="0">
      <selection activeCell="J7" sqref="J7"/>
    </sheetView>
  </sheetViews>
  <sheetFormatPr defaultColWidth="9.33203125" defaultRowHeight="15" customHeight="1" x14ac:dyDescent="0.2"/>
  <cols>
    <col min="1" max="1" width="12" style="29" customWidth="1"/>
    <col min="2" max="2" width="118.33203125" style="6" customWidth="1"/>
    <col min="3" max="3" width="25.83203125" style="6" customWidth="1"/>
    <col min="4" max="5" width="25.83203125" style="4" customWidth="1"/>
    <col min="6" max="6" width="25.83203125" style="6" customWidth="1"/>
    <col min="7" max="16384" width="9.33203125" style="6"/>
  </cols>
  <sheetData>
    <row r="1" spans="1:6" ht="15" customHeight="1" x14ac:dyDescent="0.25">
      <c r="B1" s="2436"/>
      <c r="C1" s="2436"/>
    </row>
    <row r="2" spans="1:6" ht="30.75" customHeight="1" x14ac:dyDescent="0.3">
      <c r="B2" s="2447" t="s">
        <v>472</v>
      </c>
      <c r="C2" s="2447"/>
      <c r="D2" s="2447"/>
      <c r="E2" s="2447"/>
      <c r="F2" s="2447"/>
    </row>
    <row r="4" spans="1:6" ht="24" customHeight="1" thickBot="1" x14ac:dyDescent="0.35">
      <c r="B4" s="289" t="s">
        <v>158</v>
      </c>
      <c r="C4" s="14"/>
      <c r="D4" s="27"/>
      <c r="E4" s="27"/>
      <c r="F4" s="958" t="s">
        <v>19</v>
      </c>
    </row>
    <row r="5" spans="1:6" ht="24" customHeight="1" x14ac:dyDescent="0.25">
      <c r="B5" s="716" t="s">
        <v>59</v>
      </c>
      <c r="C5" s="2445" t="s">
        <v>514</v>
      </c>
      <c r="D5" s="2446"/>
      <c r="E5" s="717" t="s">
        <v>410</v>
      </c>
      <c r="F5" s="718" t="s">
        <v>107</v>
      </c>
    </row>
    <row r="6" spans="1:6" ht="41.25" customHeight="1" thickBot="1" x14ac:dyDescent="0.3">
      <c r="B6" s="752"/>
      <c r="C6" s="720" t="s">
        <v>213</v>
      </c>
      <c r="D6" s="753" t="s">
        <v>105</v>
      </c>
      <c r="E6" s="653" t="s">
        <v>106</v>
      </c>
      <c r="F6" s="721" t="s">
        <v>108</v>
      </c>
    </row>
    <row r="7" spans="1:6" ht="39.950000000000003" customHeight="1" x14ac:dyDescent="0.25">
      <c r="B7" s="731" t="s">
        <v>404</v>
      </c>
      <c r="C7" s="732">
        <v>903539</v>
      </c>
      <c r="D7" s="732">
        <v>933836</v>
      </c>
      <c r="E7" s="725">
        <f>992435-E8-E9</f>
        <v>910910</v>
      </c>
      <c r="F7" s="724">
        <f t="shared" ref="F7:F10" si="0">+E7/D7*100</f>
        <v>97.544965068812942</v>
      </c>
    </row>
    <row r="8" spans="1:6" ht="39.950000000000003" customHeight="1" x14ac:dyDescent="0.25">
      <c r="B8" s="754" t="s">
        <v>405</v>
      </c>
      <c r="C8" s="725">
        <v>59692</v>
      </c>
      <c r="D8" s="725">
        <v>80811</v>
      </c>
      <c r="E8" s="725">
        <v>80811</v>
      </c>
      <c r="F8" s="755">
        <f t="shared" si="0"/>
        <v>100</v>
      </c>
    </row>
    <row r="9" spans="1:6" ht="39.950000000000003" customHeight="1" thickBot="1" x14ac:dyDescent="0.3">
      <c r="B9" s="756" t="s">
        <v>571</v>
      </c>
      <c r="C9" s="727"/>
      <c r="D9" s="727">
        <v>714</v>
      </c>
      <c r="E9" s="727">
        <v>714</v>
      </c>
      <c r="F9" s="724">
        <f t="shared" si="0"/>
        <v>100</v>
      </c>
    </row>
    <row r="10" spans="1:6" ht="33" customHeight="1" thickBot="1" x14ac:dyDescent="0.3">
      <c r="B10" s="662" t="s">
        <v>164</v>
      </c>
      <c r="C10" s="728">
        <f>SUM(C7:C9)</f>
        <v>963231</v>
      </c>
      <c r="D10" s="729">
        <f>SUM(D7:D9)</f>
        <v>1015361</v>
      </c>
      <c r="E10" s="729">
        <f>SUM(E7:E9)</f>
        <v>992435</v>
      </c>
      <c r="F10" s="730">
        <f t="shared" si="0"/>
        <v>97.74208384998046</v>
      </c>
    </row>
    <row r="11" spans="1:6" ht="33" customHeight="1" x14ac:dyDescent="0.25">
      <c r="B11" s="757" t="s">
        <v>16</v>
      </c>
      <c r="C11" s="725">
        <v>300</v>
      </c>
      <c r="D11" s="725">
        <v>300</v>
      </c>
      <c r="E11" s="725"/>
      <c r="F11" s="755">
        <f t="shared" ref="F11:F15" si="1">+E11/D11*100</f>
        <v>0</v>
      </c>
    </row>
    <row r="12" spans="1:6" s="10" customFormat="1" ht="33" customHeight="1" x14ac:dyDescent="0.25">
      <c r="A12" s="31"/>
      <c r="B12" s="736" t="s">
        <v>54</v>
      </c>
      <c r="C12" s="758"/>
      <c r="D12" s="758">
        <v>246</v>
      </c>
      <c r="E12" s="758">
        <v>231</v>
      </c>
      <c r="F12" s="759">
        <f t="shared" si="1"/>
        <v>93.902439024390233</v>
      </c>
    </row>
    <row r="13" spans="1:6" ht="48" customHeight="1" thickBot="1" x14ac:dyDescent="0.3">
      <c r="B13" s="760" t="s">
        <v>133</v>
      </c>
      <c r="C13" s="761">
        <v>3000</v>
      </c>
      <c r="D13" s="761">
        <v>3000</v>
      </c>
      <c r="E13" s="1082">
        <v>3000</v>
      </c>
      <c r="F13" s="982">
        <f t="shared" si="1"/>
        <v>100</v>
      </c>
    </row>
    <row r="14" spans="1:6" ht="33" customHeight="1" thickBot="1" x14ac:dyDescent="0.3">
      <c r="B14" s="662" t="s">
        <v>160</v>
      </c>
      <c r="C14" s="728">
        <f>SUM(C11:C13)</f>
        <v>3300</v>
      </c>
      <c r="D14" s="729">
        <f>SUM(D11:D13)</f>
        <v>3546</v>
      </c>
      <c r="E14" s="729">
        <f>SUM(E11:E13)</f>
        <v>3231</v>
      </c>
      <c r="F14" s="730">
        <f t="shared" si="1"/>
        <v>91.116751269035532</v>
      </c>
    </row>
    <row r="15" spans="1:6" ht="33" customHeight="1" thickBot="1" x14ac:dyDescent="0.3">
      <c r="B15" s="662" t="s">
        <v>434</v>
      </c>
      <c r="C15" s="728">
        <f>+C10+C14</f>
        <v>966531</v>
      </c>
      <c r="D15" s="729">
        <f>+D10+D14</f>
        <v>1018907</v>
      </c>
      <c r="E15" s="729">
        <f>+E10+E14</f>
        <v>995666</v>
      </c>
      <c r="F15" s="730">
        <f t="shared" si="1"/>
        <v>97.719026368451694</v>
      </c>
    </row>
    <row r="16" spans="1:6" ht="20.100000000000001" customHeight="1" x14ac:dyDescent="0.25">
      <c r="B16" s="15"/>
      <c r="C16" s="2"/>
      <c r="D16" s="2"/>
      <c r="E16" s="2"/>
      <c r="F16" s="32"/>
    </row>
    <row r="17" spans="2:6" ht="24.75" customHeight="1" thickBot="1" x14ac:dyDescent="0.35">
      <c r="B17" s="289" t="s">
        <v>20</v>
      </c>
      <c r="C17" s="2"/>
      <c r="D17" s="2"/>
      <c r="E17" s="2"/>
      <c r="F17" s="32"/>
    </row>
    <row r="18" spans="2:6" ht="24.75" customHeight="1" x14ac:dyDescent="0.25">
      <c r="B18" s="748" t="s">
        <v>33</v>
      </c>
      <c r="C18" s="2445" t="s">
        <v>514</v>
      </c>
      <c r="D18" s="2446"/>
      <c r="E18" s="762" t="s">
        <v>410</v>
      </c>
      <c r="F18" s="718" t="s">
        <v>107</v>
      </c>
    </row>
    <row r="19" spans="2:6" ht="24.75" customHeight="1" thickBot="1" x14ac:dyDescent="0.3">
      <c r="B19" s="749"/>
      <c r="C19" s="651" t="s">
        <v>213</v>
      </c>
      <c r="D19" s="753" t="s">
        <v>105</v>
      </c>
      <c r="E19" s="763" t="s">
        <v>106</v>
      </c>
      <c r="F19" s="721" t="s">
        <v>108</v>
      </c>
    </row>
    <row r="20" spans="2:6" ht="41.1" customHeight="1" x14ac:dyDescent="0.25">
      <c r="B20" s="985" t="s">
        <v>404</v>
      </c>
      <c r="C20" s="986"/>
      <c r="D20" s="732">
        <v>48910</v>
      </c>
      <c r="E20" s="988">
        <f>27103-E21</f>
        <v>27028</v>
      </c>
      <c r="F20" s="989">
        <f>+E20/D20*100</f>
        <v>55.260682886935186</v>
      </c>
    </row>
    <row r="21" spans="2:6" ht="41.1" customHeight="1" x14ac:dyDescent="0.25">
      <c r="B21" s="726" t="s">
        <v>405</v>
      </c>
      <c r="C21" s="764"/>
      <c r="D21" s="725">
        <v>75</v>
      </c>
      <c r="E21" s="765">
        <v>75</v>
      </c>
      <c r="F21" s="755">
        <f t="shared" ref="F21:F23" si="2">+E21/D21*100</f>
        <v>100</v>
      </c>
    </row>
    <row r="22" spans="2:6" ht="41.1" customHeight="1" thickBot="1" x14ac:dyDescent="0.3">
      <c r="B22" s="722" t="s">
        <v>571</v>
      </c>
      <c r="C22" s="766"/>
      <c r="D22" s="727"/>
      <c r="E22" s="1145"/>
      <c r="F22" s="724"/>
    </row>
    <row r="23" spans="2:6" ht="33" customHeight="1" thickBot="1" x14ac:dyDescent="0.3">
      <c r="B23" s="662" t="s">
        <v>435</v>
      </c>
      <c r="C23" s="728">
        <f>SUM(C20:C22)</f>
        <v>0</v>
      </c>
      <c r="D23" s="729">
        <f t="shared" ref="D23:E23" si="3">SUM(D20:D22)</f>
        <v>48985</v>
      </c>
      <c r="E23" s="729">
        <f t="shared" si="3"/>
        <v>27103</v>
      </c>
      <c r="F23" s="730">
        <f t="shared" si="2"/>
        <v>55.329182402776354</v>
      </c>
    </row>
    <row r="24" spans="2:6" ht="33" customHeight="1" thickBot="1" x14ac:dyDescent="0.3">
      <c r="B24" s="662"/>
      <c r="C24" s="728"/>
      <c r="D24" s="729"/>
      <c r="E24" s="729"/>
      <c r="F24" s="730"/>
    </row>
    <row r="25" spans="2:6" ht="33" customHeight="1" thickBot="1" x14ac:dyDescent="0.3">
      <c r="B25" s="662" t="s">
        <v>436</v>
      </c>
      <c r="C25" s="728">
        <f>C15+C23</f>
        <v>966531</v>
      </c>
      <c r="D25" s="729">
        <f>D15+D23</f>
        <v>1067892</v>
      </c>
      <c r="E25" s="729">
        <f>E15+E23</f>
        <v>1022769</v>
      </c>
      <c r="F25" s="730">
        <f>+E25/D25*100</f>
        <v>95.774572709599852</v>
      </c>
    </row>
    <row r="28" spans="2:6" ht="15" customHeight="1" x14ac:dyDescent="0.2">
      <c r="B28" s="13"/>
    </row>
    <row r="46" spans="1:2" ht="15" customHeight="1" x14ac:dyDescent="0.2">
      <c r="A46" s="131"/>
      <c r="B46" s="1"/>
    </row>
    <row r="47" spans="1:2" ht="15" customHeight="1" x14ac:dyDescent="0.2">
      <c r="A47" s="131"/>
      <c r="B47" s="132"/>
    </row>
    <row r="48" spans="1:2" ht="15" customHeight="1" x14ac:dyDescent="0.2">
      <c r="A48" s="131"/>
      <c r="B48" s="1"/>
    </row>
  </sheetData>
  <mergeCells count="4">
    <mergeCell ref="B1:C1"/>
    <mergeCell ref="C5:D5"/>
    <mergeCell ref="C18:D18"/>
    <mergeCell ref="B2:F2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alignWithMargins="0">
    <oddHeader xml:space="preserve">&amp;R&amp;"Arial,Félkövér"&amp;14 12. melléklet a .../2022. (........) önkormányzati rendelethez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20"/>
  <dimension ref="A1:F99"/>
  <sheetViews>
    <sheetView zoomScale="60" zoomScaleNormal="60" zoomScaleSheetLayoutView="50" workbookViewId="0">
      <selection activeCell="K55" sqref="K55"/>
    </sheetView>
  </sheetViews>
  <sheetFormatPr defaultColWidth="9.33203125" defaultRowHeight="15" customHeight="1" x14ac:dyDescent="0.2"/>
  <cols>
    <col min="1" max="1" width="20.6640625" style="29" customWidth="1"/>
    <col min="2" max="2" width="150.83203125" style="6" customWidth="1"/>
    <col min="3" max="3" width="27.83203125" style="6" customWidth="1"/>
    <col min="4" max="5" width="27.83203125" style="4" customWidth="1"/>
    <col min="6" max="6" width="27.83203125" style="6" customWidth="1"/>
    <col min="7" max="16384" width="9.33203125" style="6"/>
  </cols>
  <sheetData>
    <row r="1" spans="1:6" ht="8.25" customHeight="1" x14ac:dyDescent="0.25">
      <c r="B1" s="2436"/>
      <c r="C1" s="2436"/>
    </row>
    <row r="2" spans="1:6" ht="33" customHeight="1" x14ac:dyDescent="0.35">
      <c r="B2" s="2452" t="s">
        <v>224</v>
      </c>
      <c r="C2" s="2452"/>
      <c r="D2" s="2452"/>
      <c r="E2" s="2452"/>
      <c r="F2" s="2452"/>
    </row>
    <row r="3" spans="1:6" ht="29.25" customHeight="1" thickBot="1" x14ac:dyDescent="0.35">
      <c r="B3" s="140"/>
      <c r="C3" s="141"/>
      <c r="D3" s="142"/>
      <c r="E3" s="142"/>
      <c r="F3" s="958" t="s">
        <v>19</v>
      </c>
    </row>
    <row r="4" spans="1:6" ht="31.5" customHeight="1" x14ac:dyDescent="0.3">
      <c r="A4" s="143"/>
      <c r="B4" s="295" t="s">
        <v>33</v>
      </c>
      <c r="C4" s="2448" t="s">
        <v>514</v>
      </c>
      <c r="D4" s="2449"/>
      <c r="E4" s="296" t="s">
        <v>410</v>
      </c>
      <c r="F4" s="2066" t="s">
        <v>107</v>
      </c>
    </row>
    <row r="5" spans="1:6" ht="30" customHeight="1" thickBot="1" x14ac:dyDescent="0.35">
      <c r="A5" s="143"/>
      <c r="B5" s="297"/>
      <c r="C5" s="298" t="s">
        <v>213</v>
      </c>
      <c r="D5" s="299" t="s">
        <v>105</v>
      </c>
      <c r="E5" s="300" t="s">
        <v>106</v>
      </c>
      <c r="F5" s="2067" t="s">
        <v>108</v>
      </c>
    </row>
    <row r="6" spans="1:6" ht="30" customHeight="1" x14ac:dyDescent="0.3">
      <c r="A6" s="143"/>
      <c r="B6" s="301" t="s">
        <v>69</v>
      </c>
      <c r="C6" s="302">
        <v>104347</v>
      </c>
      <c r="D6" s="302">
        <v>86713</v>
      </c>
      <c r="E6" s="302">
        <v>84911</v>
      </c>
      <c r="F6" s="303">
        <f t="shared" ref="F6:F9" si="0">+E6/D6*100</f>
        <v>97.921880225571712</v>
      </c>
    </row>
    <row r="7" spans="1:6" ht="30" customHeight="1" x14ac:dyDescent="0.3">
      <c r="A7" s="143"/>
      <c r="B7" s="304" t="s">
        <v>47</v>
      </c>
      <c r="C7" s="305">
        <v>2028520</v>
      </c>
      <c r="D7" s="305">
        <v>2331147</v>
      </c>
      <c r="E7" s="306">
        <v>1978333</v>
      </c>
      <c r="F7" s="307">
        <f t="shared" si="0"/>
        <v>84.865218709931199</v>
      </c>
    </row>
    <row r="8" spans="1:6" ht="30" customHeight="1" x14ac:dyDescent="0.3">
      <c r="A8" s="143"/>
      <c r="B8" s="308"/>
      <c r="C8" s="309"/>
      <c r="D8" s="309"/>
      <c r="E8" s="310"/>
      <c r="F8" s="311"/>
    </row>
    <row r="9" spans="1:6" ht="30" customHeight="1" thickBot="1" x14ac:dyDescent="0.35">
      <c r="A9" s="143"/>
      <c r="B9" s="1025" t="s">
        <v>468</v>
      </c>
      <c r="C9" s="312">
        <f>SUM(C6:C8)</f>
        <v>2132867</v>
      </c>
      <c r="D9" s="313">
        <f>SUM(D6:D8)</f>
        <v>2417860</v>
      </c>
      <c r="E9" s="313">
        <f>SUM(E6:E8)</f>
        <v>2063244</v>
      </c>
      <c r="F9" s="314">
        <f t="shared" si="0"/>
        <v>85.333476710810388</v>
      </c>
    </row>
    <row r="10" spans="1:6" ht="30" customHeight="1" x14ac:dyDescent="0.3">
      <c r="A10" s="143"/>
      <c r="B10" s="1119" t="s">
        <v>219</v>
      </c>
      <c r="C10" s="315"/>
      <c r="D10" s="302"/>
      <c r="E10" s="302"/>
      <c r="F10" s="303"/>
    </row>
    <row r="11" spans="1:6" s="10" customFormat="1" ht="30" customHeight="1" x14ac:dyDescent="0.3">
      <c r="A11" s="144"/>
      <c r="B11" s="316" t="s">
        <v>10</v>
      </c>
      <c r="C11" s="317">
        <v>250000</v>
      </c>
      <c r="D11" s="317">
        <v>304487</v>
      </c>
      <c r="E11" s="318">
        <v>1056907</v>
      </c>
      <c r="F11" s="319">
        <f>+E11/D11*100</f>
        <v>347.11071408631568</v>
      </c>
    </row>
    <row r="12" spans="1:6" s="10" customFormat="1" ht="35.25" customHeight="1" x14ac:dyDescent="0.3">
      <c r="A12" s="145"/>
      <c r="B12" s="320" t="s">
        <v>220</v>
      </c>
      <c r="C12" s="321">
        <v>700000</v>
      </c>
      <c r="D12" s="321">
        <v>700000</v>
      </c>
      <c r="E12" s="321">
        <v>846257</v>
      </c>
      <c r="F12" s="322">
        <f>+E12/D12*100</f>
        <v>120.89385714285714</v>
      </c>
    </row>
    <row r="13" spans="1:6" s="10" customFormat="1" ht="30" customHeight="1" x14ac:dyDescent="0.3">
      <c r="A13" s="145"/>
      <c r="B13" s="320" t="s">
        <v>440</v>
      </c>
      <c r="C13" s="321">
        <v>160000</v>
      </c>
      <c r="D13" s="321">
        <v>160000</v>
      </c>
      <c r="E13" s="323"/>
      <c r="F13" s="322"/>
    </row>
    <row r="14" spans="1:6" ht="30" customHeight="1" x14ac:dyDescent="0.3">
      <c r="A14" s="143"/>
      <c r="B14" s="320" t="s">
        <v>184</v>
      </c>
      <c r="C14" s="321"/>
      <c r="D14" s="321">
        <v>5455</v>
      </c>
      <c r="E14" s="321">
        <v>5455</v>
      </c>
      <c r="F14" s="322">
        <f>+E14/D14*100</f>
        <v>100</v>
      </c>
    </row>
    <row r="15" spans="1:6" ht="30" customHeight="1" x14ac:dyDescent="0.3">
      <c r="A15" s="143"/>
      <c r="B15" s="320" t="s">
        <v>634</v>
      </c>
      <c r="C15" s="321"/>
      <c r="D15" s="321">
        <v>116667</v>
      </c>
      <c r="E15" s="321">
        <v>116667</v>
      </c>
      <c r="F15" s="322">
        <f>+E15/D15*100</f>
        <v>100</v>
      </c>
    </row>
    <row r="16" spans="1:6" ht="30" customHeight="1" x14ac:dyDescent="0.3">
      <c r="A16" s="143"/>
      <c r="B16" s="320" t="s">
        <v>7</v>
      </c>
      <c r="C16" s="321">
        <v>306934</v>
      </c>
      <c r="D16" s="321">
        <v>285799</v>
      </c>
      <c r="E16" s="321">
        <v>283223</v>
      </c>
      <c r="F16" s="322">
        <f>+E16/D16*100</f>
        <v>99.098667245161806</v>
      </c>
    </row>
    <row r="17" spans="1:6" ht="30" customHeight="1" x14ac:dyDescent="0.3">
      <c r="A17" s="143"/>
      <c r="B17" s="327" t="s">
        <v>93</v>
      </c>
      <c r="C17" s="328">
        <f>SUM(C11:C16)</f>
        <v>1416934</v>
      </c>
      <c r="D17" s="329">
        <f>SUM(D11:D16)</f>
        <v>1572408</v>
      </c>
      <c r="E17" s="329">
        <f>SUM(E11:E16)</f>
        <v>2308509</v>
      </c>
      <c r="F17" s="330">
        <f t="shared" ref="F17" si="1">+E17/D17*100</f>
        <v>146.81361326068043</v>
      </c>
    </row>
    <row r="18" spans="1:6" ht="30" customHeight="1" x14ac:dyDescent="0.3">
      <c r="A18" s="143"/>
      <c r="B18" s="1052" t="s">
        <v>30</v>
      </c>
      <c r="C18" s="309"/>
      <c r="D18" s="309"/>
      <c r="E18" s="309"/>
      <c r="F18" s="990"/>
    </row>
    <row r="19" spans="1:6" ht="30" customHeight="1" x14ac:dyDescent="0.3">
      <c r="A19" s="144"/>
      <c r="B19" s="320" t="s">
        <v>477</v>
      </c>
      <c r="C19" s="321">
        <v>33000</v>
      </c>
      <c r="D19" s="321">
        <v>34665</v>
      </c>
      <c r="E19" s="996">
        <v>34665</v>
      </c>
      <c r="F19" s="997">
        <f t="shared" ref="F19:F28" si="2">+E19/D19*100</f>
        <v>100</v>
      </c>
    </row>
    <row r="20" spans="1:6" ht="30" customHeight="1" x14ac:dyDescent="0.3">
      <c r="A20" s="144"/>
      <c r="B20" s="326" t="s">
        <v>476</v>
      </c>
      <c r="C20" s="318">
        <v>50000</v>
      </c>
      <c r="D20" s="318">
        <v>50002</v>
      </c>
      <c r="E20" s="998">
        <v>37503</v>
      </c>
      <c r="F20" s="997">
        <f t="shared" si="2"/>
        <v>75.002999880004793</v>
      </c>
    </row>
    <row r="21" spans="1:6" ht="30" customHeight="1" x14ac:dyDescent="0.3">
      <c r="A21" s="143"/>
      <c r="B21" s="324" t="s">
        <v>266</v>
      </c>
      <c r="C21" s="325">
        <v>2500</v>
      </c>
      <c r="D21" s="325">
        <v>7519</v>
      </c>
      <c r="E21" s="999">
        <f>6315-1</f>
        <v>6314</v>
      </c>
      <c r="F21" s="1000">
        <f t="shared" si="2"/>
        <v>83.973932703816999</v>
      </c>
    </row>
    <row r="22" spans="1:6" ht="30" customHeight="1" x14ac:dyDescent="0.3">
      <c r="A22" s="144"/>
      <c r="B22" s="326" t="s">
        <v>11</v>
      </c>
      <c r="C22" s="318">
        <v>12000</v>
      </c>
      <c r="D22" s="318">
        <v>12000</v>
      </c>
      <c r="E22" s="998">
        <v>10768</v>
      </c>
      <c r="F22" s="997">
        <f t="shared" si="2"/>
        <v>89.733333333333334</v>
      </c>
    </row>
    <row r="23" spans="1:6" ht="30" customHeight="1" x14ac:dyDescent="0.3">
      <c r="A23" s="143"/>
      <c r="B23" s="331" t="s">
        <v>140</v>
      </c>
      <c r="C23" s="325">
        <v>4000</v>
      </c>
      <c r="D23" s="325">
        <v>4210</v>
      </c>
      <c r="E23" s="999">
        <v>2515</v>
      </c>
      <c r="F23" s="1001">
        <f t="shared" si="2"/>
        <v>59.73871733966746</v>
      </c>
    </row>
    <row r="24" spans="1:6" s="10" customFormat="1" ht="30" customHeight="1" x14ac:dyDescent="0.3">
      <c r="A24" s="143"/>
      <c r="B24" s="331" t="s">
        <v>102</v>
      </c>
      <c r="C24" s="325">
        <v>1000</v>
      </c>
      <c r="D24" s="325">
        <v>1000</v>
      </c>
      <c r="E24" s="999">
        <v>961</v>
      </c>
      <c r="F24" s="1001">
        <f t="shared" si="2"/>
        <v>96.1</v>
      </c>
    </row>
    <row r="25" spans="1:6" ht="30" customHeight="1" x14ac:dyDescent="0.3">
      <c r="A25" s="144"/>
      <c r="B25" s="333" t="s">
        <v>256</v>
      </c>
      <c r="C25" s="317">
        <v>13040</v>
      </c>
      <c r="D25" s="317">
        <v>13040</v>
      </c>
      <c r="E25" s="1002">
        <v>13040</v>
      </c>
      <c r="F25" s="997">
        <f t="shared" si="2"/>
        <v>100</v>
      </c>
    </row>
    <row r="26" spans="1:6" s="10" customFormat="1" ht="30" customHeight="1" x14ac:dyDescent="0.3">
      <c r="A26" s="143"/>
      <c r="B26" s="334" t="s">
        <v>549</v>
      </c>
      <c r="C26" s="335"/>
      <c r="D26" s="335">
        <v>500</v>
      </c>
      <c r="E26" s="1003">
        <v>500</v>
      </c>
      <c r="F26" s="1001">
        <f t="shared" si="2"/>
        <v>100</v>
      </c>
    </row>
    <row r="27" spans="1:6" ht="30" customHeight="1" x14ac:dyDescent="0.3">
      <c r="A27" s="144"/>
      <c r="B27" s="337" t="s">
        <v>222</v>
      </c>
      <c r="C27" s="335"/>
      <c r="D27" s="335">
        <v>3454</v>
      </c>
      <c r="E27" s="1003">
        <v>2729</v>
      </c>
      <c r="F27" s="1004">
        <f t="shared" si="2"/>
        <v>79.009843659525188</v>
      </c>
    </row>
    <row r="28" spans="1:6" ht="30" customHeight="1" x14ac:dyDescent="0.3">
      <c r="A28" s="143"/>
      <c r="B28" s="331" t="s">
        <v>221</v>
      </c>
      <c r="C28" s="325">
        <v>3400</v>
      </c>
      <c r="D28" s="325">
        <v>3446</v>
      </c>
      <c r="E28" s="999">
        <v>3446</v>
      </c>
      <c r="F28" s="1004">
        <f t="shared" si="2"/>
        <v>100</v>
      </c>
    </row>
    <row r="29" spans="1:6" s="10" customFormat="1" ht="30" customHeight="1" x14ac:dyDescent="0.3">
      <c r="A29" s="144"/>
      <c r="B29" s="331" t="s">
        <v>218</v>
      </c>
      <c r="C29" s="325">
        <v>10000</v>
      </c>
      <c r="D29" s="325">
        <v>13679</v>
      </c>
      <c r="E29" s="999">
        <v>7690</v>
      </c>
      <c r="F29" s="1004">
        <f>+E29/D29*100</f>
        <v>56.217559763140578</v>
      </c>
    </row>
    <row r="30" spans="1:6" s="10" customFormat="1" ht="30" customHeight="1" x14ac:dyDescent="0.3">
      <c r="A30" s="144"/>
      <c r="B30" s="331" t="s">
        <v>657</v>
      </c>
      <c r="C30" s="325"/>
      <c r="D30" s="325">
        <v>1822</v>
      </c>
      <c r="E30" s="999">
        <v>1822</v>
      </c>
      <c r="F30" s="1004">
        <f>+E30/D30*100</f>
        <v>100</v>
      </c>
    </row>
    <row r="31" spans="1:6" s="10" customFormat="1" ht="52.5" customHeight="1" x14ac:dyDescent="0.3">
      <c r="A31" s="143"/>
      <c r="B31" s="336" t="s">
        <v>607</v>
      </c>
      <c r="C31" s="305"/>
      <c r="D31" s="305">
        <v>1212</v>
      </c>
      <c r="E31" s="971">
        <v>1212</v>
      </c>
      <c r="F31" s="1004">
        <f t="shared" ref="F31:F32" si="3">+E31/D31*100</f>
        <v>100</v>
      </c>
    </row>
    <row r="32" spans="1:6" s="10" customFormat="1" ht="30" customHeight="1" x14ac:dyDescent="0.3">
      <c r="A32" s="144"/>
      <c r="B32" s="336" t="s">
        <v>635</v>
      </c>
      <c r="C32" s="305"/>
      <c r="D32" s="305">
        <v>176566</v>
      </c>
      <c r="E32" s="971">
        <v>176566</v>
      </c>
      <c r="F32" s="1001">
        <f t="shared" si="3"/>
        <v>100</v>
      </c>
    </row>
    <row r="33" spans="1:6" s="10" customFormat="1" ht="57" customHeight="1" x14ac:dyDescent="0.3">
      <c r="A33" s="145"/>
      <c r="B33" s="336" t="s">
        <v>415</v>
      </c>
      <c r="C33" s="325">
        <v>208926</v>
      </c>
      <c r="D33" s="325">
        <v>210074</v>
      </c>
      <c r="E33" s="968">
        <f>16673+44933+104274+40218</f>
        <v>206098</v>
      </c>
      <c r="F33" s="1005">
        <f>+E33/D33*100</f>
        <v>98.107333606253036</v>
      </c>
    </row>
    <row r="34" spans="1:6" s="10" customFormat="1" ht="30" customHeight="1" x14ac:dyDescent="0.3">
      <c r="A34" s="144"/>
      <c r="B34" s="331" t="s">
        <v>324</v>
      </c>
      <c r="C34" s="325">
        <v>2697264</v>
      </c>
      <c r="D34" s="325">
        <v>2697264</v>
      </c>
      <c r="E34" s="999">
        <v>2697264</v>
      </c>
      <c r="F34" s="1004">
        <f>+E34/D34*100</f>
        <v>100</v>
      </c>
    </row>
    <row r="35" spans="1:6" s="10" customFormat="1" ht="30" customHeight="1" x14ac:dyDescent="0.3">
      <c r="A35" s="144"/>
      <c r="B35" s="1051" t="s">
        <v>546</v>
      </c>
      <c r="C35" s="339"/>
      <c r="D35" s="339"/>
      <c r="E35" s="968"/>
      <c r="F35" s="1004"/>
    </row>
    <row r="36" spans="1:6" s="10" customFormat="1" ht="30" customHeight="1" x14ac:dyDescent="0.3">
      <c r="A36" s="144"/>
      <c r="B36" s="331" t="s">
        <v>596</v>
      </c>
      <c r="C36" s="325"/>
      <c r="D36" s="325">
        <v>25800</v>
      </c>
      <c r="E36" s="999">
        <v>25745</v>
      </c>
      <c r="F36" s="1004">
        <f t="shared" ref="F36" si="4">+E36/D36*100</f>
        <v>99.786821705426348</v>
      </c>
    </row>
    <row r="37" spans="1:6" s="10" customFormat="1" ht="30" customHeight="1" x14ac:dyDescent="0.3">
      <c r="A37" s="144"/>
      <c r="B37" s="1051" t="s">
        <v>478</v>
      </c>
      <c r="C37" s="339"/>
      <c r="D37" s="339"/>
      <c r="E37" s="968"/>
      <c r="F37" s="1004"/>
    </row>
    <row r="38" spans="1:6" s="10" customFormat="1" ht="30" customHeight="1" x14ac:dyDescent="0.3">
      <c r="A38" s="144"/>
      <c r="B38" s="331" t="s">
        <v>208</v>
      </c>
      <c r="C38" s="325"/>
      <c r="D38" s="325">
        <v>6000</v>
      </c>
      <c r="E38" s="999">
        <v>6000</v>
      </c>
      <c r="F38" s="1004">
        <f>+E38/D38*100</f>
        <v>100</v>
      </c>
    </row>
    <row r="39" spans="1:6" s="10" customFormat="1" ht="30" customHeight="1" x14ac:dyDescent="0.3">
      <c r="A39" s="143"/>
      <c r="B39" s="336" t="s">
        <v>257</v>
      </c>
      <c r="C39" s="305">
        <v>1000</v>
      </c>
      <c r="D39" s="305">
        <v>2000</v>
      </c>
      <c r="E39" s="999">
        <v>2000</v>
      </c>
      <c r="F39" s="1004">
        <f>+E39/D39*100</f>
        <v>100</v>
      </c>
    </row>
    <row r="40" spans="1:6" s="10" customFormat="1" ht="30" customHeight="1" x14ac:dyDescent="0.3">
      <c r="A40" s="144"/>
      <c r="B40" s="340" t="s">
        <v>479</v>
      </c>
      <c r="C40" s="339"/>
      <c r="D40" s="339">
        <v>1725</v>
      </c>
      <c r="E40" s="968">
        <v>1700</v>
      </c>
      <c r="F40" s="1004">
        <f>+E40/D40*100</f>
        <v>98.550724637681171</v>
      </c>
    </row>
    <row r="41" spans="1:6" s="10" customFormat="1" ht="30" customHeight="1" x14ac:dyDescent="0.3">
      <c r="A41" s="143"/>
      <c r="B41" s="1051" t="s">
        <v>550</v>
      </c>
      <c r="C41" s="339"/>
      <c r="D41" s="339"/>
      <c r="E41" s="968"/>
      <c r="F41" s="1079"/>
    </row>
    <row r="42" spans="1:6" s="10" customFormat="1" ht="30" customHeight="1" x14ac:dyDescent="0.3">
      <c r="A42" s="143"/>
      <c r="B42" s="1026" t="s">
        <v>480</v>
      </c>
      <c r="C42" s="339"/>
      <c r="D42" s="339">
        <v>130000</v>
      </c>
      <c r="E42" s="971">
        <v>130000</v>
      </c>
      <c r="F42" s="1004">
        <f t="shared" ref="F42" si="5">+E42/D42*100</f>
        <v>100</v>
      </c>
    </row>
    <row r="43" spans="1:6" s="10" customFormat="1" ht="57" customHeight="1" x14ac:dyDescent="0.3">
      <c r="A43" s="145"/>
      <c r="B43" s="1053" t="s">
        <v>551</v>
      </c>
      <c r="C43" s="325"/>
      <c r="D43" s="325"/>
      <c r="E43" s="1006"/>
      <c r="F43" s="1001"/>
    </row>
    <row r="44" spans="1:6" ht="30" customHeight="1" x14ac:dyDescent="0.3">
      <c r="A44" s="143"/>
      <c r="B44" s="320" t="s">
        <v>101</v>
      </c>
      <c r="C44" s="321">
        <v>1905</v>
      </c>
      <c r="D44" s="321">
        <v>3808</v>
      </c>
      <c r="E44" s="996">
        <v>1903</v>
      </c>
      <c r="F44" s="1007">
        <f t="shared" ref="F44:F56" si="6">+E44/D44*100</f>
        <v>49.97373949579832</v>
      </c>
    </row>
    <row r="45" spans="1:6" ht="30" customHeight="1" x14ac:dyDescent="0.3">
      <c r="A45" s="143"/>
      <c r="B45" s="320" t="s">
        <v>186</v>
      </c>
      <c r="C45" s="321">
        <v>25884</v>
      </c>
      <c r="D45" s="321">
        <v>27853</v>
      </c>
      <c r="E45" s="996">
        <v>24304</v>
      </c>
      <c r="F45" s="1007">
        <f t="shared" si="6"/>
        <v>87.258105051520488</v>
      </c>
    </row>
    <row r="46" spans="1:6" ht="30" customHeight="1" x14ac:dyDescent="0.3">
      <c r="A46" s="143"/>
      <c r="B46" s="331" t="s">
        <v>527</v>
      </c>
      <c r="C46" s="325">
        <v>4482</v>
      </c>
      <c r="D46" s="325">
        <v>4482</v>
      </c>
      <c r="E46" s="971">
        <v>4482</v>
      </c>
      <c r="F46" s="1001">
        <f t="shared" si="6"/>
        <v>100</v>
      </c>
    </row>
    <row r="47" spans="1:6" s="10" customFormat="1" ht="60" customHeight="1" x14ac:dyDescent="0.3">
      <c r="A47" s="143"/>
      <c r="B47" s="336" t="s">
        <v>267</v>
      </c>
      <c r="C47" s="305">
        <v>10000</v>
      </c>
      <c r="D47" s="305">
        <v>20589</v>
      </c>
      <c r="E47" s="971">
        <v>14250</v>
      </c>
      <c r="F47" s="1001">
        <f t="shared" si="6"/>
        <v>69.211714993443096</v>
      </c>
    </row>
    <row r="48" spans="1:6" s="10" customFormat="1" ht="30" customHeight="1" x14ac:dyDescent="0.3">
      <c r="A48" s="143"/>
      <c r="B48" s="331" t="s">
        <v>90</v>
      </c>
      <c r="C48" s="325">
        <v>78100</v>
      </c>
      <c r="D48" s="325">
        <v>78100</v>
      </c>
      <c r="E48" s="971">
        <v>78025</v>
      </c>
      <c r="F48" s="1001">
        <f t="shared" si="6"/>
        <v>99.903969270166442</v>
      </c>
    </row>
    <row r="49" spans="1:6" s="10" customFormat="1" ht="30" customHeight="1" x14ac:dyDescent="0.3">
      <c r="A49" s="143"/>
      <c r="B49" s="331" t="s">
        <v>481</v>
      </c>
      <c r="C49" s="325">
        <v>44301</v>
      </c>
      <c r="D49" s="325">
        <v>44301</v>
      </c>
      <c r="E49" s="971">
        <v>44301</v>
      </c>
      <c r="F49" s="1001">
        <f t="shared" si="6"/>
        <v>100</v>
      </c>
    </row>
    <row r="50" spans="1:6" s="10" customFormat="1" ht="30" customHeight="1" x14ac:dyDescent="0.3">
      <c r="A50" s="143"/>
      <c r="B50" s="338" t="s">
        <v>528</v>
      </c>
      <c r="C50" s="339">
        <v>3000</v>
      </c>
      <c r="D50" s="339">
        <v>12833</v>
      </c>
      <c r="E50" s="968">
        <f>6080-1</f>
        <v>6079</v>
      </c>
      <c r="F50" s="1001">
        <f t="shared" si="6"/>
        <v>47.370061560040519</v>
      </c>
    </row>
    <row r="51" spans="1:6" s="10" customFormat="1" ht="60" customHeight="1" x14ac:dyDescent="0.3">
      <c r="A51" s="143"/>
      <c r="B51" s="336" t="s">
        <v>373</v>
      </c>
      <c r="C51" s="305"/>
      <c r="D51" s="305">
        <v>2616</v>
      </c>
      <c r="E51" s="971"/>
      <c r="F51" s="1001">
        <f t="shared" si="6"/>
        <v>0</v>
      </c>
    </row>
    <row r="52" spans="1:6" s="10" customFormat="1" ht="30" customHeight="1" x14ac:dyDescent="0.3">
      <c r="A52" s="143"/>
      <c r="B52" s="331" t="s">
        <v>372</v>
      </c>
      <c r="C52" s="325">
        <v>15000</v>
      </c>
      <c r="D52" s="325">
        <v>15000</v>
      </c>
      <c r="E52" s="971">
        <v>15000</v>
      </c>
      <c r="F52" s="1001">
        <f t="shared" si="6"/>
        <v>100</v>
      </c>
    </row>
    <row r="53" spans="1:6" s="10" customFormat="1" ht="30" customHeight="1" x14ac:dyDescent="0.3">
      <c r="A53" s="143"/>
      <c r="B53" s="331" t="s">
        <v>656</v>
      </c>
      <c r="C53" s="325"/>
      <c r="D53" s="325">
        <v>20000</v>
      </c>
      <c r="E53" s="971">
        <v>20000</v>
      </c>
      <c r="F53" s="1001">
        <f t="shared" si="6"/>
        <v>100</v>
      </c>
    </row>
    <row r="54" spans="1:6" s="10" customFormat="1" ht="30" customHeight="1" x14ac:dyDescent="0.3">
      <c r="A54" s="143"/>
      <c r="B54" s="2327" t="s">
        <v>482</v>
      </c>
      <c r="C54" s="2328">
        <v>1753</v>
      </c>
      <c r="D54" s="2328">
        <v>3506</v>
      </c>
      <c r="E54" s="1083">
        <v>2760</v>
      </c>
      <c r="F54" s="2329">
        <f t="shared" si="6"/>
        <v>78.722190530519114</v>
      </c>
    </row>
    <row r="55" spans="1:6" s="10" customFormat="1" ht="30" customHeight="1" x14ac:dyDescent="0.3">
      <c r="A55" s="144"/>
      <c r="B55" s="1054" t="s">
        <v>21</v>
      </c>
      <c r="C55" s="335"/>
      <c r="D55" s="335"/>
      <c r="E55" s="1006"/>
      <c r="F55" s="1001"/>
    </row>
    <row r="56" spans="1:6" ht="45.75" customHeight="1" x14ac:dyDescent="0.3">
      <c r="A56" s="143"/>
      <c r="B56" s="336" t="s">
        <v>141</v>
      </c>
      <c r="C56" s="305">
        <v>4500</v>
      </c>
      <c r="D56" s="305">
        <v>4969</v>
      </c>
      <c r="E56" s="1008">
        <v>3971</v>
      </c>
      <c r="F56" s="1005">
        <f t="shared" si="6"/>
        <v>79.915475950895555</v>
      </c>
    </row>
    <row r="57" spans="1:6" s="10" customFormat="1" ht="30" customHeight="1" x14ac:dyDescent="0.3">
      <c r="A57" s="143"/>
      <c r="B57" s="331" t="s">
        <v>258</v>
      </c>
      <c r="C57" s="325">
        <v>25000</v>
      </c>
      <c r="D57" s="325">
        <v>27014</v>
      </c>
      <c r="E57" s="971">
        <v>24897</v>
      </c>
      <c r="F57" s="1001">
        <f t="shared" ref="F57:F60" si="7">+E57/D57*100</f>
        <v>92.163322721551793</v>
      </c>
    </row>
    <row r="58" spans="1:6" s="10" customFormat="1" ht="30" customHeight="1" x14ac:dyDescent="0.3">
      <c r="A58" s="143"/>
      <c r="B58" s="331" t="s">
        <v>150</v>
      </c>
      <c r="C58" s="325">
        <v>5000</v>
      </c>
      <c r="D58" s="325">
        <v>5130</v>
      </c>
      <c r="E58" s="971">
        <v>4754</v>
      </c>
      <c r="F58" s="1001">
        <f t="shared" si="7"/>
        <v>92.670565302144254</v>
      </c>
    </row>
    <row r="59" spans="1:6" s="10" customFormat="1" ht="30" customHeight="1" x14ac:dyDescent="0.3">
      <c r="A59" s="527"/>
      <c r="B59" s="341" t="s">
        <v>353</v>
      </c>
      <c r="C59" s="305">
        <v>20000</v>
      </c>
      <c r="D59" s="305">
        <v>27354</v>
      </c>
      <c r="E59" s="971">
        <v>22087</v>
      </c>
      <c r="F59" s="1001">
        <f t="shared" si="7"/>
        <v>80.745046428310303</v>
      </c>
    </row>
    <row r="60" spans="1:6" s="10" customFormat="1" ht="30" customHeight="1" x14ac:dyDescent="0.3">
      <c r="A60" s="145"/>
      <c r="B60" s="341" t="s">
        <v>99</v>
      </c>
      <c r="C60" s="305">
        <v>600</v>
      </c>
      <c r="D60" s="305">
        <v>600</v>
      </c>
      <c r="E60" s="968">
        <v>600</v>
      </c>
      <c r="F60" s="1001">
        <f t="shared" si="7"/>
        <v>100</v>
      </c>
    </row>
    <row r="61" spans="1:6" s="10" customFormat="1" ht="30" customHeight="1" x14ac:dyDescent="0.3">
      <c r="A61" s="143"/>
      <c r="B61" s="331" t="s">
        <v>151</v>
      </c>
      <c r="C61" s="325">
        <v>9000</v>
      </c>
      <c r="D61" s="325">
        <v>10715</v>
      </c>
      <c r="E61" s="971">
        <v>6858</v>
      </c>
      <c r="F61" s="1005">
        <f t="shared" ref="F61:F68" si="8">+E61/D61*100</f>
        <v>64.003733084461032</v>
      </c>
    </row>
    <row r="62" spans="1:6" s="10" customFormat="1" ht="60" customHeight="1" x14ac:dyDescent="0.3">
      <c r="A62" s="143"/>
      <c r="B62" s="336" t="s">
        <v>368</v>
      </c>
      <c r="C62" s="305">
        <v>2950</v>
      </c>
      <c r="D62" s="305">
        <v>2950</v>
      </c>
      <c r="E62" s="971">
        <v>2823</v>
      </c>
      <c r="F62" s="1001">
        <f t="shared" si="8"/>
        <v>95.694915254237287</v>
      </c>
    </row>
    <row r="63" spans="1:6" s="10" customFormat="1" ht="30" customHeight="1" x14ac:dyDescent="0.3">
      <c r="A63" s="143"/>
      <c r="B63" s="331" t="s">
        <v>636</v>
      </c>
      <c r="C63" s="325">
        <v>3810</v>
      </c>
      <c r="D63" s="325">
        <v>4128</v>
      </c>
      <c r="E63" s="968">
        <v>3810</v>
      </c>
      <c r="F63" s="1005">
        <f t="shared" si="8"/>
        <v>92.29651162790698</v>
      </c>
    </row>
    <row r="64" spans="1:6" s="10" customFormat="1" ht="30" customHeight="1" x14ac:dyDescent="0.3">
      <c r="A64" s="143"/>
      <c r="B64" s="331" t="s">
        <v>483</v>
      </c>
      <c r="C64" s="325">
        <v>500</v>
      </c>
      <c r="D64" s="325">
        <v>500</v>
      </c>
      <c r="E64" s="971">
        <v>146</v>
      </c>
      <c r="F64" s="1005">
        <f t="shared" si="8"/>
        <v>29.2</v>
      </c>
    </row>
    <row r="65" spans="1:6" s="10" customFormat="1" ht="30" customHeight="1" x14ac:dyDescent="0.3">
      <c r="A65" s="144"/>
      <c r="B65" s="1054" t="s">
        <v>31</v>
      </c>
      <c r="C65" s="325"/>
      <c r="D65" s="325"/>
      <c r="E65" s="971"/>
      <c r="F65" s="1005"/>
    </row>
    <row r="66" spans="1:6" s="10" customFormat="1" ht="30" customHeight="1" x14ac:dyDescent="0.3">
      <c r="A66" s="143"/>
      <c r="B66" s="331" t="s">
        <v>612</v>
      </c>
      <c r="C66" s="325"/>
      <c r="D66" s="325">
        <v>33284</v>
      </c>
      <c r="E66" s="971">
        <v>18737</v>
      </c>
      <c r="F66" s="1005">
        <f t="shared" si="8"/>
        <v>56.294315587068866</v>
      </c>
    </row>
    <row r="67" spans="1:6" s="10" customFormat="1" ht="30" customHeight="1" x14ac:dyDescent="0.3">
      <c r="A67" s="143"/>
      <c r="B67" s="331" t="s">
        <v>361</v>
      </c>
      <c r="C67" s="325">
        <v>1500</v>
      </c>
      <c r="D67" s="325">
        <v>1500</v>
      </c>
      <c r="E67" s="971">
        <v>930</v>
      </c>
      <c r="F67" s="1005">
        <f t="shared" si="8"/>
        <v>62</v>
      </c>
    </row>
    <row r="68" spans="1:6" s="10" customFormat="1" ht="72" customHeight="1" x14ac:dyDescent="0.3">
      <c r="A68" s="143"/>
      <c r="B68" s="336" t="s">
        <v>484</v>
      </c>
      <c r="C68" s="305">
        <v>2969</v>
      </c>
      <c r="D68" s="305">
        <v>2969</v>
      </c>
      <c r="E68" s="971">
        <v>2188</v>
      </c>
      <c r="F68" s="1005">
        <f t="shared" si="8"/>
        <v>73.694846749747384</v>
      </c>
    </row>
    <row r="69" spans="1:6" s="10" customFormat="1" ht="30" customHeight="1" x14ac:dyDescent="0.3">
      <c r="A69" s="143"/>
      <c r="B69" s="1054" t="s">
        <v>32</v>
      </c>
      <c r="C69" s="343"/>
      <c r="D69" s="343"/>
      <c r="E69" s="1009"/>
      <c r="F69" s="1005"/>
    </row>
    <row r="70" spans="1:6" s="10" customFormat="1" ht="30" customHeight="1" x14ac:dyDescent="0.3">
      <c r="A70" s="143"/>
      <c r="B70" s="331" t="s">
        <v>597</v>
      </c>
      <c r="C70" s="325"/>
      <c r="D70" s="325">
        <v>54377</v>
      </c>
      <c r="E70" s="971">
        <v>6553</v>
      </c>
      <c r="F70" s="1005">
        <f>+E70/D70*100</f>
        <v>12.051050995825442</v>
      </c>
    </row>
    <row r="71" spans="1:6" s="10" customFormat="1" ht="30" customHeight="1" x14ac:dyDescent="0.3">
      <c r="A71" s="144"/>
      <c r="B71" s="529" t="s">
        <v>357</v>
      </c>
      <c r="C71" s="344"/>
      <c r="D71" s="344">
        <v>1853</v>
      </c>
      <c r="E71" s="1009"/>
      <c r="F71" s="1000">
        <f>+E71/D71*100</f>
        <v>0</v>
      </c>
    </row>
    <row r="72" spans="1:6" ht="30" customHeight="1" thickBot="1" x14ac:dyDescent="0.35">
      <c r="A72" s="143"/>
      <c r="B72" s="1120" t="s">
        <v>223</v>
      </c>
      <c r="C72" s="345">
        <f>SUM(C19:C71)</f>
        <v>3296384</v>
      </c>
      <c r="D72" s="345">
        <f>SUM(D19:D71)</f>
        <v>3806409</v>
      </c>
      <c r="E72" s="1010">
        <f>SUM(E19:E71)</f>
        <v>3677996</v>
      </c>
      <c r="F72" s="1011">
        <f>+E72/D72*100</f>
        <v>96.626400368431248</v>
      </c>
    </row>
    <row r="73" spans="1:6" ht="30" customHeight="1" x14ac:dyDescent="0.3">
      <c r="A73" s="143"/>
      <c r="B73" s="1121" t="s">
        <v>111</v>
      </c>
      <c r="C73" s="315"/>
      <c r="D73" s="346"/>
      <c r="E73" s="1012"/>
      <c r="F73" s="1013"/>
    </row>
    <row r="74" spans="1:6" s="10" customFormat="1" ht="30" customHeight="1" x14ac:dyDescent="0.3">
      <c r="A74" s="143"/>
      <c r="B74" s="331" t="s">
        <v>529</v>
      </c>
      <c r="C74" s="325">
        <v>105275</v>
      </c>
      <c r="D74" s="325">
        <v>0</v>
      </c>
      <c r="E74" s="971"/>
      <c r="F74" s="1005"/>
    </row>
    <row r="75" spans="1:6" s="10" customFormat="1" ht="30" customHeight="1" x14ac:dyDescent="0.3">
      <c r="A75" s="143"/>
      <c r="B75" s="331" t="s">
        <v>287</v>
      </c>
      <c r="C75" s="325"/>
      <c r="D75" s="325">
        <v>17139</v>
      </c>
      <c r="E75" s="971">
        <v>10871</v>
      </c>
      <c r="F75" s="1005">
        <f t="shared" ref="F75:F86" si="9">+E75/D75*100</f>
        <v>63.42843806523134</v>
      </c>
    </row>
    <row r="76" spans="1:6" s="10" customFormat="1" ht="30" customHeight="1" x14ac:dyDescent="0.3">
      <c r="A76" s="143"/>
      <c r="B76" s="331" t="s">
        <v>298</v>
      </c>
      <c r="C76" s="325"/>
      <c r="D76" s="325">
        <v>4400</v>
      </c>
      <c r="E76" s="971"/>
      <c r="F76" s="1005">
        <f>+E76/D76*100</f>
        <v>0</v>
      </c>
    </row>
    <row r="77" spans="1:6" s="10" customFormat="1" ht="60" customHeight="1" x14ac:dyDescent="0.3">
      <c r="A77" s="143"/>
      <c r="B77" s="336" t="s">
        <v>286</v>
      </c>
      <c r="C77" s="305"/>
      <c r="D77" s="305">
        <v>394</v>
      </c>
      <c r="E77" s="971">
        <v>385</v>
      </c>
      <c r="F77" s="1004">
        <f>+E77/D77*100</f>
        <v>97.71573604060913</v>
      </c>
    </row>
    <row r="78" spans="1:6" ht="51.95" customHeight="1" x14ac:dyDescent="0.3">
      <c r="A78" s="143"/>
      <c r="B78" s="338" t="s">
        <v>290</v>
      </c>
      <c r="C78" s="305"/>
      <c r="D78" s="305">
        <v>150</v>
      </c>
      <c r="E78" s="971">
        <v>150</v>
      </c>
      <c r="F78" s="1079">
        <f t="shared" si="9"/>
        <v>100</v>
      </c>
    </row>
    <row r="79" spans="1:6" s="10" customFormat="1" ht="60" customHeight="1" x14ac:dyDescent="0.3">
      <c r="A79" s="143"/>
      <c r="B79" s="341" t="s">
        <v>683</v>
      </c>
      <c r="C79" s="342"/>
      <c r="D79" s="342">
        <v>69290</v>
      </c>
      <c r="E79" s="1146">
        <v>8906</v>
      </c>
      <c r="F79" s="1147">
        <f t="shared" si="9"/>
        <v>12.853225573675855</v>
      </c>
    </row>
    <row r="80" spans="1:6" s="10" customFormat="1" ht="60" customHeight="1" x14ac:dyDescent="0.3">
      <c r="A80" s="143"/>
      <c r="B80" s="341" t="s">
        <v>684</v>
      </c>
      <c r="C80" s="342"/>
      <c r="D80" s="342">
        <v>1089</v>
      </c>
      <c r="E80" s="1146"/>
      <c r="F80" s="1147">
        <f t="shared" si="9"/>
        <v>0</v>
      </c>
    </row>
    <row r="81" spans="1:6" s="10" customFormat="1" ht="30" customHeight="1" x14ac:dyDescent="0.3">
      <c r="A81" s="143"/>
      <c r="B81" s="331" t="s">
        <v>512</v>
      </c>
      <c r="C81" s="325"/>
      <c r="D81" s="325">
        <v>127</v>
      </c>
      <c r="E81" s="971"/>
      <c r="F81" s="1005">
        <f t="shared" si="9"/>
        <v>0</v>
      </c>
    </row>
    <row r="82" spans="1:6" s="10" customFormat="1" ht="30" customHeight="1" x14ac:dyDescent="0.3">
      <c r="A82" s="143"/>
      <c r="B82" s="331" t="s">
        <v>685</v>
      </c>
      <c r="C82" s="325"/>
      <c r="D82" s="325">
        <v>1890</v>
      </c>
      <c r="E82" s="971">
        <v>1697</v>
      </c>
      <c r="F82" s="1005">
        <f t="shared" si="9"/>
        <v>89.788359788359784</v>
      </c>
    </row>
    <row r="83" spans="1:6" ht="51.95" customHeight="1" x14ac:dyDescent="0.3">
      <c r="A83" s="143"/>
      <c r="B83" s="347" t="s">
        <v>637</v>
      </c>
      <c r="C83" s="348"/>
      <c r="D83" s="348">
        <v>1329</v>
      </c>
      <c r="E83" s="1083">
        <v>1329</v>
      </c>
      <c r="F83" s="1084">
        <f t="shared" si="9"/>
        <v>100</v>
      </c>
    </row>
    <row r="84" spans="1:6" ht="34.5" customHeight="1" thickBot="1" x14ac:dyDescent="0.35">
      <c r="A84" s="143"/>
      <c r="B84" s="1122" t="s">
        <v>701</v>
      </c>
      <c r="C84" s="350">
        <f>SUM(C74:C83)</f>
        <v>105275</v>
      </c>
      <c r="D84" s="350">
        <f>SUM(D74:D83)</f>
        <v>95808</v>
      </c>
      <c r="E84" s="350">
        <f>SUM(E74:E83)</f>
        <v>23338</v>
      </c>
      <c r="F84" s="1014">
        <f t="shared" si="9"/>
        <v>24.359134936539746</v>
      </c>
    </row>
    <row r="85" spans="1:6" ht="34.5" customHeight="1" thickBot="1" x14ac:dyDescent="0.35">
      <c r="A85" s="143"/>
      <c r="B85" s="351" t="s">
        <v>371</v>
      </c>
      <c r="C85" s="352">
        <f>+C17+C72+C84</f>
        <v>4818593</v>
      </c>
      <c r="D85" s="353">
        <f>+D17+D72+D84</f>
        <v>5474625</v>
      </c>
      <c r="E85" s="1015">
        <f>+E17+E72+E84</f>
        <v>6009843</v>
      </c>
      <c r="F85" s="1016">
        <f t="shared" si="9"/>
        <v>109.77634084526338</v>
      </c>
    </row>
    <row r="86" spans="1:6" s="1164" customFormat="1" ht="53.25" customHeight="1" thickBot="1" x14ac:dyDescent="0.35">
      <c r="A86" s="1160"/>
      <c r="B86" s="1161" t="s">
        <v>437</v>
      </c>
      <c r="C86" s="1162">
        <f>+C9+C85</f>
        <v>6951460</v>
      </c>
      <c r="D86" s="1162">
        <f>+D9+D85</f>
        <v>7892485</v>
      </c>
      <c r="E86" s="1162">
        <f>+E9+E85</f>
        <v>8073087</v>
      </c>
      <c r="F86" s="1163">
        <f t="shared" si="9"/>
        <v>102.28827802650243</v>
      </c>
    </row>
    <row r="87" spans="1:6" ht="15" customHeight="1" x14ac:dyDescent="0.3">
      <c r="A87" s="143"/>
      <c r="B87" s="355"/>
      <c r="C87" s="355"/>
      <c r="D87" s="356"/>
      <c r="E87" s="356"/>
      <c r="F87" s="355"/>
    </row>
    <row r="88" spans="1:6" ht="36" customHeight="1" thickBot="1" x14ac:dyDescent="0.35">
      <c r="A88" s="143"/>
      <c r="B88" s="357" t="s">
        <v>20</v>
      </c>
      <c r="C88" s="358"/>
      <c r="D88" s="358"/>
      <c r="E88" s="358"/>
      <c r="F88" s="358"/>
    </row>
    <row r="89" spans="1:6" ht="35.1" customHeight="1" x14ac:dyDescent="0.3">
      <c r="A89" s="143"/>
      <c r="B89" s="359" t="s">
        <v>33</v>
      </c>
      <c r="C89" s="2450" t="s">
        <v>514</v>
      </c>
      <c r="D89" s="2451"/>
      <c r="E89" s="360" t="s">
        <v>410</v>
      </c>
      <c r="F89" s="361" t="s">
        <v>107</v>
      </c>
    </row>
    <row r="90" spans="1:6" ht="35.1" customHeight="1" thickBot="1" x14ac:dyDescent="0.35">
      <c r="A90" s="143"/>
      <c r="B90" s="349"/>
      <c r="C90" s="298" t="s">
        <v>213</v>
      </c>
      <c r="D90" s="299" t="s">
        <v>105</v>
      </c>
      <c r="E90" s="362" t="s">
        <v>106</v>
      </c>
      <c r="F90" s="363" t="s">
        <v>108</v>
      </c>
    </row>
    <row r="91" spans="1:6" ht="34.5" customHeight="1" x14ac:dyDescent="0.3">
      <c r="A91" s="143"/>
      <c r="B91" s="364" t="s">
        <v>69</v>
      </c>
      <c r="C91" s="365"/>
      <c r="D91" s="365">
        <v>45890</v>
      </c>
      <c r="E91" s="365">
        <v>14176</v>
      </c>
      <c r="F91" s="303">
        <f t="shared" ref="F91:F94" si="10">+E91/D91*100</f>
        <v>30.891261712791458</v>
      </c>
    </row>
    <row r="92" spans="1:6" ht="35.1" customHeight="1" x14ac:dyDescent="0.3">
      <c r="A92" s="143"/>
      <c r="B92" s="331" t="s">
        <v>47</v>
      </c>
      <c r="C92" s="332"/>
      <c r="D92" s="332">
        <v>38793</v>
      </c>
      <c r="E92" s="332">
        <v>24759</v>
      </c>
      <c r="F92" s="307">
        <f t="shared" si="10"/>
        <v>63.823370195653851</v>
      </c>
    </row>
    <row r="93" spans="1:6" ht="35.1" customHeight="1" thickBot="1" x14ac:dyDescent="0.35">
      <c r="A93" s="143"/>
      <c r="B93" s="366"/>
      <c r="C93" s="367"/>
      <c r="D93" s="367"/>
      <c r="E93" s="367"/>
      <c r="F93" s="368"/>
    </row>
    <row r="94" spans="1:6" ht="53.25" customHeight="1" thickBot="1" x14ac:dyDescent="0.35">
      <c r="A94" s="143"/>
      <c r="B94" s="374" t="s">
        <v>438</v>
      </c>
      <c r="C94" s="369">
        <f>SUM(C91:C93)</f>
        <v>0</v>
      </c>
      <c r="D94" s="369">
        <f>SUM(D91:D93)</f>
        <v>84683</v>
      </c>
      <c r="E94" s="369">
        <f>SUM(E91:E93)</f>
        <v>38935</v>
      </c>
      <c r="F94" s="354">
        <f t="shared" si="10"/>
        <v>45.977350826021748</v>
      </c>
    </row>
    <row r="95" spans="1:6" ht="15" customHeight="1" thickBot="1" x14ac:dyDescent="0.35">
      <c r="A95" s="143"/>
      <c r="B95" s="370"/>
      <c r="C95" s="371"/>
      <c r="D95" s="371"/>
      <c r="E95" s="372"/>
      <c r="F95" s="373"/>
    </row>
    <row r="96" spans="1:6" ht="50.25" customHeight="1" thickBot="1" x14ac:dyDescent="0.35">
      <c r="A96" s="143"/>
      <c r="B96" s="374" t="s">
        <v>439</v>
      </c>
      <c r="C96" s="375">
        <f>C86+C94</f>
        <v>6951460</v>
      </c>
      <c r="D96" s="375">
        <f>D86+D94</f>
        <v>7977168</v>
      </c>
      <c r="E96" s="369">
        <f>E86+E94</f>
        <v>8112022</v>
      </c>
      <c r="F96" s="354">
        <f>+E96/D96*100</f>
        <v>101.69049968610415</v>
      </c>
    </row>
    <row r="98" spans="6:6" ht="15" customHeight="1" x14ac:dyDescent="0.2">
      <c r="F98" s="4"/>
    </row>
    <row r="99" spans="6:6" ht="15" customHeight="1" x14ac:dyDescent="0.2">
      <c r="F99" s="4"/>
    </row>
  </sheetData>
  <mergeCells count="4">
    <mergeCell ref="B1:C1"/>
    <mergeCell ref="C4:D4"/>
    <mergeCell ref="C89:D89"/>
    <mergeCell ref="B2:F2"/>
  </mergeCells>
  <phoneticPr fontId="0" type="noConversion"/>
  <printOptions horizontalCentered="1" verticalCentered="1"/>
  <pageMargins left="0.39370078740157483" right="0.39370078740157483" top="0.39370078740157483" bottom="0.39370078740157483" header="0.11811023622047245" footer="0.11811023622047245"/>
  <pageSetup paperSize="9" scale="43" orientation="portrait" r:id="rId1"/>
  <headerFooter alignWithMargins="0">
    <oddHeader xml:space="preserve">&amp;R&amp;"Arial,Félkövér"&amp;16
&amp;18 13. melléklet a .../2022. (........) önkormányzati rendelethez
</oddHeader>
  </headerFooter>
  <rowBreaks count="1" manualBreakCount="1">
    <brk id="54" min="1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7"/>
  <dimension ref="B1:F26"/>
  <sheetViews>
    <sheetView zoomScale="75" zoomScaleNormal="75" zoomScaleSheetLayoutView="75" workbookViewId="0">
      <selection activeCell="R13" sqref="R13"/>
    </sheetView>
  </sheetViews>
  <sheetFormatPr defaultColWidth="9.33203125" defaultRowHeight="15" customHeight="1" x14ac:dyDescent="0.2"/>
  <cols>
    <col min="1" max="1" width="9.33203125" style="10"/>
    <col min="2" max="2" width="94" style="10" customWidth="1"/>
    <col min="3" max="3" width="21.83203125" style="10" customWidth="1"/>
    <col min="4" max="5" width="21.83203125" style="5" customWidth="1"/>
    <col min="6" max="6" width="21.83203125" style="10" customWidth="1"/>
    <col min="7" max="16384" width="9.33203125" style="10"/>
  </cols>
  <sheetData>
    <row r="1" spans="2:6" ht="15" customHeight="1" x14ac:dyDescent="0.25">
      <c r="B1" s="2436"/>
      <c r="C1" s="2436"/>
    </row>
    <row r="2" spans="2:6" ht="30" customHeight="1" x14ac:dyDescent="0.25">
      <c r="B2" s="2360" t="s">
        <v>26</v>
      </c>
      <c r="C2" s="2360"/>
      <c r="D2" s="2360"/>
      <c r="E2" s="2360"/>
      <c r="F2" s="2360"/>
    </row>
    <row r="3" spans="2:6" ht="14.25" customHeight="1" x14ac:dyDescent="0.25">
      <c r="B3" s="18" t="s">
        <v>59</v>
      </c>
    </row>
    <row r="4" spans="2:6" ht="18.75" customHeight="1" thickBot="1" x14ac:dyDescent="0.35">
      <c r="B4" s="768"/>
      <c r="C4" s="769"/>
      <c r="D4" s="770"/>
      <c r="E4" s="770"/>
      <c r="F4" s="958" t="s">
        <v>19</v>
      </c>
    </row>
    <row r="5" spans="2:6" ht="30" customHeight="1" x14ac:dyDescent="0.25">
      <c r="B5" s="748" t="s">
        <v>33</v>
      </c>
      <c r="C5" s="2445" t="s">
        <v>514</v>
      </c>
      <c r="D5" s="2441"/>
      <c r="E5" s="717" t="s">
        <v>410</v>
      </c>
      <c r="F5" s="718" t="s">
        <v>107</v>
      </c>
    </row>
    <row r="6" spans="2:6" ht="26.25" customHeight="1" thickBot="1" x14ac:dyDescent="0.3">
      <c r="B6" s="771"/>
      <c r="C6" s="720" t="s">
        <v>213</v>
      </c>
      <c r="D6" s="720" t="s">
        <v>105</v>
      </c>
      <c r="E6" s="653" t="s">
        <v>106</v>
      </c>
      <c r="F6" s="721" t="s">
        <v>108</v>
      </c>
    </row>
    <row r="7" spans="2:6" ht="30" customHeight="1" x14ac:dyDescent="0.25">
      <c r="B7" s="733" t="s">
        <v>112</v>
      </c>
      <c r="C7" s="772">
        <v>180000</v>
      </c>
      <c r="D7" s="772">
        <v>345658</v>
      </c>
      <c r="E7" s="969">
        <v>345658</v>
      </c>
      <c r="F7" s="974">
        <f t="shared" ref="F7:F23" si="0">+E7/D7*100</f>
        <v>100</v>
      </c>
    </row>
    <row r="8" spans="2:6" ht="30" customHeight="1" x14ac:dyDescent="0.25">
      <c r="B8" s="733" t="s">
        <v>686</v>
      </c>
      <c r="C8" s="734"/>
      <c r="D8" s="734">
        <v>39342</v>
      </c>
      <c r="E8" s="969">
        <v>39342</v>
      </c>
      <c r="F8" s="974">
        <f t="shared" si="0"/>
        <v>100</v>
      </c>
    </row>
    <row r="9" spans="2:6" ht="30" customHeight="1" x14ac:dyDescent="0.25">
      <c r="B9" s="773" t="s">
        <v>53</v>
      </c>
      <c r="C9" s="725">
        <v>15000</v>
      </c>
      <c r="D9" s="725">
        <v>30097</v>
      </c>
      <c r="E9" s="991">
        <v>15697</v>
      </c>
      <c r="F9" s="992">
        <f t="shared" si="0"/>
        <v>52.154699803967176</v>
      </c>
    </row>
    <row r="10" spans="2:6" ht="30" customHeight="1" x14ac:dyDescent="0.25">
      <c r="B10" s="733" t="s">
        <v>56</v>
      </c>
      <c r="C10" s="734"/>
      <c r="D10" s="734">
        <v>1204</v>
      </c>
      <c r="E10" s="969">
        <v>937</v>
      </c>
      <c r="F10" s="974">
        <f t="shared" si="0"/>
        <v>77.823920265780728</v>
      </c>
    </row>
    <row r="11" spans="2:6" ht="42.75" customHeight="1" x14ac:dyDescent="0.25">
      <c r="B11" s="738" t="s">
        <v>485</v>
      </c>
      <c r="C11" s="740"/>
      <c r="D11" s="740">
        <v>3425</v>
      </c>
      <c r="E11" s="969">
        <v>3425</v>
      </c>
      <c r="F11" s="993">
        <f t="shared" si="0"/>
        <v>100</v>
      </c>
    </row>
    <row r="12" spans="2:6" ht="30" customHeight="1" x14ac:dyDescent="0.25">
      <c r="B12" s="733" t="s">
        <v>547</v>
      </c>
      <c r="C12" s="734"/>
      <c r="D12" s="734">
        <v>60000</v>
      </c>
      <c r="E12" s="969">
        <v>60000</v>
      </c>
      <c r="F12" s="974">
        <f t="shared" si="0"/>
        <v>100</v>
      </c>
    </row>
    <row r="13" spans="2:6" ht="30" customHeight="1" x14ac:dyDescent="0.25">
      <c r="B13" s="733" t="s">
        <v>639</v>
      </c>
      <c r="C13" s="734"/>
      <c r="D13" s="734">
        <v>21575</v>
      </c>
      <c r="E13" s="969">
        <v>21575</v>
      </c>
      <c r="F13" s="974">
        <f t="shared" si="0"/>
        <v>100</v>
      </c>
    </row>
    <row r="14" spans="2:6" ht="42.75" customHeight="1" x14ac:dyDescent="0.25">
      <c r="B14" s="738" t="s">
        <v>486</v>
      </c>
      <c r="C14" s="740"/>
      <c r="D14" s="740">
        <v>4134</v>
      </c>
      <c r="E14" s="969">
        <v>4134</v>
      </c>
      <c r="F14" s="993">
        <f t="shared" si="0"/>
        <v>100</v>
      </c>
    </row>
    <row r="15" spans="2:6" ht="30" customHeight="1" x14ac:dyDescent="0.25">
      <c r="B15" s="733" t="s">
        <v>301</v>
      </c>
      <c r="C15" s="734"/>
      <c r="D15" s="734">
        <v>50000</v>
      </c>
      <c r="E15" s="969">
        <v>50000</v>
      </c>
      <c r="F15" s="974">
        <f t="shared" si="0"/>
        <v>100</v>
      </c>
    </row>
    <row r="16" spans="2:6" ht="30" customHeight="1" x14ac:dyDescent="0.25">
      <c r="B16" s="733" t="s">
        <v>526</v>
      </c>
      <c r="C16" s="734"/>
      <c r="D16" s="734">
        <v>43130</v>
      </c>
      <c r="E16" s="969">
        <v>40630</v>
      </c>
      <c r="F16" s="974">
        <f t="shared" si="0"/>
        <v>94.203570600510091</v>
      </c>
    </row>
    <row r="17" spans="2:6" ht="39.75" customHeight="1" x14ac:dyDescent="0.25">
      <c r="B17" s="738" t="s">
        <v>501</v>
      </c>
      <c r="C17" s="740">
        <v>12000</v>
      </c>
      <c r="D17" s="740">
        <v>12000</v>
      </c>
      <c r="E17" s="969">
        <v>12000</v>
      </c>
      <c r="F17" s="993">
        <f t="shared" si="0"/>
        <v>100</v>
      </c>
    </row>
    <row r="18" spans="2:6" ht="45" customHeight="1" x14ac:dyDescent="0.25">
      <c r="B18" s="738" t="s">
        <v>687</v>
      </c>
      <c r="C18" s="740">
        <v>125000</v>
      </c>
      <c r="D18" s="740">
        <v>250000</v>
      </c>
      <c r="E18" s="1148">
        <v>250000</v>
      </c>
      <c r="F18" s="759">
        <f t="shared" si="0"/>
        <v>100</v>
      </c>
    </row>
    <row r="19" spans="2:6" ht="30" customHeight="1" x14ac:dyDescent="0.25">
      <c r="B19" s="733" t="s">
        <v>363</v>
      </c>
      <c r="C19" s="734"/>
      <c r="D19" s="734">
        <v>254</v>
      </c>
      <c r="E19" s="969">
        <v>254</v>
      </c>
      <c r="F19" s="974">
        <f t="shared" si="0"/>
        <v>100</v>
      </c>
    </row>
    <row r="20" spans="2:6" ht="30" customHeight="1" x14ac:dyDescent="0.25">
      <c r="B20" s="733" t="s">
        <v>638</v>
      </c>
      <c r="C20" s="734"/>
      <c r="D20" s="734">
        <v>6056</v>
      </c>
      <c r="E20" s="969">
        <v>6056</v>
      </c>
      <c r="F20" s="974">
        <f t="shared" si="0"/>
        <v>100</v>
      </c>
    </row>
    <row r="21" spans="2:6" ht="30" customHeight="1" x14ac:dyDescent="0.25">
      <c r="B21" s="733" t="s">
        <v>525</v>
      </c>
      <c r="C21" s="734">
        <v>2000</v>
      </c>
      <c r="D21" s="734">
        <v>2000</v>
      </c>
      <c r="E21" s="969">
        <v>2000</v>
      </c>
      <c r="F21" s="974">
        <f t="shared" si="0"/>
        <v>100</v>
      </c>
    </row>
    <row r="22" spans="2:6" ht="39.75" customHeight="1" x14ac:dyDescent="0.25">
      <c r="B22" s="738" t="s">
        <v>668</v>
      </c>
      <c r="C22" s="740"/>
      <c r="D22" s="740">
        <v>724</v>
      </c>
      <c r="E22" s="994"/>
      <c r="F22" s="993"/>
    </row>
    <row r="23" spans="2:6" ht="30" customHeight="1" thickBot="1" x14ac:dyDescent="0.3">
      <c r="B23" s="733" t="s">
        <v>621</v>
      </c>
      <c r="C23" s="734"/>
      <c r="D23" s="734">
        <v>7000</v>
      </c>
      <c r="E23" s="969">
        <v>7000</v>
      </c>
      <c r="F23" s="974">
        <f t="shared" si="0"/>
        <v>100</v>
      </c>
    </row>
    <row r="24" spans="2:6" ht="30" customHeight="1" thickBot="1" x14ac:dyDescent="0.3">
      <c r="B24" s="59" t="s">
        <v>14</v>
      </c>
      <c r="C24" s="776">
        <f>SUM(C7:C23)</f>
        <v>334000</v>
      </c>
      <c r="D24" s="777">
        <f>SUM(D7:D23)</f>
        <v>876599</v>
      </c>
      <c r="E24" s="777">
        <f>SUM(E7:E23)</f>
        <v>858708</v>
      </c>
      <c r="F24" s="778">
        <f t="shared" ref="F24" si="1">+E24/D24*100</f>
        <v>97.959043987045391</v>
      </c>
    </row>
    <row r="25" spans="2:6" ht="20.100000000000001" customHeight="1" x14ac:dyDescent="0.2"/>
    <row r="26" spans="2:6" ht="15" customHeight="1" x14ac:dyDescent="0.2">
      <c r="C26" s="5"/>
    </row>
  </sheetData>
  <mergeCells count="3">
    <mergeCell ref="B1:C1"/>
    <mergeCell ref="C5:D5"/>
    <mergeCell ref="B2:F2"/>
  </mergeCells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60" orientation="portrait" r:id="rId1"/>
  <headerFooter alignWithMargins="0">
    <oddHeader xml:space="preserve">&amp;C
&amp;R&amp;"Arial CE,Félkövér"&amp;14 14. melléklet a .../2022. (........) önkormányzati rendelethez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5"/>
  <dimension ref="B1:J53"/>
  <sheetViews>
    <sheetView zoomScale="75" zoomScaleNormal="75" workbookViewId="0">
      <selection activeCell="R13" sqref="R13"/>
    </sheetView>
  </sheetViews>
  <sheetFormatPr defaultColWidth="9.33203125" defaultRowHeight="15" customHeight="1" x14ac:dyDescent="0.2"/>
  <cols>
    <col min="1" max="1" width="9.33203125" style="10"/>
    <col min="2" max="2" width="5.33203125" style="10" customWidth="1"/>
    <col min="3" max="3" width="9.33203125" style="10"/>
    <col min="4" max="4" width="15.83203125" style="10" customWidth="1"/>
    <col min="5" max="5" width="25.83203125" style="10" customWidth="1"/>
    <col min="6" max="6" width="57.6640625" style="10" customWidth="1"/>
    <col min="7" max="9" width="27.5" style="10" customWidth="1"/>
    <col min="10" max="10" width="20.83203125" style="10" customWidth="1"/>
    <col min="11" max="16384" width="9.33203125" style="10"/>
  </cols>
  <sheetData>
    <row r="1" spans="2:10" ht="15" customHeight="1" x14ac:dyDescent="0.25">
      <c r="B1" s="2436"/>
      <c r="C1" s="2436"/>
      <c r="D1" s="2436"/>
      <c r="E1" s="2436"/>
      <c r="F1" s="2436"/>
      <c r="G1" s="2436"/>
    </row>
    <row r="2" spans="2:10" ht="23.25" customHeight="1" x14ac:dyDescent="0.3">
      <c r="B2" s="2463" t="s">
        <v>97</v>
      </c>
      <c r="C2" s="2463"/>
      <c r="D2" s="2463"/>
      <c r="E2" s="2463"/>
      <c r="F2" s="2463"/>
      <c r="G2" s="2463"/>
      <c r="H2" s="2463"/>
      <c r="I2" s="2463"/>
      <c r="J2" s="2463"/>
    </row>
    <row r="4" spans="2:10" ht="36" customHeight="1" thickBot="1" x14ac:dyDescent="0.35">
      <c r="B4" s="21"/>
      <c r="C4" s="21"/>
      <c r="D4" s="21"/>
      <c r="E4" s="21"/>
      <c r="G4" s="17"/>
      <c r="H4" s="17"/>
      <c r="I4" s="17"/>
      <c r="J4" s="958" t="s">
        <v>19</v>
      </c>
    </row>
    <row r="5" spans="2:10" ht="24" customHeight="1" x14ac:dyDescent="0.25">
      <c r="B5" s="2459" t="s">
        <v>33</v>
      </c>
      <c r="C5" s="2460"/>
      <c r="D5" s="2460"/>
      <c r="E5" s="2460"/>
      <c r="F5" s="2460"/>
      <c r="G5" s="2461" t="s">
        <v>515</v>
      </c>
      <c r="H5" s="2462"/>
      <c r="I5" s="717" t="s">
        <v>410</v>
      </c>
      <c r="J5" s="718" t="s">
        <v>107</v>
      </c>
    </row>
    <row r="6" spans="2:10" ht="43.5" customHeight="1" thickBot="1" x14ac:dyDescent="0.3">
      <c r="B6" s="749"/>
      <c r="C6" s="782"/>
      <c r="D6" s="782"/>
      <c r="E6" s="782"/>
      <c r="F6" s="782"/>
      <c r="G6" s="720" t="s">
        <v>213</v>
      </c>
      <c r="H6" s="720" t="s">
        <v>105</v>
      </c>
      <c r="I6" s="653" t="s">
        <v>106</v>
      </c>
      <c r="J6" s="721" t="s">
        <v>108</v>
      </c>
    </row>
    <row r="7" spans="2:10" ht="24" customHeight="1" x14ac:dyDescent="0.25">
      <c r="B7" s="783" t="s">
        <v>377</v>
      </c>
      <c r="C7" s="784"/>
      <c r="D7" s="784"/>
      <c r="E7" s="784"/>
      <c r="F7" s="785"/>
      <c r="G7" s="786">
        <v>133000</v>
      </c>
      <c r="H7" s="786">
        <v>141733</v>
      </c>
      <c r="I7" s="727">
        <v>124069</v>
      </c>
      <c r="J7" s="987">
        <f t="shared" ref="J7:J18" si="0">+I7/H7*100</f>
        <v>87.537129673399988</v>
      </c>
    </row>
    <row r="8" spans="2:10" ht="24" customHeight="1" x14ac:dyDescent="0.25">
      <c r="B8" s="788" t="s">
        <v>234</v>
      </c>
      <c r="C8" s="789"/>
      <c r="D8" s="789"/>
      <c r="E8" s="789"/>
      <c r="F8" s="790"/>
      <c r="G8" s="791">
        <v>350000</v>
      </c>
      <c r="H8" s="791">
        <v>473573</v>
      </c>
      <c r="I8" s="792">
        <v>429140</v>
      </c>
      <c r="J8" s="787">
        <f t="shared" si="0"/>
        <v>90.617497196841882</v>
      </c>
    </row>
    <row r="9" spans="2:10" ht="24" customHeight="1" x14ac:dyDescent="0.25">
      <c r="B9" s="788" t="s">
        <v>374</v>
      </c>
      <c r="C9" s="789"/>
      <c r="D9" s="789"/>
      <c r="E9" s="789"/>
      <c r="F9" s="790"/>
      <c r="G9" s="791">
        <v>3000</v>
      </c>
      <c r="H9" s="791">
        <v>4918</v>
      </c>
      <c r="I9" s="792">
        <v>1680</v>
      </c>
      <c r="J9" s="787">
        <f t="shared" si="0"/>
        <v>34.160227734851567</v>
      </c>
    </row>
    <row r="10" spans="2:10" ht="24" customHeight="1" x14ac:dyDescent="0.25">
      <c r="B10" s="788" t="s">
        <v>336</v>
      </c>
      <c r="C10" s="789"/>
      <c r="D10" s="789"/>
      <c r="E10" s="789"/>
      <c r="F10" s="790"/>
      <c r="G10" s="791">
        <v>10000</v>
      </c>
      <c r="H10" s="791">
        <v>28135</v>
      </c>
      <c r="I10" s="792">
        <v>10784</v>
      </c>
      <c r="J10" s="787">
        <f t="shared" si="0"/>
        <v>38.329482850542028</v>
      </c>
    </row>
    <row r="11" spans="2:10" ht="24" customHeight="1" x14ac:dyDescent="0.25">
      <c r="B11" s="788" t="s">
        <v>530</v>
      </c>
      <c r="C11" s="789"/>
      <c r="D11" s="789"/>
      <c r="E11" s="789"/>
      <c r="F11" s="790"/>
      <c r="G11" s="791">
        <v>340000</v>
      </c>
      <c r="H11" s="791">
        <v>380453</v>
      </c>
      <c r="I11" s="792">
        <v>365924</v>
      </c>
      <c r="J11" s="787">
        <f t="shared" si="0"/>
        <v>96.181131440677305</v>
      </c>
    </row>
    <row r="12" spans="2:10" ht="24" customHeight="1" x14ac:dyDescent="0.25">
      <c r="B12" s="788" t="s">
        <v>531</v>
      </c>
      <c r="C12" s="789"/>
      <c r="D12" s="789"/>
      <c r="E12" s="789"/>
      <c r="F12" s="790"/>
      <c r="G12" s="791">
        <v>15000</v>
      </c>
      <c r="H12" s="791">
        <v>19031</v>
      </c>
      <c r="I12" s="792">
        <v>19031</v>
      </c>
      <c r="J12" s="787">
        <f t="shared" si="0"/>
        <v>100</v>
      </c>
    </row>
    <row r="13" spans="2:10" ht="24" customHeight="1" x14ac:dyDescent="0.25">
      <c r="B13" s="788" t="s">
        <v>532</v>
      </c>
      <c r="C13" s="789"/>
      <c r="D13" s="789"/>
      <c r="E13" s="789"/>
      <c r="F13" s="790"/>
      <c r="G13" s="791">
        <v>15000</v>
      </c>
      <c r="H13" s="791">
        <v>0</v>
      </c>
      <c r="I13" s="792"/>
      <c r="J13" s="787"/>
    </row>
    <row r="14" spans="2:10" ht="24" customHeight="1" x14ac:dyDescent="0.25">
      <c r="B14" s="979" t="s">
        <v>640</v>
      </c>
      <c r="C14" s="980"/>
      <c r="D14" s="980"/>
      <c r="E14" s="980"/>
      <c r="F14" s="981"/>
      <c r="G14" s="799"/>
      <c r="H14" s="799">
        <v>6262</v>
      </c>
      <c r="I14" s="741">
        <v>200</v>
      </c>
      <c r="J14" s="982">
        <f t="shared" si="0"/>
        <v>3.1938677738741617</v>
      </c>
    </row>
    <row r="15" spans="2:10" ht="24" customHeight="1" x14ac:dyDescent="0.25">
      <c r="B15" s="979" t="s">
        <v>229</v>
      </c>
      <c r="C15" s="980"/>
      <c r="D15" s="980"/>
      <c r="E15" s="980"/>
      <c r="F15" s="981"/>
      <c r="G15" s="799"/>
      <c r="H15" s="799">
        <v>624</v>
      </c>
      <c r="I15" s="741"/>
      <c r="J15" s="982">
        <f t="shared" si="0"/>
        <v>0</v>
      </c>
    </row>
    <row r="16" spans="2:10" ht="24" customHeight="1" x14ac:dyDescent="0.25">
      <c r="B16" s="788" t="s">
        <v>103</v>
      </c>
      <c r="C16" s="789"/>
      <c r="D16" s="789"/>
      <c r="E16" s="789"/>
      <c r="F16" s="790"/>
      <c r="G16" s="791">
        <v>3389</v>
      </c>
      <c r="H16" s="791">
        <v>3474</v>
      </c>
      <c r="I16" s="792">
        <v>2688</v>
      </c>
      <c r="J16" s="787">
        <f t="shared" si="0"/>
        <v>77.374784110535415</v>
      </c>
    </row>
    <row r="17" spans="2:10" ht="24" customHeight="1" x14ac:dyDescent="0.25">
      <c r="B17" s="788" t="s">
        <v>148</v>
      </c>
      <c r="C17" s="789"/>
      <c r="D17" s="789"/>
      <c r="E17" s="789"/>
      <c r="F17" s="790"/>
      <c r="G17" s="791">
        <v>1500</v>
      </c>
      <c r="H17" s="791">
        <v>3415</v>
      </c>
      <c r="I17" s="792">
        <v>738</v>
      </c>
      <c r="J17" s="787">
        <f t="shared" si="0"/>
        <v>21.610541727672036</v>
      </c>
    </row>
    <row r="18" spans="2:10" ht="24" customHeight="1" x14ac:dyDescent="0.25">
      <c r="B18" s="788" t="s">
        <v>104</v>
      </c>
      <c r="C18" s="789"/>
      <c r="D18" s="789"/>
      <c r="E18" s="789"/>
      <c r="F18" s="790"/>
      <c r="G18" s="791">
        <v>3000</v>
      </c>
      <c r="H18" s="791">
        <v>8054</v>
      </c>
      <c r="I18" s="792">
        <v>2251</v>
      </c>
      <c r="J18" s="787">
        <f t="shared" si="0"/>
        <v>27.94884529426372</v>
      </c>
    </row>
    <row r="19" spans="2:10" ht="24" customHeight="1" x14ac:dyDescent="0.25">
      <c r="B19" s="788" t="s">
        <v>350</v>
      </c>
      <c r="C19" s="789"/>
      <c r="D19" s="789"/>
      <c r="E19" s="789"/>
      <c r="F19" s="790"/>
      <c r="G19" s="791">
        <v>3500</v>
      </c>
      <c r="H19" s="791">
        <v>4449</v>
      </c>
      <c r="I19" s="792">
        <v>3728</v>
      </c>
      <c r="J19" s="787">
        <f t="shared" ref="J19:J30" si="1">+I19/H19*100</f>
        <v>83.794111036187914</v>
      </c>
    </row>
    <row r="20" spans="2:10" ht="24" customHeight="1" x14ac:dyDescent="0.25">
      <c r="B20" s="979" t="s">
        <v>608</v>
      </c>
      <c r="C20" s="980"/>
      <c r="D20" s="980"/>
      <c r="E20" s="980"/>
      <c r="F20" s="981"/>
      <c r="G20" s="799"/>
      <c r="H20" s="799">
        <v>19903</v>
      </c>
      <c r="I20" s="741">
        <v>19903</v>
      </c>
      <c r="J20" s="982">
        <f t="shared" si="1"/>
        <v>100</v>
      </c>
    </row>
    <row r="21" spans="2:10" ht="24" customHeight="1" x14ac:dyDescent="0.25">
      <c r="B21" s="788" t="s">
        <v>209</v>
      </c>
      <c r="C21" s="789"/>
      <c r="D21" s="789"/>
      <c r="E21" s="789"/>
      <c r="F21" s="790"/>
      <c r="G21" s="793">
        <v>1000</v>
      </c>
      <c r="H21" s="793">
        <v>1413</v>
      </c>
      <c r="I21" s="725">
        <v>75</v>
      </c>
      <c r="J21" s="750">
        <f t="shared" si="1"/>
        <v>5.3078556263269645</v>
      </c>
    </row>
    <row r="22" spans="2:10" ht="24" customHeight="1" x14ac:dyDescent="0.25">
      <c r="B22" s="794" t="s">
        <v>64</v>
      </c>
      <c r="C22" s="795"/>
      <c r="D22" s="795"/>
      <c r="E22" s="795"/>
      <c r="F22" s="796"/>
      <c r="G22" s="791">
        <v>50000</v>
      </c>
      <c r="H22" s="791">
        <v>81963</v>
      </c>
      <c r="I22" s="797">
        <v>58171</v>
      </c>
      <c r="J22" s="798">
        <f t="shared" si="1"/>
        <v>70.972267974573882</v>
      </c>
    </row>
    <row r="23" spans="2:10" ht="24" customHeight="1" x14ac:dyDescent="0.25">
      <c r="B23" s="979" t="s">
        <v>487</v>
      </c>
      <c r="C23" s="980"/>
      <c r="D23" s="980"/>
      <c r="E23" s="980"/>
      <c r="F23" s="981"/>
      <c r="G23" s="799">
        <v>600</v>
      </c>
      <c r="H23" s="799">
        <v>618</v>
      </c>
      <c r="I23" s="741">
        <v>293</v>
      </c>
      <c r="J23" s="1037">
        <f t="shared" si="1"/>
        <v>47.411003236245953</v>
      </c>
    </row>
    <row r="24" spans="2:10" ht="24" customHeight="1" thickBot="1" x14ac:dyDescent="0.3">
      <c r="B24" s="979"/>
      <c r="C24" s="980"/>
      <c r="D24" s="980"/>
      <c r="E24" s="980"/>
      <c r="F24" s="981"/>
      <c r="G24" s="799"/>
      <c r="H24" s="799"/>
      <c r="I24" s="741"/>
      <c r="J24" s="1037"/>
    </row>
    <row r="25" spans="2:10" ht="24" customHeight="1" thickBot="1" x14ac:dyDescent="0.3">
      <c r="B25" s="2456" t="s">
        <v>116</v>
      </c>
      <c r="C25" s="2457"/>
      <c r="D25" s="2457"/>
      <c r="E25" s="2457"/>
      <c r="F25" s="2458"/>
      <c r="G25" s="767">
        <f>SUM(G7:G24)</f>
        <v>928989</v>
      </c>
      <c r="H25" s="767">
        <f>SUM(H7:H24)</f>
        <v>1178018</v>
      </c>
      <c r="I25" s="767">
        <f>SUM(I7:I24)</f>
        <v>1038675</v>
      </c>
      <c r="J25" s="775">
        <f t="shared" si="1"/>
        <v>88.171403153432294</v>
      </c>
    </row>
    <row r="26" spans="2:10" ht="24" customHeight="1" x14ac:dyDescent="0.25">
      <c r="B26" s="800" t="s">
        <v>115</v>
      </c>
      <c r="C26" s="801"/>
      <c r="D26" s="801"/>
      <c r="E26" s="801"/>
      <c r="F26" s="801"/>
      <c r="G26" s="802">
        <v>1000</v>
      </c>
      <c r="H26" s="802">
        <v>620</v>
      </c>
      <c r="I26" s="802">
        <v>310</v>
      </c>
      <c r="J26" s="803">
        <f t="shared" si="1"/>
        <v>50</v>
      </c>
    </row>
    <row r="27" spans="2:10" ht="24" customHeight="1" x14ac:dyDescent="0.25">
      <c r="B27" s="733" t="s">
        <v>641</v>
      </c>
      <c r="C27" s="1062"/>
      <c r="D27" s="1062"/>
      <c r="E27" s="1062"/>
      <c r="F27" s="1062"/>
      <c r="G27" s="1063"/>
      <c r="H27" s="1063">
        <v>100</v>
      </c>
      <c r="I27" s="1063"/>
      <c r="J27" s="1029">
        <f t="shared" si="1"/>
        <v>0</v>
      </c>
    </row>
    <row r="28" spans="2:10" ht="24" customHeight="1" x14ac:dyDescent="0.25">
      <c r="B28" s="736" t="s">
        <v>488</v>
      </c>
      <c r="C28" s="1028"/>
      <c r="D28" s="1028"/>
      <c r="E28" s="1028"/>
      <c r="F28" s="1028"/>
      <c r="G28" s="1027"/>
      <c r="H28" s="1027">
        <v>4128</v>
      </c>
      <c r="I28" s="1027">
        <v>3715</v>
      </c>
      <c r="J28" s="1029">
        <f t="shared" si="1"/>
        <v>89.995155038759691</v>
      </c>
    </row>
    <row r="29" spans="2:10" ht="24" customHeight="1" thickBot="1" x14ac:dyDescent="0.3">
      <c r="B29" s="774" t="s">
        <v>239</v>
      </c>
      <c r="C29" s="804"/>
      <c r="D29" s="804"/>
      <c r="E29" s="804"/>
      <c r="F29" s="804"/>
      <c r="G29" s="805">
        <v>1200</v>
      </c>
      <c r="H29" s="805">
        <v>2330</v>
      </c>
      <c r="I29" s="805"/>
      <c r="J29" s="806">
        <f t="shared" si="1"/>
        <v>0</v>
      </c>
    </row>
    <row r="30" spans="2:10" ht="47.25" customHeight="1" thickBot="1" x14ac:dyDescent="0.3">
      <c r="B30" s="2453" t="s">
        <v>441</v>
      </c>
      <c r="C30" s="2454"/>
      <c r="D30" s="2454"/>
      <c r="E30" s="2454"/>
      <c r="F30" s="2455"/>
      <c r="G30" s="807">
        <f>+G25+G26+G29+G28+G27</f>
        <v>931189</v>
      </c>
      <c r="H30" s="807">
        <f>+H25+H26+H29+H28+H27</f>
        <v>1185196</v>
      </c>
      <c r="I30" s="807">
        <f>+I25+I26+I29+I28+I27</f>
        <v>1042700</v>
      </c>
      <c r="J30" s="775">
        <f t="shared" si="1"/>
        <v>87.977009709786401</v>
      </c>
    </row>
    <row r="32" spans="2:10" ht="15" customHeight="1" x14ac:dyDescent="0.2">
      <c r="I32" s="5"/>
    </row>
    <row r="33" spans="9:9" ht="15" customHeight="1" x14ac:dyDescent="0.2">
      <c r="I33" s="5"/>
    </row>
    <row r="34" spans="9:9" ht="15" customHeight="1" x14ac:dyDescent="0.2">
      <c r="I34" s="5"/>
    </row>
    <row r="35" spans="9:9" ht="15" customHeight="1" x14ac:dyDescent="0.2">
      <c r="I35" s="5"/>
    </row>
    <row r="36" spans="9:9" ht="15" customHeight="1" x14ac:dyDescent="0.2">
      <c r="I36" s="5"/>
    </row>
    <row r="52" spans="7:7" ht="15" customHeight="1" x14ac:dyDescent="0.2">
      <c r="G52" s="1833"/>
    </row>
    <row r="53" spans="7:7" ht="15" customHeight="1" x14ac:dyDescent="0.2">
      <c r="G53" s="1833"/>
    </row>
  </sheetData>
  <mergeCells count="6">
    <mergeCell ref="B30:F30"/>
    <mergeCell ref="B25:F25"/>
    <mergeCell ref="B1:G1"/>
    <mergeCell ref="B5:F5"/>
    <mergeCell ref="G5:H5"/>
    <mergeCell ref="B2:J2"/>
  </mergeCells>
  <phoneticPr fontId="0" type="noConversion"/>
  <printOptions horizontalCentered="1" verticalCentered="1"/>
  <pageMargins left="0.27559055118110237" right="0" top="0.59055118110236227" bottom="0.59055118110236227" header="0.31496062992125984" footer="0.31496062992125984"/>
  <pageSetup paperSize="9" scale="54" orientation="portrait" r:id="rId1"/>
  <headerFooter alignWithMargins="0">
    <oddHeader xml:space="preserve">&amp;L
&amp;R&amp;"Arial,Félkövér"&amp;14 15. melléklet a .../2022. (........) önkormányzati rendelethez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6"/>
  <dimension ref="B1:H147"/>
  <sheetViews>
    <sheetView zoomScale="75" zoomScaleNormal="75" workbookViewId="0">
      <selection activeCell="R13" sqref="R13"/>
    </sheetView>
  </sheetViews>
  <sheetFormatPr defaultColWidth="12" defaultRowHeight="15" customHeight="1" x14ac:dyDescent="0.2"/>
  <cols>
    <col min="1" max="1" width="12" style="6"/>
    <col min="2" max="2" width="94.6640625" style="6" customWidth="1"/>
    <col min="3" max="3" width="23.83203125" style="6" customWidth="1"/>
    <col min="4" max="5" width="23.83203125" style="4" customWidth="1"/>
    <col min="6" max="6" width="22.1640625" style="6" customWidth="1"/>
    <col min="7" max="7" width="12" style="6"/>
    <col min="8" max="8" width="16.5" style="6" customWidth="1"/>
    <col min="9" max="16384" width="12" style="6"/>
  </cols>
  <sheetData>
    <row r="1" spans="2:8" ht="15" customHeight="1" x14ac:dyDescent="0.25">
      <c r="B1" s="2436"/>
      <c r="C1" s="2436"/>
    </row>
    <row r="2" spans="2:8" ht="24" customHeight="1" x14ac:dyDescent="0.3">
      <c r="B2" s="2464" t="s">
        <v>338</v>
      </c>
      <c r="C2" s="2464"/>
      <c r="D2" s="2464"/>
      <c r="E2" s="2464"/>
      <c r="F2" s="2464"/>
    </row>
    <row r="3" spans="2:8" ht="12" customHeight="1" x14ac:dyDescent="0.25">
      <c r="B3" s="22"/>
      <c r="C3" s="22"/>
    </row>
    <row r="4" spans="2:8" ht="29.25" customHeight="1" thickBot="1" x14ac:dyDescent="0.35">
      <c r="B4" s="12"/>
      <c r="C4" s="13"/>
      <c r="D4" s="20"/>
      <c r="E4" s="20"/>
      <c r="F4" s="958" t="s">
        <v>19</v>
      </c>
    </row>
    <row r="5" spans="2:8" ht="24" customHeight="1" x14ac:dyDescent="0.25">
      <c r="B5" s="811" t="s">
        <v>33</v>
      </c>
      <c r="C5" s="2461" t="s">
        <v>515</v>
      </c>
      <c r="D5" s="2462"/>
      <c r="E5" s="717" t="s">
        <v>410</v>
      </c>
      <c r="F5" s="718" t="s">
        <v>107</v>
      </c>
    </row>
    <row r="6" spans="2:8" ht="36" customHeight="1" thickBot="1" x14ac:dyDescent="0.3">
      <c r="B6" s="812"/>
      <c r="C6" s="720" t="s">
        <v>213</v>
      </c>
      <c r="D6" s="753" t="s">
        <v>105</v>
      </c>
      <c r="E6" s="653" t="s">
        <v>106</v>
      </c>
      <c r="F6" s="721" t="s">
        <v>108</v>
      </c>
    </row>
    <row r="7" spans="2:8" ht="24" customHeight="1" x14ac:dyDescent="0.25">
      <c r="B7" s="813" t="s">
        <v>66</v>
      </c>
      <c r="C7" s="793">
        <v>25000</v>
      </c>
      <c r="D7" s="793">
        <v>32008</v>
      </c>
      <c r="E7" s="681">
        <v>32006</v>
      </c>
      <c r="F7" s="750">
        <f>+E7/D7*100</f>
        <v>99.993751562109466</v>
      </c>
      <c r="H7" s="4"/>
    </row>
    <row r="8" spans="2:8" ht="24" customHeight="1" x14ac:dyDescent="0.25">
      <c r="B8" s="814" t="s">
        <v>214</v>
      </c>
      <c r="C8" s="793">
        <v>10000</v>
      </c>
      <c r="D8" s="793">
        <v>10000</v>
      </c>
      <c r="E8" s="725">
        <v>10000</v>
      </c>
      <c r="F8" s="750">
        <f>+E8/D8*100</f>
        <v>100</v>
      </c>
      <c r="H8" s="4"/>
    </row>
    <row r="9" spans="2:8" ht="24" customHeight="1" x14ac:dyDescent="0.25">
      <c r="B9" s="814" t="s">
        <v>215</v>
      </c>
      <c r="C9" s="793">
        <v>6000</v>
      </c>
      <c r="D9" s="793">
        <v>6003</v>
      </c>
      <c r="E9" s="725">
        <v>6003</v>
      </c>
      <c r="F9" s="750">
        <f>+E9/D9*100</f>
        <v>100</v>
      </c>
      <c r="H9" s="4"/>
    </row>
    <row r="10" spans="2:8" ht="24" customHeight="1" x14ac:dyDescent="0.25">
      <c r="B10" s="814" t="s">
        <v>43</v>
      </c>
      <c r="C10" s="793"/>
      <c r="D10" s="793">
        <v>8002</v>
      </c>
      <c r="E10" s="725">
        <v>8002</v>
      </c>
      <c r="F10" s="750">
        <f t="shared" ref="F10:F15" si="0">+E10/D10*100</f>
        <v>100</v>
      </c>
      <c r="H10" s="4"/>
    </row>
    <row r="11" spans="2:8" ht="24" customHeight="1" x14ac:dyDescent="0.25">
      <c r="B11" s="814" t="s">
        <v>416</v>
      </c>
      <c r="C11" s="793">
        <v>67000</v>
      </c>
      <c r="D11" s="793">
        <v>87000</v>
      </c>
      <c r="E11" s="725">
        <v>87000</v>
      </c>
      <c r="F11" s="750">
        <f t="shared" si="0"/>
        <v>100</v>
      </c>
      <c r="H11" s="4"/>
    </row>
    <row r="12" spans="2:8" ht="24" customHeight="1" x14ac:dyDescent="0.25">
      <c r="B12" s="814" t="s">
        <v>351</v>
      </c>
      <c r="C12" s="793">
        <v>15000</v>
      </c>
      <c r="D12" s="793">
        <v>15002</v>
      </c>
      <c r="E12" s="725">
        <v>15002</v>
      </c>
      <c r="F12" s="750">
        <f t="shared" si="0"/>
        <v>100</v>
      </c>
      <c r="H12" s="4"/>
    </row>
    <row r="13" spans="2:8" ht="24" customHeight="1" x14ac:dyDescent="0.25">
      <c r="B13" s="814" t="s">
        <v>489</v>
      </c>
      <c r="C13" s="793">
        <v>4000</v>
      </c>
      <c r="D13" s="793">
        <v>4000</v>
      </c>
      <c r="E13" s="725">
        <v>4000</v>
      </c>
      <c r="F13" s="750">
        <f t="shared" si="0"/>
        <v>100</v>
      </c>
      <c r="H13" s="4"/>
    </row>
    <row r="14" spans="2:8" ht="24" customHeight="1" x14ac:dyDescent="0.25">
      <c r="B14" s="815" t="s">
        <v>490</v>
      </c>
      <c r="C14" s="793">
        <v>2000</v>
      </c>
      <c r="D14" s="793">
        <v>2000</v>
      </c>
      <c r="E14" s="725">
        <v>2000</v>
      </c>
      <c r="F14" s="750">
        <f t="shared" si="0"/>
        <v>100</v>
      </c>
      <c r="H14" s="4"/>
    </row>
    <row r="15" spans="2:8" ht="24" customHeight="1" x14ac:dyDescent="0.25">
      <c r="B15" s="814" t="s">
        <v>9</v>
      </c>
      <c r="C15" s="793"/>
      <c r="D15" s="793">
        <v>300</v>
      </c>
      <c r="E15" s="725">
        <v>300</v>
      </c>
      <c r="F15" s="750">
        <f t="shared" si="0"/>
        <v>100</v>
      </c>
      <c r="H15" s="4"/>
    </row>
    <row r="16" spans="2:8" ht="24" customHeight="1" x14ac:dyDescent="0.25">
      <c r="B16" s="814" t="s">
        <v>114</v>
      </c>
      <c r="C16" s="793"/>
      <c r="D16" s="793">
        <v>634</v>
      </c>
      <c r="E16" s="725">
        <v>514</v>
      </c>
      <c r="F16" s="750">
        <f t="shared" ref="F16:F22" si="1">+E16/D16*100</f>
        <v>81.072555205047308</v>
      </c>
      <c r="H16" s="4"/>
    </row>
    <row r="17" spans="2:8" ht="24" customHeight="1" x14ac:dyDescent="0.25">
      <c r="B17" s="814" t="s">
        <v>216</v>
      </c>
      <c r="C17" s="793"/>
      <c r="D17" s="793">
        <v>1341</v>
      </c>
      <c r="E17" s="725">
        <v>1341</v>
      </c>
      <c r="F17" s="750">
        <f t="shared" si="1"/>
        <v>100</v>
      </c>
      <c r="H17" s="4"/>
    </row>
    <row r="18" spans="2:8" ht="24" customHeight="1" x14ac:dyDescent="0.25">
      <c r="B18" s="814" t="s">
        <v>45</v>
      </c>
      <c r="C18" s="793">
        <v>2000</v>
      </c>
      <c r="D18" s="793">
        <v>2313</v>
      </c>
      <c r="E18" s="725">
        <v>2313</v>
      </c>
      <c r="F18" s="750">
        <f t="shared" si="1"/>
        <v>100</v>
      </c>
      <c r="H18" s="4"/>
    </row>
    <row r="19" spans="2:8" s="10" customFormat="1" ht="24" customHeight="1" x14ac:dyDescent="0.25">
      <c r="B19" s="814" t="s">
        <v>55</v>
      </c>
      <c r="C19" s="793"/>
      <c r="D19" s="793">
        <v>2667</v>
      </c>
      <c r="E19" s="725">
        <v>2667</v>
      </c>
      <c r="F19" s="750">
        <f t="shared" si="1"/>
        <v>100</v>
      </c>
      <c r="H19" s="4"/>
    </row>
    <row r="20" spans="2:8" ht="24" customHeight="1" x14ac:dyDescent="0.25">
      <c r="B20" s="814" t="s">
        <v>217</v>
      </c>
      <c r="C20" s="793">
        <v>30000</v>
      </c>
      <c r="D20" s="793">
        <v>50000</v>
      </c>
      <c r="E20" s="725">
        <v>50000</v>
      </c>
      <c r="F20" s="750">
        <f t="shared" si="1"/>
        <v>100</v>
      </c>
      <c r="H20" s="4"/>
    </row>
    <row r="21" spans="2:8" ht="24" customHeight="1" x14ac:dyDescent="0.25">
      <c r="B21" s="814" t="s">
        <v>65</v>
      </c>
      <c r="C21" s="793">
        <v>10000</v>
      </c>
      <c r="D21" s="793">
        <v>25613</v>
      </c>
      <c r="E21" s="725">
        <v>19611</v>
      </c>
      <c r="F21" s="750">
        <f t="shared" si="1"/>
        <v>76.566587279896922</v>
      </c>
      <c r="H21" s="4"/>
    </row>
    <row r="22" spans="2:8" ht="24" customHeight="1" x14ac:dyDescent="0.25">
      <c r="B22" s="814" t="s">
        <v>113</v>
      </c>
      <c r="C22" s="793">
        <v>10000</v>
      </c>
      <c r="D22" s="793">
        <v>10005</v>
      </c>
      <c r="E22" s="725">
        <v>10005</v>
      </c>
      <c r="F22" s="750">
        <f t="shared" si="1"/>
        <v>100</v>
      </c>
      <c r="H22" s="4"/>
    </row>
    <row r="23" spans="2:8" ht="41.25" customHeight="1" x14ac:dyDescent="0.25">
      <c r="B23" s="815" t="s">
        <v>142</v>
      </c>
      <c r="C23" s="793">
        <v>3000</v>
      </c>
      <c r="D23" s="793">
        <v>3154</v>
      </c>
      <c r="E23" s="725">
        <v>3154</v>
      </c>
      <c r="F23" s="750">
        <f t="shared" ref="F23:F28" si="2">+E23/D23*100</f>
        <v>100</v>
      </c>
      <c r="H23" s="4"/>
    </row>
    <row r="24" spans="2:8" ht="24" customHeight="1" x14ac:dyDescent="0.25">
      <c r="B24" s="814" t="s">
        <v>44</v>
      </c>
      <c r="C24" s="793">
        <v>5000</v>
      </c>
      <c r="D24" s="793">
        <v>10661</v>
      </c>
      <c r="E24" s="725">
        <v>3200</v>
      </c>
      <c r="F24" s="750">
        <f t="shared" si="2"/>
        <v>30.015945971297253</v>
      </c>
      <c r="H24" s="4"/>
    </row>
    <row r="25" spans="2:8" ht="41.25" customHeight="1" x14ac:dyDescent="0.25">
      <c r="B25" s="815" t="s">
        <v>352</v>
      </c>
      <c r="C25" s="793">
        <v>2000</v>
      </c>
      <c r="D25" s="793">
        <v>2004</v>
      </c>
      <c r="E25" s="725">
        <v>2004</v>
      </c>
      <c r="F25" s="750">
        <f t="shared" si="2"/>
        <v>100</v>
      </c>
      <c r="H25" s="4"/>
    </row>
    <row r="26" spans="2:8" ht="24" customHeight="1" x14ac:dyDescent="0.25">
      <c r="B26" s="816" t="s">
        <v>277</v>
      </c>
      <c r="C26" s="791">
        <v>8000</v>
      </c>
      <c r="D26" s="791">
        <v>19131</v>
      </c>
      <c r="E26" s="725">
        <v>13514</v>
      </c>
      <c r="F26" s="750">
        <f t="shared" si="2"/>
        <v>70.639276566828713</v>
      </c>
      <c r="H26" s="4"/>
    </row>
    <row r="27" spans="2:8" ht="24" customHeight="1" x14ac:dyDescent="0.25">
      <c r="B27" s="814" t="s">
        <v>187</v>
      </c>
      <c r="C27" s="793">
        <v>1000</v>
      </c>
      <c r="D27" s="793">
        <v>4208</v>
      </c>
      <c r="E27" s="725">
        <v>4208</v>
      </c>
      <c r="F27" s="750">
        <f t="shared" si="2"/>
        <v>100</v>
      </c>
      <c r="H27" s="4"/>
    </row>
    <row r="28" spans="2:8" ht="50.25" customHeight="1" thickBot="1" x14ac:dyDescent="0.3">
      <c r="B28" s="1085" t="s">
        <v>669</v>
      </c>
      <c r="C28" s="786"/>
      <c r="D28" s="786">
        <v>10000</v>
      </c>
      <c r="E28" s="766"/>
      <c r="F28" s="750">
        <f t="shared" si="2"/>
        <v>0</v>
      </c>
      <c r="H28" s="4"/>
    </row>
    <row r="29" spans="2:8" ht="24" customHeight="1" thickBot="1" x14ac:dyDescent="0.35">
      <c r="B29" s="808" t="s">
        <v>442</v>
      </c>
      <c r="C29" s="809">
        <f>SUM(C7:C28)</f>
        <v>200000</v>
      </c>
      <c r="D29" s="809">
        <f>SUM(D7:D28)</f>
        <v>306046</v>
      </c>
      <c r="E29" s="809">
        <f>SUM(E7:E28)</f>
        <v>276844</v>
      </c>
      <c r="F29" s="810">
        <f>E29/D29*100</f>
        <v>90.458297118733782</v>
      </c>
    </row>
    <row r="30" spans="2:8" ht="15" customHeight="1" x14ac:dyDescent="0.2">
      <c r="C30" s="9"/>
    </row>
    <row r="31" spans="2:8" ht="15" hidden="1" customHeight="1" x14ac:dyDescent="0.2"/>
    <row r="33" spans="3:3" ht="15" customHeight="1" x14ac:dyDescent="0.2">
      <c r="C33" s="4"/>
    </row>
    <row r="34" spans="3:3" ht="15" customHeight="1" x14ac:dyDescent="0.2">
      <c r="C34" s="4"/>
    </row>
    <row r="35" spans="3:3" ht="15" customHeight="1" x14ac:dyDescent="0.2">
      <c r="C35" s="4"/>
    </row>
    <row r="36" spans="3:3" ht="15" customHeight="1" x14ac:dyDescent="0.2">
      <c r="C36" s="4"/>
    </row>
    <row r="37" spans="3:3" ht="15" customHeight="1" x14ac:dyDescent="0.2">
      <c r="C37" s="4"/>
    </row>
    <row r="38" spans="3:3" ht="15" customHeight="1" x14ac:dyDescent="0.2">
      <c r="C38" s="4"/>
    </row>
    <row r="39" spans="3:3" ht="15" customHeight="1" x14ac:dyDescent="0.2">
      <c r="C39" s="4"/>
    </row>
    <row r="40" spans="3:3" ht="15" customHeight="1" x14ac:dyDescent="0.2">
      <c r="C40" s="4"/>
    </row>
    <row r="41" spans="3:3" ht="15" customHeight="1" x14ac:dyDescent="0.2">
      <c r="C41" s="4"/>
    </row>
    <row r="42" spans="3:3" ht="15" customHeight="1" x14ac:dyDescent="0.2">
      <c r="C42" s="4"/>
    </row>
    <row r="43" spans="3:3" ht="15" customHeight="1" x14ac:dyDescent="0.2">
      <c r="C43" s="4"/>
    </row>
    <row r="44" spans="3:3" ht="15" customHeight="1" x14ac:dyDescent="0.2">
      <c r="C44" s="4"/>
    </row>
    <row r="45" spans="3:3" ht="15" customHeight="1" x14ac:dyDescent="0.2">
      <c r="C45" s="4"/>
    </row>
    <row r="46" spans="3:3" ht="15" customHeight="1" x14ac:dyDescent="0.2">
      <c r="C46" s="4"/>
    </row>
    <row r="47" spans="3:3" ht="15" customHeight="1" x14ac:dyDescent="0.2">
      <c r="C47" s="4"/>
    </row>
    <row r="48" spans="3:3" ht="15" customHeight="1" x14ac:dyDescent="0.2">
      <c r="C48" s="4"/>
    </row>
    <row r="49" spans="3:3" ht="15" customHeight="1" x14ac:dyDescent="0.2">
      <c r="C49" s="4"/>
    </row>
    <row r="50" spans="3:3" ht="15" customHeight="1" x14ac:dyDescent="0.2">
      <c r="C50" s="4"/>
    </row>
    <row r="51" spans="3:3" ht="15" customHeight="1" x14ac:dyDescent="0.2">
      <c r="C51" s="4"/>
    </row>
    <row r="52" spans="3:3" ht="15" customHeight="1" x14ac:dyDescent="0.2">
      <c r="C52" s="4"/>
    </row>
    <row r="53" spans="3:3" ht="15" customHeight="1" x14ac:dyDescent="0.2">
      <c r="C53" s="4"/>
    </row>
    <row r="54" spans="3:3" ht="15" customHeight="1" x14ac:dyDescent="0.2">
      <c r="C54" s="4"/>
    </row>
    <row r="55" spans="3:3" ht="15" customHeight="1" x14ac:dyDescent="0.2">
      <c r="C55" s="4"/>
    </row>
    <row r="56" spans="3:3" ht="15" customHeight="1" x14ac:dyDescent="0.2">
      <c r="C56" s="4"/>
    </row>
    <row r="57" spans="3:3" ht="15" customHeight="1" x14ac:dyDescent="0.2">
      <c r="C57" s="4"/>
    </row>
    <row r="58" spans="3:3" ht="15" customHeight="1" x14ac:dyDescent="0.2">
      <c r="C58" s="4"/>
    </row>
    <row r="59" spans="3:3" ht="15" customHeight="1" x14ac:dyDescent="0.2">
      <c r="C59" s="4"/>
    </row>
    <row r="60" spans="3:3" ht="15" customHeight="1" x14ac:dyDescent="0.2">
      <c r="C60" s="4"/>
    </row>
    <row r="61" spans="3:3" ht="15" customHeight="1" x14ac:dyDescent="0.2">
      <c r="C61" s="4"/>
    </row>
    <row r="62" spans="3:3" ht="15" customHeight="1" x14ac:dyDescent="0.2">
      <c r="C62" s="4"/>
    </row>
    <row r="63" spans="3:3" ht="15" customHeight="1" x14ac:dyDescent="0.2">
      <c r="C63" s="4"/>
    </row>
    <row r="64" spans="3:3" ht="15" customHeight="1" x14ac:dyDescent="0.2">
      <c r="C64" s="4"/>
    </row>
    <row r="65" spans="3:3" ht="15" customHeight="1" x14ac:dyDescent="0.2">
      <c r="C65" s="4"/>
    </row>
    <row r="66" spans="3:3" ht="15" customHeight="1" x14ac:dyDescent="0.2">
      <c r="C66" s="4"/>
    </row>
    <row r="67" spans="3:3" ht="15" customHeight="1" x14ac:dyDescent="0.2">
      <c r="C67" s="4"/>
    </row>
    <row r="68" spans="3:3" ht="15" customHeight="1" x14ac:dyDescent="0.2">
      <c r="C68" s="4"/>
    </row>
    <row r="69" spans="3:3" ht="15" customHeight="1" x14ac:dyDescent="0.2">
      <c r="C69" s="4"/>
    </row>
    <row r="70" spans="3:3" ht="15" customHeight="1" x14ac:dyDescent="0.2">
      <c r="C70" s="4"/>
    </row>
    <row r="71" spans="3:3" ht="15" customHeight="1" x14ac:dyDescent="0.2">
      <c r="C71" s="4"/>
    </row>
    <row r="72" spans="3:3" ht="15" customHeight="1" x14ac:dyDescent="0.2">
      <c r="C72" s="4"/>
    </row>
    <row r="73" spans="3:3" ht="15" customHeight="1" x14ac:dyDescent="0.2">
      <c r="C73" s="4"/>
    </row>
    <row r="74" spans="3:3" ht="15" customHeight="1" x14ac:dyDescent="0.2">
      <c r="C74" s="4"/>
    </row>
    <row r="75" spans="3:3" ht="15" customHeight="1" x14ac:dyDescent="0.2">
      <c r="C75" s="4"/>
    </row>
    <row r="76" spans="3:3" ht="15" customHeight="1" x14ac:dyDescent="0.2">
      <c r="C76" s="4"/>
    </row>
    <row r="77" spans="3:3" ht="15" customHeight="1" x14ac:dyDescent="0.2">
      <c r="C77" s="4"/>
    </row>
    <row r="78" spans="3:3" ht="15" customHeight="1" x14ac:dyDescent="0.2">
      <c r="C78" s="4"/>
    </row>
    <row r="79" spans="3:3" ht="15" customHeight="1" x14ac:dyDescent="0.2">
      <c r="C79" s="4"/>
    </row>
    <row r="80" spans="3:3" ht="15" customHeight="1" x14ac:dyDescent="0.2">
      <c r="C80" s="4"/>
    </row>
    <row r="81" spans="3:3" ht="15" customHeight="1" x14ac:dyDescent="0.2">
      <c r="C81" s="4"/>
    </row>
    <row r="82" spans="3:3" ht="15" customHeight="1" x14ac:dyDescent="0.2">
      <c r="C82" s="4"/>
    </row>
    <row r="83" spans="3:3" ht="15" customHeight="1" x14ac:dyDescent="0.2">
      <c r="C83" s="4"/>
    </row>
    <row r="84" spans="3:3" ht="15" customHeight="1" x14ac:dyDescent="0.2">
      <c r="C84" s="4"/>
    </row>
    <row r="85" spans="3:3" ht="15" customHeight="1" x14ac:dyDescent="0.2">
      <c r="C85" s="4"/>
    </row>
    <row r="86" spans="3:3" ht="15" customHeight="1" x14ac:dyDescent="0.2">
      <c r="C86" s="4"/>
    </row>
    <row r="87" spans="3:3" ht="15" customHeight="1" x14ac:dyDescent="0.2">
      <c r="C87" s="4"/>
    </row>
    <row r="88" spans="3:3" ht="15" customHeight="1" x14ac:dyDescent="0.2">
      <c r="C88" s="4"/>
    </row>
    <row r="89" spans="3:3" ht="15" customHeight="1" x14ac:dyDescent="0.2">
      <c r="C89" s="4"/>
    </row>
    <row r="90" spans="3:3" ht="15" customHeight="1" x14ac:dyDescent="0.2">
      <c r="C90" s="4"/>
    </row>
    <row r="91" spans="3:3" ht="15" customHeight="1" x14ac:dyDescent="0.2">
      <c r="C91" s="4"/>
    </row>
    <row r="92" spans="3:3" ht="15" customHeight="1" x14ac:dyDescent="0.2">
      <c r="C92" s="4"/>
    </row>
    <row r="93" spans="3:3" ht="15" customHeight="1" x14ac:dyDescent="0.2">
      <c r="C93" s="4"/>
    </row>
    <row r="94" spans="3:3" ht="15" customHeight="1" x14ac:dyDescent="0.2">
      <c r="C94" s="4"/>
    </row>
    <row r="95" spans="3:3" ht="15" customHeight="1" x14ac:dyDescent="0.2">
      <c r="C95" s="4"/>
    </row>
    <row r="96" spans="3:3" ht="15" customHeight="1" x14ac:dyDescent="0.2">
      <c r="C96" s="4"/>
    </row>
    <row r="97" spans="3:3" ht="15" customHeight="1" x14ac:dyDescent="0.2">
      <c r="C97" s="4"/>
    </row>
    <row r="98" spans="3:3" ht="15" customHeight="1" x14ac:dyDescent="0.2">
      <c r="C98" s="4"/>
    </row>
    <row r="99" spans="3:3" ht="15" customHeight="1" x14ac:dyDescent="0.2">
      <c r="C99" s="4"/>
    </row>
    <row r="100" spans="3:3" ht="15" customHeight="1" x14ac:dyDescent="0.2">
      <c r="C100" s="4"/>
    </row>
    <row r="101" spans="3:3" ht="15" customHeight="1" x14ac:dyDescent="0.2">
      <c r="C101" s="4"/>
    </row>
    <row r="102" spans="3:3" ht="15" customHeight="1" x14ac:dyDescent="0.2">
      <c r="C102" s="4"/>
    </row>
    <row r="103" spans="3:3" ht="15" customHeight="1" x14ac:dyDescent="0.2">
      <c r="C103" s="4"/>
    </row>
    <row r="104" spans="3:3" ht="15" customHeight="1" x14ac:dyDescent="0.2">
      <c r="C104" s="4"/>
    </row>
    <row r="105" spans="3:3" ht="15" customHeight="1" x14ac:dyDescent="0.2">
      <c r="C105" s="4"/>
    </row>
    <row r="106" spans="3:3" ht="15" customHeight="1" x14ac:dyDescent="0.2">
      <c r="C106" s="4"/>
    </row>
    <row r="107" spans="3:3" ht="15" customHeight="1" x14ac:dyDescent="0.2">
      <c r="C107" s="4"/>
    </row>
    <row r="108" spans="3:3" ht="15" customHeight="1" x14ac:dyDescent="0.2">
      <c r="C108" s="4"/>
    </row>
    <row r="109" spans="3:3" ht="15" customHeight="1" x14ac:dyDescent="0.2">
      <c r="C109" s="4"/>
    </row>
    <row r="110" spans="3:3" ht="15" customHeight="1" x14ac:dyDescent="0.2">
      <c r="C110" s="4"/>
    </row>
    <row r="111" spans="3:3" ht="15" customHeight="1" x14ac:dyDescent="0.2">
      <c r="C111" s="4"/>
    </row>
    <row r="112" spans="3:3" ht="15" customHeight="1" x14ac:dyDescent="0.2">
      <c r="C112" s="4"/>
    </row>
    <row r="113" spans="3:3" ht="15" customHeight="1" x14ac:dyDescent="0.2">
      <c r="C113" s="4"/>
    </row>
    <row r="114" spans="3:3" ht="15" customHeight="1" x14ac:dyDescent="0.2">
      <c r="C114" s="4"/>
    </row>
    <row r="115" spans="3:3" ht="15" customHeight="1" x14ac:dyDescent="0.2">
      <c r="C115" s="4"/>
    </row>
    <row r="116" spans="3:3" ht="15" customHeight="1" x14ac:dyDescent="0.2">
      <c r="C116" s="4"/>
    </row>
    <row r="117" spans="3:3" ht="15" customHeight="1" x14ac:dyDescent="0.2">
      <c r="C117" s="4"/>
    </row>
    <row r="118" spans="3:3" ht="15" customHeight="1" x14ac:dyDescent="0.2">
      <c r="C118" s="4"/>
    </row>
    <row r="119" spans="3:3" ht="15" customHeight="1" x14ac:dyDescent="0.2">
      <c r="C119" s="4"/>
    </row>
    <row r="120" spans="3:3" ht="15" customHeight="1" x14ac:dyDescent="0.2">
      <c r="C120" s="4"/>
    </row>
    <row r="121" spans="3:3" ht="15" customHeight="1" x14ac:dyDescent="0.2">
      <c r="C121" s="4"/>
    </row>
    <row r="122" spans="3:3" ht="15" customHeight="1" x14ac:dyDescent="0.2">
      <c r="C122" s="4"/>
    </row>
    <row r="123" spans="3:3" ht="15" customHeight="1" x14ac:dyDescent="0.2">
      <c r="C123" s="4"/>
    </row>
    <row r="124" spans="3:3" ht="15" customHeight="1" x14ac:dyDescent="0.2">
      <c r="C124" s="4"/>
    </row>
    <row r="125" spans="3:3" ht="15" customHeight="1" x14ac:dyDescent="0.2">
      <c r="C125" s="4"/>
    </row>
    <row r="126" spans="3:3" ht="15" customHeight="1" x14ac:dyDescent="0.2">
      <c r="C126" s="4"/>
    </row>
    <row r="127" spans="3:3" ht="15" customHeight="1" x14ac:dyDescent="0.2">
      <c r="C127" s="4"/>
    </row>
    <row r="128" spans="3:3" ht="15" customHeight="1" x14ac:dyDescent="0.2">
      <c r="C128" s="4"/>
    </row>
    <row r="129" spans="3:3" ht="15" customHeight="1" x14ac:dyDescent="0.2">
      <c r="C129" s="4"/>
    </row>
    <row r="130" spans="3:3" ht="15" customHeight="1" x14ac:dyDescent="0.2">
      <c r="C130" s="4"/>
    </row>
    <row r="131" spans="3:3" ht="15" customHeight="1" x14ac:dyDescent="0.2">
      <c r="C131" s="4"/>
    </row>
    <row r="132" spans="3:3" ht="15" customHeight="1" x14ac:dyDescent="0.2">
      <c r="C132" s="4"/>
    </row>
    <row r="133" spans="3:3" ht="15" customHeight="1" x14ac:dyDescent="0.2">
      <c r="C133" s="4"/>
    </row>
    <row r="134" spans="3:3" ht="15" customHeight="1" x14ac:dyDescent="0.2">
      <c r="C134" s="4"/>
    </row>
    <row r="135" spans="3:3" ht="15" customHeight="1" x14ac:dyDescent="0.2">
      <c r="C135" s="4"/>
    </row>
    <row r="136" spans="3:3" ht="15" customHeight="1" x14ac:dyDescent="0.2">
      <c r="C136" s="4"/>
    </row>
    <row r="137" spans="3:3" ht="15" customHeight="1" x14ac:dyDescent="0.2">
      <c r="C137" s="4"/>
    </row>
    <row r="138" spans="3:3" ht="15" customHeight="1" x14ac:dyDescent="0.2">
      <c r="C138" s="4"/>
    </row>
    <row r="139" spans="3:3" ht="15" customHeight="1" x14ac:dyDescent="0.2">
      <c r="C139" s="4"/>
    </row>
    <row r="140" spans="3:3" ht="15" customHeight="1" x14ac:dyDescent="0.2">
      <c r="C140" s="4"/>
    </row>
    <row r="141" spans="3:3" ht="15" customHeight="1" x14ac:dyDescent="0.2">
      <c r="C141" s="4"/>
    </row>
    <row r="142" spans="3:3" ht="15" customHeight="1" x14ac:dyDescent="0.2">
      <c r="C142" s="4"/>
    </row>
    <row r="143" spans="3:3" ht="15" customHeight="1" x14ac:dyDescent="0.2">
      <c r="C143" s="4"/>
    </row>
    <row r="144" spans="3:3" ht="15" customHeight="1" x14ac:dyDescent="0.2">
      <c r="C144" s="4"/>
    </row>
    <row r="145" spans="3:3" ht="15" customHeight="1" x14ac:dyDescent="0.2">
      <c r="C145" s="4"/>
    </row>
    <row r="146" spans="3:3" ht="15" customHeight="1" x14ac:dyDescent="0.2">
      <c r="C146" s="4"/>
    </row>
    <row r="147" spans="3:3" ht="15" customHeight="1" x14ac:dyDescent="0.2">
      <c r="C147" s="4"/>
    </row>
  </sheetData>
  <mergeCells count="3">
    <mergeCell ref="B1:C1"/>
    <mergeCell ref="C5:D5"/>
    <mergeCell ref="B2:F2"/>
  </mergeCells>
  <phoneticPr fontId="0" type="noConversion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60" orientation="portrait" r:id="rId1"/>
  <headerFooter alignWithMargins="0">
    <oddHeader xml:space="preserve">&amp;R&amp;"Times New Roman CE,Félkövér"&amp;16 &amp;"Arial,Félkövér"&amp;14 16. melléklet a .../2022. (........) önkormányzati rendelethez
</oddHeader>
    <oddFooter xml:space="preserve">&amp;C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G94"/>
  <sheetViews>
    <sheetView zoomScale="75" zoomScaleNormal="75" workbookViewId="0">
      <selection activeCell="M22" sqref="M22"/>
    </sheetView>
  </sheetViews>
  <sheetFormatPr defaultColWidth="10.6640625" defaultRowHeight="15" x14ac:dyDescent="0.2"/>
  <cols>
    <col min="1" max="1" width="10.6640625" style="24"/>
    <col min="2" max="2" width="6" style="24" customWidth="1"/>
    <col min="3" max="3" width="126.83203125" style="24" customWidth="1"/>
    <col min="4" max="7" width="22.83203125" style="24" customWidth="1"/>
    <col min="8" max="16384" width="10.6640625" style="24"/>
  </cols>
  <sheetData>
    <row r="1" spans="2:7" ht="22.5" customHeight="1" x14ac:dyDescent="0.3">
      <c r="B1" s="2465" t="s">
        <v>457</v>
      </c>
      <c r="C1" s="2465"/>
      <c r="D1" s="2465"/>
      <c r="E1" s="2465"/>
      <c r="F1" s="2465"/>
      <c r="G1" s="2465"/>
    </row>
    <row r="2" spans="2:7" ht="21" thickBot="1" x14ac:dyDescent="0.35">
      <c r="C2" s="51"/>
      <c r="D2" s="52"/>
      <c r="G2" s="958" t="s">
        <v>19</v>
      </c>
    </row>
    <row r="3" spans="2:7" ht="22.5" customHeight="1" x14ac:dyDescent="0.25">
      <c r="B3" s="817"/>
      <c r="C3" s="818" t="s">
        <v>33</v>
      </c>
      <c r="D3" s="2468" t="s">
        <v>515</v>
      </c>
      <c r="E3" s="2469"/>
      <c r="F3" s="717" t="s">
        <v>410</v>
      </c>
      <c r="G3" s="649" t="s">
        <v>107</v>
      </c>
    </row>
    <row r="4" spans="2:7" ht="22.5" customHeight="1" thickBot="1" x14ac:dyDescent="0.3">
      <c r="B4" s="819"/>
      <c r="C4" s="820"/>
      <c r="D4" s="821" t="s">
        <v>213</v>
      </c>
      <c r="E4" s="821" t="s">
        <v>105</v>
      </c>
      <c r="F4" s="763" t="s">
        <v>106</v>
      </c>
      <c r="G4" s="652" t="s">
        <v>108</v>
      </c>
    </row>
    <row r="5" spans="2:7" ht="21.75" customHeight="1" x14ac:dyDescent="0.25">
      <c r="B5" s="822" t="s">
        <v>303</v>
      </c>
      <c r="C5" s="823"/>
      <c r="D5" s="824"/>
      <c r="E5" s="824"/>
      <c r="F5" s="824"/>
      <c r="G5" s="824"/>
    </row>
    <row r="6" spans="2:7" s="122" customFormat="1" ht="21.95" customHeight="1" x14ac:dyDescent="0.25">
      <c r="B6" s="825"/>
      <c r="C6" s="1060" t="s">
        <v>642</v>
      </c>
      <c r="D6" s="827"/>
      <c r="E6" s="655">
        <v>435000</v>
      </c>
      <c r="F6" s="829">
        <v>435000</v>
      </c>
      <c r="G6" s="828">
        <f t="shared" ref="G6:G10" si="0">+F6/E6*100</f>
        <v>100</v>
      </c>
    </row>
    <row r="7" spans="2:7" s="122" customFormat="1" ht="21.95" customHeight="1" x14ac:dyDescent="0.25">
      <c r="B7" s="825"/>
      <c r="C7" s="1059" t="s">
        <v>643</v>
      </c>
      <c r="D7" s="1069"/>
      <c r="E7" s="1070">
        <v>130000</v>
      </c>
      <c r="F7" s="867">
        <v>130000</v>
      </c>
      <c r="G7" s="1072">
        <f t="shared" si="0"/>
        <v>100</v>
      </c>
    </row>
    <row r="8" spans="2:7" s="122" customFormat="1" ht="21.95" customHeight="1" x14ac:dyDescent="0.25">
      <c r="B8" s="825"/>
      <c r="C8" s="1060" t="s">
        <v>644</v>
      </c>
      <c r="D8" s="827"/>
      <c r="E8" s="655">
        <v>220000</v>
      </c>
      <c r="F8" s="829">
        <v>220000</v>
      </c>
      <c r="G8" s="828">
        <f t="shared" si="0"/>
        <v>100</v>
      </c>
    </row>
    <row r="9" spans="2:7" s="122" customFormat="1" ht="21.95" customHeight="1" x14ac:dyDescent="0.25">
      <c r="B9" s="825"/>
      <c r="C9" s="1039" t="s">
        <v>645</v>
      </c>
      <c r="D9" s="827"/>
      <c r="E9" s="655">
        <v>120000</v>
      </c>
      <c r="F9" s="829">
        <v>120000</v>
      </c>
      <c r="G9" s="828">
        <f t="shared" si="0"/>
        <v>100</v>
      </c>
    </row>
    <row r="10" spans="2:7" ht="21.75" customHeight="1" thickBot="1" x14ac:dyDescent="0.3">
      <c r="B10" s="1038"/>
      <c r="C10" s="1123" t="s">
        <v>646</v>
      </c>
      <c r="D10" s="835"/>
      <c r="E10" s="835">
        <v>299850</v>
      </c>
      <c r="F10" s="1078">
        <v>299850</v>
      </c>
      <c r="G10" s="834">
        <f t="shared" si="0"/>
        <v>100</v>
      </c>
    </row>
    <row r="11" spans="2:7" s="122" customFormat="1" ht="21.95" customHeight="1" thickBot="1" x14ac:dyDescent="0.3">
      <c r="B11" s="1128"/>
      <c r="C11" s="1129" t="s">
        <v>124</v>
      </c>
      <c r="D11" s="1124">
        <f>SUM(D6:D10)</f>
        <v>0</v>
      </c>
      <c r="E11" s="1124">
        <f>SUM(E6:E10)</f>
        <v>1204850</v>
      </c>
      <c r="F11" s="1124">
        <f>SUM(F6:F10)</f>
        <v>1204850</v>
      </c>
      <c r="G11" s="1125">
        <f t="shared" ref="G11" si="1">+F11/E11*100</f>
        <v>100</v>
      </c>
    </row>
    <row r="12" spans="2:7" s="122" customFormat="1" ht="21.95" customHeight="1" thickBot="1" x14ac:dyDescent="0.3">
      <c r="B12" s="825"/>
      <c r="C12" s="1126"/>
      <c r="D12" s="1069"/>
      <c r="E12" s="1069"/>
      <c r="F12" s="1069"/>
      <c r="G12" s="1127"/>
    </row>
    <row r="13" spans="2:7" s="26" customFormat="1" ht="33.75" thickBot="1" x14ac:dyDescent="0.3">
      <c r="B13" s="1130"/>
      <c r="C13" s="1131" t="s">
        <v>147</v>
      </c>
      <c r="D13" s="842">
        <f>SUM(D12)</f>
        <v>0</v>
      </c>
      <c r="E13" s="842">
        <f t="shared" ref="E13:F13" si="2">SUM(E12)</f>
        <v>0</v>
      </c>
      <c r="F13" s="842">
        <f t="shared" si="2"/>
        <v>0</v>
      </c>
      <c r="G13" s="1125"/>
    </row>
    <row r="14" spans="2:7" s="123" customFormat="1" ht="21.75" customHeight="1" x14ac:dyDescent="0.25">
      <c r="B14" s="826"/>
      <c r="C14" s="1086"/>
      <c r="D14" s="1087"/>
      <c r="E14" s="1088"/>
      <c r="F14" s="1089"/>
      <c r="G14" s="1090"/>
    </row>
    <row r="15" spans="2:7" ht="21.75" customHeight="1" x14ac:dyDescent="0.25">
      <c r="B15" s="830"/>
      <c r="C15" s="831" t="s">
        <v>688</v>
      </c>
      <c r="D15" s="829"/>
      <c r="E15" s="829">
        <v>7957</v>
      </c>
      <c r="F15" s="995"/>
      <c r="G15" s="828">
        <f t="shared" ref="G15:G36" si="3">+F15/E15*100</f>
        <v>0</v>
      </c>
    </row>
    <row r="16" spans="2:7" ht="21.75" customHeight="1" x14ac:dyDescent="0.25">
      <c r="B16" s="830"/>
      <c r="C16" s="832" t="s">
        <v>288</v>
      </c>
      <c r="D16" s="829"/>
      <c r="E16" s="829">
        <v>136668</v>
      </c>
      <c r="F16" s="2330">
        <f>29305+1</f>
        <v>29306</v>
      </c>
      <c r="G16" s="828">
        <f t="shared" si="3"/>
        <v>21.443205432142125</v>
      </c>
    </row>
    <row r="17" spans="2:7" ht="21.75" customHeight="1" x14ac:dyDescent="0.25">
      <c r="B17" s="830"/>
      <c r="C17" s="832" t="s">
        <v>292</v>
      </c>
      <c r="D17" s="829"/>
      <c r="E17" s="829">
        <v>2382</v>
      </c>
      <c r="F17" s="995">
        <v>2382</v>
      </c>
      <c r="G17" s="828">
        <f t="shared" si="3"/>
        <v>100</v>
      </c>
    </row>
    <row r="18" spans="2:7" ht="21.75" customHeight="1" x14ac:dyDescent="0.25">
      <c r="B18" s="830"/>
      <c r="C18" s="832" t="s">
        <v>296</v>
      </c>
      <c r="D18" s="829"/>
      <c r="E18" s="829">
        <v>858</v>
      </c>
      <c r="F18" s="995">
        <v>858</v>
      </c>
      <c r="G18" s="828">
        <f t="shared" si="3"/>
        <v>100</v>
      </c>
    </row>
    <row r="19" spans="2:7" ht="21.75" customHeight="1" x14ac:dyDescent="0.25">
      <c r="B19" s="830"/>
      <c r="C19" s="832" t="s">
        <v>330</v>
      </c>
      <c r="D19" s="829"/>
      <c r="E19" s="829">
        <v>10000</v>
      </c>
      <c r="F19" s="995">
        <v>9999</v>
      </c>
      <c r="G19" s="828">
        <f t="shared" si="3"/>
        <v>99.99</v>
      </c>
    </row>
    <row r="20" spans="2:7" ht="40.5" customHeight="1" x14ac:dyDescent="0.25">
      <c r="B20" s="830"/>
      <c r="C20" s="832" t="s">
        <v>375</v>
      </c>
      <c r="D20" s="829"/>
      <c r="E20" s="829">
        <v>18000</v>
      </c>
      <c r="F20" s="995">
        <v>18000</v>
      </c>
      <c r="G20" s="828">
        <f t="shared" si="3"/>
        <v>100</v>
      </c>
    </row>
    <row r="21" spans="2:7" ht="21.75" customHeight="1" x14ac:dyDescent="0.25">
      <c r="B21" s="830"/>
      <c r="C21" s="831" t="s">
        <v>300</v>
      </c>
      <c r="D21" s="829"/>
      <c r="E21" s="829">
        <v>80050</v>
      </c>
      <c r="F21" s="829">
        <v>77481</v>
      </c>
      <c r="G21" s="828">
        <f t="shared" si="3"/>
        <v>96.790755777638964</v>
      </c>
    </row>
    <row r="22" spans="2:7" ht="21.75" customHeight="1" x14ac:dyDescent="0.25">
      <c r="B22" s="830"/>
      <c r="C22" s="832" t="s">
        <v>299</v>
      </c>
      <c r="D22" s="829"/>
      <c r="E22" s="829">
        <v>15727</v>
      </c>
      <c r="F22" s="829">
        <v>7503</v>
      </c>
      <c r="G22" s="828">
        <f t="shared" si="3"/>
        <v>47.707763718445982</v>
      </c>
    </row>
    <row r="23" spans="2:7" ht="42" customHeight="1" x14ac:dyDescent="0.25">
      <c r="B23" s="830"/>
      <c r="C23" s="833" t="s">
        <v>364</v>
      </c>
      <c r="D23" s="829"/>
      <c r="E23" s="829">
        <v>3800</v>
      </c>
      <c r="F23" s="995">
        <v>2570</v>
      </c>
      <c r="G23" s="834">
        <f t="shared" si="3"/>
        <v>67.631578947368425</v>
      </c>
    </row>
    <row r="24" spans="2:7" ht="42" customHeight="1" x14ac:dyDescent="0.25">
      <c r="B24" s="830"/>
      <c r="C24" s="833" t="s">
        <v>365</v>
      </c>
      <c r="D24" s="829"/>
      <c r="E24" s="829">
        <v>9000</v>
      </c>
      <c r="F24" s="995"/>
      <c r="G24" s="834">
        <f t="shared" si="3"/>
        <v>0</v>
      </c>
    </row>
    <row r="25" spans="2:7" ht="21.75" customHeight="1" x14ac:dyDescent="0.25">
      <c r="B25" s="830"/>
      <c r="C25" s="836" t="s">
        <v>297</v>
      </c>
      <c r="D25" s="829"/>
      <c r="E25" s="829">
        <v>21835</v>
      </c>
      <c r="F25" s="995">
        <v>21835</v>
      </c>
      <c r="G25" s="834">
        <f t="shared" si="3"/>
        <v>100</v>
      </c>
    </row>
    <row r="26" spans="2:7" ht="21.75" customHeight="1" x14ac:dyDescent="0.25">
      <c r="B26" s="1038"/>
      <c r="C26" s="1039" t="s">
        <v>498</v>
      </c>
      <c r="D26" s="829"/>
      <c r="E26" s="829">
        <v>21642</v>
      </c>
      <c r="F26" s="995"/>
      <c r="G26" s="834">
        <f t="shared" si="3"/>
        <v>0</v>
      </c>
    </row>
    <row r="27" spans="2:7" ht="21.75" customHeight="1" x14ac:dyDescent="0.25">
      <c r="B27" s="1038"/>
      <c r="C27" s="1039" t="s">
        <v>504</v>
      </c>
      <c r="D27" s="829"/>
      <c r="E27" s="829">
        <v>1622</v>
      </c>
      <c r="F27" s="995"/>
      <c r="G27" s="834">
        <f t="shared" si="3"/>
        <v>0</v>
      </c>
    </row>
    <row r="28" spans="2:7" ht="42" customHeight="1" x14ac:dyDescent="0.25">
      <c r="B28" s="830"/>
      <c r="C28" s="833" t="s">
        <v>572</v>
      </c>
      <c r="D28" s="829"/>
      <c r="E28" s="829">
        <v>14937</v>
      </c>
      <c r="F28" s="995">
        <v>14937</v>
      </c>
      <c r="G28" s="834">
        <f t="shared" si="3"/>
        <v>100</v>
      </c>
    </row>
    <row r="29" spans="2:7" ht="21.75" customHeight="1" x14ac:dyDescent="0.25">
      <c r="B29" s="1038"/>
      <c r="C29" s="1039" t="s">
        <v>573</v>
      </c>
      <c r="D29" s="829"/>
      <c r="E29" s="829">
        <v>9893</v>
      </c>
      <c r="F29" s="995">
        <v>9893</v>
      </c>
      <c r="G29" s="834">
        <f t="shared" si="3"/>
        <v>100</v>
      </c>
    </row>
    <row r="30" spans="2:7" ht="42" customHeight="1" x14ac:dyDescent="0.25">
      <c r="B30" s="830"/>
      <c r="C30" s="833" t="s">
        <v>574</v>
      </c>
      <c r="D30" s="829"/>
      <c r="E30" s="829">
        <v>7801</v>
      </c>
      <c r="F30" s="995">
        <v>7801</v>
      </c>
      <c r="G30" s="834">
        <f t="shared" si="3"/>
        <v>100</v>
      </c>
    </row>
    <row r="31" spans="2:7" ht="21.75" customHeight="1" x14ac:dyDescent="0.25">
      <c r="B31" s="1038"/>
      <c r="C31" s="1039" t="s">
        <v>575</v>
      </c>
      <c r="D31" s="829"/>
      <c r="E31" s="829">
        <v>20000</v>
      </c>
      <c r="F31" s="995">
        <v>19000</v>
      </c>
      <c r="G31" s="834">
        <f t="shared" si="3"/>
        <v>95</v>
      </c>
    </row>
    <row r="32" spans="2:7" ht="21.75" customHeight="1" x14ac:dyDescent="0.25">
      <c r="B32" s="1038"/>
      <c r="C32" s="1039" t="s">
        <v>622</v>
      </c>
      <c r="D32" s="829"/>
      <c r="E32" s="829">
        <v>130376</v>
      </c>
      <c r="F32" s="995">
        <v>130376</v>
      </c>
      <c r="G32" s="834">
        <f t="shared" si="3"/>
        <v>100</v>
      </c>
    </row>
    <row r="33" spans="2:7" ht="42" customHeight="1" x14ac:dyDescent="0.25">
      <c r="B33" s="830"/>
      <c r="C33" s="833" t="s">
        <v>576</v>
      </c>
      <c r="D33" s="829"/>
      <c r="E33" s="829">
        <v>52654</v>
      </c>
      <c r="F33" s="995">
        <v>52654</v>
      </c>
      <c r="G33" s="834">
        <f t="shared" si="3"/>
        <v>100</v>
      </c>
    </row>
    <row r="34" spans="2:7" ht="21.75" customHeight="1" x14ac:dyDescent="0.25">
      <c r="B34" s="1038"/>
      <c r="C34" s="1059" t="s">
        <v>577</v>
      </c>
      <c r="D34" s="835"/>
      <c r="E34" s="835">
        <v>3988</v>
      </c>
      <c r="F34" s="1078">
        <v>3988</v>
      </c>
      <c r="G34" s="834">
        <f t="shared" si="3"/>
        <v>100</v>
      </c>
    </row>
    <row r="35" spans="2:7" ht="21.75" customHeight="1" x14ac:dyDescent="0.25">
      <c r="B35" s="1038"/>
      <c r="C35" s="1060" t="s">
        <v>616</v>
      </c>
      <c r="D35" s="829"/>
      <c r="E35" s="829">
        <v>11960</v>
      </c>
      <c r="F35" s="995">
        <v>11960</v>
      </c>
      <c r="G35" s="828">
        <f t="shared" si="3"/>
        <v>100</v>
      </c>
    </row>
    <row r="36" spans="2:7" ht="21.75" customHeight="1" thickBot="1" x14ac:dyDescent="0.3">
      <c r="B36" s="830"/>
      <c r="C36" s="1126" t="s">
        <v>125</v>
      </c>
      <c r="D36" s="1132">
        <f>SUM(D14:D35)</f>
        <v>0</v>
      </c>
      <c r="E36" s="1132">
        <f>SUM(E14:E35)</f>
        <v>581150</v>
      </c>
      <c r="F36" s="1132">
        <f>SUM(F14:F35)</f>
        <v>420543</v>
      </c>
      <c r="G36" s="837">
        <f t="shared" si="3"/>
        <v>72.363933579970748</v>
      </c>
    </row>
    <row r="37" spans="2:7" ht="22.5" customHeight="1" thickBot="1" x14ac:dyDescent="0.3">
      <c r="B37" s="1133" t="s">
        <v>284</v>
      </c>
      <c r="C37" s="1134"/>
      <c r="D37" s="1135">
        <f>+D36+D13+D11</f>
        <v>0</v>
      </c>
      <c r="E37" s="1135">
        <f>+E36+E13+E11</f>
        <v>1786000</v>
      </c>
      <c r="F37" s="1135">
        <f>+F36+F13+F11</f>
        <v>1625393</v>
      </c>
      <c r="G37" s="1136">
        <f>+F37/E37*100</f>
        <v>91.007446808510636</v>
      </c>
    </row>
    <row r="38" spans="2:7" ht="22.5" customHeight="1" x14ac:dyDescent="0.25">
      <c r="B38" s="822" t="s">
        <v>280</v>
      </c>
      <c r="C38" s="823"/>
      <c r="D38" s="824"/>
      <c r="E38" s="824"/>
      <c r="F38" s="824"/>
      <c r="G38" s="824"/>
    </row>
    <row r="39" spans="2:7" ht="21.75" customHeight="1" x14ac:dyDescent="0.25">
      <c r="B39" s="1038"/>
      <c r="C39" s="1039" t="s">
        <v>251</v>
      </c>
      <c r="D39" s="829">
        <v>990000</v>
      </c>
      <c r="E39" s="829">
        <v>1958085</v>
      </c>
      <c r="F39" s="2330">
        <f>1958085+1</f>
        <v>1958086</v>
      </c>
      <c r="G39" s="834">
        <f t="shared" ref="G39:G43" si="4">+F39/E39*100</f>
        <v>100.00005107030594</v>
      </c>
    </row>
    <row r="40" spans="2:7" ht="21.75" customHeight="1" x14ac:dyDescent="0.25">
      <c r="B40" s="1038"/>
      <c r="C40" s="1039" t="s">
        <v>578</v>
      </c>
      <c r="D40" s="829"/>
      <c r="E40" s="829">
        <v>51000</v>
      </c>
      <c r="F40" s="995">
        <v>51000</v>
      </c>
      <c r="G40" s="834">
        <f t="shared" si="4"/>
        <v>100</v>
      </c>
    </row>
    <row r="41" spans="2:7" ht="21.75" customHeight="1" x14ac:dyDescent="0.25">
      <c r="B41" s="830"/>
      <c r="C41" s="831" t="s">
        <v>41</v>
      </c>
      <c r="D41" s="838"/>
      <c r="E41" s="838">
        <v>24300</v>
      </c>
      <c r="F41" s="838">
        <v>24300</v>
      </c>
      <c r="G41" s="839">
        <f t="shared" si="4"/>
        <v>100</v>
      </c>
    </row>
    <row r="42" spans="2:7" ht="21.75" customHeight="1" thickBot="1" x14ac:dyDescent="0.3">
      <c r="B42" s="830"/>
      <c r="C42" s="1061" t="s">
        <v>618</v>
      </c>
      <c r="D42" s="854"/>
      <c r="E42" s="854">
        <v>24</v>
      </c>
      <c r="F42" s="854">
        <v>24</v>
      </c>
      <c r="G42" s="839">
        <f t="shared" si="4"/>
        <v>100</v>
      </c>
    </row>
    <row r="43" spans="2:7" ht="21.95" customHeight="1" thickBot="1" x14ac:dyDescent="0.3">
      <c r="B43" s="840" t="s">
        <v>281</v>
      </c>
      <c r="C43" s="841"/>
      <c r="D43" s="842">
        <f t="shared" ref="D43:E43" si="5">SUM(D39:D42)</f>
        <v>990000</v>
      </c>
      <c r="E43" s="842">
        <f t="shared" si="5"/>
        <v>2033409</v>
      </c>
      <c r="F43" s="842">
        <f>SUM(F39:F42)</f>
        <v>2033410</v>
      </c>
      <c r="G43" s="843">
        <f t="shared" si="4"/>
        <v>100.00004917849779</v>
      </c>
    </row>
    <row r="44" spans="2:7" ht="21.95" customHeight="1" x14ac:dyDescent="0.25">
      <c r="B44" s="844" t="s">
        <v>285</v>
      </c>
      <c r="C44" s="845"/>
      <c r="D44" s="846"/>
      <c r="E44" s="846"/>
      <c r="F44" s="846"/>
      <c r="G44" s="846"/>
    </row>
    <row r="45" spans="2:7" ht="33.75" customHeight="1" x14ac:dyDescent="0.25">
      <c r="B45" s="844"/>
      <c r="C45" s="847" t="s">
        <v>91</v>
      </c>
      <c r="D45" s="848"/>
      <c r="E45" s="848"/>
      <c r="F45" s="848"/>
      <c r="G45" s="848"/>
    </row>
    <row r="46" spans="2:7" ht="21.95" customHeight="1" x14ac:dyDescent="0.25">
      <c r="B46" s="830"/>
      <c r="C46" s="849" t="s">
        <v>244</v>
      </c>
      <c r="D46" s="850">
        <v>10000</v>
      </c>
      <c r="E46" s="850">
        <v>11488</v>
      </c>
      <c r="F46" s="850">
        <v>12601</v>
      </c>
      <c r="G46" s="839">
        <f>+F46/E46*100</f>
        <v>109.68837047353762</v>
      </c>
    </row>
    <row r="47" spans="2:7" ht="21.95" customHeight="1" x14ac:dyDescent="0.25">
      <c r="B47" s="830"/>
      <c r="C47" s="851" t="s">
        <v>40</v>
      </c>
      <c r="D47" s="838">
        <v>7000</v>
      </c>
      <c r="E47" s="838">
        <v>3887</v>
      </c>
      <c r="F47" s="838">
        <v>3887</v>
      </c>
      <c r="G47" s="839">
        <f>+F47/E47*100</f>
        <v>100</v>
      </c>
    </row>
    <row r="48" spans="2:7" ht="21.95" customHeight="1" x14ac:dyDescent="0.25">
      <c r="B48" s="830"/>
      <c r="C48" s="852" t="s">
        <v>126</v>
      </c>
      <c r="D48" s="838"/>
      <c r="E48" s="838"/>
      <c r="F48" s="838"/>
      <c r="G48" s="839"/>
    </row>
    <row r="49" spans="2:7" ht="21.95" customHeight="1" x14ac:dyDescent="0.25">
      <c r="B49" s="830"/>
      <c r="C49" s="853" t="s">
        <v>544</v>
      </c>
      <c r="D49" s="854"/>
      <c r="E49" s="854">
        <v>15808</v>
      </c>
      <c r="F49" s="854">
        <v>15808</v>
      </c>
      <c r="G49" s="839">
        <f t="shared" ref="G49:G51" si="6">+F49/E49*100</f>
        <v>100</v>
      </c>
    </row>
    <row r="50" spans="2:7" ht="21.95" customHeight="1" x14ac:dyDescent="0.25">
      <c r="B50" s="830"/>
      <c r="C50" s="849" t="s">
        <v>614</v>
      </c>
      <c r="D50" s="850"/>
      <c r="E50" s="850">
        <v>1555</v>
      </c>
      <c r="F50" s="850">
        <v>1555</v>
      </c>
      <c r="G50" s="839">
        <f t="shared" si="6"/>
        <v>100</v>
      </c>
    </row>
    <row r="51" spans="2:7" ht="21.95" customHeight="1" thickBot="1" x14ac:dyDescent="0.3">
      <c r="B51" s="830"/>
      <c r="C51" s="1071" t="s">
        <v>655</v>
      </c>
      <c r="D51" s="863"/>
      <c r="E51" s="863">
        <v>155771</v>
      </c>
      <c r="F51" s="863">
        <v>37645</v>
      </c>
      <c r="G51" s="1073">
        <f t="shared" si="6"/>
        <v>24.166886005739194</v>
      </c>
    </row>
    <row r="52" spans="2:7" ht="21.95" customHeight="1" thickBot="1" x14ac:dyDescent="0.3">
      <c r="B52" s="2466" t="s">
        <v>0</v>
      </c>
      <c r="C52" s="2467"/>
      <c r="D52" s="1135">
        <f>SUM(D44:D51)</f>
        <v>17000</v>
      </c>
      <c r="E52" s="1135">
        <f>SUM(E44:E51)</f>
        <v>188509</v>
      </c>
      <c r="F52" s="1135">
        <f>SUM(F46:F51)</f>
        <v>71496</v>
      </c>
      <c r="G52" s="843">
        <f>+F52/E52*100</f>
        <v>37.927101623795153</v>
      </c>
    </row>
    <row r="53" spans="2:7" ht="21.95" customHeight="1" x14ac:dyDescent="0.25">
      <c r="B53" s="856" t="s">
        <v>273</v>
      </c>
      <c r="C53" s="857"/>
      <c r="D53" s="846"/>
      <c r="E53" s="846"/>
      <c r="F53" s="846"/>
      <c r="G53" s="846"/>
    </row>
    <row r="54" spans="2:7" ht="21.95" customHeight="1" x14ac:dyDescent="0.25">
      <c r="B54" s="844"/>
      <c r="C54" s="858" t="s">
        <v>87</v>
      </c>
      <c r="D54" s="859"/>
      <c r="E54" s="859"/>
      <c r="F54" s="859"/>
      <c r="G54" s="860"/>
    </row>
    <row r="55" spans="2:7" ht="21.95" customHeight="1" x14ac:dyDescent="0.25">
      <c r="B55" s="844"/>
      <c r="C55" s="861" t="s">
        <v>305</v>
      </c>
      <c r="D55" s="838"/>
      <c r="E55" s="838"/>
      <c r="F55" s="838"/>
      <c r="G55" s="839"/>
    </row>
    <row r="56" spans="2:7" ht="21.95" customHeight="1" x14ac:dyDescent="0.25">
      <c r="B56" s="844"/>
      <c r="C56" s="862" t="s">
        <v>274</v>
      </c>
      <c r="D56" s="838"/>
      <c r="E56" s="838">
        <v>7408</v>
      </c>
      <c r="F56" s="838">
        <v>7408</v>
      </c>
      <c r="G56" s="839">
        <f t="shared" ref="G56:G66" si="7">+F56/E56*100</f>
        <v>100</v>
      </c>
    </row>
    <row r="57" spans="2:7" ht="21.95" customHeight="1" x14ac:dyDescent="0.25">
      <c r="B57" s="844"/>
      <c r="C57" s="862" t="s">
        <v>245</v>
      </c>
      <c r="D57" s="829"/>
      <c r="E57" s="829">
        <v>11929</v>
      </c>
      <c r="F57" s="829">
        <v>11929</v>
      </c>
      <c r="G57" s="839">
        <f t="shared" si="7"/>
        <v>100</v>
      </c>
    </row>
    <row r="58" spans="2:7" ht="21.95" customHeight="1" x14ac:dyDescent="0.25">
      <c r="B58" s="844"/>
      <c r="C58" s="862" t="s">
        <v>246</v>
      </c>
      <c r="D58" s="846"/>
      <c r="E58" s="863">
        <v>24236</v>
      </c>
      <c r="F58" s="863">
        <v>24236</v>
      </c>
      <c r="G58" s="839">
        <f t="shared" si="7"/>
        <v>100</v>
      </c>
    </row>
    <row r="59" spans="2:7" ht="21.95" customHeight="1" x14ac:dyDescent="0.25">
      <c r="B59" s="844"/>
      <c r="C59" s="862" t="s">
        <v>275</v>
      </c>
      <c r="D59" s="850"/>
      <c r="E59" s="850">
        <v>1451</v>
      </c>
      <c r="F59" s="850">
        <v>1451</v>
      </c>
      <c r="G59" s="839">
        <f t="shared" si="7"/>
        <v>100</v>
      </c>
    </row>
    <row r="60" spans="2:7" ht="21.95" customHeight="1" x14ac:dyDescent="0.25">
      <c r="B60" s="844"/>
      <c r="C60" s="862" t="s">
        <v>276</v>
      </c>
      <c r="D60" s="846"/>
      <c r="E60" s="863"/>
      <c r="F60" s="846"/>
      <c r="G60" s="839"/>
    </row>
    <row r="61" spans="2:7" ht="21.95" customHeight="1" x14ac:dyDescent="0.25">
      <c r="B61" s="844"/>
      <c r="C61" s="864" t="s">
        <v>48</v>
      </c>
      <c r="D61" s="850"/>
      <c r="E61" s="850">
        <v>20</v>
      </c>
      <c r="F61" s="850">
        <v>20</v>
      </c>
      <c r="G61" s="839">
        <f t="shared" si="7"/>
        <v>100</v>
      </c>
    </row>
    <row r="62" spans="2:7" ht="21.95" customHeight="1" x14ac:dyDescent="0.25">
      <c r="B62" s="844"/>
      <c r="C62" s="864" t="s">
        <v>240</v>
      </c>
      <c r="D62" s="838">
        <v>2455</v>
      </c>
      <c r="E62" s="838">
        <v>6824</v>
      </c>
      <c r="F62" s="838">
        <v>6826</v>
      </c>
      <c r="G62" s="839">
        <f t="shared" si="7"/>
        <v>100.0293083235639</v>
      </c>
    </row>
    <row r="63" spans="2:7" ht="21.95" customHeight="1" x14ac:dyDescent="0.25">
      <c r="B63" s="844"/>
      <c r="C63" s="862" t="s">
        <v>68</v>
      </c>
      <c r="D63" s="846"/>
      <c r="E63" s="863">
        <v>75</v>
      </c>
      <c r="F63" s="863">
        <v>75</v>
      </c>
      <c r="G63" s="839">
        <f t="shared" si="7"/>
        <v>100</v>
      </c>
    </row>
    <row r="64" spans="2:7" ht="21.95" customHeight="1" x14ac:dyDescent="0.25">
      <c r="B64" s="844"/>
      <c r="C64" s="864" t="s">
        <v>69</v>
      </c>
      <c r="D64" s="850"/>
      <c r="E64" s="850"/>
      <c r="F64" s="850"/>
      <c r="G64" s="839"/>
    </row>
    <row r="65" spans="2:7" ht="21.95" customHeight="1" x14ac:dyDescent="0.25">
      <c r="B65" s="844"/>
      <c r="C65" s="865" t="s">
        <v>62</v>
      </c>
      <c r="D65" s="866"/>
      <c r="E65" s="866"/>
      <c r="F65" s="866"/>
      <c r="G65" s="839"/>
    </row>
    <row r="66" spans="2:7" ht="21.95" customHeight="1" thickBot="1" x14ac:dyDescent="0.3">
      <c r="B66" s="844"/>
      <c r="C66" s="858" t="s">
        <v>47</v>
      </c>
      <c r="D66" s="867"/>
      <c r="E66" s="867">
        <v>314</v>
      </c>
      <c r="F66" s="867">
        <v>314</v>
      </c>
      <c r="G66" s="839">
        <f t="shared" si="7"/>
        <v>100</v>
      </c>
    </row>
    <row r="67" spans="2:7" ht="21.95" customHeight="1" thickBot="1" x14ac:dyDescent="0.3">
      <c r="B67" s="2466" t="s">
        <v>109</v>
      </c>
      <c r="C67" s="2467"/>
      <c r="D67" s="1135">
        <f>SUM(D54:D66)</f>
        <v>2455</v>
      </c>
      <c r="E67" s="1135">
        <f t="shared" ref="E67:F67" si="8">SUM(E54:E66)</f>
        <v>52257</v>
      </c>
      <c r="F67" s="1135">
        <f t="shared" si="8"/>
        <v>52259</v>
      </c>
      <c r="G67" s="843">
        <f>+F67/E67*100</f>
        <v>100.00382723845608</v>
      </c>
    </row>
    <row r="68" spans="2:7" ht="21.95" customHeight="1" thickBot="1" x14ac:dyDescent="0.3">
      <c r="B68" s="2472" t="s">
        <v>376</v>
      </c>
      <c r="C68" s="2473"/>
      <c r="D68" s="1137">
        <f>+D37+D43+D52+D67</f>
        <v>1009455</v>
      </c>
      <c r="E68" s="1137">
        <f t="shared" ref="E68" si="9">+E37+E43+E52+E67</f>
        <v>4060175</v>
      </c>
      <c r="F68" s="1137">
        <f>+F37+F43+F52+F67</f>
        <v>3782558</v>
      </c>
      <c r="G68" s="855">
        <f>+F68/E68*100</f>
        <v>93.162437579660974</v>
      </c>
    </row>
    <row r="71" spans="2:7" x14ac:dyDescent="0.2">
      <c r="F71" s="54"/>
    </row>
    <row r="72" spans="2:7" x14ac:dyDescent="0.2">
      <c r="F72" s="54"/>
    </row>
    <row r="74" spans="2:7" x14ac:dyDescent="0.2">
      <c r="F74" s="54"/>
    </row>
    <row r="75" spans="2:7" x14ac:dyDescent="0.2">
      <c r="F75" s="54"/>
    </row>
    <row r="76" spans="2:7" x14ac:dyDescent="0.2">
      <c r="F76" s="54"/>
    </row>
    <row r="77" spans="2:7" x14ac:dyDescent="0.2">
      <c r="F77" s="54"/>
    </row>
    <row r="78" spans="2:7" x14ac:dyDescent="0.2">
      <c r="F78" s="54"/>
    </row>
    <row r="79" spans="2:7" x14ac:dyDescent="0.2">
      <c r="F79" s="54"/>
    </row>
    <row r="80" spans="2:7" x14ac:dyDescent="0.2">
      <c r="F80" s="54"/>
    </row>
    <row r="86" spans="3:7" ht="15.75" x14ac:dyDescent="0.25">
      <c r="C86" s="2470"/>
      <c r="D86" s="2470"/>
      <c r="E86" s="2470"/>
      <c r="F86" s="39"/>
      <c r="G86" s="39"/>
    </row>
    <row r="87" spans="3:7" ht="15.75" x14ac:dyDescent="0.25">
      <c r="C87" s="39"/>
      <c r="D87" s="133"/>
      <c r="E87" s="134"/>
      <c r="F87" s="39"/>
      <c r="G87" s="39"/>
    </row>
    <row r="88" spans="3:7" ht="15.75" x14ac:dyDescent="0.25">
      <c r="C88" s="39"/>
      <c r="D88" s="55"/>
      <c r="E88" s="2471"/>
      <c r="F88" s="2471"/>
      <c r="G88" s="38"/>
    </row>
    <row r="89" spans="3:7" ht="15.75" x14ac:dyDescent="0.25">
      <c r="C89" s="39"/>
      <c r="D89" s="53"/>
      <c r="E89" s="25"/>
      <c r="F89" s="25"/>
      <c r="G89" s="38"/>
    </row>
    <row r="90" spans="3:7" ht="15.75" x14ac:dyDescent="0.25">
      <c r="C90" s="135"/>
      <c r="D90" s="53"/>
      <c r="E90" s="79"/>
      <c r="F90" s="79"/>
      <c r="G90" s="79"/>
    </row>
    <row r="91" spans="3:7" x14ac:dyDescent="0.2">
      <c r="C91" s="136"/>
      <c r="D91" s="128"/>
      <c r="E91" s="137"/>
      <c r="F91" s="137"/>
      <c r="G91" s="137"/>
    </row>
    <row r="92" spans="3:7" x14ac:dyDescent="0.2">
      <c r="C92" s="26"/>
      <c r="D92" s="127"/>
      <c r="E92" s="138"/>
      <c r="F92" s="138"/>
      <c r="G92" s="138"/>
    </row>
    <row r="93" spans="3:7" x14ac:dyDescent="0.2">
      <c r="C93" s="26"/>
      <c r="D93" s="127"/>
      <c r="E93" s="138"/>
      <c r="F93" s="138"/>
      <c r="G93" s="138"/>
    </row>
    <row r="94" spans="3:7" x14ac:dyDescent="0.2">
      <c r="C94" s="26"/>
      <c r="D94" s="127"/>
      <c r="E94" s="138"/>
      <c r="F94" s="138"/>
      <c r="G94" s="138"/>
    </row>
  </sheetData>
  <mergeCells count="7">
    <mergeCell ref="B1:G1"/>
    <mergeCell ref="B52:C52"/>
    <mergeCell ref="D3:E3"/>
    <mergeCell ref="C86:E86"/>
    <mergeCell ref="E88:F88"/>
    <mergeCell ref="B67:C67"/>
    <mergeCell ref="B68:C68"/>
  </mergeCells>
  <phoneticPr fontId="0" type="noConversion"/>
  <printOptions horizontalCentered="1" verticalCentered="1"/>
  <pageMargins left="0.39370078740157483" right="0" top="0.78740157480314965" bottom="0" header="0.51181102362204722" footer="0"/>
  <pageSetup paperSize="9" scale="48" orientation="portrait" r:id="rId1"/>
  <headerFooter alignWithMargins="0">
    <oddHeader xml:space="preserve">&amp;R&amp;"Arial,Félkövér"&amp;16 17. melléklet a .../2022. (........) önkormányzati rendelethez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D1095"/>
  <sheetViews>
    <sheetView topLeftCell="A58" zoomScale="65" zoomScaleNormal="65" workbookViewId="0">
      <selection activeCell="C66" sqref="C66"/>
    </sheetView>
  </sheetViews>
  <sheetFormatPr defaultColWidth="10.6640625" defaultRowHeight="15" customHeight="1" x14ac:dyDescent="0.2"/>
  <cols>
    <col min="1" max="1" width="21.1640625" style="23" customWidth="1"/>
    <col min="2" max="2" width="5.6640625" style="23" customWidth="1"/>
    <col min="3" max="3" width="175.5" style="23" customWidth="1"/>
    <col min="4" max="4" width="24.83203125" style="23" customWidth="1"/>
    <col min="5" max="5" width="24.83203125" style="28" customWidth="1"/>
    <col min="6" max="6" width="24" style="28" customWidth="1"/>
    <col min="7" max="7" width="25.5" style="23" customWidth="1"/>
    <col min="8" max="8" width="22.1640625" style="24" customWidth="1"/>
    <col min="9" max="9" width="16.5" style="24" customWidth="1"/>
    <col min="10" max="10" width="16" style="24" customWidth="1"/>
    <col min="11" max="11" width="10.6640625" style="24"/>
    <col min="12" max="12" width="15.6640625" style="24" bestFit="1" customWidth="1"/>
    <col min="13" max="13" width="24.33203125" style="24" customWidth="1"/>
    <col min="14" max="14" width="15.6640625" style="24" bestFit="1" customWidth="1"/>
    <col min="15" max="30" width="10.6640625" style="24"/>
    <col min="31" max="16384" width="10.6640625" style="23"/>
  </cols>
  <sheetData>
    <row r="1" spans="2:10" ht="24" customHeight="1" x14ac:dyDescent="0.25">
      <c r="B1" s="2474"/>
      <c r="C1" s="2474"/>
      <c r="D1" s="2474"/>
      <c r="E1" s="2474"/>
      <c r="F1" s="2474"/>
      <c r="G1" s="2474"/>
    </row>
    <row r="2" spans="2:10" ht="24" customHeight="1" x14ac:dyDescent="0.3">
      <c r="B2" s="2479" t="s">
        <v>261</v>
      </c>
      <c r="C2" s="2479"/>
      <c r="D2" s="2479"/>
      <c r="E2" s="2479"/>
      <c r="F2" s="2479"/>
      <c r="G2" s="2479"/>
    </row>
    <row r="3" spans="2:10" ht="24.75" customHeight="1" thickBot="1" x14ac:dyDescent="0.35">
      <c r="B3" s="419" t="s">
        <v>59</v>
      </c>
      <c r="C3" s="421"/>
      <c r="D3" s="419"/>
      <c r="E3" s="420"/>
      <c r="F3" s="420"/>
      <c r="G3" s="958" t="s">
        <v>19</v>
      </c>
    </row>
    <row r="4" spans="2:10" ht="26.1" customHeight="1" x14ac:dyDescent="0.25">
      <c r="B4" s="2475" t="s">
        <v>33</v>
      </c>
      <c r="C4" s="2476"/>
      <c r="D4" s="2477" t="s">
        <v>515</v>
      </c>
      <c r="E4" s="2478"/>
      <c r="F4" s="422" t="s">
        <v>410</v>
      </c>
      <c r="G4" s="423" t="s">
        <v>107</v>
      </c>
    </row>
    <row r="5" spans="2:10" ht="22.5" customHeight="1" thickBot="1" x14ac:dyDescent="0.3">
      <c r="B5" s="424"/>
      <c r="C5" s="425"/>
      <c r="D5" s="426" t="s">
        <v>213</v>
      </c>
      <c r="E5" s="427" t="s">
        <v>105</v>
      </c>
      <c r="F5" s="428" t="s">
        <v>106</v>
      </c>
      <c r="G5" s="429" t="s">
        <v>108</v>
      </c>
    </row>
    <row r="6" spans="2:10" ht="26.1" customHeight="1" x14ac:dyDescent="0.25">
      <c r="B6" s="430" t="s">
        <v>193</v>
      </c>
      <c r="C6" s="1065" t="s">
        <v>94</v>
      </c>
      <c r="D6" s="1066"/>
      <c r="E6" s="1067"/>
      <c r="F6" s="1067"/>
      <c r="G6" s="1818"/>
    </row>
    <row r="7" spans="2:10" ht="39.75" customHeight="1" x14ac:dyDescent="0.25">
      <c r="B7" s="411"/>
      <c r="C7" s="1064" t="s">
        <v>647</v>
      </c>
      <c r="D7" s="431"/>
      <c r="E7" s="432">
        <v>550000</v>
      </c>
      <c r="F7" s="432">
        <v>467500</v>
      </c>
      <c r="G7" s="1819">
        <f t="shared" ref="G7:G13" si="0">+F7/E7*100</f>
        <v>85</v>
      </c>
      <c r="I7" s="54"/>
      <c r="J7" s="54"/>
    </row>
    <row r="8" spans="2:10" ht="26.1" customHeight="1" x14ac:dyDescent="0.25">
      <c r="B8" s="433"/>
      <c r="C8" s="151" t="s">
        <v>337</v>
      </c>
      <c r="D8" s="379"/>
      <c r="E8" s="379">
        <v>46779</v>
      </c>
      <c r="F8" s="965"/>
      <c r="G8" s="1820">
        <f t="shared" si="0"/>
        <v>0</v>
      </c>
      <c r="I8" s="54"/>
      <c r="J8" s="54"/>
    </row>
    <row r="9" spans="2:10" ht="26.1" customHeight="1" x14ac:dyDescent="0.25">
      <c r="B9" s="433"/>
      <c r="C9" s="445" t="s">
        <v>609</v>
      </c>
      <c r="D9" s="443"/>
      <c r="E9" s="443">
        <v>15808</v>
      </c>
      <c r="F9" s="377">
        <v>15808</v>
      </c>
      <c r="G9" s="1823">
        <f t="shared" si="0"/>
        <v>100</v>
      </c>
      <c r="I9" s="54"/>
      <c r="J9" s="54"/>
    </row>
    <row r="10" spans="2:10" ht="26.1" customHeight="1" x14ac:dyDescent="0.25">
      <c r="B10" s="433"/>
      <c r="C10" s="445" t="s">
        <v>648</v>
      </c>
      <c r="D10" s="443"/>
      <c r="E10" s="443">
        <v>71701</v>
      </c>
      <c r="F10" s="377">
        <v>71701</v>
      </c>
      <c r="G10" s="1823">
        <f t="shared" si="0"/>
        <v>100</v>
      </c>
      <c r="I10" s="54"/>
      <c r="J10" s="54"/>
    </row>
    <row r="11" spans="2:10" ht="26.1" customHeight="1" x14ac:dyDescent="0.25">
      <c r="B11" s="433"/>
      <c r="C11" s="445" t="s">
        <v>654</v>
      </c>
      <c r="D11" s="443"/>
      <c r="E11" s="443">
        <v>119179</v>
      </c>
      <c r="F11" s="377">
        <v>119179</v>
      </c>
      <c r="G11" s="1823">
        <f t="shared" si="0"/>
        <v>100</v>
      </c>
      <c r="I11" s="54"/>
      <c r="J11" s="54"/>
    </row>
    <row r="12" spans="2:10" ht="26.1" customHeight="1" x14ac:dyDescent="0.25">
      <c r="B12" s="433"/>
      <c r="C12" s="445" t="s">
        <v>649</v>
      </c>
      <c r="D12" s="443"/>
      <c r="E12" s="443">
        <v>118000</v>
      </c>
      <c r="F12" s="377">
        <v>118000</v>
      </c>
      <c r="G12" s="1823">
        <f t="shared" si="0"/>
        <v>100</v>
      </c>
      <c r="I12" s="54"/>
      <c r="J12" s="54"/>
    </row>
    <row r="13" spans="2:10" ht="26.1" customHeight="1" x14ac:dyDescent="0.25">
      <c r="B13" s="437"/>
      <c r="C13" s="438" t="s">
        <v>198</v>
      </c>
      <c r="D13" s="439">
        <f>SUM(D7:D12)</f>
        <v>0</v>
      </c>
      <c r="E13" s="439">
        <f>SUM(E7:E12)</f>
        <v>921467</v>
      </c>
      <c r="F13" s="439">
        <f>SUM(F7:F12)</f>
        <v>792188</v>
      </c>
      <c r="G13" s="1821">
        <f t="shared" si="0"/>
        <v>85.970306044600619</v>
      </c>
      <c r="I13" s="54"/>
      <c r="J13" s="54"/>
    </row>
    <row r="14" spans="2:10" ht="26.1" customHeight="1" x14ac:dyDescent="0.25">
      <c r="B14" s="440" t="s">
        <v>37</v>
      </c>
      <c r="C14" s="441" t="s">
        <v>36</v>
      </c>
      <c r="D14" s="442"/>
      <c r="E14" s="442"/>
      <c r="F14" s="442"/>
      <c r="G14" s="1822"/>
      <c r="I14" s="54"/>
      <c r="J14" s="54"/>
    </row>
    <row r="15" spans="2:10" ht="26.1" customHeight="1" x14ac:dyDescent="0.25">
      <c r="B15" s="411"/>
      <c r="C15" s="521" t="s">
        <v>354</v>
      </c>
      <c r="D15" s="376"/>
      <c r="E15" s="376">
        <v>9337</v>
      </c>
      <c r="F15" s="376"/>
      <c r="G15" s="1823">
        <f>+F15/E15*100</f>
        <v>0</v>
      </c>
      <c r="I15" s="54"/>
      <c r="J15" s="54"/>
    </row>
    <row r="16" spans="2:10" ht="15.75" customHeight="1" x14ac:dyDescent="0.25">
      <c r="B16" s="433"/>
      <c r="C16" s="521"/>
      <c r="D16" s="379"/>
      <c r="E16" s="379"/>
      <c r="F16" s="377"/>
      <c r="G16" s="1823"/>
      <c r="I16" s="54"/>
      <c r="J16" s="54"/>
    </row>
    <row r="17" spans="2:10" ht="26.1" customHeight="1" x14ac:dyDescent="0.25">
      <c r="B17" s="437"/>
      <c r="C17" s="438" t="s">
        <v>152</v>
      </c>
      <c r="D17" s="439">
        <f>SUM(D15:D16)</f>
        <v>0</v>
      </c>
      <c r="E17" s="439">
        <f>SUM(E15:E16)</f>
        <v>9337</v>
      </c>
      <c r="F17" s="439">
        <f>SUM(F15:F16)</f>
        <v>0</v>
      </c>
      <c r="G17" s="1821">
        <f>+F17/E17*100</f>
        <v>0</v>
      </c>
      <c r="I17" s="54"/>
      <c r="J17" s="54"/>
    </row>
    <row r="18" spans="2:10" ht="26.1" customHeight="1" x14ac:dyDescent="0.25">
      <c r="B18" s="440" t="s">
        <v>194</v>
      </c>
      <c r="C18" s="441" t="s">
        <v>192</v>
      </c>
      <c r="D18" s="431"/>
      <c r="E18" s="432"/>
      <c r="F18" s="432"/>
      <c r="G18" s="1824"/>
      <c r="I18" s="54"/>
      <c r="J18" s="54"/>
    </row>
    <row r="19" spans="2:10" ht="26.1" customHeight="1" x14ac:dyDescent="0.25">
      <c r="B19" s="433"/>
      <c r="C19" s="435" t="s">
        <v>153</v>
      </c>
      <c r="D19" s="444"/>
      <c r="E19" s="444">
        <v>52214</v>
      </c>
      <c r="F19" s="377">
        <v>18742</v>
      </c>
      <c r="G19" s="1823">
        <f>+F19/E19*100</f>
        <v>35.894587658482401</v>
      </c>
      <c r="I19" s="54"/>
      <c r="J19" s="54"/>
    </row>
    <row r="20" spans="2:10" ht="26.1" customHeight="1" x14ac:dyDescent="0.25">
      <c r="B20" s="437"/>
      <c r="C20" s="438" t="s">
        <v>199</v>
      </c>
      <c r="D20" s="439">
        <f>SUM(D19:D19)</f>
        <v>0</v>
      </c>
      <c r="E20" s="439">
        <f>SUM(E19:E19)</f>
        <v>52214</v>
      </c>
      <c r="F20" s="439">
        <f>SUM(F19:F19)</f>
        <v>18742</v>
      </c>
      <c r="G20" s="1821">
        <f>+F20/E20*100</f>
        <v>35.894587658482401</v>
      </c>
      <c r="I20" s="54"/>
      <c r="J20" s="54"/>
    </row>
    <row r="21" spans="2:10" ht="26.1" customHeight="1" x14ac:dyDescent="0.25">
      <c r="B21" s="411" t="s">
        <v>195</v>
      </c>
      <c r="C21" s="412" t="s">
        <v>196</v>
      </c>
      <c r="D21" s="431"/>
      <c r="E21" s="432"/>
      <c r="F21" s="432"/>
      <c r="G21" s="1825"/>
      <c r="I21" s="54"/>
      <c r="J21" s="54"/>
    </row>
    <row r="22" spans="2:10" ht="26.1" customHeight="1" x14ac:dyDescent="0.25">
      <c r="B22" s="433"/>
      <c r="C22" s="445" t="s">
        <v>143</v>
      </c>
      <c r="D22" s="443"/>
      <c r="E22" s="443">
        <v>11420</v>
      </c>
      <c r="F22" s="377">
        <v>10936</v>
      </c>
      <c r="G22" s="1823">
        <f>+F22/E22*100</f>
        <v>95.76182136602452</v>
      </c>
      <c r="I22" s="54"/>
      <c r="J22" s="54"/>
    </row>
    <row r="23" spans="2:10" ht="26.1" customHeight="1" x14ac:dyDescent="0.25">
      <c r="B23" s="1149"/>
      <c r="C23" s="1150" t="s">
        <v>689</v>
      </c>
      <c r="D23" s="1151"/>
      <c r="E23" s="1151">
        <v>685</v>
      </c>
      <c r="F23" s="1152"/>
      <c r="G23" s="1826">
        <f>+F23/E23*100</f>
        <v>0</v>
      </c>
      <c r="I23" s="54"/>
      <c r="J23" s="54"/>
    </row>
    <row r="24" spans="2:10" ht="26.1" customHeight="1" x14ac:dyDescent="0.25">
      <c r="B24" s="1149"/>
      <c r="C24" s="1150" t="s">
        <v>579</v>
      </c>
      <c r="D24" s="1151"/>
      <c r="E24" s="1151">
        <v>51000</v>
      </c>
      <c r="F24" s="1152">
        <v>51000</v>
      </c>
      <c r="G24" s="1826">
        <f t="shared" ref="G24" si="1">+F24/E24*100</f>
        <v>100</v>
      </c>
      <c r="I24" s="54"/>
      <c r="J24" s="54"/>
    </row>
    <row r="25" spans="2:10" ht="26.1" customHeight="1" x14ac:dyDescent="0.25">
      <c r="B25" s="1149"/>
      <c r="C25" s="1150" t="s">
        <v>690</v>
      </c>
      <c r="D25" s="1151"/>
      <c r="E25" s="1151">
        <v>13770</v>
      </c>
      <c r="F25" s="1152"/>
      <c r="G25" s="1826">
        <f t="shared" ref="G25:G27" si="2">+F25/E25*100</f>
        <v>0</v>
      </c>
      <c r="I25" s="54"/>
      <c r="J25" s="54"/>
    </row>
    <row r="26" spans="2:10" ht="26.1" customHeight="1" x14ac:dyDescent="0.25">
      <c r="B26" s="433"/>
      <c r="C26" s="445" t="s">
        <v>491</v>
      </c>
      <c r="D26" s="443"/>
      <c r="E26" s="443">
        <v>7000</v>
      </c>
      <c r="F26" s="377"/>
      <c r="G26" s="1823">
        <f t="shared" si="2"/>
        <v>0</v>
      </c>
      <c r="I26" s="54"/>
      <c r="J26" s="54"/>
    </row>
    <row r="27" spans="2:10" ht="26.1" customHeight="1" x14ac:dyDescent="0.25">
      <c r="B27" s="433"/>
      <c r="C27" s="445" t="s">
        <v>667</v>
      </c>
      <c r="D27" s="443"/>
      <c r="E27" s="443">
        <v>3634</v>
      </c>
      <c r="F27" s="377"/>
      <c r="G27" s="1823">
        <f t="shared" si="2"/>
        <v>0</v>
      </c>
      <c r="I27" s="54"/>
      <c r="J27" s="54"/>
    </row>
    <row r="28" spans="2:10" s="24" customFormat="1" ht="26.1" customHeight="1" x14ac:dyDescent="0.25">
      <c r="B28" s="446"/>
      <c r="C28" s="445" t="s">
        <v>670</v>
      </c>
      <c r="D28" s="379"/>
      <c r="E28" s="379">
        <v>25277</v>
      </c>
      <c r="F28" s="377">
        <v>11684</v>
      </c>
      <c r="G28" s="1820">
        <f t="shared" ref="G28:G29" si="3">+F28/E28*100</f>
        <v>46.2238398544131</v>
      </c>
      <c r="I28" s="54"/>
      <c r="J28" s="54"/>
    </row>
    <row r="29" spans="2:10" ht="26.1" customHeight="1" x14ac:dyDescent="0.25">
      <c r="B29" s="437"/>
      <c r="C29" s="438" t="s">
        <v>1419</v>
      </c>
      <c r="D29" s="439">
        <f>SUM(D22:D28)</f>
        <v>0</v>
      </c>
      <c r="E29" s="439">
        <f>SUM(E22:E28)</f>
        <v>112786</v>
      </c>
      <c r="F29" s="439">
        <f>SUM(F22:F28)</f>
        <v>73620</v>
      </c>
      <c r="G29" s="1821">
        <f t="shared" si="3"/>
        <v>65.274058837089711</v>
      </c>
      <c r="I29" s="54"/>
      <c r="J29" s="54"/>
    </row>
    <row r="30" spans="2:10" ht="26.1" customHeight="1" x14ac:dyDescent="0.25">
      <c r="B30" s="411" t="s">
        <v>197</v>
      </c>
      <c r="C30" s="412" t="s">
        <v>200</v>
      </c>
      <c r="D30" s="431"/>
      <c r="E30" s="432"/>
      <c r="F30" s="376"/>
      <c r="G30" s="1825"/>
      <c r="I30" s="54"/>
      <c r="J30" s="54"/>
    </row>
    <row r="31" spans="2:10" ht="25.5" customHeight="1" x14ac:dyDescent="0.3">
      <c r="B31" s="447" t="s">
        <v>190</v>
      </c>
      <c r="C31" s="448"/>
      <c r="D31" s="431"/>
      <c r="E31" s="432"/>
      <c r="F31" s="376"/>
      <c r="G31" s="1825"/>
      <c r="I31" s="54"/>
      <c r="J31" s="54"/>
    </row>
    <row r="32" spans="2:10" s="153" customFormat="1" ht="26.1" customHeight="1" x14ac:dyDescent="0.25">
      <c r="B32" s="446"/>
      <c r="C32" s="435" t="s">
        <v>458</v>
      </c>
      <c r="D32" s="379"/>
      <c r="E32" s="379">
        <v>9384</v>
      </c>
      <c r="F32" s="377"/>
      <c r="G32" s="1820">
        <f t="shared" ref="G32:G90" si="4">+F32/E32*100</f>
        <v>0</v>
      </c>
      <c r="I32" s="54"/>
      <c r="J32" s="54"/>
    </row>
    <row r="33" spans="2:10" ht="26.1" customHeight="1" x14ac:dyDescent="0.25">
      <c r="B33" s="433"/>
      <c r="C33" s="445" t="s">
        <v>302</v>
      </c>
      <c r="D33" s="443"/>
      <c r="E33" s="443">
        <v>277810</v>
      </c>
      <c r="F33" s="377">
        <v>135154</v>
      </c>
      <c r="G33" s="1823">
        <f t="shared" si="4"/>
        <v>48.649796623591662</v>
      </c>
      <c r="I33" s="54"/>
      <c r="J33" s="54"/>
    </row>
    <row r="34" spans="2:10" ht="26.1" customHeight="1" x14ac:dyDescent="0.3">
      <c r="B34" s="447" t="s">
        <v>189</v>
      </c>
      <c r="C34" s="1050"/>
      <c r="D34" s="379"/>
      <c r="E34" s="379"/>
      <c r="F34" s="377"/>
      <c r="G34" s="1820"/>
      <c r="I34" s="54"/>
      <c r="J34" s="54"/>
    </row>
    <row r="35" spans="2:10" ht="40.5" customHeight="1" x14ac:dyDescent="0.25">
      <c r="B35" s="433"/>
      <c r="C35" s="983" t="s">
        <v>492</v>
      </c>
      <c r="D35" s="1043"/>
      <c r="E35" s="1043">
        <v>130324</v>
      </c>
      <c r="F35" s="1044">
        <v>107248</v>
      </c>
      <c r="G35" s="1820">
        <f t="shared" si="4"/>
        <v>82.293361161413088</v>
      </c>
      <c r="I35" s="54"/>
      <c r="J35" s="54"/>
    </row>
    <row r="36" spans="2:10" ht="26.1" customHeight="1" x14ac:dyDescent="0.25">
      <c r="B36" s="433"/>
      <c r="C36" s="983" t="s">
        <v>540</v>
      </c>
      <c r="D36" s="1043"/>
      <c r="E36" s="1043">
        <v>157524</v>
      </c>
      <c r="F36" s="1044">
        <v>157524</v>
      </c>
      <c r="G36" s="1820">
        <f t="shared" si="4"/>
        <v>100</v>
      </c>
      <c r="I36" s="54"/>
      <c r="J36" s="54"/>
    </row>
    <row r="37" spans="2:10" ht="26.1" customHeight="1" x14ac:dyDescent="0.25">
      <c r="B37" s="1149"/>
      <c r="C37" s="983" t="s">
        <v>691</v>
      </c>
      <c r="D37" s="1153"/>
      <c r="E37" s="1153">
        <v>42531</v>
      </c>
      <c r="F37" s="1154"/>
      <c r="G37" s="1827">
        <f t="shared" si="4"/>
        <v>0</v>
      </c>
      <c r="I37" s="54"/>
      <c r="J37" s="54"/>
    </row>
    <row r="38" spans="2:10" ht="26.1" customHeight="1" x14ac:dyDescent="0.25">
      <c r="B38" s="433"/>
      <c r="C38" s="449" t="s">
        <v>355</v>
      </c>
      <c r="D38" s="1043"/>
      <c r="E38" s="1043">
        <v>508</v>
      </c>
      <c r="F38" s="1044"/>
      <c r="G38" s="1820">
        <f t="shared" si="4"/>
        <v>0</v>
      </c>
      <c r="I38" s="54"/>
      <c r="J38" s="54"/>
    </row>
    <row r="39" spans="2:10" ht="26.1" customHeight="1" x14ac:dyDescent="0.25">
      <c r="B39" s="433"/>
      <c r="C39" s="983" t="s">
        <v>417</v>
      </c>
      <c r="D39" s="1043"/>
      <c r="E39" s="1043">
        <v>3346</v>
      </c>
      <c r="F39" s="1044">
        <v>3346</v>
      </c>
      <c r="G39" s="1820">
        <f t="shared" si="4"/>
        <v>100</v>
      </c>
      <c r="I39" s="54"/>
      <c r="J39" s="54"/>
    </row>
    <row r="40" spans="2:10" ht="26.1" customHeight="1" x14ac:dyDescent="0.25">
      <c r="B40" s="433"/>
      <c r="C40" s="450" t="s">
        <v>541</v>
      </c>
      <c r="D40" s="551"/>
      <c r="E40" s="551">
        <v>3109</v>
      </c>
      <c r="F40" s="377">
        <v>3109</v>
      </c>
      <c r="G40" s="1820">
        <f t="shared" si="4"/>
        <v>100</v>
      </c>
      <c r="I40" s="54"/>
      <c r="J40" s="54"/>
    </row>
    <row r="41" spans="2:10" s="517" customFormat="1" ht="25.5" customHeight="1" x14ac:dyDescent="0.25">
      <c r="B41" s="478"/>
      <c r="C41" s="1068" t="s">
        <v>642</v>
      </c>
      <c r="D41" s="518"/>
      <c r="E41" s="518">
        <v>435000</v>
      </c>
      <c r="F41" s="519"/>
      <c r="G41" s="1820">
        <f t="shared" ref="G41:G44" si="5">+F41/E41*100</f>
        <v>0</v>
      </c>
      <c r="I41" s="54"/>
      <c r="J41" s="54"/>
    </row>
    <row r="42" spans="2:10" s="517" customFormat="1" ht="25.5" customHeight="1" x14ac:dyDescent="0.25">
      <c r="B42" s="478"/>
      <c r="C42" s="1068" t="s">
        <v>643</v>
      </c>
      <c r="D42" s="518"/>
      <c r="E42" s="518">
        <v>130000</v>
      </c>
      <c r="F42" s="519">
        <v>9702</v>
      </c>
      <c r="G42" s="1820">
        <f t="shared" si="5"/>
        <v>7.4630769230769234</v>
      </c>
      <c r="I42" s="54"/>
      <c r="J42" s="54"/>
    </row>
    <row r="43" spans="2:10" s="517" customFormat="1" ht="26.25" customHeight="1" x14ac:dyDescent="0.25">
      <c r="B43" s="478"/>
      <c r="C43" s="1068" t="s">
        <v>644</v>
      </c>
      <c r="D43" s="518"/>
      <c r="E43" s="518">
        <v>220000</v>
      </c>
      <c r="F43" s="519"/>
      <c r="G43" s="1820">
        <f t="shared" si="5"/>
        <v>0</v>
      </c>
      <c r="I43" s="54"/>
      <c r="J43" s="54"/>
    </row>
    <row r="44" spans="2:10" s="517" customFormat="1" ht="25.5" customHeight="1" x14ac:dyDescent="0.25">
      <c r="B44" s="478"/>
      <c r="C44" s="1068" t="s">
        <v>645</v>
      </c>
      <c r="D44" s="518"/>
      <c r="E44" s="518">
        <v>120000</v>
      </c>
      <c r="F44" s="519"/>
      <c r="G44" s="1820">
        <f t="shared" si="5"/>
        <v>0</v>
      </c>
      <c r="I44" s="54"/>
      <c r="J44" s="54"/>
    </row>
    <row r="45" spans="2:10" s="517" customFormat="1" ht="25.5" customHeight="1" x14ac:dyDescent="0.25">
      <c r="B45" s="478"/>
      <c r="C45" s="1068" t="s">
        <v>646</v>
      </c>
      <c r="D45" s="518"/>
      <c r="E45" s="518">
        <v>299850</v>
      </c>
      <c r="F45" s="519"/>
      <c r="G45" s="1820">
        <f>+F45/E45*100</f>
        <v>0</v>
      </c>
      <c r="I45" s="54"/>
      <c r="J45" s="54"/>
    </row>
    <row r="46" spans="2:10" ht="26.1" customHeight="1" x14ac:dyDescent="0.3">
      <c r="B46" s="447" t="s">
        <v>191</v>
      </c>
      <c r="C46" s="451"/>
      <c r="D46" s="1045"/>
      <c r="E46" s="1045"/>
      <c r="F46" s="1044"/>
      <c r="G46" s="1820"/>
      <c r="I46" s="54"/>
      <c r="J46" s="54"/>
    </row>
    <row r="47" spans="2:10" ht="26.1" customHeight="1" x14ac:dyDescent="0.25">
      <c r="B47" s="433"/>
      <c r="C47" s="452" t="s">
        <v>117</v>
      </c>
      <c r="D47" s="379"/>
      <c r="E47" s="379">
        <v>27925</v>
      </c>
      <c r="F47" s="377">
        <v>4398</v>
      </c>
      <c r="G47" s="1820">
        <f t="shared" si="4"/>
        <v>15.749328558639212</v>
      </c>
      <c r="I47" s="54"/>
      <c r="J47" s="54"/>
    </row>
    <row r="48" spans="2:10" s="24" customFormat="1" ht="26.1" customHeight="1" x14ac:dyDescent="0.25">
      <c r="B48" s="446"/>
      <c r="C48" s="383" t="s">
        <v>443</v>
      </c>
      <c r="D48" s="381"/>
      <c r="E48" s="381">
        <v>45</v>
      </c>
      <c r="F48" s="434"/>
      <c r="G48" s="1820">
        <f t="shared" si="4"/>
        <v>0</v>
      </c>
      <c r="I48" s="54"/>
      <c r="J48" s="54"/>
    </row>
    <row r="49" spans="2:10" ht="26.1" customHeight="1" x14ac:dyDescent="0.25">
      <c r="B49" s="446"/>
      <c r="C49" s="436" t="s">
        <v>459</v>
      </c>
      <c r="D49" s="379"/>
      <c r="E49" s="379">
        <v>3183</v>
      </c>
      <c r="F49" s="453">
        <v>831</v>
      </c>
      <c r="G49" s="1820">
        <f t="shared" si="4"/>
        <v>26.107445805843543</v>
      </c>
      <c r="I49" s="54"/>
      <c r="J49" s="54"/>
    </row>
    <row r="50" spans="2:10" ht="26.1" customHeight="1" x14ac:dyDescent="0.25">
      <c r="B50" s="446"/>
      <c r="C50" s="528" t="s">
        <v>542</v>
      </c>
      <c r="D50" s="379"/>
      <c r="E50" s="379">
        <v>695</v>
      </c>
      <c r="F50" s="453">
        <v>310</v>
      </c>
      <c r="G50" s="1820">
        <f t="shared" si="4"/>
        <v>44.60431654676259</v>
      </c>
      <c r="I50" s="54"/>
      <c r="J50" s="54"/>
    </row>
    <row r="51" spans="2:10" ht="26.1" customHeight="1" x14ac:dyDescent="0.25">
      <c r="B51" s="446"/>
      <c r="C51" s="528" t="s">
        <v>356</v>
      </c>
      <c r="D51" s="379"/>
      <c r="E51" s="379">
        <v>89</v>
      </c>
      <c r="F51" s="453"/>
      <c r="G51" s="1820">
        <f t="shared" si="4"/>
        <v>0</v>
      </c>
      <c r="I51" s="54"/>
      <c r="J51" s="54"/>
    </row>
    <row r="52" spans="2:10" ht="26.1" customHeight="1" x14ac:dyDescent="0.25">
      <c r="B52" s="446"/>
      <c r="C52" s="528" t="s">
        <v>418</v>
      </c>
      <c r="D52" s="379"/>
      <c r="E52" s="379">
        <v>13813</v>
      </c>
      <c r="F52" s="453">
        <v>2952</v>
      </c>
      <c r="G52" s="1820">
        <f t="shared" si="4"/>
        <v>21.371172084268441</v>
      </c>
      <c r="I52" s="54"/>
      <c r="J52" s="54"/>
    </row>
    <row r="53" spans="2:10" ht="26.1" customHeight="1" x14ac:dyDescent="0.25">
      <c r="B53" s="446"/>
      <c r="C53" s="1030" t="s">
        <v>692</v>
      </c>
      <c r="D53" s="379"/>
      <c r="E53" s="379">
        <v>731</v>
      </c>
      <c r="F53" s="453"/>
      <c r="G53" s="1820"/>
      <c r="I53" s="54"/>
      <c r="J53" s="54"/>
    </row>
    <row r="54" spans="2:10" ht="26.1" customHeight="1" x14ac:dyDescent="0.25">
      <c r="B54" s="446"/>
      <c r="C54" s="528" t="s">
        <v>448</v>
      </c>
      <c r="D54" s="379"/>
      <c r="E54" s="379">
        <v>3998</v>
      </c>
      <c r="F54" s="453"/>
      <c r="G54" s="1820">
        <f t="shared" si="4"/>
        <v>0</v>
      </c>
      <c r="I54" s="54"/>
      <c r="J54" s="54"/>
    </row>
    <row r="55" spans="2:10" ht="26.1" customHeight="1" x14ac:dyDescent="0.25">
      <c r="B55" s="446"/>
      <c r="C55" s="528" t="s">
        <v>493</v>
      </c>
      <c r="D55" s="379"/>
      <c r="E55" s="379">
        <v>18572</v>
      </c>
      <c r="F55" s="453">
        <v>15856</v>
      </c>
      <c r="G55" s="1820">
        <f t="shared" si="4"/>
        <v>85.375834589704937</v>
      </c>
      <c r="I55" s="54"/>
      <c r="J55" s="54"/>
    </row>
    <row r="56" spans="2:10" ht="26.1" customHeight="1" x14ac:dyDescent="0.25">
      <c r="B56" s="446"/>
      <c r="C56" s="1030" t="s">
        <v>543</v>
      </c>
      <c r="D56" s="379"/>
      <c r="E56" s="379">
        <v>46169</v>
      </c>
      <c r="F56" s="453">
        <v>46169</v>
      </c>
      <c r="G56" s="1820">
        <f t="shared" si="4"/>
        <v>100</v>
      </c>
      <c r="I56" s="54"/>
      <c r="J56" s="54"/>
    </row>
    <row r="57" spans="2:10" ht="26.1" customHeight="1" x14ac:dyDescent="0.25">
      <c r="B57" s="446"/>
      <c r="C57" s="1030" t="s">
        <v>619</v>
      </c>
      <c r="D57" s="379"/>
      <c r="E57" s="379">
        <v>28000</v>
      </c>
      <c r="F57" s="453"/>
      <c r="G57" s="1820">
        <f t="shared" si="4"/>
        <v>0</v>
      </c>
      <c r="I57" s="54"/>
      <c r="J57" s="54"/>
    </row>
    <row r="58" spans="2:10" ht="26.1" customHeight="1" x14ac:dyDescent="0.25">
      <c r="B58" s="446"/>
      <c r="C58" s="1030" t="s">
        <v>620</v>
      </c>
      <c r="D58" s="379"/>
      <c r="E58" s="379">
        <v>7560</v>
      </c>
      <c r="F58" s="453"/>
      <c r="G58" s="1820">
        <f t="shared" si="4"/>
        <v>0</v>
      </c>
      <c r="I58" s="54"/>
      <c r="J58" s="54"/>
    </row>
    <row r="59" spans="2:10" ht="26.1" customHeight="1" x14ac:dyDescent="0.25">
      <c r="B59" s="446"/>
      <c r="C59" s="1030" t="s">
        <v>650</v>
      </c>
      <c r="D59" s="379"/>
      <c r="E59" s="379">
        <v>20000</v>
      </c>
      <c r="F59" s="453"/>
      <c r="G59" s="1820">
        <f t="shared" si="4"/>
        <v>0</v>
      </c>
      <c r="I59" s="54"/>
      <c r="J59" s="54"/>
    </row>
    <row r="60" spans="2:10" ht="26.1" customHeight="1" x14ac:dyDescent="0.25">
      <c r="B60" s="446"/>
      <c r="C60" s="1030" t="s">
        <v>693</v>
      </c>
      <c r="D60" s="379"/>
      <c r="E60" s="379">
        <v>191846</v>
      </c>
      <c r="F60" s="453"/>
      <c r="G60" s="1820">
        <f t="shared" si="4"/>
        <v>0</v>
      </c>
      <c r="I60" s="54"/>
      <c r="J60" s="54"/>
    </row>
    <row r="61" spans="2:10" ht="25.5" customHeight="1" x14ac:dyDescent="0.25">
      <c r="B61" s="454" t="s">
        <v>227</v>
      </c>
      <c r="C61" s="452"/>
      <c r="D61" s="455"/>
      <c r="E61" s="455"/>
      <c r="F61" s="377"/>
      <c r="G61" s="1820"/>
      <c r="I61" s="54"/>
      <c r="J61" s="54"/>
    </row>
    <row r="62" spans="2:10" ht="26.1" customHeight="1" x14ac:dyDescent="0.25">
      <c r="B62" s="433"/>
      <c r="C62" s="452" t="s">
        <v>278</v>
      </c>
      <c r="D62" s="379"/>
      <c r="E62" s="379">
        <v>1921</v>
      </c>
      <c r="F62" s="377"/>
      <c r="G62" s="1820">
        <f t="shared" si="4"/>
        <v>0</v>
      </c>
      <c r="I62" s="54"/>
      <c r="J62" s="54"/>
    </row>
    <row r="63" spans="2:10" ht="26.1" customHeight="1" x14ac:dyDescent="0.25">
      <c r="B63" s="433"/>
      <c r="C63" s="452" t="s">
        <v>507</v>
      </c>
      <c r="D63" s="381"/>
      <c r="E63" s="381">
        <v>20154</v>
      </c>
      <c r="F63" s="377"/>
      <c r="G63" s="1820">
        <f t="shared" si="4"/>
        <v>0</v>
      </c>
      <c r="I63" s="54"/>
      <c r="J63" s="54"/>
    </row>
    <row r="64" spans="2:10" ht="26.1" customHeight="1" x14ac:dyDescent="0.25">
      <c r="B64" s="454" t="s">
        <v>22</v>
      </c>
      <c r="C64" s="414"/>
      <c r="D64" s="434"/>
      <c r="E64" s="434"/>
      <c r="F64" s="377"/>
      <c r="G64" s="1820"/>
      <c r="I64" s="54"/>
      <c r="J64" s="54"/>
    </row>
    <row r="65" spans="1:30" ht="25.5" customHeight="1" x14ac:dyDescent="0.25">
      <c r="B65" s="454"/>
      <c r="C65" s="456" t="s">
        <v>342</v>
      </c>
      <c r="D65" s="434"/>
      <c r="E65" s="434">
        <v>1712</v>
      </c>
      <c r="F65" s="377">
        <v>1712</v>
      </c>
      <c r="G65" s="1820">
        <f t="shared" si="4"/>
        <v>100</v>
      </c>
      <c r="I65" s="54"/>
      <c r="J65" s="54"/>
    </row>
    <row r="66" spans="1:30" ht="26.1" customHeight="1" x14ac:dyDescent="0.25">
      <c r="B66" s="458" t="s">
        <v>38</v>
      </c>
      <c r="C66" s="459"/>
      <c r="D66" s="381"/>
      <c r="E66" s="381"/>
      <c r="F66" s="434"/>
      <c r="G66" s="1820"/>
      <c r="I66" s="54"/>
      <c r="J66" s="54"/>
    </row>
    <row r="67" spans="1:30" ht="26.1" customHeight="1" x14ac:dyDescent="0.25">
      <c r="B67" s="458"/>
      <c r="C67" s="459" t="s">
        <v>539</v>
      </c>
      <c r="D67" s="381">
        <v>6045402</v>
      </c>
      <c r="E67" s="381">
        <v>0</v>
      </c>
      <c r="F67" s="434"/>
      <c r="G67" s="1820"/>
      <c r="I67" s="54"/>
      <c r="J67" s="54"/>
    </row>
    <row r="68" spans="1:30" ht="26.1" customHeight="1" x14ac:dyDescent="0.25">
      <c r="B68" s="433"/>
      <c r="C68" s="452" t="s">
        <v>332</v>
      </c>
      <c r="D68" s="381"/>
      <c r="E68" s="381">
        <v>76530</v>
      </c>
      <c r="F68" s="377">
        <v>2997</v>
      </c>
      <c r="G68" s="1820">
        <f t="shared" si="4"/>
        <v>3.9161113288906311</v>
      </c>
      <c r="I68" s="54"/>
      <c r="J68" s="54"/>
    </row>
    <row r="69" spans="1:30" ht="25.5" customHeight="1" x14ac:dyDescent="0.25">
      <c r="B69" s="446"/>
      <c r="C69" s="462" t="s">
        <v>331</v>
      </c>
      <c r="D69" s="434"/>
      <c r="E69" s="434">
        <v>205234</v>
      </c>
      <c r="F69" s="434">
        <v>3499</v>
      </c>
      <c r="G69" s="1820">
        <f t="shared" si="4"/>
        <v>1.7048832064862545</v>
      </c>
      <c r="I69" s="54"/>
      <c r="J69" s="54"/>
    </row>
    <row r="70" spans="1:30" ht="15.75" customHeight="1" x14ac:dyDescent="0.25">
      <c r="B70" s="446"/>
      <c r="C70" s="1058"/>
      <c r="D70" s="434"/>
      <c r="E70" s="434"/>
      <c r="F70" s="460"/>
      <c r="G70" s="1828"/>
      <c r="I70" s="54"/>
      <c r="J70" s="54"/>
    </row>
    <row r="71" spans="1:30" ht="26.1" customHeight="1" x14ac:dyDescent="0.35">
      <c r="A71" s="514"/>
      <c r="B71" s="446"/>
      <c r="C71" s="461" t="s">
        <v>572</v>
      </c>
      <c r="D71" s="379"/>
      <c r="E71" s="379">
        <v>14937</v>
      </c>
      <c r="F71" s="453">
        <v>0</v>
      </c>
      <c r="G71" s="1820">
        <f t="shared" si="4"/>
        <v>0</v>
      </c>
      <c r="I71" s="54"/>
      <c r="J71" s="54"/>
    </row>
    <row r="72" spans="1:30" ht="46.5" customHeight="1" x14ac:dyDescent="0.35">
      <c r="A72" s="514"/>
      <c r="B72" s="446"/>
      <c r="C72" s="463" t="s">
        <v>580</v>
      </c>
      <c r="D72" s="380"/>
      <c r="E72" s="380">
        <v>11212</v>
      </c>
      <c r="F72" s="464">
        <v>678</v>
      </c>
      <c r="G72" s="1819">
        <f t="shared" si="4"/>
        <v>6.0470924009989293</v>
      </c>
      <c r="I72" s="54"/>
      <c r="J72" s="54"/>
    </row>
    <row r="73" spans="1:30" s="480" customFormat="1" ht="26.1" customHeight="1" x14ac:dyDescent="0.25">
      <c r="B73" s="478"/>
      <c r="C73" s="1057" t="s">
        <v>573</v>
      </c>
      <c r="D73" s="479"/>
      <c r="E73" s="479">
        <v>9893</v>
      </c>
      <c r="F73" s="516"/>
      <c r="G73" s="1828">
        <f t="shared" si="4"/>
        <v>0</v>
      </c>
      <c r="H73" s="517"/>
      <c r="I73" s="54"/>
      <c r="J73" s="54"/>
      <c r="K73" s="517"/>
      <c r="L73" s="517"/>
      <c r="M73" s="517"/>
      <c r="N73" s="517"/>
      <c r="O73" s="517"/>
      <c r="P73" s="517"/>
      <c r="Q73" s="517"/>
      <c r="R73" s="517"/>
      <c r="S73" s="517"/>
      <c r="T73" s="517"/>
      <c r="U73" s="517"/>
      <c r="V73" s="517"/>
      <c r="W73" s="517"/>
      <c r="X73" s="517"/>
      <c r="Y73" s="517"/>
      <c r="Z73" s="517"/>
      <c r="AA73" s="517"/>
      <c r="AB73" s="517"/>
      <c r="AC73" s="517"/>
      <c r="AD73" s="517"/>
    </row>
    <row r="74" spans="1:30" ht="26.1" customHeight="1" x14ac:dyDescent="0.35">
      <c r="A74" s="514"/>
      <c r="B74" s="446"/>
      <c r="C74" s="461" t="s">
        <v>581</v>
      </c>
      <c r="D74" s="379"/>
      <c r="E74" s="379">
        <v>8641</v>
      </c>
      <c r="F74" s="453">
        <v>461</v>
      </c>
      <c r="G74" s="1820">
        <f t="shared" si="4"/>
        <v>5.3350306677467891</v>
      </c>
      <c r="I74" s="54"/>
      <c r="J74" s="54"/>
    </row>
    <row r="75" spans="1:30" ht="26.1" customHeight="1" x14ac:dyDescent="0.35">
      <c r="A75" s="514"/>
      <c r="B75" s="446"/>
      <c r="C75" s="461" t="s">
        <v>574</v>
      </c>
      <c r="D75" s="379"/>
      <c r="E75" s="379">
        <v>7801</v>
      </c>
      <c r="F75" s="453"/>
      <c r="G75" s="1820">
        <f t="shared" si="4"/>
        <v>0</v>
      </c>
      <c r="I75" s="54"/>
      <c r="J75" s="54"/>
    </row>
    <row r="76" spans="1:30" ht="26.1" customHeight="1" x14ac:dyDescent="0.35">
      <c r="A76" s="514"/>
      <c r="B76" s="446"/>
      <c r="C76" s="463" t="s">
        <v>582</v>
      </c>
      <c r="D76" s="380"/>
      <c r="E76" s="380">
        <v>2619</v>
      </c>
      <c r="F76" s="464">
        <v>358</v>
      </c>
      <c r="G76" s="1819">
        <f t="shared" si="4"/>
        <v>13.669339442535319</v>
      </c>
      <c r="I76" s="54"/>
      <c r="J76" s="54"/>
    </row>
    <row r="77" spans="1:30" ht="26.1" customHeight="1" x14ac:dyDescent="0.25">
      <c r="B77" s="446"/>
      <c r="C77" s="462" t="s">
        <v>575</v>
      </c>
      <c r="D77" s="434"/>
      <c r="E77" s="434">
        <v>20000</v>
      </c>
      <c r="F77" s="434"/>
      <c r="G77" s="1820">
        <f t="shared" si="4"/>
        <v>0</v>
      </c>
      <c r="I77" s="54"/>
      <c r="J77" s="54"/>
    </row>
    <row r="78" spans="1:30" s="480" customFormat="1" ht="26.1" customHeight="1" x14ac:dyDescent="0.25">
      <c r="B78" s="2333"/>
      <c r="C78" s="2334" t="s">
        <v>583</v>
      </c>
      <c r="D78" s="2335"/>
      <c r="E78" s="2335">
        <v>13444</v>
      </c>
      <c r="F78" s="2336">
        <v>1425</v>
      </c>
      <c r="G78" s="2337">
        <f t="shared" si="4"/>
        <v>10.599523951204999</v>
      </c>
      <c r="H78" s="517"/>
      <c r="I78" s="54"/>
      <c r="J78" s="54"/>
      <c r="K78" s="517"/>
      <c r="L78" s="517"/>
      <c r="M78" s="517"/>
      <c r="N78" s="517"/>
      <c r="O78" s="517"/>
      <c r="P78" s="517"/>
      <c r="Q78" s="517"/>
      <c r="R78" s="517"/>
      <c r="S78" s="517"/>
      <c r="T78" s="517"/>
      <c r="U78" s="517"/>
      <c r="V78" s="517"/>
      <c r="W78" s="517"/>
      <c r="X78" s="517"/>
      <c r="Y78" s="517"/>
      <c r="Z78" s="517"/>
      <c r="AA78" s="517"/>
      <c r="AB78" s="517"/>
      <c r="AC78" s="517"/>
      <c r="AD78" s="517"/>
    </row>
    <row r="79" spans="1:30" ht="26.1" customHeight="1" x14ac:dyDescent="0.25">
      <c r="B79" s="446"/>
      <c r="C79" s="2332" t="s">
        <v>622</v>
      </c>
      <c r="D79" s="376"/>
      <c r="E79" s="376">
        <v>127117</v>
      </c>
      <c r="F79" s="376"/>
      <c r="G79" s="1819">
        <f t="shared" si="4"/>
        <v>0</v>
      </c>
      <c r="I79" s="54"/>
      <c r="J79" s="54"/>
    </row>
    <row r="80" spans="1:30" s="480" customFormat="1" ht="26.1" customHeight="1" x14ac:dyDescent="0.25">
      <c r="B80" s="478"/>
      <c r="C80" s="1057" t="s">
        <v>623</v>
      </c>
      <c r="D80" s="479"/>
      <c r="E80" s="479">
        <v>16037</v>
      </c>
      <c r="F80" s="516"/>
      <c r="G80" s="1828">
        <f t="shared" si="4"/>
        <v>0</v>
      </c>
      <c r="H80" s="517"/>
      <c r="I80" s="54"/>
      <c r="J80" s="54"/>
      <c r="K80" s="517"/>
      <c r="L80" s="517"/>
      <c r="M80" s="517"/>
      <c r="N80" s="517"/>
      <c r="O80" s="517"/>
      <c r="P80" s="517"/>
      <c r="Q80" s="517"/>
      <c r="R80" s="517"/>
      <c r="S80" s="517"/>
      <c r="T80" s="517"/>
      <c r="U80" s="517"/>
      <c r="V80" s="517"/>
      <c r="W80" s="517"/>
      <c r="X80" s="517"/>
      <c r="Y80" s="517"/>
      <c r="Z80" s="517"/>
      <c r="AA80" s="517"/>
      <c r="AB80" s="517"/>
      <c r="AC80" s="517"/>
      <c r="AD80" s="517"/>
    </row>
    <row r="81" spans="1:30" ht="46.5" customHeight="1" x14ac:dyDescent="0.35">
      <c r="A81" s="514"/>
      <c r="B81" s="446"/>
      <c r="C81" s="461" t="s">
        <v>576</v>
      </c>
      <c r="D81" s="379"/>
      <c r="E81" s="379">
        <v>52654</v>
      </c>
      <c r="F81" s="453"/>
      <c r="G81" s="1820">
        <f t="shared" si="4"/>
        <v>0</v>
      </c>
      <c r="I81" s="54"/>
      <c r="J81" s="54"/>
    </row>
    <row r="82" spans="1:30" ht="46.5" customHeight="1" x14ac:dyDescent="0.35">
      <c r="A82" s="514"/>
      <c r="B82" s="446"/>
      <c r="C82" s="463" t="s">
        <v>584</v>
      </c>
      <c r="D82" s="380"/>
      <c r="E82" s="380">
        <v>3174</v>
      </c>
      <c r="F82" s="464">
        <v>400</v>
      </c>
      <c r="G82" s="1819">
        <f t="shared" si="4"/>
        <v>12.602394454946438</v>
      </c>
      <c r="I82" s="54"/>
      <c r="J82" s="54"/>
    </row>
    <row r="83" spans="1:30" ht="26.1" customHeight="1" x14ac:dyDescent="0.25">
      <c r="B83" s="433"/>
      <c r="C83" s="452" t="s">
        <v>577</v>
      </c>
      <c r="D83" s="381"/>
      <c r="E83" s="381">
        <v>3988</v>
      </c>
      <c r="F83" s="377"/>
      <c r="G83" s="1820">
        <f t="shared" si="4"/>
        <v>0</v>
      </c>
      <c r="I83" s="54"/>
      <c r="J83" s="54"/>
    </row>
    <row r="84" spans="1:30" ht="26.1" customHeight="1" x14ac:dyDescent="0.25">
      <c r="B84" s="433"/>
      <c r="C84" s="452" t="s">
        <v>585</v>
      </c>
      <c r="D84" s="381"/>
      <c r="E84" s="381">
        <v>15804</v>
      </c>
      <c r="F84" s="377">
        <v>1624</v>
      </c>
      <c r="G84" s="1820">
        <f t="shared" si="4"/>
        <v>10.275879524171096</v>
      </c>
      <c r="I84" s="54"/>
      <c r="J84" s="54"/>
    </row>
    <row r="85" spans="1:30" ht="26.1" customHeight="1" x14ac:dyDescent="0.25">
      <c r="B85" s="433"/>
      <c r="C85" s="452" t="s">
        <v>610</v>
      </c>
      <c r="D85" s="381"/>
      <c r="E85" s="381">
        <v>11960</v>
      </c>
      <c r="F85" s="377"/>
      <c r="G85" s="1820">
        <f t="shared" si="4"/>
        <v>0</v>
      </c>
      <c r="I85" s="54"/>
      <c r="J85" s="54"/>
    </row>
    <row r="86" spans="1:30" ht="26.1" customHeight="1" x14ac:dyDescent="0.25">
      <c r="B86" s="433"/>
      <c r="C86" s="452" t="s">
        <v>611</v>
      </c>
      <c r="D86" s="381"/>
      <c r="E86" s="381">
        <v>12508</v>
      </c>
      <c r="F86" s="377">
        <v>548</v>
      </c>
      <c r="G86" s="1820">
        <f t="shared" si="4"/>
        <v>4.3811960345378962</v>
      </c>
      <c r="I86" s="54"/>
      <c r="J86" s="54"/>
    </row>
    <row r="87" spans="1:30" ht="26.1" customHeight="1" x14ac:dyDescent="0.25">
      <c r="B87" s="433"/>
      <c r="C87" s="452" t="s">
        <v>651</v>
      </c>
      <c r="D87" s="381"/>
      <c r="E87" s="381">
        <v>42927</v>
      </c>
      <c r="F87" s="377"/>
      <c r="G87" s="1820">
        <f>+F87/E87*100</f>
        <v>0</v>
      </c>
      <c r="I87" s="54"/>
      <c r="J87" s="54"/>
    </row>
    <row r="88" spans="1:30" ht="26.1" customHeight="1" x14ac:dyDescent="0.25">
      <c r="B88" s="433"/>
      <c r="C88" s="452" t="s">
        <v>494</v>
      </c>
      <c r="D88" s="381"/>
      <c r="E88" s="381">
        <v>23928</v>
      </c>
      <c r="F88" s="377">
        <v>4679</v>
      </c>
      <c r="G88" s="1820">
        <f t="shared" si="4"/>
        <v>19.554496823804747</v>
      </c>
      <c r="I88" s="54"/>
      <c r="J88" s="54"/>
    </row>
    <row r="89" spans="1:30" s="517" customFormat="1" ht="26.1" customHeight="1" x14ac:dyDescent="0.25">
      <c r="B89" s="478"/>
      <c r="C89" s="1068" t="s">
        <v>655</v>
      </c>
      <c r="D89" s="518"/>
      <c r="E89" s="518">
        <v>155771</v>
      </c>
      <c r="F89" s="519"/>
      <c r="G89" s="1820">
        <f t="shared" si="4"/>
        <v>0</v>
      </c>
      <c r="I89" s="54"/>
      <c r="J89" s="54"/>
    </row>
    <row r="90" spans="1:30" s="480" customFormat="1" ht="26.1" customHeight="1" x14ac:dyDescent="0.25">
      <c r="B90" s="478"/>
      <c r="C90" s="520" t="s">
        <v>172</v>
      </c>
      <c r="D90" s="518"/>
      <c r="E90" s="518">
        <v>7112</v>
      </c>
      <c r="F90" s="519">
        <v>5221</v>
      </c>
      <c r="G90" s="1820">
        <f t="shared" si="4"/>
        <v>73.411136107986493</v>
      </c>
      <c r="H90" s="517"/>
      <c r="I90" s="54"/>
      <c r="J90" s="54"/>
      <c r="K90" s="517"/>
      <c r="L90" s="517"/>
      <c r="M90" s="517"/>
      <c r="N90" s="517"/>
      <c r="O90" s="517"/>
      <c r="P90" s="517"/>
      <c r="Q90" s="517"/>
      <c r="R90" s="517"/>
      <c r="S90" s="517"/>
      <c r="T90" s="517"/>
      <c r="U90" s="517"/>
      <c r="V90" s="517"/>
      <c r="W90" s="517"/>
      <c r="X90" s="517"/>
      <c r="Y90" s="517"/>
      <c r="Z90" s="517"/>
      <c r="AA90" s="517"/>
      <c r="AB90" s="517"/>
      <c r="AC90" s="517"/>
      <c r="AD90" s="517"/>
    </row>
    <row r="91" spans="1:30" s="480" customFormat="1" ht="26.1" customHeight="1" x14ac:dyDescent="0.25">
      <c r="B91" s="478"/>
      <c r="C91" s="520" t="s">
        <v>460</v>
      </c>
      <c r="D91" s="518"/>
      <c r="E91" s="518">
        <v>216</v>
      </c>
      <c r="F91" s="519">
        <v>216</v>
      </c>
      <c r="G91" s="1820">
        <f t="shared" ref="G91:G113" si="6">+F91/E91*100</f>
        <v>100</v>
      </c>
      <c r="H91" s="517"/>
      <c r="I91" s="54"/>
      <c r="J91" s="54"/>
      <c r="K91" s="517"/>
      <c r="L91" s="517"/>
      <c r="M91" s="517"/>
      <c r="N91" s="517"/>
      <c r="O91" s="517"/>
      <c r="P91" s="517"/>
      <c r="Q91" s="517"/>
      <c r="R91" s="517"/>
      <c r="S91" s="517"/>
      <c r="T91" s="517"/>
      <c r="U91" s="517"/>
      <c r="V91" s="517"/>
      <c r="W91" s="517"/>
      <c r="X91" s="517"/>
      <c r="Y91" s="517"/>
      <c r="Z91" s="517"/>
      <c r="AA91" s="517"/>
      <c r="AB91" s="517"/>
      <c r="AC91" s="517"/>
      <c r="AD91" s="517"/>
    </row>
    <row r="92" spans="1:30" ht="12.75" customHeight="1" x14ac:dyDescent="0.25">
      <c r="B92" s="446"/>
      <c r="C92" s="436"/>
      <c r="D92" s="377"/>
      <c r="E92" s="377"/>
      <c r="F92" s="453"/>
      <c r="G92" s="1820"/>
      <c r="I92" s="54"/>
      <c r="J92" s="54"/>
    </row>
    <row r="93" spans="1:30" ht="25.5" customHeight="1" x14ac:dyDescent="0.25">
      <c r="B93" s="446"/>
      <c r="C93" s="461" t="s">
        <v>291</v>
      </c>
      <c r="D93" s="379"/>
      <c r="E93" s="379">
        <f>519466+32974</f>
        <v>552440</v>
      </c>
      <c r="F93" s="453">
        <v>551722</v>
      </c>
      <c r="G93" s="1820">
        <f t="shared" si="6"/>
        <v>99.870031134602854</v>
      </c>
      <c r="I93" s="54"/>
      <c r="J93" s="54"/>
    </row>
    <row r="94" spans="1:30" ht="25.5" customHeight="1" x14ac:dyDescent="0.25">
      <c r="B94" s="446"/>
      <c r="C94" s="461" t="s">
        <v>326</v>
      </c>
      <c r="D94" s="379"/>
      <c r="E94" s="379">
        <f>282545-32974</f>
        <v>249571</v>
      </c>
      <c r="F94" s="453"/>
      <c r="G94" s="1820">
        <f t="shared" si="6"/>
        <v>0</v>
      </c>
      <c r="I94" s="54"/>
      <c r="J94" s="54"/>
    </row>
    <row r="95" spans="1:30" ht="25.5" customHeight="1" x14ac:dyDescent="0.25">
      <c r="B95" s="446"/>
      <c r="C95" s="461" t="s">
        <v>327</v>
      </c>
      <c r="D95" s="377"/>
      <c r="E95" s="377">
        <f>448869-32974</f>
        <v>415895</v>
      </c>
      <c r="F95" s="453">
        <v>401115</v>
      </c>
      <c r="G95" s="1820">
        <f t="shared" si="6"/>
        <v>96.446218396470258</v>
      </c>
      <c r="I95" s="54"/>
      <c r="J95" s="54"/>
    </row>
    <row r="96" spans="1:30" ht="25.5" customHeight="1" x14ac:dyDescent="0.25">
      <c r="B96" s="446"/>
      <c r="C96" s="461" t="s">
        <v>502</v>
      </c>
      <c r="D96" s="377"/>
      <c r="E96" s="377">
        <f>75247+32974</f>
        <v>108221</v>
      </c>
      <c r="F96" s="453"/>
      <c r="G96" s="1820">
        <f t="shared" si="6"/>
        <v>0</v>
      </c>
      <c r="I96" s="54"/>
      <c r="J96" s="54"/>
    </row>
    <row r="97" spans="2:10" ht="11.25" customHeight="1" x14ac:dyDescent="0.25">
      <c r="B97" s="446"/>
      <c r="C97" s="436"/>
      <c r="D97" s="377"/>
      <c r="E97" s="377"/>
      <c r="F97" s="453"/>
      <c r="G97" s="1820"/>
      <c r="I97" s="54"/>
      <c r="J97" s="54"/>
    </row>
    <row r="98" spans="2:10" ht="25.5" customHeight="1" x14ac:dyDescent="0.25">
      <c r="B98" s="446"/>
      <c r="C98" s="461" t="s">
        <v>461</v>
      </c>
      <c r="D98" s="379"/>
      <c r="E98" s="379">
        <v>225513</v>
      </c>
      <c r="F98" s="453">
        <v>163473</v>
      </c>
      <c r="G98" s="1820">
        <f t="shared" si="6"/>
        <v>72.489390855516092</v>
      </c>
      <c r="I98" s="54"/>
      <c r="J98" s="54"/>
    </row>
    <row r="99" spans="2:10" ht="13.5" customHeight="1" x14ac:dyDescent="0.25">
      <c r="B99" s="446"/>
      <c r="C99" s="436"/>
      <c r="D99" s="377"/>
      <c r="E99" s="377"/>
      <c r="F99" s="453"/>
      <c r="G99" s="1820"/>
      <c r="I99" s="54"/>
      <c r="J99" s="54"/>
    </row>
    <row r="100" spans="2:10" ht="26.1" customHeight="1" x14ac:dyDescent="0.25">
      <c r="B100" s="446"/>
      <c r="C100" s="461" t="s">
        <v>462</v>
      </c>
      <c r="D100" s="377"/>
      <c r="E100" s="377">
        <v>74005</v>
      </c>
      <c r="F100" s="453">
        <v>74004</v>
      </c>
      <c r="G100" s="1820">
        <f t="shared" si="6"/>
        <v>99.998648739949999</v>
      </c>
      <c r="I100" s="54"/>
      <c r="J100" s="54"/>
    </row>
    <row r="101" spans="2:10" ht="26.1" customHeight="1" x14ac:dyDescent="0.25">
      <c r="B101" s="446"/>
      <c r="C101" s="461" t="s">
        <v>463</v>
      </c>
      <c r="D101" s="379"/>
      <c r="E101" s="379"/>
      <c r="F101" s="453"/>
      <c r="G101" s="1820"/>
      <c r="I101" s="54"/>
      <c r="J101" s="54"/>
    </row>
    <row r="102" spans="2:10" ht="10.5" customHeight="1" x14ac:dyDescent="0.25">
      <c r="B102" s="446"/>
      <c r="C102" s="436"/>
      <c r="D102" s="377"/>
      <c r="E102" s="377"/>
      <c r="F102" s="453"/>
      <c r="G102" s="1820"/>
      <c r="I102" s="54"/>
      <c r="J102" s="54"/>
    </row>
    <row r="103" spans="2:10" ht="26.1" customHeight="1" x14ac:dyDescent="0.25">
      <c r="B103" s="446"/>
      <c r="C103" s="461" t="s">
        <v>329</v>
      </c>
      <c r="D103" s="379"/>
      <c r="E103" s="379">
        <v>3021</v>
      </c>
      <c r="F103" s="453">
        <v>2766</v>
      </c>
      <c r="G103" s="1820">
        <f t="shared" si="6"/>
        <v>91.559086395233365</v>
      </c>
      <c r="I103" s="54"/>
      <c r="J103" s="54"/>
    </row>
    <row r="104" spans="2:10" ht="26.1" customHeight="1" x14ac:dyDescent="0.25">
      <c r="B104" s="446"/>
      <c r="C104" s="461" t="s">
        <v>411</v>
      </c>
      <c r="D104" s="379"/>
      <c r="E104" s="379">
        <v>24214</v>
      </c>
      <c r="F104" s="453"/>
      <c r="G104" s="1820">
        <f t="shared" si="6"/>
        <v>0</v>
      </c>
      <c r="I104" s="54"/>
      <c r="J104" s="54"/>
    </row>
    <row r="105" spans="2:10" ht="11.25" customHeight="1" x14ac:dyDescent="0.25">
      <c r="B105" s="446"/>
      <c r="C105" s="436"/>
      <c r="D105" s="377"/>
      <c r="E105" s="377"/>
      <c r="F105" s="453"/>
      <c r="G105" s="1820"/>
      <c r="I105" s="54"/>
      <c r="J105" s="54"/>
    </row>
    <row r="106" spans="2:10" ht="25.5" customHeight="1" x14ac:dyDescent="0.25">
      <c r="B106" s="446"/>
      <c r="C106" s="463" t="s">
        <v>299</v>
      </c>
      <c r="D106" s="379"/>
      <c r="E106" s="379">
        <v>56302</v>
      </c>
      <c r="F106" s="453">
        <v>50662</v>
      </c>
      <c r="G106" s="1820">
        <f t="shared" si="6"/>
        <v>89.982593868779077</v>
      </c>
      <c r="I106" s="54"/>
      <c r="J106" s="54"/>
    </row>
    <row r="107" spans="2:10" ht="25.5" customHeight="1" x14ac:dyDescent="0.25">
      <c r="B107" s="446"/>
      <c r="C107" s="463" t="s">
        <v>464</v>
      </c>
      <c r="D107" s="379"/>
      <c r="E107" s="379">
        <v>5310</v>
      </c>
      <c r="F107" s="453"/>
      <c r="G107" s="1820">
        <f t="shared" si="6"/>
        <v>0</v>
      </c>
      <c r="I107" s="54"/>
      <c r="J107" s="54"/>
    </row>
    <row r="108" spans="2:10" ht="26.25" customHeight="1" x14ac:dyDescent="0.25">
      <c r="B108" s="446"/>
      <c r="C108" s="463" t="s">
        <v>465</v>
      </c>
      <c r="D108" s="379"/>
      <c r="E108" s="379">
        <v>63416</v>
      </c>
      <c r="F108" s="453">
        <v>47991</v>
      </c>
      <c r="G108" s="1820">
        <f t="shared" si="6"/>
        <v>75.676485429544599</v>
      </c>
      <c r="I108" s="54"/>
      <c r="J108" s="54"/>
    </row>
    <row r="109" spans="2:10" ht="25.5" customHeight="1" x14ac:dyDescent="0.25">
      <c r="B109" s="446"/>
      <c r="C109" s="461" t="s">
        <v>444</v>
      </c>
      <c r="D109" s="377"/>
      <c r="E109" s="377">
        <v>12509</v>
      </c>
      <c r="F109" s="453"/>
      <c r="G109" s="1820">
        <f t="shared" si="6"/>
        <v>0</v>
      </c>
      <c r="I109" s="54"/>
      <c r="J109" s="54"/>
    </row>
    <row r="110" spans="2:10" ht="15.75" customHeight="1" x14ac:dyDescent="0.25">
      <c r="B110" s="446"/>
      <c r="C110" s="461"/>
      <c r="D110" s="377"/>
      <c r="E110" s="377"/>
      <c r="F110" s="453"/>
      <c r="G110" s="1820"/>
      <c r="I110" s="54"/>
      <c r="J110" s="54"/>
    </row>
    <row r="111" spans="2:10" ht="25.5" customHeight="1" x14ac:dyDescent="0.25">
      <c r="B111" s="446"/>
      <c r="C111" s="461" t="s">
        <v>293</v>
      </c>
      <c r="D111" s="377"/>
      <c r="E111" s="377">
        <v>120</v>
      </c>
      <c r="F111" s="453">
        <v>120</v>
      </c>
      <c r="G111" s="1820">
        <f t="shared" si="6"/>
        <v>100</v>
      </c>
      <c r="I111" s="54"/>
      <c r="J111" s="54"/>
    </row>
    <row r="112" spans="2:10" ht="13.5" customHeight="1" x14ac:dyDescent="0.25">
      <c r="B112" s="446"/>
      <c r="C112" s="461"/>
      <c r="D112" s="377"/>
      <c r="E112" s="377"/>
      <c r="F112" s="453"/>
      <c r="G112" s="1820"/>
      <c r="I112" s="54"/>
      <c r="J112" s="54"/>
    </row>
    <row r="113" spans="1:10" ht="25.5" customHeight="1" x14ac:dyDescent="0.25">
      <c r="B113" s="446"/>
      <c r="C113" s="461" t="s">
        <v>289</v>
      </c>
      <c r="D113" s="377"/>
      <c r="E113" s="377">
        <v>2660</v>
      </c>
      <c r="F113" s="453">
        <v>2660</v>
      </c>
      <c r="G113" s="1820">
        <f t="shared" si="6"/>
        <v>100</v>
      </c>
      <c r="I113" s="54"/>
      <c r="J113" s="54"/>
    </row>
    <row r="114" spans="1:10" ht="13.5" customHeight="1" x14ac:dyDescent="0.25">
      <c r="B114" s="446"/>
      <c r="C114" s="461"/>
      <c r="D114" s="377"/>
      <c r="E114" s="377"/>
      <c r="F114" s="453"/>
      <c r="G114" s="1820"/>
      <c r="I114" s="54"/>
      <c r="J114" s="54"/>
    </row>
    <row r="115" spans="1:10" ht="25.5" customHeight="1" x14ac:dyDescent="0.25">
      <c r="B115" s="446"/>
      <c r="C115" s="461" t="s">
        <v>288</v>
      </c>
      <c r="D115" s="377"/>
      <c r="E115" s="377">
        <v>710665</v>
      </c>
      <c r="F115" s="453">
        <v>609340</v>
      </c>
      <c r="G115" s="1820">
        <f t="shared" ref="G115:G142" si="7">+F115/E115*100</f>
        <v>85.742227350439379</v>
      </c>
      <c r="I115" s="54"/>
      <c r="J115" s="54"/>
    </row>
    <row r="116" spans="1:10" ht="25.5" customHeight="1" x14ac:dyDescent="0.25">
      <c r="B116" s="446"/>
      <c r="C116" s="461" t="s">
        <v>445</v>
      </c>
      <c r="D116" s="377"/>
      <c r="E116" s="377">
        <v>186656</v>
      </c>
      <c r="F116" s="453"/>
      <c r="G116" s="1820">
        <f t="shared" si="7"/>
        <v>0</v>
      </c>
      <c r="I116" s="54"/>
      <c r="J116" s="54"/>
    </row>
    <row r="117" spans="1:10" ht="25.5" customHeight="1" x14ac:dyDescent="0.25">
      <c r="B117" s="446"/>
      <c r="C117" s="461" t="s">
        <v>328</v>
      </c>
      <c r="D117" s="377"/>
      <c r="E117" s="377">
        <v>2355</v>
      </c>
      <c r="F117" s="453">
        <v>921</v>
      </c>
      <c r="G117" s="1820">
        <f t="shared" si="7"/>
        <v>39.108280254777071</v>
      </c>
      <c r="I117" s="54"/>
      <c r="J117" s="54"/>
    </row>
    <row r="118" spans="1:10" ht="10.5" customHeight="1" x14ac:dyDescent="0.25">
      <c r="B118" s="446"/>
      <c r="C118" s="435"/>
      <c r="D118" s="381"/>
      <c r="E118" s="381"/>
      <c r="F118" s="460"/>
      <c r="G118" s="1820"/>
      <c r="I118" s="54"/>
      <c r="J118" s="54"/>
    </row>
    <row r="119" spans="1:10" ht="25.5" customHeight="1" x14ac:dyDescent="0.25">
      <c r="B119" s="446"/>
      <c r="C119" s="382" t="s">
        <v>295</v>
      </c>
      <c r="D119" s="381"/>
      <c r="E119" s="381">
        <v>356</v>
      </c>
      <c r="F119" s="460">
        <v>356</v>
      </c>
      <c r="G119" s="1820">
        <f t="shared" si="7"/>
        <v>100</v>
      </c>
      <c r="I119" s="54"/>
      <c r="J119" s="54"/>
    </row>
    <row r="120" spans="1:10" ht="13.5" customHeight="1" x14ac:dyDescent="0.25">
      <c r="B120" s="446"/>
      <c r="C120" s="457"/>
      <c r="D120" s="379"/>
      <c r="E120" s="379"/>
      <c r="F120" s="453"/>
      <c r="G120" s="1820"/>
      <c r="I120" s="54"/>
      <c r="J120" s="54"/>
    </row>
    <row r="121" spans="1:10" ht="25.5" customHeight="1" x14ac:dyDescent="0.35">
      <c r="A121" s="514"/>
      <c r="B121" s="446"/>
      <c r="C121" s="461" t="s">
        <v>599</v>
      </c>
      <c r="D121" s="379"/>
      <c r="E121" s="379">
        <v>3896</v>
      </c>
      <c r="F121" s="453"/>
      <c r="G121" s="1820">
        <f t="shared" si="7"/>
        <v>0</v>
      </c>
      <c r="I121" s="54"/>
      <c r="J121" s="54"/>
    </row>
    <row r="122" spans="1:10" ht="26.1" customHeight="1" x14ac:dyDescent="0.35">
      <c r="A122" s="514"/>
      <c r="B122" s="446"/>
      <c r="C122" s="461" t="s">
        <v>548</v>
      </c>
      <c r="D122" s="379"/>
      <c r="E122" s="379">
        <v>8908</v>
      </c>
      <c r="F122" s="453"/>
      <c r="G122" s="1820">
        <f t="shared" si="7"/>
        <v>0</v>
      </c>
      <c r="I122" s="54"/>
      <c r="J122" s="54"/>
    </row>
    <row r="123" spans="1:10" ht="38.25" customHeight="1" x14ac:dyDescent="0.35">
      <c r="A123" s="514"/>
      <c r="B123" s="446"/>
      <c r="C123" s="463" t="s">
        <v>446</v>
      </c>
      <c r="D123" s="379"/>
      <c r="E123" s="379">
        <v>9442</v>
      </c>
      <c r="F123" s="453">
        <v>9442</v>
      </c>
      <c r="G123" s="1820">
        <f t="shared" si="7"/>
        <v>100</v>
      </c>
      <c r="I123" s="54"/>
      <c r="J123" s="54"/>
    </row>
    <row r="124" spans="1:10" ht="37.5" x14ac:dyDescent="0.35">
      <c r="A124" s="514"/>
      <c r="B124" s="446"/>
      <c r="C124" s="463" t="s">
        <v>447</v>
      </c>
      <c r="D124" s="380"/>
      <c r="E124" s="380">
        <v>28137</v>
      </c>
      <c r="F124" s="464"/>
      <c r="G124" s="1820">
        <f t="shared" si="7"/>
        <v>0</v>
      </c>
      <c r="I124" s="54"/>
      <c r="J124" s="54"/>
    </row>
    <row r="125" spans="1:10" ht="18" customHeight="1" x14ac:dyDescent="0.25">
      <c r="B125" s="446"/>
      <c r="C125" s="457"/>
      <c r="D125" s="379"/>
      <c r="E125" s="379"/>
      <c r="F125" s="453"/>
      <c r="G125" s="1820"/>
      <c r="I125" s="54"/>
      <c r="J125" s="54"/>
    </row>
    <row r="126" spans="1:10" ht="36" x14ac:dyDescent="0.25">
      <c r="B126" s="446"/>
      <c r="C126" s="378" t="s">
        <v>366</v>
      </c>
      <c r="D126" s="379"/>
      <c r="E126" s="379">
        <v>382506</v>
      </c>
      <c r="F126" s="453">
        <v>194685</v>
      </c>
      <c r="G126" s="1820">
        <f t="shared" si="7"/>
        <v>50.897240827594857</v>
      </c>
      <c r="I126" s="54"/>
      <c r="J126" s="54"/>
    </row>
    <row r="127" spans="1:10" ht="36" x14ac:dyDescent="0.25">
      <c r="B127" s="446"/>
      <c r="C127" s="378" t="s">
        <v>508</v>
      </c>
      <c r="D127" s="379"/>
      <c r="E127" s="379">
        <v>13070</v>
      </c>
      <c r="F127" s="453">
        <v>112</v>
      </c>
      <c r="G127" s="1820">
        <f t="shared" si="7"/>
        <v>0.85692425401683248</v>
      </c>
      <c r="I127" s="54"/>
      <c r="J127" s="54"/>
    </row>
    <row r="128" spans="1:10" ht="26.1" customHeight="1" x14ac:dyDescent="0.25">
      <c r="B128" s="446"/>
      <c r="C128" s="378" t="s">
        <v>367</v>
      </c>
      <c r="D128" s="379"/>
      <c r="E128" s="379">
        <v>78655</v>
      </c>
      <c r="F128" s="453">
        <v>77015</v>
      </c>
      <c r="G128" s="1820">
        <f t="shared" si="7"/>
        <v>97.914945013031598</v>
      </c>
      <c r="I128" s="54"/>
      <c r="J128" s="54"/>
    </row>
    <row r="129" spans="1:14" ht="39.75" customHeight="1" x14ac:dyDescent="0.25">
      <c r="B129" s="446"/>
      <c r="C129" s="378" t="s">
        <v>503</v>
      </c>
      <c r="D129" s="379"/>
      <c r="E129" s="379">
        <v>65710</v>
      </c>
      <c r="F129" s="453">
        <v>65642</v>
      </c>
      <c r="G129" s="1820">
        <f t="shared" si="7"/>
        <v>99.896514990108059</v>
      </c>
      <c r="I129" s="54"/>
      <c r="J129" s="54"/>
    </row>
    <row r="130" spans="1:14" ht="25.5" customHeight="1" x14ac:dyDescent="0.25">
      <c r="B130" s="446"/>
      <c r="C130" s="461" t="s">
        <v>510</v>
      </c>
      <c r="D130" s="377"/>
      <c r="E130" s="377">
        <v>366397</v>
      </c>
      <c r="F130" s="453">
        <v>10762</v>
      </c>
      <c r="G130" s="1820">
        <f t="shared" si="7"/>
        <v>2.937251123781035</v>
      </c>
      <c r="I130" s="54"/>
      <c r="J130" s="54"/>
    </row>
    <row r="131" spans="1:14" ht="25.5" customHeight="1" x14ac:dyDescent="0.25">
      <c r="B131" s="446"/>
      <c r="C131" s="461" t="s">
        <v>591</v>
      </c>
      <c r="D131" s="377"/>
      <c r="E131" s="377">
        <f>89718-6439</f>
        <v>83279</v>
      </c>
      <c r="F131" s="453"/>
      <c r="G131" s="1820">
        <f t="shared" si="7"/>
        <v>0</v>
      </c>
      <c r="I131" s="54"/>
      <c r="J131" s="54"/>
    </row>
    <row r="132" spans="1:14" ht="25.5" customHeight="1" x14ac:dyDescent="0.25">
      <c r="B132" s="446"/>
      <c r="C132" s="461" t="s">
        <v>509</v>
      </c>
      <c r="D132" s="377"/>
      <c r="E132" s="377">
        <v>159691</v>
      </c>
      <c r="F132" s="453"/>
      <c r="G132" s="1820">
        <f>+F132/E132*100</f>
        <v>0</v>
      </c>
      <c r="I132" s="54"/>
      <c r="J132" s="54"/>
    </row>
    <row r="133" spans="1:14" ht="26.1" customHeight="1" x14ac:dyDescent="0.25">
      <c r="A133" s="1042"/>
      <c r="B133" s="446"/>
      <c r="C133" s="961" t="s">
        <v>592</v>
      </c>
      <c r="D133" s="379"/>
      <c r="E133" s="379">
        <v>42898</v>
      </c>
      <c r="F133" s="453"/>
      <c r="G133" s="1820">
        <f>+F133/E133*100</f>
        <v>0</v>
      </c>
      <c r="I133" s="54"/>
      <c r="J133" s="54"/>
    </row>
    <row r="134" spans="1:14" ht="26.1" customHeight="1" x14ac:dyDescent="0.25">
      <c r="B134" s="446"/>
      <c r="C134" s="961" t="s">
        <v>586</v>
      </c>
      <c r="D134" s="379"/>
      <c r="E134" s="379">
        <f>204794-6439</f>
        <v>198355</v>
      </c>
      <c r="F134" s="453">
        <v>11911</v>
      </c>
      <c r="G134" s="1820">
        <f t="shared" si="7"/>
        <v>6.0048902220765799</v>
      </c>
      <c r="I134" s="54"/>
      <c r="J134" s="54"/>
    </row>
    <row r="135" spans="1:14" ht="26.1" customHeight="1" x14ac:dyDescent="0.25">
      <c r="B135" s="1155"/>
      <c r="C135" s="961" t="s">
        <v>694</v>
      </c>
      <c r="D135" s="1156"/>
      <c r="E135" s="1156">
        <f>39642+6439</f>
        <v>46081</v>
      </c>
      <c r="F135" s="1157"/>
      <c r="G135" s="1827">
        <f t="shared" si="7"/>
        <v>0</v>
      </c>
      <c r="I135" s="54"/>
      <c r="J135" s="54"/>
    </row>
    <row r="136" spans="1:14" ht="26.1" customHeight="1" x14ac:dyDescent="0.25">
      <c r="B136" s="446"/>
      <c r="C136" s="961" t="s">
        <v>587</v>
      </c>
      <c r="D136" s="379"/>
      <c r="E136" s="379">
        <v>4581</v>
      </c>
      <c r="F136" s="453">
        <v>550</v>
      </c>
      <c r="G136" s="1820">
        <f t="shared" si="7"/>
        <v>12.006112202575856</v>
      </c>
      <c r="I136" s="54"/>
      <c r="J136" s="54"/>
    </row>
    <row r="137" spans="1:14" ht="26.1" customHeight="1" x14ac:dyDescent="0.25">
      <c r="B137" s="446"/>
      <c r="C137" s="961" t="s">
        <v>588</v>
      </c>
      <c r="D137" s="379"/>
      <c r="E137" s="379">
        <v>205194</v>
      </c>
      <c r="F137" s="453">
        <v>3404</v>
      </c>
      <c r="G137" s="1820">
        <f t="shared" si="7"/>
        <v>1.658917902082907</v>
      </c>
      <c r="I137" s="54"/>
      <c r="J137" s="54"/>
    </row>
    <row r="138" spans="1:14" ht="26.1" customHeight="1" x14ac:dyDescent="0.25">
      <c r="B138" s="446"/>
      <c r="C138" s="961" t="s">
        <v>671</v>
      </c>
      <c r="D138" s="379"/>
      <c r="E138" s="379">
        <v>48004</v>
      </c>
      <c r="F138" s="453"/>
      <c r="G138" s="1820">
        <f t="shared" si="7"/>
        <v>0</v>
      </c>
      <c r="I138" s="54"/>
      <c r="J138" s="54"/>
    </row>
    <row r="139" spans="1:14" ht="26.1" customHeight="1" x14ac:dyDescent="0.25">
      <c r="B139" s="446"/>
      <c r="C139" s="961" t="s">
        <v>589</v>
      </c>
      <c r="D139" s="379"/>
      <c r="E139" s="379">
        <v>4094</v>
      </c>
      <c r="F139" s="453">
        <v>214</v>
      </c>
      <c r="G139" s="1820">
        <f t="shared" si="7"/>
        <v>5.2271617000488515</v>
      </c>
      <c r="I139" s="54"/>
      <c r="J139" s="54"/>
    </row>
    <row r="140" spans="1:14" ht="26.1" customHeight="1" x14ac:dyDescent="0.25">
      <c r="B140" s="446"/>
      <c r="C140" s="461" t="s">
        <v>695</v>
      </c>
      <c r="D140" s="377"/>
      <c r="E140" s="377">
        <f>724377+6510</f>
        <v>730887</v>
      </c>
      <c r="F140" s="453">
        <v>8782</v>
      </c>
      <c r="G140" s="1820">
        <f t="shared" si="7"/>
        <v>1.2015537285517459</v>
      </c>
      <c r="I140" s="54"/>
      <c r="J140" s="54"/>
    </row>
    <row r="141" spans="1:14" ht="26.1" customHeight="1" x14ac:dyDescent="0.25">
      <c r="B141" s="446"/>
      <c r="C141" s="461" t="s">
        <v>696</v>
      </c>
      <c r="D141" s="377"/>
      <c r="E141" s="377">
        <f>189856-6510</f>
        <v>183346</v>
      </c>
      <c r="F141" s="453"/>
      <c r="G141" s="1820">
        <f t="shared" si="7"/>
        <v>0</v>
      </c>
      <c r="I141" s="54"/>
      <c r="J141" s="54"/>
    </row>
    <row r="142" spans="1:14" ht="37.5" customHeight="1" x14ac:dyDescent="0.25">
      <c r="B142" s="446"/>
      <c r="C142" s="457" t="s">
        <v>598</v>
      </c>
      <c r="D142" s="379"/>
      <c r="E142" s="379">
        <v>721</v>
      </c>
      <c r="F142" s="453">
        <v>721</v>
      </c>
      <c r="G142" s="1820">
        <f t="shared" si="7"/>
        <v>100</v>
      </c>
      <c r="I142" s="54"/>
      <c r="J142" s="54"/>
    </row>
    <row r="143" spans="1:14" ht="26.1" customHeight="1" x14ac:dyDescent="0.25">
      <c r="B143" s="437"/>
      <c r="C143" s="438" t="s">
        <v>42</v>
      </c>
      <c r="D143" s="465">
        <f>SUM(D32:D142)</f>
        <v>6045402</v>
      </c>
      <c r="E143" s="465">
        <f>SUM(E32:E142)</f>
        <v>8416387</v>
      </c>
      <c r="F143" s="465">
        <f>SUM(F32:F142)</f>
        <v>2798787</v>
      </c>
      <c r="G143" s="1829">
        <f>+F143/E143*100</f>
        <v>33.254019806836354</v>
      </c>
      <c r="H143" s="54"/>
      <c r="I143" s="54"/>
      <c r="J143" s="54"/>
      <c r="L143" s="54"/>
      <c r="M143" s="54"/>
      <c r="N143" s="54"/>
    </row>
    <row r="144" spans="1:14" ht="26.1" customHeight="1" x14ac:dyDescent="0.25">
      <c r="B144" s="411" t="s">
        <v>466</v>
      </c>
      <c r="C144" s="412" t="s">
        <v>537</v>
      </c>
      <c r="D144" s="410"/>
      <c r="E144" s="432"/>
      <c r="F144" s="432"/>
      <c r="G144" s="1824"/>
      <c r="H144" s="54"/>
      <c r="I144" s="54"/>
      <c r="J144" s="54"/>
    </row>
    <row r="145" spans="2:30" ht="25.5" customHeight="1" x14ac:dyDescent="0.25">
      <c r="B145" s="446"/>
      <c r="C145" s="461" t="s">
        <v>697</v>
      </c>
      <c r="D145" s="377">
        <v>55997</v>
      </c>
      <c r="E145" s="377">
        <v>0</v>
      </c>
      <c r="F145" s="453"/>
      <c r="G145" s="1820"/>
      <c r="I145" s="54"/>
      <c r="J145" s="54"/>
    </row>
    <row r="146" spans="2:30" ht="25.5" customHeight="1" x14ac:dyDescent="0.25">
      <c r="B146" s="446"/>
      <c r="C146" s="461" t="s">
        <v>533</v>
      </c>
      <c r="D146" s="377">
        <v>736225</v>
      </c>
      <c r="E146" s="377">
        <v>0</v>
      </c>
      <c r="F146" s="453"/>
      <c r="G146" s="1820"/>
      <c r="I146" s="54"/>
      <c r="J146" s="54"/>
    </row>
    <row r="147" spans="2:30" ht="25.5" customHeight="1" x14ac:dyDescent="0.25">
      <c r="B147" s="446"/>
      <c r="C147" s="461" t="s">
        <v>534</v>
      </c>
      <c r="D147" s="377">
        <v>140000</v>
      </c>
      <c r="E147" s="377">
        <v>0</v>
      </c>
      <c r="F147" s="453"/>
      <c r="G147" s="1820"/>
      <c r="I147" s="54"/>
      <c r="J147" s="54"/>
    </row>
    <row r="148" spans="2:30" ht="25.5" customHeight="1" x14ac:dyDescent="0.25">
      <c r="B148" s="446"/>
      <c r="C148" s="461" t="s">
        <v>535</v>
      </c>
      <c r="D148" s="377">
        <v>63000</v>
      </c>
      <c r="E148" s="377">
        <v>0</v>
      </c>
      <c r="F148" s="453"/>
      <c r="G148" s="1820"/>
      <c r="I148" s="54"/>
      <c r="J148" s="54"/>
    </row>
    <row r="149" spans="2:30" ht="25.5" customHeight="1" x14ac:dyDescent="0.25">
      <c r="B149" s="446"/>
      <c r="C149" s="461" t="s">
        <v>536</v>
      </c>
      <c r="D149" s="377">
        <v>10000</v>
      </c>
      <c r="E149" s="377">
        <v>0</v>
      </c>
      <c r="F149" s="453"/>
      <c r="G149" s="1820"/>
      <c r="I149" s="54"/>
      <c r="J149" s="54"/>
    </row>
    <row r="150" spans="2:30" s="413" customFormat="1" ht="26.1" customHeight="1" x14ac:dyDescent="0.25">
      <c r="B150" s="411"/>
      <c r="C150" s="412" t="s">
        <v>538</v>
      </c>
      <c r="D150" s="410">
        <f>SUM(D145:D149)</f>
        <v>1005222</v>
      </c>
      <c r="E150" s="410">
        <f t="shared" ref="E150:F150" si="8">SUM(E145:E149)</f>
        <v>0</v>
      </c>
      <c r="F150" s="410">
        <f t="shared" si="8"/>
        <v>0</v>
      </c>
      <c r="G150" s="2331"/>
      <c r="H150" s="524"/>
      <c r="I150" s="54"/>
      <c r="J150" s="54"/>
      <c r="K150" s="524"/>
      <c r="L150" s="524"/>
      <c r="M150" s="524"/>
      <c r="N150" s="524"/>
      <c r="O150" s="524"/>
      <c r="P150" s="524"/>
      <c r="Q150" s="524"/>
      <c r="R150" s="524"/>
      <c r="S150" s="524"/>
      <c r="T150" s="524"/>
      <c r="U150" s="524"/>
      <c r="V150" s="524"/>
      <c r="W150" s="524"/>
      <c r="X150" s="524"/>
      <c r="Y150" s="524"/>
      <c r="Z150" s="524"/>
      <c r="AA150" s="524"/>
      <c r="AB150" s="524"/>
      <c r="AC150" s="524"/>
      <c r="AD150" s="524"/>
    </row>
    <row r="151" spans="2:30" s="152" customFormat="1" ht="24.75" customHeight="1" thickBot="1" x14ac:dyDescent="0.3">
      <c r="B151" s="466" t="s">
        <v>467</v>
      </c>
      <c r="C151" s="467" t="s">
        <v>60</v>
      </c>
      <c r="D151" s="468"/>
      <c r="E151" s="468">
        <v>1488</v>
      </c>
      <c r="F151" s="468">
        <v>1455</v>
      </c>
      <c r="G151" s="1830">
        <f>+F151/E151*100</f>
        <v>97.782258064516128</v>
      </c>
      <c r="H151" s="153"/>
      <c r="I151" s="54"/>
      <c r="J151" s="54"/>
      <c r="K151" s="153"/>
      <c r="L151" s="153"/>
      <c r="M151" s="153"/>
      <c r="N151" s="153"/>
      <c r="O151" s="153"/>
      <c r="P151" s="153"/>
      <c r="Q151" s="153"/>
      <c r="R151" s="153"/>
      <c r="S151" s="153"/>
      <c r="T151" s="153"/>
      <c r="U151" s="153"/>
      <c r="V151" s="153"/>
      <c r="W151" s="153"/>
      <c r="X151" s="153"/>
      <c r="Y151" s="153"/>
      <c r="Z151" s="153"/>
      <c r="AA151" s="153"/>
      <c r="AB151" s="153"/>
      <c r="AC151" s="153"/>
      <c r="AD151" s="153"/>
    </row>
    <row r="152" spans="2:30" ht="26.1" customHeight="1" thickBot="1" x14ac:dyDescent="0.3">
      <c r="B152" s="469"/>
      <c r="C152" s="470" t="s">
        <v>166</v>
      </c>
      <c r="D152" s="471">
        <f>D13+D14+D20+D29+D143+D151+D17+D144+D150</f>
        <v>7050624</v>
      </c>
      <c r="E152" s="471">
        <f>E13+E14+E20+E29+E143+E151+E17+E144+E150</f>
        <v>9513679</v>
      </c>
      <c r="F152" s="471">
        <f>F13+F14+F20+F29+F143+F151+F17+F144+F150</f>
        <v>3684792</v>
      </c>
      <c r="G152" s="472">
        <f>+F152/E152*100</f>
        <v>38.731514906063154</v>
      </c>
      <c r="H152" s="54"/>
      <c r="I152" s="54"/>
      <c r="J152" s="54"/>
    </row>
    <row r="153" spans="2:30" ht="30.75" customHeight="1" x14ac:dyDescent="0.25">
      <c r="B153" s="473"/>
      <c r="C153" s="473"/>
      <c r="D153" s="474"/>
      <c r="E153" s="475"/>
      <c r="F153" s="475"/>
      <c r="G153" s="473"/>
    </row>
    <row r="154" spans="2:30" ht="15" customHeight="1" x14ac:dyDescent="0.25">
      <c r="B154" s="473"/>
      <c r="C154" s="473"/>
      <c r="D154" s="474"/>
      <c r="E154" s="475"/>
      <c r="F154" s="475"/>
      <c r="G154" s="473"/>
    </row>
    <row r="155" spans="2:30" ht="45" customHeight="1" x14ac:dyDescent="0.25">
      <c r="B155" s="473"/>
      <c r="C155" s="473"/>
      <c r="D155" s="474"/>
      <c r="E155" s="525"/>
      <c r="F155" s="526"/>
      <c r="G155" s="473"/>
    </row>
    <row r="156" spans="2:30" ht="15" customHeight="1" x14ac:dyDescent="0.25">
      <c r="B156" s="473"/>
      <c r="C156" s="473"/>
      <c r="D156" s="474"/>
      <c r="E156" s="475"/>
      <c r="F156" s="475"/>
      <c r="G156" s="473"/>
    </row>
    <row r="157" spans="2:30" ht="15" customHeight="1" x14ac:dyDescent="0.25">
      <c r="B157" s="473"/>
      <c r="C157" s="473"/>
      <c r="D157" s="474"/>
      <c r="E157" s="475"/>
      <c r="F157" s="475"/>
      <c r="G157" s="473"/>
    </row>
    <row r="158" spans="2:30" ht="15" customHeight="1" x14ac:dyDescent="0.25">
      <c r="B158" s="473"/>
      <c r="C158" s="473"/>
      <c r="D158" s="474"/>
      <c r="E158" s="475"/>
      <c r="F158" s="475"/>
      <c r="G158" s="473"/>
    </row>
    <row r="159" spans="2:30" ht="15" customHeight="1" x14ac:dyDescent="0.25">
      <c r="B159" s="473"/>
      <c r="C159" s="473"/>
      <c r="D159" s="474"/>
      <c r="E159" s="475"/>
      <c r="F159" s="475"/>
      <c r="G159" s="473"/>
    </row>
    <row r="160" spans="2:30" ht="15" customHeight="1" x14ac:dyDescent="0.25">
      <c r="B160" s="473"/>
      <c r="C160" s="473"/>
      <c r="D160" s="474"/>
      <c r="E160" s="475"/>
      <c r="F160" s="475"/>
      <c r="G160" s="473"/>
    </row>
    <row r="161" spans="2:30" ht="15" customHeight="1" x14ac:dyDescent="0.25">
      <c r="B161" s="473"/>
      <c r="C161" s="473"/>
      <c r="D161" s="474"/>
      <c r="E161" s="475"/>
      <c r="F161" s="475"/>
      <c r="G161" s="473"/>
    </row>
    <row r="162" spans="2:30" ht="15" customHeight="1" x14ac:dyDescent="0.25">
      <c r="B162" s="473"/>
      <c r="C162" s="473"/>
      <c r="D162" s="474"/>
      <c r="E162" s="475"/>
      <c r="F162" s="475"/>
      <c r="G162" s="473"/>
    </row>
    <row r="163" spans="2:30" ht="15" customHeight="1" x14ac:dyDescent="0.25">
      <c r="B163" s="473"/>
      <c r="C163" s="473"/>
      <c r="D163" s="474"/>
      <c r="E163" s="475"/>
      <c r="F163" s="475"/>
      <c r="G163" s="473"/>
    </row>
    <row r="164" spans="2:30" ht="15" customHeight="1" x14ac:dyDescent="0.25">
      <c r="D164" s="24"/>
      <c r="F164" s="475"/>
    </row>
    <row r="165" spans="2:30" ht="15" customHeight="1" x14ac:dyDescent="0.2">
      <c r="D165" s="24"/>
    </row>
    <row r="166" spans="2:30" ht="15" customHeight="1" x14ac:dyDescent="0.2">
      <c r="D166" s="24"/>
    </row>
    <row r="167" spans="2:30" ht="15" customHeight="1" x14ac:dyDescent="0.2">
      <c r="D167" s="24"/>
      <c r="G167" s="28"/>
    </row>
    <row r="168" spans="2:30" ht="15" customHeight="1" x14ac:dyDescent="0.2">
      <c r="D168" s="24"/>
    </row>
    <row r="169" spans="2:30" s="28" customFormat="1" ht="15" customHeight="1" x14ac:dyDescent="0.2">
      <c r="B169" s="23"/>
      <c r="C169" s="23"/>
      <c r="D169" s="24"/>
      <c r="G169" s="23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</row>
    <row r="170" spans="2:30" s="28" customFormat="1" ht="15" customHeight="1" x14ac:dyDescent="0.2">
      <c r="B170" s="23"/>
      <c r="C170" s="23"/>
      <c r="D170" s="24"/>
      <c r="G170" s="23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</row>
    <row r="171" spans="2:30" s="28" customFormat="1" ht="15" customHeight="1" x14ac:dyDescent="0.2">
      <c r="B171" s="23"/>
      <c r="C171" s="23"/>
      <c r="D171" s="24"/>
      <c r="G171" s="23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</row>
    <row r="172" spans="2:30" s="28" customFormat="1" ht="15" customHeight="1" x14ac:dyDescent="0.2">
      <c r="B172" s="23"/>
      <c r="C172" s="23"/>
      <c r="D172" s="24"/>
      <c r="G172" s="23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</row>
    <row r="173" spans="2:30" s="28" customFormat="1" ht="15" customHeight="1" x14ac:dyDescent="0.2">
      <c r="B173" s="23"/>
      <c r="C173" s="23"/>
      <c r="D173" s="24"/>
      <c r="G173" s="23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</row>
    <row r="174" spans="2:30" s="28" customFormat="1" ht="15" customHeight="1" x14ac:dyDescent="0.2">
      <c r="B174" s="23"/>
      <c r="C174" s="23"/>
      <c r="D174" s="24"/>
      <c r="G174" s="23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</row>
    <row r="175" spans="2:30" s="28" customFormat="1" ht="15" customHeight="1" x14ac:dyDescent="0.2">
      <c r="B175" s="23"/>
      <c r="C175" s="23"/>
      <c r="D175" s="24"/>
      <c r="G175" s="23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</row>
    <row r="176" spans="2:30" s="28" customFormat="1" ht="15" customHeight="1" x14ac:dyDescent="0.2">
      <c r="B176" s="23"/>
      <c r="C176" s="23"/>
      <c r="D176" s="24"/>
      <c r="G176" s="23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</row>
    <row r="177" spans="2:30" s="28" customFormat="1" ht="15" customHeight="1" x14ac:dyDescent="0.2">
      <c r="B177" s="23"/>
      <c r="C177" s="23"/>
      <c r="D177" s="24"/>
      <c r="G177" s="23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</row>
    <row r="178" spans="2:30" s="28" customFormat="1" ht="15" customHeight="1" x14ac:dyDescent="0.2">
      <c r="B178" s="23"/>
      <c r="C178" s="23"/>
      <c r="D178" s="24"/>
      <c r="G178" s="23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</row>
    <row r="179" spans="2:30" s="28" customFormat="1" ht="15" customHeight="1" x14ac:dyDescent="0.2">
      <c r="B179" s="23"/>
      <c r="C179" s="23"/>
      <c r="D179" s="24"/>
      <c r="G179" s="23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</row>
    <row r="180" spans="2:30" s="28" customFormat="1" ht="15" customHeight="1" x14ac:dyDescent="0.2">
      <c r="B180" s="23"/>
      <c r="C180" s="23"/>
      <c r="D180" s="24"/>
      <c r="G180" s="23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</row>
    <row r="181" spans="2:30" s="28" customFormat="1" ht="15" customHeight="1" x14ac:dyDescent="0.2">
      <c r="B181" s="23"/>
      <c r="C181" s="23"/>
      <c r="D181" s="24"/>
      <c r="G181" s="23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</row>
    <row r="182" spans="2:30" s="28" customFormat="1" ht="15" customHeight="1" x14ac:dyDescent="0.2">
      <c r="B182" s="23"/>
      <c r="C182" s="23"/>
      <c r="D182" s="24"/>
      <c r="G182" s="23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</row>
    <row r="183" spans="2:30" s="28" customFormat="1" ht="15" customHeight="1" x14ac:dyDescent="0.2">
      <c r="B183" s="23"/>
      <c r="C183" s="23"/>
      <c r="D183" s="24"/>
      <c r="G183" s="23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</row>
    <row r="184" spans="2:30" s="28" customFormat="1" ht="15" customHeight="1" x14ac:dyDescent="0.2">
      <c r="B184" s="23"/>
      <c r="C184" s="23"/>
      <c r="D184" s="24"/>
      <c r="G184" s="23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</row>
    <row r="185" spans="2:30" s="28" customFormat="1" ht="15" customHeight="1" x14ac:dyDescent="0.2">
      <c r="B185" s="23"/>
      <c r="C185" s="23"/>
      <c r="D185" s="24"/>
      <c r="G185" s="23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</row>
    <row r="186" spans="2:30" s="28" customFormat="1" ht="15" customHeight="1" x14ac:dyDescent="0.2">
      <c r="B186" s="23"/>
      <c r="C186" s="23"/>
      <c r="D186" s="24"/>
      <c r="G186" s="23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</row>
    <row r="187" spans="2:30" s="28" customFormat="1" ht="15" customHeight="1" x14ac:dyDescent="0.2">
      <c r="B187" s="23"/>
      <c r="C187" s="23"/>
      <c r="D187" s="24"/>
      <c r="G187" s="23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</row>
    <row r="188" spans="2:30" s="28" customFormat="1" ht="15" customHeight="1" x14ac:dyDescent="0.2">
      <c r="B188" s="23"/>
      <c r="C188" s="23"/>
      <c r="D188" s="24"/>
      <c r="G188" s="23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</row>
    <row r="189" spans="2:30" s="28" customFormat="1" ht="15" customHeight="1" x14ac:dyDescent="0.2">
      <c r="B189" s="23"/>
      <c r="C189" s="23"/>
      <c r="D189" s="24"/>
      <c r="G189" s="23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</row>
    <row r="190" spans="2:30" s="28" customFormat="1" ht="15" customHeight="1" x14ac:dyDescent="0.2">
      <c r="B190" s="23"/>
      <c r="C190" s="23"/>
      <c r="D190" s="24"/>
      <c r="G190" s="23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</row>
    <row r="191" spans="2:30" s="28" customFormat="1" ht="15" customHeight="1" x14ac:dyDescent="0.2">
      <c r="B191" s="23"/>
      <c r="C191" s="23"/>
      <c r="D191" s="24"/>
      <c r="G191" s="23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</row>
    <row r="192" spans="2:30" s="28" customFormat="1" ht="15" customHeight="1" x14ac:dyDescent="0.2">
      <c r="B192" s="23"/>
      <c r="C192" s="23"/>
      <c r="D192" s="24"/>
      <c r="G192" s="23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</row>
    <row r="193" spans="2:30" s="28" customFormat="1" ht="15" customHeight="1" x14ac:dyDescent="0.2">
      <c r="B193" s="23"/>
      <c r="C193" s="23"/>
      <c r="D193" s="24"/>
      <c r="G193" s="23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</row>
    <row r="194" spans="2:30" s="28" customFormat="1" ht="15" customHeight="1" x14ac:dyDescent="0.2">
      <c r="B194" s="23"/>
      <c r="C194" s="23"/>
      <c r="D194" s="24"/>
      <c r="G194" s="23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</row>
    <row r="195" spans="2:30" s="28" customFormat="1" ht="15" customHeight="1" x14ac:dyDescent="0.2">
      <c r="B195" s="23"/>
      <c r="C195" s="23"/>
      <c r="D195" s="24"/>
      <c r="G195" s="23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</row>
    <row r="196" spans="2:30" s="28" customFormat="1" ht="15" customHeight="1" x14ac:dyDescent="0.2">
      <c r="B196" s="23"/>
      <c r="C196" s="23"/>
      <c r="D196" s="24"/>
      <c r="G196" s="23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</row>
    <row r="197" spans="2:30" s="28" customFormat="1" ht="15" customHeight="1" x14ac:dyDescent="0.2">
      <c r="B197" s="23"/>
      <c r="C197" s="23"/>
      <c r="D197" s="24"/>
      <c r="G197" s="23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</row>
    <row r="198" spans="2:30" s="28" customFormat="1" ht="15" customHeight="1" x14ac:dyDescent="0.2">
      <c r="B198" s="23"/>
      <c r="C198" s="23"/>
      <c r="D198" s="24"/>
      <c r="G198" s="23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</row>
    <row r="199" spans="2:30" s="28" customFormat="1" ht="15" customHeight="1" x14ac:dyDescent="0.2">
      <c r="B199" s="23"/>
      <c r="C199" s="23"/>
      <c r="D199" s="24"/>
      <c r="G199" s="23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</row>
    <row r="200" spans="2:30" s="28" customFormat="1" ht="15" customHeight="1" x14ac:dyDescent="0.2">
      <c r="B200" s="23"/>
      <c r="C200" s="23"/>
      <c r="D200" s="24"/>
      <c r="G200" s="23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</row>
    <row r="201" spans="2:30" s="28" customFormat="1" ht="15" customHeight="1" x14ac:dyDescent="0.2">
      <c r="B201" s="23"/>
      <c r="C201" s="23"/>
      <c r="D201" s="24"/>
      <c r="G201" s="23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</row>
    <row r="202" spans="2:30" s="28" customFormat="1" ht="15" customHeight="1" x14ac:dyDescent="0.2">
      <c r="B202" s="23"/>
      <c r="C202" s="23"/>
      <c r="D202" s="24"/>
      <c r="G202" s="23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</row>
    <row r="203" spans="2:30" s="28" customFormat="1" ht="15" customHeight="1" x14ac:dyDescent="0.2">
      <c r="B203" s="23"/>
      <c r="C203" s="23"/>
      <c r="D203" s="24"/>
      <c r="G203" s="23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</row>
    <row r="204" spans="2:30" s="28" customFormat="1" ht="15" customHeight="1" x14ac:dyDescent="0.2">
      <c r="B204" s="23"/>
      <c r="C204" s="23"/>
      <c r="D204" s="24"/>
      <c r="G204" s="23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</row>
    <row r="205" spans="2:30" s="28" customFormat="1" ht="15" customHeight="1" x14ac:dyDescent="0.2">
      <c r="B205" s="23"/>
      <c r="C205" s="23"/>
      <c r="D205" s="24"/>
      <c r="G205" s="23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</row>
    <row r="206" spans="2:30" s="28" customFormat="1" ht="15" customHeight="1" x14ac:dyDescent="0.2">
      <c r="B206" s="23"/>
      <c r="C206" s="23"/>
      <c r="D206" s="24"/>
      <c r="G206" s="23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</row>
    <row r="207" spans="2:30" s="28" customFormat="1" ht="15" customHeight="1" x14ac:dyDescent="0.2">
      <c r="B207" s="23"/>
      <c r="C207" s="23"/>
      <c r="D207" s="24"/>
      <c r="G207" s="23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</row>
    <row r="208" spans="2:30" s="28" customFormat="1" ht="15" customHeight="1" x14ac:dyDescent="0.2">
      <c r="B208" s="23"/>
      <c r="C208" s="23"/>
      <c r="D208" s="24"/>
      <c r="G208" s="23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</row>
    <row r="209" spans="2:30" s="28" customFormat="1" ht="15" customHeight="1" x14ac:dyDescent="0.2">
      <c r="B209" s="23"/>
      <c r="C209" s="23"/>
      <c r="D209" s="24"/>
      <c r="G209" s="23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</row>
    <row r="210" spans="2:30" s="28" customFormat="1" ht="15" customHeight="1" x14ac:dyDescent="0.2">
      <c r="B210" s="23"/>
      <c r="C210" s="23"/>
      <c r="D210" s="24"/>
      <c r="G210" s="23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</row>
    <row r="211" spans="2:30" s="28" customFormat="1" ht="15" customHeight="1" x14ac:dyDescent="0.2">
      <c r="B211" s="23"/>
      <c r="C211" s="23"/>
      <c r="D211" s="24"/>
      <c r="G211" s="23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</row>
    <row r="212" spans="2:30" s="28" customFormat="1" ht="15" customHeight="1" x14ac:dyDescent="0.2">
      <c r="B212" s="23"/>
      <c r="C212" s="23"/>
      <c r="D212" s="24"/>
      <c r="G212" s="23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</row>
    <row r="213" spans="2:30" s="28" customFormat="1" ht="15" customHeight="1" x14ac:dyDescent="0.2">
      <c r="B213" s="23"/>
      <c r="C213" s="23"/>
      <c r="D213" s="24"/>
      <c r="G213" s="23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</row>
    <row r="214" spans="2:30" s="28" customFormat="1" ht="15" customHeight="1" x14ac:dyDescent="0.2">
      <c r="B214" s="23"/>
      <c r="C214" s="23"/>
      <c r="D214" s="24"/>
      <c r="G214" s="23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</row>
    <row r="215" spans="2:30" s="28" customFormat="1" ht="15" customHeight="1" x14ac:dyDescent="0.2">
      <c r="B215" s="23"/>
      <c r="C215" s="23"/>
      <c r="D215" s="24"/>
      <c r="G215" s="23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</row>
    <row r="216" spans="2:30" s="28" customFormat="1" ht="15" customHeight="1" x14ac:dyDescent="0.2">
      <c r="B216" s="23"/>
      <c r="C216" s="23"/>
      <c r="D216" s="24"/>
      <c r="G216" s="23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</row>
    <row r="217" spans="2:30" s="28" customFormat="1" ht="15" customHeight="1" x14ac:dyDescent="0.2">
      <c r="B217" s="23"/>
      <c r="C217" s="23"/>
      <c r="D217" s="24"/>
      <c r="G217" s="23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</row>
    <row r="218" spans="2:30" s="28" customFormat="1" ht="15" customHeight="1" x14ac:dyDescent="0.2">
      <c r="B218" s="23"/>
      <c r="C218" s="23"/>
      <c r="D218" s="24"/>
      <c r="G218" s="23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</row>
    <row r="219" spans="2:30" s="28" customFormat="1" ht="15" customHeight="1" x14ac:dyDescent="0.2">
      <c r="B219" s="23"/>
      <c r="C219" s="23"/>
      <c r="D219" s="24"/>
      <c r="G219" s="23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</row>
    <row r="220" spans="2:30" s="28" customFormat="1" ht="15" customHeight="1" x14ac:dyDescent="0.2">
      <c r="B220" s="23"/>
      <c r="C220" s="23"/>
      <c r="D220" s="24"/>
      <c r="G220" s="23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</row>
    <row r="221" spans="2:30" s="28" customFormat="1" ht="15" customHeight="1" x14ac:dyDescent="0.2">
      <c r="B221" s="23"/>
      <c r="C221" s="23"/>
      <c r="D221" s="24"/>
      <c r="G221" s="23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</row>
    <row r="222" spans="2:30" s="28" customFormat="1" ht="15" customHeight="1" x14ac:dyDescent="0.2">
      <c r="B222" s="23"/>
      <c r="C222" s="23"/>
      <c r="D222" s="24"/>
      <c r="G222" s="23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</row>
    <row r="223" spans="2:30" s="28" customFormat="1" ht="15" customHeight="1" x14ac:dyDescent="0.2">
      <c r="B223" s="23"/>
      <c r="C223" s="23"/>
      <c r="D223" s="24"/>
      <c r="G223" s="23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</row>
    <row r="224" spans="2:30" s="28" customFormat="1" ht="15" customHeight="1" x14ac:dyDescent="0.2">
      <c r="B224" s="23"/>
      <c r="C224" s="23"/>
      <c r="D224" s="24"/>
      <c r="G224" s="23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</row>
    <row r="225" spans="2:30" s="28" customFormat="1" ht="15" customHeight="1" x14ac:dyDescent="0.2">
      <c r="B225" s="23"/>
      <c r="C225" s="23"/>
      <c r="D225" s="24"/>
      <c r="G225" s="23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</row>
    <row r="226" spans="2:30" s="28" customFormat="1" ht="15" customHeight="1" x14ac:dyDescent="0.2">
      <c r="B226" s="23"/>
      <c r="C226" s="23"/>
      <c r="D226" s="24"/>
      <c r="G226" s="23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</row>
    <row r="227" spans="2:30" s="28" customFormat="1" ht="15" customHeight="1" x14ac:dyDescent="0.2">
      <c r="B227" s="23"/>
      <c r="C227" s="23"/>
      <c r="D227" s="24"/>
      <c r="G227" s="23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</row>
    <row r="228" spans="2:30" s="28" customFormat="1" ht="15" customHeight="1" x14ac:dyDescent="0.2">
      <c r="B228" s="23"/>
      <c r="C228" s="23"/>
      <c r="D228" s="24"/>
      <c r="G228" s="23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</row>
    <row r="229" spans="2:30" s="28" customFormat="1" ht="15" customHeight="1" x14ac:dyDescent="0.2">
      <c r="B229" s="23"/>
      <c r="C229" s="23"/>
      <c r="D229" s="24"/>
      <c r="G229" s="23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</row>
    <row r="230" spans="2:30" s="28" customFormat="1" ht="15" customHeight="1" x14ac:dyDescent="0.2">
      <c r="B230" s="23"/>
      <c r="C230" s="23"/>
      <c r="D230" s="24"/>
      <c r="G230" s="23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</row>
    <row r="231" spans="2:30" s="28" customFormat="1" ht="15" customHeight="1" x14ac:dyDescent="0.2">
      <c r="B231" s="23"/>
      <c r="C231" s="23"/>
      <c r="D231" s="24"/>
      <c r="G231" s="23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</row>
    <row r="232" spans="2:30" s="28" customFormat="1" ht="15" customHeight="1" x14ac:dyDescent="0.2">
      <c r="B232" s="23"/>
      <c r="C232" s="23"/>
      <c r="D232" s="24"/>
      <c r="G232" s="23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</row>
    <row r="233" spans="2:30" s="28" customFormat="1" ht="15" customHeight="1" x14ac:dyDescent="0.2">
      <c r="B233" s="23"/>
      <c r="C233" s="23"/>
      <c r="D233" s="24"/>
      <c r="G233" s="23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</row>
    <row r="234" spans="2:30" s="28" customFormat="1" ht="15" customHeight="1" x14ac:dyDescent="0.2">
      <c r="B234" s="23"/>
      <c r="C234" s="23"/>
      <c r="D234" s="24"/>
      <c r="G234" s="23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</row>
    <row r="235" spans="2:30" s="28" customFormat="1" ht="15" customHeight="1" x14ac:dyDescent="0.2">
      <c r="B235" s="23"/>
      <c r="C235" s="23"/>
      <c r="D235" s="24"/>
      <c r="G235" s="23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</row>
    <row r="236" spans="2:30" s="28" customFormat="1" ht="15" customHeight="1" x14ac:dyDescent="0.2">
      <c r="B236" s="23"/>
      <c r="C236" s="23"/>
      <c r="D236" s="24"/>
      <c r="G236" s="23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</row>
    <row r="237" spans="2:30" s="28" customFormat="1" ht="15" customHeight="1" x14ac:dyDescent="0.2">
      <c r="B237" s="23"/>
      <c r="C237" s="23"/>
      <c r="D237" s="24"/>
      <c r="G237" s="23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</row>
    <row r="238" spans="2:30" s="28" customFormat="1" ht="15" customHeight="1" x14ac:dyDescent="0.2">
      <c r="B238" s="23"/>
      <c r="C238" s="23"/>
      <c r="D238" s="24"/>
      <c r="G238" s="23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</row>
    <row r="239" spans="2:30" s="28" customFormat="1" ht="15" customHeight="1" x14ac:dyDescent="0.2">
      <c r="B239" s="23"/>
      <c r="C239" s="23"/>
      <c r="D239" s="24"/>
      <c r="G239" s="23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</row>
    <row r="240" spans="2:30" s="28" customFormat="1" ht="15" customHeight="1" x14ac:dyDescent="0.2">
      <c r="B240" s="23"/>
      <c r="C240" s="23"/>
      <c r="D240" s="24"/>
      <c r="G240" s="23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</row>
    <row r="241" spans="2:30" s="28" customFormat="1" ht="15" customHeight="1" x14ac:dyDescent="0.2">
      <c r="B241" s="23"/>
      <c r="C241" s="23"/>
      <c r="D241" s="24"/>
      <c r="G241" s="23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</row>
    <row r="242" spans="2:30" s="28" customFormat="1" ht="15" customHeight="1" x14ac:dyDescent="0.2">
      <c r="B242" s="23"/>
      <c r="C242" s="23"/>
      <c r="D242" s="24"/>
      <c r="G242" s="23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</row>
    <row r="243" spans="2:30" s="28" customFormat="1" ht="15" customHeight="1" x14ac:dyDescent="0.2">
      <c r="B243" s="23"/>
      <c r="C243" s="23"/>
      <c r="D243" s="24"/>
      <c r="G243" s="23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</row>
    <row r="244" spans="2:30" s="28" customFormat="1" ht="15" customHeight="1" x14ac:dyDescent="0.2">
      <c r="B244" s="23"/>
      <c r="C244" s="23"/>
      <c r="D244" s="24"/>
      <c r="G244" s="23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</row>
    <row r="245" spans="2:30" s="28" customFormat="1" ht="15" customHeight="1" x14ac:dyDescent="0.2">
      <c r="B245" s="23"/>
      <c r="C245" s="23"/>
      <c r="D245" s="24"/>
      <c r="G245" s="23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</row>
    <row r="246" spans="2:30" s="28" customFormat="1" ht="15" customHeight="1" x14ac:dyDescent="0.2">
      <c r="B246" s="23"/>
      <c r="C246" s="23"/>
      <c r="D246" s="24"/>
      <c r="G246" s="23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</row>
    <row r="247" spans="2:30" s="28" customFormat="1" ht="15" customHeight="1" x14ac:dyDescent="0.2">
      <c r="B247" s="23"/>
      <c r="C247" s="23"/>
      <c r="D247" s="24"/>
      <c r="G247" s="23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</row>
    <row r="248" spans="2:30" s="28" customFormat="1" ht="15" customHeight="1" x14ac:dyDescent="0.2">
      <c r="B248" s="23"/>
      <c r="C248" s="23"/>
      <c r="D248" s="24"/>
      <c r="G248" s="23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</row>
    <row r="249" spans="2:30" s="28" customFormat="1" ht="15" customHeight="1" x14ac:dyDescent="0.2">
      <c r="B249" s="23"/>
      <c r="C249" s="23"/>
      <c r="D249" s="24"/>
      <c r="G249" s="23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</row>
    <row r="250" spans="2:30" s="28" customFormat="1" ht="15" customHeight="1" x14ac:dyDescent="0.2">
      <c r="B250" s="23"/>
      <c r="C250" s="23"/>
      <c r="D250" s="24"/>
      <c r="G250" s="23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</row>
    <row r="251" spans="2:30" s="28" customFormat="1" ht="15" customHeight="1" x14ac:dyDescent="0.2">
      <c r="B251" s="23"/>
      <c r="C251" s="23"/>
      <c r="D251" s="24"/>
      <c r="G251" s="23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</row>
    <row r="252" spans="2:30" s="28" customFormat="1" ht="15" customHeight="1" x14ac:dyDescent="0.2">
      <c r="B252" s="23"/>
      <c r="C252" s="23"/>
      <c r="D252" s="24"/>
      <c r="G252" s="23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</row>
    <row r="253" spans="2:30" s="28" customFormat="1" ht="15" customHeight="1" x14ac:dyDescent="0.2">
      <c r="B253" s="23"/>
      <c r="C253" s="23"/>
      <c r="D253" s="24"/>
      <c r="G253" s="23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</row>
    <row r="254" spans="2:30" s="28" customFormat="1" ht="15" customHeight="1" x14ac:dyDescent="0.2">
      <c r="B254" s="23"/>
      <c r="C254" s="23"/>
      <c r="D254" s="24"/>
      <c r="G254" s="23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</row>
    <row r="255" spans="2:30" s="28" customFormat="1" ht="15" customHeight="1" x14ac:dyDescent="0.2">
      <c r="B255" s="23"/>
      <c r="C255" s="23"/>
      <c r="D255" s="24"/>
      <c r="G255" s="23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</row>
    <row r="256" spans="2:30" s="28" customFormat="1" ht="15" customHeight="1" x14ac:dyDescent="0.2">
      <c r="B256" s="23"/>
      <c r="C256" s="23"/>
      <c r="D256" s="24"/>
      <c r="G256" s="23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</row>
    <row r="257" spans="2:30" s="28" customFormat="1" ht="15" customHeight="1" x14ac:dyDescent="0.2">
      <c r="B257" s="23"/>
      <c r="C257" s="23"/>
      <c r="D257" s="24"/>
      <c r="G257" s="23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</row>
    <row r="258" spans="2:30" s="28" customFormat="1" ht="15" customHeight="1" x14ac:dyDescent="0.2">
      <c r="B258" s="23"/>
      <c r="C258" s="23"/>
      <c r="D258" s="24"/>
      <c r="G258" s="23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</row>
    <row r="259" spans="2:30" s="28" customFormat="1" ht="15" customHeight="1" x14ac:dyDescent="0.2">
      <c r="B259" s="23"/>
      <c r="C259" s="23"/>
      <c r="D259" s="24"/>
      <c r="G259" s="23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</row>
    <row r="260" spans="2:30" s="28" customFormat="1" ht="15" customHeight="1" x14ac:dyDescent="0.2">
      <c r="B260" s="23"/>
      <c r="C260" s="23"/>
      <c r="D260" s="24"/>
      <c r="G260" s="23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</row>
    <row r="261" spans="2:30" s="28" customFormat="1" ht="15" customHeight="1" x14ac:dyDescent="0.2">
      <c r="B261" s="23"/>
      <c r="C261" s="23"/>
      <c r="D261" s="24"/>
      <c r="G261" s="23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</row>
    <row r="262" spans="2:30" s="28" customFormat="1" ht="15" customHeight="1" x14ac:dyDescent="0.2">
      <c r="B262" s="23"/>
      <c r="C262" s="23"/>
      <c r="D262" s="24"/>
      <c r="G262" s="23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</row>
    <row r="263" spans="2:30" s="28" customFormat="1" ht="15" customHeight="1" x14ac:dyDescent="0.2">
      <c r="B263" s="23"/>
      <c r="C263" s="23"/>
      <c r="D263" s="24"/>
      <c r="G263" s="23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</row>
    <row r="264" spans="2:30" s="28" customFormat="1" ht="15" customHeight="1" x14ac:dyDescent="0.2">
      <c r="B264" s="23"/>
      <c r="C264" s="23"/>
      <c r="D264" s="24"/>
      <c r="G264" s="23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</row>
    <row r="265" spans="2:30" s="28" customFormat="1" ht="15" customHeight="1" x14ac:dyDescent="0.2">
      <c r="B265" s="23"/>
      <c r="C265" s="23"/>
      <c r="D265" s="24"/>
      <c r="G265" s="23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</row>
    <row r="266" spans="2:30" s="28" customFormat="1" ht="15" customHeight="1" x14ac:dyDescent="0.2">
      <c r="B266" s="23"/>
      <c r="C266" s="23"/>
      <c r="D266" s="24"/>
      <c r="G266" s="23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</row>
    <row r="267" spans="2:30" s="28" customFormat="1" ht="15" customHeight="1" x14ac:dyDescent="0.2">
      <c r="B267" s="23"/>
      <c r="C267" s="23"/>
      <c r="D267" s="24"/>
      <c r="G267" s="23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</row>
    <row r="268" spans="2:30" s="28" customFormat="1" ht="15" customHeight="1" x14ac:dyDescent="0.2">
      <c r="B268" s="23"/>
      <c r="C268" s="23"/>
      <c r="D268" s="24"/>
      <c r="G268" s="23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</row>
    <row r="269" spans="2:30" s="28" customFormat="1" ht="15" customHeight="1" x14ac:dyDescent="0.2">
      <c r="B269" s="23"/>
      <c r="C269" s="23"/>
      <c r="D269" s="24"/>
      <c r="G269" s="23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</row>
    <row r="270" spans="2:30" s="28" customFormat="1" ht="15" customHeight="1" x14ac:dyDescent="0.2">
      <c r="B270" s="23"/>
      <c r="C270" s="23"/>
      <c r="D270" s="24"/>
      <c r="G270" s="23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</row>
    <row r="271" spans="2:30" s="28" customFormat="1" ht="15" customHeight="1" x14ac:dyDescent="0.2">
      <c r="B271" s="23"/>
      <c r="C271" s="23"/>
      <c r="D271" s="24"/>
      <c r="G271" s="23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</row>
    <row r="272" spans="2:30" s="28" customFormat="1" ht="15" customHeight="1" x14ac:dyDescent="0.2">
      <c r="B272" s="23"/>
      <c r="C272" s="23"/>
      <c r="D272" s="24"/>
      <c r="G272" s="23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</row>
    <row r="273" spans="2:30" s="28" customFormat="1" ht="15" customHeight="1" x14ac:dyDescent="0.2">
      <c r="B273" s="23"/>
      <c r="C273" s="23"/>
      <c r="D273" s="24"/>
      <c r="G273" s="23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</row>
    <row r="274" spans="2:30" s="28" customFormat="1" ht="15" customHeight="1" x14ac:dyDescent="0.2">
      <c r="B274" s="23"/>
      <c r="C274" s="23"/>
      <c r="D274" s="24"/>
      <c r="G274" s="23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</row>
    <row r="275" spans="2:30" s="28" customFormat="1" ht="15" customHeight="1" x14ac:dyDescent="0.2">
      <c r="B275" s="23"/>
      <c r="C275" s="23"/>
      <c r="D275" s="24"/>
      <c r="G275" s="23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</row>
    <row r="276" spans="2:30" s="28" customFormat="1" ht="15" customHeight="1" x14ac:dyDescent="0.2">
      <c r="B276" s="23"/>
      <c r="C276" s="23"/>
      <c r="D276" s="24"/>
      <c r="G276" s="23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</row>
    <row r="277" spans="2:30" s="28" customFormat="1" ht="15" customHeight="1" x14ac:dyDescent="0.2">
      <c r="B277" s="23"/>
      <c r="C277" s="23"/>
      <c r="D277" s="24"/>
      <c r="G277" s="23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</row>
    <row r="278" spans="2:30" s="28" customFormat="1" ht="15" customHeight="1" x14ac:dyDescent="0.2">
      <c r="B278" s="23"/>
      <c r="C278" s="23"/>
      <c r="D278" s="24"/>
      <c r="G278" s="23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</row>
    <row r="279" spans="2:30" s="28" customFormat="1" ht="15" customHeight="1" x14ac:dyDescent="0.2">
      <c r="B279" s="23"/>
      <c r="C279" s="23"/>
      <c r="D279" s="24"/>
      <c r="G279" s="23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</row>
    <row r="280" spans="2:30" s="28" customFormat="1" ht="15" customHeight="1" x14ac:dyDescent="0.2">
      <c r="B280" s="23"/>
      <c r="C280" s="23"/>
      <c r="D280" s="24"/>
      <c r="G280" s="23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</row>
    <row r="281" spans="2:30" s="28" customFormat="1" ht="15" customHeight="1" x14ac:dyDescent="0.2">
      <c r="B281" s="23"/>
      <c r="C281" s="23"/>
      <c r="D281" s="24"/>
      <c r="G281" s="23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</row>
    <row r="282" spans="2:30" s="28" customFormat="1" ht="15" customHeight="1" x14ac:dyDescent="0.2">
      <c r="B282" s="23"/>
      <c r="C282" s="23"/>
      <c r="D282" s="24"/>
      <c r="G282" s="23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</row>
    <row r="283" spans="2:30" s="28" customFormat="1" ht="15" customHeight="1" x14ac:dyDescent="0.2">
      <c r="B283" s="23"/>
      <c r="C283" s="23"/>
      <c r="D283" s="24"/>
      <c r="G283" s="23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</row>
    <row r="284" spans="2:30" s="28" customFormat="1" ht="15" customHeight="1" x14ac:dyDescent="0.2">
      <c r="B284" s="23"/>
      <c r="C284" s="23"/>
      <c r="D284" s="24"/>
      <c r="G284" s="23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</row>
    <row r="285" spans="2:30" s="28" customFormat="1" ht="15" customHeight="1" x14ac:dyDescent="0.2">
      <c r="B285" s="23"/>
      <c r="C285" s="23"/>
      <c r="D285" s="24"/>
      <c r="G285" s="23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</row>
    <row r="286" spans="2:30" s="28" customFormat="1" ht="15" customHeight="1" x14ac:dyDescent="0.2">
      <c r="B286" s="23"/>
      <c r="C286" s="23"/>
      <c r="D286" s="24"/>
      <c r="G286" s="23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</row>
    <row r="287" spans="2:30" s="28" customFormat="1" ht="15" customHeight="1" x14ac:dyDescent="0.2">
      <c r="B287" s="23"/>
      <c r="C287" s="23"/>
      <c r="D287" s="24"/>
      <c r="G287" s="23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</row>
    <row r="288" spans="2:30" s="28" customFormat="1" ht="15" customHeight="1" x14ac:dyDescent="0.2">
      <c r="B288" s="23"/>
      <c r="C288" s="23"/>
      <c r="D288" s="24"/>
      <c r="G288" s="23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</row>
    <row r="289" spans="2:30" s="28" customFormat="1" ht="15" customHeight="1" x14ac:dyDescent="0.2">
      <c r="B289" s="23"/>
      <c r="C289" s="23"/>
      <c r="D289" s="24"/>
      <c r="G289" s="23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</row>
    <row r="290" spans="2:30" s="28" customFormat="1" ht="15" customHeight="1" x14ac:dyDescent="0.2">
      <c r="B290" s="23"/>
      <c r="C290" s="23"/>
      <c r="D290" s="24"/>
      <c r="G290" s="23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</row>
    <row r="291" spans="2:30" s="28" customFormat="1" ht="15" customHeight="1" x14ac:dyDescent="0.2">
      <c r="B291" s="23"/>
      <c r="C291" s="23"/>
      <c r="D291" s="24"/>
      <c r="G291" s="23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</row>
    <row r="292" spans="2:30" s="28" customFormat="1" ht="15" customHeight="1" x14ac:dyDescent="0.2">
      <c r="B292" s="23"/>
      <c r="C292" s="23"/>
      <c r="D292" s="24"/>
      <c r="G292" s="23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</row>
    <row r="293" spans="2:30" s="28" customFormat="1" ht="15" customHeight="1" x14ac:dyDescent="0.2">
      <c r="B293" s="23"/>
      <c r="C293" s="23"/>
      <c r="D293" s="24"/>
      <c r="G293" s="23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</row>
    <row r="294" spans="2:30" s="28" customFormat="1" ht="15" customHeight="1" x14ac:dyDescent="0.2">
      <c r="B294" s="23"/>
      <c r="C294" s="23"/>
      <c r="D294" s="24"/>
      <c r="G294" s="23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</row>
    <row r="295" spans="2:30" s="28" customFormat="1" ht="15" customHeight="1" x14ac:dyDescent="0.2">
      <c r="B295" s="23"/>
      <c r="C295" s="23"/>
      <c r="D295" s="24"/>
      <c r="G295" s="23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</row>
    <row r="296" spans="2:30" s="28" customFormat="1" ht="15" customHeight="1" x14ac:dyDescent="0.2">
      <c r="B296" s="23"/>
      <c r="C296" s="23"/>
      <c r="D296" s="24"/>
      <c r="G296" s="23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</row>
    <row r="297" spans="2:30" s="28" customFormat="1" ht="15" customHeight="1" x14ac:dyDescent="0.2">
      <c r="B297" s="23"/>
      <c r="C297" s="23"/>
      <c r="D297" s="24"/>
      <c r="G297" s="23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</row>
    <row r="298" spans="2:30" s="28" customFormat="1" ht="15" customHeight="1" x14ac:dyDescent="0.2">
      <c r="B298" s="23"/>
      <c r="C298" s="23"/>
      <c r="D298" s="24"/>
      <c r="G298" s="23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</row>
    <row r="299" spans="2:30" s="28" customFormat="1" ht="15" customHeight="1" x14ac:dyDescent="0.2">
      <c r="B299" s="23"/>
      <c r="C299" s="23"/>
      <c r="D299" s="24"/>
      <c r="G299" s="23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</row>
    <row r="300" spans="2:30" s="28" customFormat="1" ht="15" customHeight="1" x14ac:dyDescent="0.2">
      <c r="B300" s="23"/>
      <c r="C300" s="23"/>
      <c r="D300" s="24"/>
      <c r="G300" s="23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</row>
    <row r="301" spans="2:30" s="28" customFormat="1" ht="15" customHeight="1" x14ac:dyDescent="0.2">
      <c r="B301" s="23"/>
      <c r="C301" s="23"/>
      <c r="D301" s="24"/>
      <c r="G301" s="23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</row>
    <row r="302" spans="2:30" s="28" customFormat="1" ht="15" customHeight="1" x14ac:dyDescent="0.2">
      <c r="B302" s="23"/>
      <c r="C302" s="23"/>
      <c r="D302" s="24"/>
      <c r="G302" s="23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</row>
    <row r="303" spans="2:30" s="28" customFormat="1" ht="15" customHeight="1" x14ac:dyDescent="0.2">
      <c r="B303" s="23"/>
      <c r="C303" s="23"/>
      <c r="D303" s="24"/>
      <c r="G303" s="23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</row>
    <row r="304" spans="2:30" s="28" customFormat="1" ht="15" customHeight="1" x14ac:dyDescent="0.2">
      <c r="B304" s="23"/>
      <c r="C304" s="23"/>
      <c r="D304" s="24"/>
      <c r="G304" s="23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</row>
    <row r="305" spans="2:30" s="28" customFormat="1" ht="15" customHeight="1" x14ac:dyDescent="0.2">
      <c r="B305" s="23"/>
      <c r="C305" s="23"/>
      <c r="D305" s="24"/>
      <c r="G305" s="23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</row>
    <row r="306" spans="2:30" s="28" customFormat="1" ht="15" customHeight="1" x14ac:dyDescent="0.2">
      <c r="B306" s="23"/>
      <c r="C306" s="23"/>
      <c r="D306" s="24"/>
      <c r="G306" s="23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</row>
    <row r="307" spans="2:30" s="28" customFormat="1" ht="15" customHeight="1" x14ac:dyDescent="0.2">
      <c r="B307" s="23"/>
      <c r="C307" s="23"/>
      <c r="D307" s="24"/>
      <c r="G307" s="23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</row>
    <row r="308" spans="2:30" s="28" customFormat="1" ht="15" customHeight="1" x14ac:dyDescent="0.2">
      <c r="B308" s="23"/>
      <c r="C308" s="23"/>
      <c r="D308" s="24"/>
      <c r="G308" s="23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</row>
    <row r="309" spans="2:30" s="28" customFormat="1" ht="15" customHeight="1" x14ac:dyDescent="0.2">
      <c r="B309" s="23"/>
      <c r="C309" s="23"/>
      <c r="D309" s="24"/>
      <c r="G309" s="23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</row>
    <row r="310" spans="2:30" s="28" customFormat="1" ht="15" customHeight="1" x14ac:dyDescent="0.2">
      <c r="B310" s="23"/>
      <c r="C310" s="23"/>
      <c r="D310" s="24"/>
      <c r="G310" s="23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</row>
    <row r="311" spans="2:30" s="28" customFormat="1" ht="15" customHeight="1" x14ac:dyDescent="0.2">
      <c r="B311" s="23"/>
      <c r="C311" s="23"/>
      <c r="D311" s="24"/>
      <c r="G311" s="23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</row>
    <row r="312" spans="2:30" s="28" customFormat="1" ht="15" customHeight="1" x14ac:dyDescent="0.2">
      <c r="B312" s="23"/>
      <c r="C312" s="23"/>
      <c r="D312" s="24"/>
      <c r="G312" s="23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</row>
    <row r="313" spans="2:30" s="28" customFormat="1" ht="15" customHeight="1" x14ac:dyDescent="0.2">
      <c r="B313" s="23"/>
      <c r="C313" s="23"/>
      <c r="D313" s="24"/>
      <c r="G313" s="23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</row>
    <row r="314" spans="2:30" s="28" customFormat="1" ht="15" customHeight="1" x14ac:dyDescent="0.2">
      <c r="B314" s="23"/>
      <c r="C314" s="23"/>
      <c r="D314" s="24"/>
      <c r="G314" s="23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</row>
    <row r="315" spans="2:30" s="28" customFormat="1" ht="15" customHeight="1" x14ac:dyDescent="0.2">
      <c r="B315" s="23"/>
      <c r="C315" s="23"/>
      <c r="D315" s="24"/>
      <c r="G315" s="23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</row>
    <row r="316" spans="2:30" s="28" customFormat="1" ht="15" customHeight="1" x14ac:dyDescent="0.2">
      <c r="B316" s="23"/>
      <c r="C316" s="23"/>
      <c r="D316" s="24"/>
      <c r="G316" s="23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</row>
    <row r="317" spans="2:30" s="28" customFormat="1" ht="15" customHeight="1" x14ac:dyDescent="0.2">
      <c r="B317" s="23"/>
      <c r="C317" s="23"/>
      <c r="D317" s="24"/>
      <c r="G317" s="23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</row>
    <row r="318" spans="2:30" s="28" customFormat="1" ht="15" customHeight="1" x14ac:dyDescent="0.2">
      <c r="B318" s="23"/>
      <c r="C318" s="23"/>
      <c r="D318" s="24"/>
      <c r="G318" s="23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</row>
    <row r="319" spans="2:30" s="28" customFormat="1" ht="15" customHeight="1" x14ac:dyDescent="0.2">
      <c r="B319" s="23"/>
      <c r="C319" s="23"/>
      <c r="D319" s="24"/>
      <c r="G319" s="23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</row>
    <row r="320" spans="2:30" s="28" customFormat="1" ht="15" customHeight="1" x14ac:dyDescent="0.2">
      <c r="B320" s="23"/>
      <c r="C320" s="23"/>
      <c r="D320" s="24"/>
      <c r="G320" s="23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</row>
    <row r="321" spans="2:30" s="28" customFormat="1" ht="15" customHeight="1" x14ac:dyDescent="0.2">
      <c r="B321" s="23"/>
      <c r="C321" s="23"/>
      <c r="D321" s="24"/>
      <c r="G321" s="23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</row>
    <row r="322" spans="2:30" s="28" customFormat="1" ht="15" customHeight="1" x14ac:dyDescent="0.2">
      <c r="B322" s="23"/>
      <c r="C322" s="23"/>
      <c r="D322" s="24"/>
      <c r="G322" s="23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</row>
    <row r="323" spans="2:30" s="28" customFormat="1" ht="15" customHeight="1" x14ac:dyDescent="0.2">
      <c r="B323" s="23"/>
      <c r="C323" s="23"/>
      <c r="D323" s="24"/>
      <c r="G323" s="23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</row>
    <row r="324" spans="2:30" s="28" customFormat="1" ht="15" customHeight="1" x14ac:dyDescent="0.2">
      <c r="B324" s="23"/>
      <c r="C324" s="23"/>
      <c r="D324" s="24"/>
      <c r="G324" s="23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</row>
    <row r="325" spans="2:30" s="28" customFormat="1" ht="15" customHeight="1" x14ac:dyDescent="0.2">
      <c r="B325" s="23"/>
      <c r="C325" s="23"/>
      <c r="D325" s="24"/>
      <c r="G325" s="23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</row>
    <row r="326" spans="2:30" s="28" customFormat="1" ht="15" customHeight="1" x14ac:dyDescent="0.2">
      <c r="B326" s="23"/>
      <c r="C326" s="23"/>
      <c r="D326" s="24"/>
      <c r="G326" s="23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</row>
    <row r="327" spans="2:30" s="28" customFormat="1" ht="15" customHeight="1" x14ac:dyDescent="0.2">
      <c r="B327" s="23"/>
      <c r="C327" s="23"/>
      <c r="D327" s="24"/>
      <c r="G327" s="23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</row>
    <row r="328" spans="2:30" s="28" customFormat="1" ht="15" customHeight="1" x14ac:dyDescent="0.2">
      <c r="B328" s="23"/>
      <c r="C328" s="23"/>
      <c r="D328" s="24"/>
      <c r="G328" s="23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</row>
    <row r="329" spans="2:30" s="28" customFormat="1" ht="15" customHeight="1" x14ac:dyDescent="0.2">
      <c r="B329" s="23"/>
      <c r="C329" s="23"/>
      <c r="D329" s="24"/>
      <c r="G329" s="23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</row>
    <row r="330" spans="2:30" s="28" customFormat="1" ht="15" customHeight="1" x14ac:dyDescent="0.2">
      <c r="B330" s="23"/>
      <c r="C330" s="23"/>
      <c r="D330" s="24"/>
      <c r="G330" s="23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</row>
    <row r="331" spans="2:30" s="28" customFormat="1" ht="15" customHeight="1" x14ac:dyDescent="0.2">
      <c r="B331" s="23"/>
      <c r="C331" s="23"/>
      <c r="D331" s="24"/>
      <c r="G331" s="23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</row>
    <row r="332" spans="2:30" s="28" customFormat="1" ht="15" customHeight="1" x14ac:dyDescent="0.2">
      <c r="B332" s="23"/>
      <c r="C332" s="23"/>
      <c r="D332" s="24"/>
      <c r="G332" s="23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</row>
    <row r="333" spans="2:30" s="28" customFormat="1" ht="15" customHeight="1" x14ac:dyDescent="0.2">
      <c r="B333" s="23"/>
      <c r="C333" s="23"/>
      <c r="D333" s="24"/>
      <c r="G333" s="23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</row>
    <row r="334" spans="2:30" s="28" customFormat="1" ht="15" customHeight="1" x14ac:dyDescent="0.2">
      <c r="B334" s="23"/>
      <c r="C334" s="23"/>
      <c r="D334" s="24"/>
      <c r="G334" s="23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</row>
    <row r="335" spans="2:30" s="28" customFormat="1" ht="15" customHeight="1" x14ac:dyDescent="0.2">
      <c r="B335" s="23"/>
      <c r="C335" s="23"/>
      <c r="D335" s="24"/>
      <c r="G335" s="23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</row>
    <row r="336" spans="2:30" s="28" customFormat="1" ht="15" customHeight="1" x14ac:dyDescent="0.2">
      <c r="B336" s="23"/>
      <c r="C336" s="23"/>
      <c r="D336" s="24"/>
      <c r="G336" s="23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</row>
    <row r="337" spans="2:30" s="28" customFormat="1" ht="15" customHeight="1" x14ac:dyDescent="0.2">
      <c r="B337" s="23"/>
      <c r="C337" s="23"/>
      <c r="D337" s="24"/>
      <c r="G337" s="23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</row>
    <row r="338" spans="2:30" s="28" customFormat="1" ht="15" customHeight="1" x14ac:dyDescent="0.2">
      <c r="B338" s="23"/>
      <c r="C338" s="23"/>
      <c r="D338" s="24"/>
      <c r="G338" s="23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</row>
    <row r="339" spans="2:30" s="28" customFormat="1" ht="15" customHeight="1" x14ac:dyDescent="0.2">
      <c r="B339" s="23"/>
      <c r="C339" s="23"/>
      <c r="D339" s="24"/>
      <c r="G339" s="23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</row>
    <row r="340" spans="2:30" s="28" customFormat="1" ht="15" customHeight="1" x14ac:dyDescent="0.2">
      <c r="B340" s="23"/>
      <c r="C340" s="23"/>
      <c r="D340" s="24"/>
      <c r="G340" s="23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</row>
    <row r="341" spans="2:30" s="28" customFormat="1" ht="15" customHeight="1" x14ac:dyDescent="0.2">
      <c r="B341" s="23"/>
      <c r="C341" s="23"/>
      <c r="D341" s="24"/>
      <c r="G341" s="23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</row>
    <row r="342" spans="2:30" s="28" customFormat="1" ht="15" customHeight="1" x14ac:dyDescent="0.2">
      <c r="B342" s="23"/>
      <c r="C342" s="23"/>
      <c r="D342" s="24"/>
      <c r="G342" s="23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</row>
    <row r="343" spans="2:30" s="28" customFormat="1" ht="15" customHeight="1" x14ac:dyDescent="0.2">
      <c r="B343" s="23"/>
      <c r="C343" s="23"/>
      <c r="D343" s="24"/>
      <c r="G343" s="23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</row>
    <row r="344" spans="2:30" s="28" customFormat="1" ht="15" customHeight="1" x14ac:dyDescent="0.2">
      <c r="B344" s="23"/>
      <c r="C344" s="23"/>
      <c r="D344" s="24"/>
      <c r="G344" s="23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</row>
    <row r="345" spans="2:30" s="28" customFormat="1" ht="15" customHeight="1" x14ac:dyDescent="0.2">
      <c r="B345" s="23"/>
      <c r="C345" s="23"/>
      <c r="D345" s="24"/>
      <c r="G345" s="23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</row>
    <row r="346" spans="2:30" s="28" customFormat="1" ht="15" customHeight="1" x14ac:dyDescent="0.2">
      <c r="B346" s="23"/>
      <c r="C346" s="23"/>
      <c r="D346" s="24"/>
      <c r="G346" s="23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</row>
    <row r="347" spans="2:30" s="28" customFormat="1" ht="15" customHeight="1" x14ac:dyDescent="0.2">
      <c r="B347" s="23"/>
      <c r="C347" s="23"/>
      <c r="D347" s="24"/>
      <c r="G347" s="23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</row>
    <row r="348" spans="2:30" s="28" customFormat="1" ht="15" customHeight="1" x14ac:dyDescent="0.2">
      <c r="B348" s="23"/>
      <c r="C348" s="23"/>
      <c r="D348" s="24"/>
      <c r="G348" s="23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</row>
    <row r="349" spans="2:30" s="28" customFormat="1" ht="15" customHeight="1" x14ac:dyDescent="0.2">
      <c r="B349" s="23"/>
      <c r="C349" s="23"/>
      <c r="D349" s="24"/>
      <c r="G349" s="23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</row>
    <row r="350" spans="2:30" s="28" customFormat="1" ht="15" customHeight="1" x14ac:dyDescent="0.2">
      <c r="B350" s="23"/>
      <c r="C350" s="23"/>
      <c r="D350" s="24"/>
      <c r="G350" s="23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</row>
    <row r="351" spans="2:30" s="28" customFormat="1" ht="15" customHeight="1" x14ac:dyDescent="0.2">
      <c r="B351" s="23"/>
      <c r="C351" s="23"/>
      <c r="D351" s="24"/>
      <c r="G351" s="23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</row>
    <row r="352" spans="2:30" s="28" customFormat="1" ht="15" customHeight="1" x14ac:dyDescent="0.2">
      <c r="B352" s="23"/>
      <c r="C352" s="23"/>
      <c r="D352" s="24"/>
      <c r="G352" s="23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</row>
    <row r="353" spans="2:30" s="28" customFormat="1" ht="15" customHeight="1" x14ac:dyDescent="0.2">
      <c r="B353" s="23"/>
      <c r="C353" s="23"/>
      <c r="D353" s="24"/>
      <c r="G353" s="23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</row>
    <row r="354" spans="2:30" s="28" customFormat="1" ht="15" customHeight="1" x14ac:dyDescent="0.2">
      <c r="B354" s="23"/>
      <c r="C354" s="23"/>
      <c r="D354" s="24"/>
      <c r="G354" s="23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</row>
    <row r="355" spans="2:30" s="28" customFormat="1" ht="15" customHeight="1" x14ac:dyDescent="0.2">
      <c r="B355" s="23"/>
      <c r="C355" s="23"/>
      <c r="D355" s="24"/>
      <c r="G355" s="23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</row>
    <row r="356" spans="2:30" s="28" customFormat="1" ht="15" customHeight="1" x14ac:dyDescent="0.2">
      <c r="B356" s="23"/>
      <c r="C356" s="23"/>
      <c r="D356" s="24"/>
      <c r="G356" s="23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</row>
    <row r="357" spans="2:30" s="28" customFormat="1" ht="15" customHeight="1" x14ac:dyDescent="0.2">
      <c r="B357" s="23"/>
      <c r="C357" s="23"/>
      <c r="D357" s="24"/>
      <c r="G357" s="23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</row>
    <row r="358" spans="2:30" s="28" customFormat="1" ht="15" customHeight="1" x14ac:dyDescent="0.2">
      <c r="B358" s="23"/>
      <c r="C358" s="23"/>
      <c r="D358" s="24"/>
      <c r="G358" s="23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</row>
    <row r="359" spans="2:30" s="28" customFormat="1" ht="15" customHeight="1" x14ac:dyDescent="0.2">
      <c r="B359" s="23"/>
      <c r="C359" s="23"/>
      <c r="D359" s="24"/>
      <c r="G359" s="23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</row>
    <row r="360" spans="2:30" s="28" customFormat="1" ht="15" customHeight="1" x14ac:dyDescent="0.2">
      <c r="B360" s="23"/>
      <c r="C360" s="23"/>
      <c r="D360" s="24"/>
      <c r="G360" s="23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</row>
    <row r="361" spans="2:30" s="28" customFormat="1" ht="15" customHeight="1" x14ac:dyDescent="0.2">
      <c r="B361" s="23"/>
      <c r="C361" s="23"/>
      <c r="D361" s="24"/>
      <c r="G361" s="23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</row>
    <row r="362" spans="2:30" s="28" customFormat="1" ht="15" customHeight="1" x14ac:dyDescent="0.2">
      <c r="B362" s="23"/>
      <c r="C362" s="23"/>
      <c r="D362" s="24"/>
      <c r="G362" s="23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</row>
    <row r="363" spans="2:30" s="28" customFormat="1" ht="15" customHeight="1" x14ac:dyDescent="0.2">
      <c r="B363" s="23"/>
      <c r="C363" s="23"/>
      <c r="D363" s="24"/>
      <c r="G363" s="23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</row>
    <row r="364" spans="2:30" s="28" customFormat="1" ht="15" customHeight="1" x14ac:dyDescent="0.2">
      <c r="B364" s="23"/>
      <c r="C364" s="23"/>
      <c r="D364" s="24"/>
      <c r="G364" s="23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</row>
    <row r="365" spans="2:30" s="28" customFormat="1" ht="15" customHeight="1" x14ac:dyDescent="0.2">
      <c r="B365" s="23"/>
      <c r="C365" s="23"/>
      <c r="D365" s="24"/>
      <c r="G365" s="23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</row>
    <row r="366" spans="2:30" s="28" customFormat="1" ht="15" customHeight="1" x14ac:dyDescent="0.2">
      <c r="B366" s="23"/>
      <c r="C366" s="23"/>
      <c r="D366" s="24"/>
      <c r="G366" s="23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</row>
    <row r="367" spans="2:30" s="28" customFormat="1" ht="15" customHeight="1" x14ac:dyDescent="0.2">
      <c r="B367" s="23"/>
      <c r="C367" s="23"/>
      <c r="D367" s="24"/>
      <c r="G367" s="23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</row>
    <row r="368" spans="2:30" s="28" customFormat="1" ht="15" customHeight="1" x14ac:dyDescent="0.2">
      <c r="B368" s="23"/>
      <c r="C368" s="23"/>
      <c r="D368" s="24"/>
      <c r="G368" s="23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</row>
    <row r="369" spans="2:30" s="28" customFormat="1" ht="15" customHeight="1" x14ac:dyDescent="0.2">
      <c r="B369" s="23"/>
      <c r="C369" s="23"/>
      <c r="D369" s="24"/>
      <c r="G369" s="23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</row>
    <row r="370" spans="2:30" s="28" customFormat="1" ht="15" customHeight="1" x14ac:dyDescent="0.2">
      <c r="B370" s="23"/>
      <c r="C370" s="23"/>
      <c r="D370" s="24"/>
      <c r="G370" s="23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</row>
    <row r="371" spans="2:30" s="28" customFormat="1" ht="15" customHeight="1" x14ac:dyDescent="0.2">
      <c r="B371" s="23"/>
      <c r="C371" s="23"/>
      <c r="D371" s="24"/>
      <c r="G371" s="23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</row>
    <row r="372" spans="2:30" s="28" customFormat="1" ht="15" customHeight="1" x14ac:dyDescent="0.2">
      <c r="B372" s="23"/>
      <c r="C372" s="23"/>
      <c r="D372" s="24"/>
      <c r="G372" s="23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</row>
    <row r="373" spans="2:30" s="28" customFormat="1" ht="15" customHeight="1" x14ac:dyDescent="0.2">
      <c r="B373" s="23"/>
      <c r="C373" s="23"/>
      <c r="D373" s="24"/>
      <c r="G373" s="23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</row>
    <row r="374" spans="2:30" s="28" customFormat="1" ht="15" customHeight="1" x14ac:dyDescent="0.2">
      <c r="B374" s="23"/>
      <c r="C374" s="23"/>
      <c r="D374" s="24"/>
      <c r="G374" s="23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</row>
    <row r="375" spans="2:30" s="28" customFormat="1" ht="15" customHeight="1" x14ac:dyDescent="0.2">
      <c r="B375" s="23"/>
      <c r="C375" s="23"/>
      <c r="D375" s="24"/>
      <c r="G375" s="23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</row>
    <row r="376" spans="2:30" s="28" customFormat="1" ht="15" customHeight="1" x14ac:dyDescent="0.2">
      <c r="B376" s="23"/>
      <c r="C376" s="23"/>
      <c r="D376" s="24"/>
      <c r="G376" s="23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</row>
    <row r="377" spans="2:30" s="28" customFormat="1" ht="15" customHeight="1" x14ac:dyDescent="0.2">
      <c r="B377" s="23"/>
      <c r="C377" s="23"/>
      <c r="D377" s="24"/>
      <c r="G377" s="23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</row>
    <row r="378" spans="2:30" s="28" customFormat="1" ht="15" customHeight="1" x14ac:dyDescent="0.2">
      <c r="B378" s="23"/>
      <c r="C378" s="23"/>
      <c r="D378" s="24"/>
      <c r="G378" s="23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</row>
    <row r="379" spans="2:30" s="28" customFormat="1" ht="15" customHeight="1" x14ac:dyDescent="0.2">
      <c r="B379" s="23"/>
      <c r="C379" s="23"/>
      <c r="D379" s="24"/>
      <c r="G379" s="23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</row>
    <row r="380" spans="2:30" s="28" customFormat="1" ht="15" customHeight="1" x14ac:dyDescent="0.2">
      <c r="B380" s="23"/>
      <c r="C380" s="23"/>
      <c r="D380" s="24"/>
      <c r="G380" s="23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</row>
    <row r="381" spans="2:30" s="28" customFormat="1" ht="15" customHeight="1" x14ac:dyDescent="0.2">
      <c r="B381" s="23"/>
      <c r="C381" s="23"/>
      <c r="D381" s="24"/>
      <c r="G381" s="23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</row>
    <row r="382" spans="2:30" s="28" customFormat="1" ht="15" customHeight="1" x14ac:dyDescent="0.2">
      <c r="B382" s="23"/>
      <c r="C382" s="23"/>
      <c r="D382" s="24"/>
      <c r="G382" s="23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</row>
    <row r="383" spans="2:30" s="28" customFormat="1" ht="15" customHeight="1" x14ac:dyDescent="0.2">
      <c r="B383" s="23"/>
      <c r="C383" s="23"/>
      <c r="D383" s="24"/>
      <c r="G383" s="23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</row>
    <row r="384" spans="2:30" s="28" customFormat="1" ht="15" customHeight="1" x14ac:dyDescent="0.2">
      <c r="B384" s="23"/>
      <c r="C384" s="23"/>
      <c r="D384" s="24"/>
      <c r="G384" s="23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</row>
    <row r="385" spans="2:30" s="28" customFormat="1" ht="15" customHeight="1" x14ac:dyDescent="0.2">
      <c r="B385" s="23"/>
      <c r="C385" s="23"/>
      <c r="D385" s="24"/>
      <c r="G385" s="23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</row>
    <row r="386" spans="2:30" s="28" customFormat="1" ht="15" customHeight="1" x14ac:dyDescent="0.2">
      <c r="B386" s="23"/>
      <c r="C386" s="23"/>
      <c r="D386" s="24"/>
      <c r="G386" s="23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</row>
    <row r="387" spans="2:30" s="28" customFormat="1" ht="15" customHeight="1" x14ac:dyDescent="0.2">
      <c r="B387" s="23"/>
      <c r="C387" s="23"/>
      <c r="D387" s="24"/>
      <c r="G387" s="23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</row>
    <row r="388" spans="2:30" s="28" customFormat="1" ht="15" customHeight="1" x14ac:dyDescent="0.2">
      <c r="B388" s="23"/>
      <c r="C388" s="23"/>
      <c r="D388" s="24"/>
      <c r="G388" s="23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</row>
    <row r="389" spans="2:30" s="28" customFormat="1" ht="15" customHeight="1" x14ac:dyDescent="0.2">
      <c r="B389" s="23"/>
      <c r="C389" s="23"/>
      <c r="D389" s="24"/>
      <c r="G389" s="23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</row>
    <row r="390" spans="2:30" s="28" customFormat="1" ht="15" customHeight="1" x14ac:dyDescent="0.2">
      <c r="B390" s="23"/>
      <c r="C390" s="23"/>
      <c r="D390" s="24"/>
      <c r="G390" s="23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</row>
    <row r="391" spans="2:30" s="28" customFormat="1" ht="15" customHeight="1" x14ac:dyDescent="0.2">
      <c r="B391" s="23"/>
      <c r="C391" s="23"/>
      <c r="D391" s="24"/>
      <c r="G391" s="23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</row>
    <row r="392" spans="2:30" s="28" customFormat="1" ht="15" customHeight="1" x14ac:dyDescent="0.2">
      <c r="B392" s="23"/>
      <c r="C392" s="23"/>
      <c r="D392" s="24"/>
      <c r="G392" s="23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</row>
    <row r="393" spans="2:30" s="28" customFormat="1" ht="15" customHeight="1" x14ac:dyDescent="0.2">
      <c r="B393" s="23"/>
      <c r="C393" s="23"/>
      <c r="D393" s="24"/>
      <c r="G393" s="23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</row>
    <row r="394" spans="2:30" s="28" customFormat="1" ht="15" customHeight="1" x14ac:dyDescent="0.2">
      <c r="B394" s="23"/>
      <c r="C394" s="23"/>
      <c r="D394" s="24"/>
      <c r="G394" s="23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</row>
    <row r="395" spans="2:30" s="28" customFormat="1" ht="15" customHeight="1" x14ac:dyDescent="0.2">
      <c r="B395" s="23"/>
      <c r="C395" s="23"/>
      <c r="D395" s="24"/>
      <c r="G395" s="23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</row>
    <row r="396" spans="2:30" s="28" customFormat="1" ht="15" customHeight="1" x14ac:dyDescent="0.2">
      <c r="B396" s="23"/>
      <c r="C396" s="23"/>
      <c r="D396" s="24"/>
      <c r="G396" s="23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</row>
    <row r="397" spans="2:30" s="28" customFormat="1" ht="15" customHeight="1" x14ac:dyDescent="0.2">
      <c r="B397" s="23"/>
      <c r="C397" s="23"/>
      <c r="D397" s="24"/>
      <c r="G397" s="23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</row>
    <row r="398" spans="2:30" s="28" customFormat="1" ht="15" customHeight="1" x14ac:dyDescent="0.2">
      <c r="B398" s="23"/>
      <c r="C398" s="23"/>
      <c r="D398" s="24"/>
      <c r="G398" s="23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</row>
    <row r="399" spans="2:30" s="28" customFormat="1" ht="15" customHeight="1" x14ac:dyDescent="0.2">
      <c r="B399" s="23"/>
      <c r="C399" s="23"/>
      <c r="D399" s="24"/>
      <c r="G399" s="23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</row>
    <row r="400" spans="2:30" s="28" customFormat="1" ht="15" customHeight="1" x14ac:dyDescent="0.2">
      <c r="B400" s="23"/>
      <c r="C400" s="23"/>
      <c r="D400" s="24"/>
      <c r="G400" s="23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</row>
    <row r="401" spans="2:30" s="28" customFormat="1" ht="15" customHeight="1" x14ac:dyDescent="0.2">
      <c r="B401" s="23"/>
      <c r="C401" s="23"/>
      <c r="D401" s="24"/>
      <c r="G401" s="23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</row>
    <row r="402" spans="2:30" s="28" customFormat="1" ht="15" customHeight="1" x14ac:dyDescent="0.2">
      <c r="B402" s="23"/>
      <c r="C402" s="23"/>
      <c r="D402" s="24"/>
      <c r="G402" s="23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</row>
    <row r="403" spans="2:30" s="28" customFormat="1" ht="15" customHeight="1" x14ac:dyDescent="0.2">
      <c r="B403" s="23"/>
      <c r="C403" s="23"/>
      <c r="D403" s="24"/>
      <c r="G403" s="23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</row>
    <row r="404" spans="2:30" s="28" customFormat="1" ht="15" customHeight="1" x14ac:dyDescent="0.2">
      <c r="B404" s="23"/>
      <c r="C404" s="23"/>
      <c r="D404" s="24"/>
      <c r="G404" s="23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</row>
    <row r="405" spans="2:30" s="28" customFormat="1" ht="15" customHeight="1" x14ac:dyDescent="0.2">
      <c r="B405" s="23"/>
      <c r="C405" s="23"/>
      <c r="D405" s="24"/>
      <c r="G405" s="23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</row>
    <row r="406" spans="2:30" s="28" customFormat="1" ht="15" customHeight="1" x14ac:dyDescent="0.2">
      <c r="B406" s="23"/>
      <c r="C406" s="23"/>
      <c r="D406" s="24"/>
      <c r="G406" s="23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</row>
    <row r="407" spans="2:30" s="28" customFormat="1" ht="15" customHeight="1" x14ac:dyDescent="0.2">
      <c r="B407" s="23"/>
      <c r="C407" s="23"/>
      <c r="D407" s="24"/>
      <c r="G407" s="23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</row>
    <row r="408" spans="2:30" s="28" customFormat="1" ht="15" customHeight="1" x14ac:dyDescent="0.2">
      <c r="B408" s="23"/>
      <c r="C408" s="23"/>
      <c r="D408" s="24"/>
      <c r="G408" s="23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</row>
    <row r="409" spans="2:30" s="28" customFormat="1" ht="15" customHeight="1" x14ac:dyDescent="0.2">
      <c r="B409" s="23"/>
      <c r="C409" s="23"/>
      <c r="D409" s="24"/>
      <c r="G409" s="23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</row>
    <row r="410" spans="2:30" s="28" customFormat="1" ht="15" customHeight="1" x14ac:dyDescent="0.2">
      <c r="B410" s="23"/>
      <c r="C410" s="23"/>
      <c r="D410" s="24"/>
      <c r="G410" s="23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</row>
    <row r="411" spans="2:30" s="28" customFormat="1" ht="15" customHeight="1" x14ac:dyDescent="0.2">
      <c r="B411" s="23"/>
      <c r="C411" s="23"/>
      <c r="D411" s="24"/>
      <c r="G411" s="23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</row>
    <row r="412" spans="2:30" s="28" customFormat="1" ht="15" customHeight="1" x14ac:dyDescent="0.2">
      <c r="B412" s="23"/>
      <c r="C412" s="23"/>
      <c r="D412" s="24"/>
      <c r="G412" s="23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</row>
    <row r="413" spans="2:30" s="28" customFormat="1" ht="15" customHeight="1" x14ac:dyDescent="0.2">
      <c r="B413" s="23"/>
      <c r="C413" s="23"/>
      <c r="D413" s="24"/>
      <c r="G413" s="23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</row>
    <row r="414" spans="2:30" s="28" customFormat="1" ht="15" customHeight="1" x14ac:dyDescent="0.2">
      <c r="B414" s="23"/>
      <c r="C414" s="23"/>
      <c r="D414" s="24"/>
      <c r="G414" s="23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</row>
    <row r="415" spans="2:30" s="28" customFormat="1" ht="15" customHeight="1" x14ac:dyDescent="0.2">
      <c r="B415" s="23"/>
      <c r="C415" s="23"/>
      <c r="D415" s="24"/>
      <c r="G415" s="23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</row>
    <row r="416" spans="2:30" s="28" customFormat="1" ht="15" customHeight="1" x14ac:dyDescent="0.2">
      <c r="B416" s="23"/>
      <c r="C416" s="23"/>
      <c r="D416" s="24"/>
      <c r="G416" s="23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</row>
    <row r="417" spans="2:30" s="28" customFormat="1" ht="15" customHeight="1" x14ac:dyDescent="0.2">
      <c r="B417" s="23"/>
      <c r="C417" s="23"/>
      <c r="D417" s="24"/>
      <c r="G417" s="23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</row>
    <row r="418" spans="2:30" s="28" customFormat="1" ht="15" customHeight="1" x14ac:dyDescent="0.2">
      <c r="B418" s="23"/>
      <c r="C418" s="23"/>
      <c r="D418" s="24"/>
      <c r="G418" s="23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</row>
    <row r="419" spans="2:30" s="28" customFormat="1" ht="15" customHeight="1" x14ac:dyDescent="0.2">
      <c r="B419" s="23"/>
      <c r="C419" s="23"/>
      <c r="D419" s="24"/>
      <c r="G419" s="23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</row>
    <row r="420" spans="2:30" s="28" customFormat="1" ht="15" customHeight="1" x14ac:dyDescent="0.2">
      <c r="B420" s="23"/>
      <c r="C420" s="23"/>
      <c r="D420" s="24"/>
      <c r="G420" s="23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</row>
    <row r="421" spans="2:30" s="28" customFormat="1" ht="15" customHeight="1" x14ac:dyDescent="0.2">
      <c r="B421" s="23"/>
      <c r="C421" s="23"/>
      <c r="D421" s="24"/>
      <c r="G421" s="23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</row>
    <row r="422" spans="2:30" s="28" customFormat="1" ht="15" customHeight="1" x14ac:dyDescent="0.2">
      <c r="B422" s="23"/>
      <c r="C422" s="23"/>
      <c r="D422" s="24"/>
      <c r="G422" s="23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</row>
    <row r="423" spans="2:30" s="28" customFormat="1" ht="15" customHeight="1" x14ac:dyDescent="0.2">
      <c r="B423" s="23"/>
      <c r="C423" s="23"/>
      <c r="D423" s="24"/>
      <c r="G423" s="23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</row>
    <row r="424" spans="2:30" s="28" customFormat="1" ht="15" customHeight="1" x14ac:dyDescent="0.2">
      <c r="B424" s="23"/>
      <c r="C424" s="23"/>
      <c r="D424" s="24"/>
      <c r="G424" s="23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</row>
    <row r="425" spans="2:30" s="28" customFormat="1" ht="15" customHeight="1" x14ac:dyDescent="0.2">
      <c r="B425" s="23"/>
      <c r="C425" s="23"/>
      <c r="D425" s="24"/>
      <c r="G425" s="23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</row>
    <row r="426" spans="2:30" s="28" customFormat="1" ht="15" customHeight="1" x14ac:dyDescent="0.2">
      <c r="B426" s="23"/>
      <c r="C426" s="23"/>
      <c r="D426" s="24"/>
      <c r="G426" s="23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</row>
    <row r="427" spans="2:30" s="28" customFormat="1" ht="15" customHeight="1" x14ac:dyDescent="0.2">
      <c r="B427" s="23"/>
      <c r="C427" s="23"/>
      <c r="D427" s="24"/>
      <c r="G427" s="23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</row>
    <row r="428" spans="2:30" s="28" customFormat="1" ht="15" customHeight="1" x14ac:dyDescent="0.2">
      <c r="B428" s="23"/>
      <c r="C428" s="23"/>
      <c r="D428" s="24"/>
      <c r="G428" s="23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</row>
    <row r="429" spans="2:30" s="28" customFormat="1" ht="15" customHeight="1" x14ac:dyDescent="0.2">
      <c r="B429" s="23"/>
      <c r="C429" s="23"/>
      <c r="D429" s="24"/>
      <c r="G429" s="23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</row>
    <row r="430" spans="2:30" s="28" customFormat="1" ht="15" customHeight="1" x14ac:dyDescent="0.2">
      <c r="B430" s="23"/>
      <c r="C430" s="23"/>
      <c r="D430" s="24"/>
      <c r="G430" s="23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</row>
    <row r="431" spans="2:30" s="28" customFormat="1" ht="15" customHeight="1" x14ac:dyDescent="0.2">
      <c r="B431" s="23"/>
      <c r="C431" s="23"/>
      <c r="D431" s="24"/>
      <c r="G431" s="23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</row>
    <row r="432" spans="2:30" s="28" customFormat="1" ht="15" customHeight="1" x14ac:dyDescent="0.2">
      <c r="B432" s="23"/>
      <c r="C432" s="23"/>
      <c r="D432" s="24"/>
      <c r="G432" s="23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</row>
    <row r="433" spans="2:30" s="28" customFormat="1" ht="15" customHeight="1" x14ac:dyDescent="0.2">
      <c r="B433" s="23"/>
      <c r="C433" s="23"/>
      <c r="D433" s="24"/>
      <c r="G433" s="23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</row>
    <row r="434" spans="2:30" s="28" customFormat="1" ht="15" customHeight="1" x14ac:dyDescent="0.2">
      <c r="B434" s="23"/>
      <c r="C434" s="23"/>
      <c r="D434" s="24"/>
      <c r="G434" s="23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</row>
    <row r="435" spans="2:30" s="28" customFormat="1" ht="15" customHeight="1" x14ac:dyDescent="0.2">
      <c r="B435" s="23"/>
      <c r="C435" s="23"/>
      <c r="D435" s="24"/>
      <c r="G435" s="23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</row>
    <row r="436" spans="2:30" s="28" customFormat="1" ht="15" customHeight="1" x14ac:dyDescent="0.2">
      <c r="B436" s="23"/>
      <c r="C436" s="23"/>
      <c r="D436" s="24"/>
      <c r="G436" s="23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</row>
    <row r="437" spans="2:30" s="28" customFormat="1" ht="15" customHeight="1" x14ac:dyDescent="0.2">
      <c r="B437" s="23"/>
      <c r="C437" s="23"/>
      <c r="D437" s="24"/>
      <c r="G437" s="23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</row>
    <row r="438" spans="2:30" s="28" customFormat="1" ht="15" customHeight="1" x14ac:dyDescent="0.2">
      <c r="B438" s="23"/>
      <c r="C438" s="23"/>
      <c r="D438" s="24"/>
      <c r="G438" s="23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</row>
    <row r="439" spans="2:30" s="28" customFormat="1" ht="15" customHeight="1" x14ac:dyDescent="0.2">
      <c r="B439" s="23"/>
      <c r="C439" s="23"/>
      <c r="D439" s="24"/>
      <c r="G439" s="23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</row>
    <row r="440" spans="2:30" s="28" customFormat="1" ht="15" customHeight="1" x14ac:dyDescent="0.2">
      <c r="B440" s="23"/>
      <c r="C440" s="23"/>
      <c r="D440" s="24"/>
      <c r="G440" s="23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</row>
    <row r="441" spans="2:30" s="28" customFormat="1" ht="15" customHeight="1" x14ac:dyDescent="0.2">
      <c r="B441" s="23"/>
      <c r="C441" s="23"/>
      <c r="D441" s="24"/>
      <c r="G441" s="23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</row>
    <row r="442" spans="2:30" s="28" customFormat="1" ht="15" customHeight="1" x14ac:dyDescent="0.2">
      <c r="B442" s="23"/>
      <c r="C442" s="23"/>
      <c r="D442" s="24"/>
      <c r="G442" s="23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</row>
    <row r="443" spans="2:30" s="28" customFormat="1" ht="15" customHeight="1" x14ac:dyDescent="0.2">
      <c r="B443" s="23"/>
      <c r="C443" s="23"/>
      <c r="D443" s="24"/>
      <c r="G443" s="23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</row>
    <row r="444" spans="2:30" s="28" customFormat="1" ht="15" customHeight="1" x14ac:dyDescent="0.2">
      <c r="B444" s="23"/>
      <c r="C444" s="23"/>
      <c r="D444" s="24"/>
      <c r="G444" s="23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</row>
    <row r="445" spans="2:30" s="28" customFormat="1" ht="15" customHeight="1" x14ac:dyDescent="0.2">
      <c r="B445" s="23"/>
      <c r="C445" s="23"/>
      <c r="D445" s="24"/>
      <c r="G445" s="23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</row>
    <row r="446" spans="2:30" s="28" customFormat="1" ht="15" customHeight="1" x14ac:dyDescent="0.2">
      <c r="B446" s="23"/>
      <c r="C446" s="23"/>
      <c r="D446" s="24"/>
      <c r="G446" s="23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</row>
    <row r="447" spans="2:30" s="28" customFormat="1" ht="15" customHeight="1" x14ac:dyDescent="0.2">
      <c r="B447" s="23"/>
      <c r="C447" s="23"/>
      <c r="D447" s="24"/>
      <c r="G447" s="23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</row>
    <row r="448" spans="2:30" s="28" customFormat="1" ht="15" customHeight="1" x14ac:dyDescent="0.2">
      <c r="B448" s="23"/>
      <c r="C448" s="23"/>
      <c r="D448" s="24"/>
      <c r="G448" s="23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</row>
    <row r="449" spans="2:30" s="28" customFormat="1" ht="15" customHeight="1" x14ac:dyDescent="0.2">
      <c r="B449" s="23"/>
      <c r="C449" s="23"/>
      <c r="D449" s="24"/>
      <c r="G449" s="23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</row>
    <row r="450" spans="2:30" s="28" customFormat="1" ht="15" customHeight="1" x14ac:dyDescent="0.2">
      <c r="B450" s="23"/>
      <c r="C450" s="23"/>
      <c r="D450" s="24"/>
      <c r="G450" s="23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</row>
    <row r="451" spans="2:30" s="28" customFormat="1" ht="15" customHeight="1" x14ac:dyDescent="0.2">
      <c r="B451" s="23"/>
      <c r="C451" s="23"/>
      <c r="D451" s="24"/>
      <c r="G451" s="23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</row>
    <row r="452" spans="2:30" s="28" customFormat="1" ht="15" customHeight="1" x14ac:dyDescent="0.2">
      <c r="B452" s="23"/>
      <c r="C452" s="23"/>
      <c r="D452" s="24"/>
      <c r="G452" s="23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</row>
    <row r="453" spans="2:30" s="28" customFormat="1" ht="15" customHeight="1" x14ac:dyDescent="0.2">
      <c r="B453" s="23"/>
      <c r="C453" s="23"/>
      <c r="D453" s="24"/>
      <c r="G453" s="23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</row>
    <row r="454" spans="2:30" s="28" customFormat="1" ht="15" customHeight="1" x14ac:dyDescent="0.2">
      <c r="B454" s="23"/>
      <c r="C454" s="23"/>
      <c r="D454" s="24"/>
      <c r="G454" s="23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</row>
    <row r="455" spans="2:30" s="28" customFormat="1" ht="15" customHeight="1" x14ac:dyDescent="0.2">
      <c r="B455" s="23"/>
      <c r="C455" s="23"/>
      <c r="D455" s="24"/>
      <c r="G455" s="23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</row>
    <row r="456" spans="2:30" s="28" customFormat="1" ht="15" customHeight="1" x14ac:dyDescent="0.2">
      <c r="B456" s="23"/>
      <c r="C456" s="23"/>
      <c r="D456" s="24"/>
      <c r="G456" s="23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</row>
    <row r="457" spans="2:30" s="28" customFormat="1" ht="15" customHeight="1" x14ac:dyDescent="0.2">
      <c r="B457" s="23"/>
      <c r="C457" s="23"/>
      <c r="D457" s="24"/>
      <c r="G457" s="23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</row>
    <row r="458" spans="2:30" s="28" customFormat="1" ht="15" customHeight="1" x14ac:dyDescent="0.2">
      <c r="B458" s="23"/>
      <c r="C458" s="23"/>
      <c r="D458" s="24"/>
      <c r="G458" s="23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</row>
    <row r="459" spans="2:30" s="28" customFormat="1" ht="15" customHeight="1" x14ac:dyDescent="0.2">
      <c r="B459" s="23"/>
      <c r="C459" s="23"/>
      <c r="D459" s="24"/>
      <c r="G459" s="23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</row>
    <row r="460" spans="2:30" s="28" customFormat="1" ht="15" customHeight="1" x14ac:dyDescent="0.2">
      <c r="B460" s="23"/>
      <c r="C460" s="23"/>
      <c r="D460" s="24"/>
      <c r="G460" s="23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</row>
    <row r="461" spans="2:30" s="28" customFormat="1" ht="15" customHeight="1" x14ac:dyDescent="0.2">
      <c r="B461" s="23"/>
      <c r="C461" s="23"/>
      <c r="D461" s="24"/>
      <c r="G461" s="23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/>
    </row>
    <row r="462" spans="2:30" s="28" customFormat="1" ht="15" customHeight="1" x14ac:dyDescent="0.2">
      <c r="B462" s="23"/>
      <c r="C462" s="23"/>
      <c r="D462" s="24"/>
      <c r="G462" s="23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  <c r="AC462" s="54"/>
      <c r="AD462" s="54"/>
    </row>
    <row r="463" spans="2:30" s="28" customFormat="1" ht="15" customHeight="1" x14ac:dyDescent="0.2">
      <c r="B463" s="23"/>
      <c r="C463" s="23"/>
      <c r="D463" s="24"/>
      <c r="G463" s="23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</row>
    <row r="464" spans="2:30" s="28" customFormat="1" ht="15" customHeight="1" x14ac:dyDescent="0.2">
      <c r="B464" s="23"/>
      <c r="C464" s="23"/>
      <c r="D464" s="24"/>
      <c r="G464" s="23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</row>
    <row r="465" spans="2:30" s="28" customFormat="1" ht="15" customHeight="1" x14ac:dyDescent="0.2">
      <c r="B465" s="23"/>
      <c r="C465" s="23"/>
      <c r="D465" s="24"/>
      <c r="G465" s="23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</row>
    <row r="466" spans="2:30" s="28" customFormat="1" ht="15" customHeight="1" x14ac:dyDescent="0.2">
      <c r="B466" s="23"/>
      <c r="C466" s="23"/>
      <c r="D466" s="24"/>
      <c r="G466" s="23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</row>
    <row r="467" spans="2:30" s="28" customFormat="1" ht="15" customHeight="1" x14ac:dyDescent="0.2">
      <c r="B467" s="23"/>
      <c r="C467" s="23"/>
      <c r="D467" s="24"/>
      <c r="G467" s="23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</row>
    <row r="468" spans="2:30" s="28" customFormat="1" ht="15" customHeight="1" x14ac:dyDescent="0.2">
      <c r="B468" s="23"/>
      <c r="C468" s="23"/>
      <c r="D468" s="24"/>
      <c r="G468" s="23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</row>
    <row r="469" spans="2:30" s="28" customFormat="1" ht="15" customHeight="1" x14ac:dyDescent="0.2">
      <c r="B469" s="23"/>
      <c r="C469" s="23"/>
      <c r="D469" s="24"/>
      <c r="G469" s="23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</row>
    <row r="470" spans="2:30" s="28" customFormat="1" ht="15" customHeight="1" x14ac:dyDescent="0.2">
      <c r="B470" s="23"/>
      <c r="C470" s="23"/>
      <c r="D470" s="24"/>
      <c r="G470" s="23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</row>
    <row r="471" spans="2:30" s="28" customFormat="1" ht="15" customHeight="1" x14ac:dyDescent="0.2">
      <c r="B471" s="23"/>
      <c r="C471" s="23"/>
      <c r="D471" s="24"/>
      <c r="G471" s="23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</row>
    <row r="472" spans="2:30" s="28" customFormat="1" ht="15" customHeight="1" x14ac:dyDescent="0.2">
      <c r="B472" s="23"/>
      <c r="C472" s="23"/>
      <c r="D472" s="24"/>
      <c r="G472" s="23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4"/>
    </row>
    <row r="473" spans="2:30" s="28" customFormat="1" ht="15" customHeight="1" x14ac:dyDescent="0.2">
      <c r="B473" s="23"/>
      <c r="C473" s="23"/>
      <c r="D473" s="24"/>
      <c r="G473" s="23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</row>
    <row r="474" spans="2:30" s="28" customFormat="1" ht="15" customHeight="1" x14ac:dyDescent="0.2">
      <c r="B474" s="23"/>
      <c r="C474" s="23"/>
      <c r="D474" s="24"/>
      <c r="G474" s="23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</row>
    <row r="475" spans="2:30" s="28" customFormat="1" ht="15" customHeight="1" x14ac:dyDescent="0.2">
      <c r="B475" s="23"/>
      <c r="C475" s="23"/>
      <c r="D475" s="24"/>
      <c r="G475" s="23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</row>
    <row r="476" spans="2:30" s="28" customFormat="1" ht="15" customHeight="1" x14ac:dyDescent="0.2">
      <c r="B476" s="23"/>
      <c r="C476" s="23"/>
      <c r="D476" s="24"/>
      <c r="G476" s="23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</row>
    <row r="477" spans="2:30" s="28" customFormat="1" ht="15" customHeight="1" x14ac:dyDescent="0.2">
      <c r="B477" s="23"/>
      <c r="C477" s="23"/>
      <c r="D477" s="24"/>
      <c r="G477" s="23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</row>
    <row r="478" spans="2:30" s="28" customFormat="1" ht="15" customHeight="1" x14ac:dyDescent="0.2">
      <c r="B478" s="23"/>
      <c r="C478" s="23"/>
      <c r="D478" s="24"/>
      <c r="G478" s="23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</row>
    <row r="479" spans="2:30" s="28" customFormat="1" ht="15" customHeight="1" x14ac:dyDescent="0.2">
      <c r="B479" s="23"/>
      <c r="C479" s="23"/>
      <c r="D479" s="24"/>
      <c r="G479" s="23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</row>
    <row r="480" spans="2:30" s="28" customFormat="1" ht="15" customHeight="1" x14ac:dyDescent="0.2">
      <c r="B480" s="23"/>
      <c r="C480" s="23"/>
      <c r="D480" s="24"/>
      <c r="G480" s="23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</row>
    <row r="481" spans="2:30" s="28" customFormat="1" ht="15" customHeight="1" x14ac:dyDescent="0.2">
      <c r="B481" s="23"/>
      <c r="C481" s="23"/>
      <c r="D481" s="24"/>
      <c r="G481" s="23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</row>
    <row r="482" spans="2:30" s="28" customFormat="1" ht="15" customHeight="1" x14ac:dyDescent="0.2">
      <c r="B482" s="23"/>
      <c r="C482" s="23"/>
      <c r="D482" s="24"/>
      <c r="G482" s="23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</row>
    <row r="483" spans="2:30" s="28" customFormat="1" ht="15" customHeight="1" x14ac:dyDescent="0.2">
      <c r="B483" s="23"/>
      <c r="C483" s="23"/>
      <c r="D483" s="24"/>
      <c r="G483" s="23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</row>
    <row r="484" spans="2:30" s="28" customFormat="1" ht="15" customHeight="1" x14ac:dyDescent="0.2">
      <c r="B484" s="23"/>
      <c r="C484" s="23"/>
      <c r="D484" s="24"/>
      <c r="G484" s="23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</row>
    <row r="485" spans="2:30" s="28" customFormat="1" ht="15" customHeight="1" x14ac:dyDescent="0.2">
      <c r="B485" s="23"/>
      <c r="C485" s="23"/>
      <c r="D485" s="24"/>
      <c r="G485" s="23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</row>
    <row r="486" spans="2:30" s="28" customFormat="1" ht="15" customHeight="1" x14ac:dyDescent="0.2">
      <c r="B486" s="23"/>
      <c r="C486" s="23"/>
      <c r="D486" s="24"/>
      <c r="G486" s="23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</row>
    <row r="487" spans="2:30" s="28" customFormat="1" ht="15" customHeight="1" x14ac:dyDescent="0.2">
      <c r="B487" s="23"/>
      <c r="C487" s="23"/>
      <c r="D487" s="24"/>
      <c r="G487" s="23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</row>
    <row r="488" spans="2:30" s="28" customFormat="1" ht="15" customHeight="1" x14ac:dyDescent="0.2">
      <c r="B488" s="23"/>
      <c r="C488" s="23"/>
      <c r="D488" s="24"/>
      <c r="G488" s="23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</row>
    <row r="489" spans="2:30" s="28" customFormat="1" ht="15" customHeight="1" x14ac:dyDescent="0.2">
      <c r="B489" s="23"/>
      <c r="C489" s="23"/>
      <c r="D489" s="24"/>
      <c r="G489" s="23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</row>
    <row r="490" spans="2:30" s="28" customFormat="1" ht="15" customHeight="1" x14ac:dyDescent="0.2">
      <c r="B490" s="23"/>
      <c r="C490" s="23"/>
      <c r="D490" s="24"/>
      <c r="G490" s="23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</row>
    <row r="491" spans="2:30" s="28" customFormat="1" ht="15" customHeight="1" x14ac:dyDescent="0.2">
      <c r="B491" s="23"/>
      <c r="C491" s="23"/>
      <c r="D491" s="24"/>
      <c r="G491" s="23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</row>
    <row r="492" spans="2:30" s="28" customFormat="1" ht="15" customHeight="1" x14ac:dyDescent="0.2">
      <c r="B492" s="23"/>
      <c r="C492" s="23"/>
      <c r="D492" s="24"/>
      <c r="G492" s="23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</row>
    <row r="493" spans="2:30" s="28" customFormat="1" ht="15" customHeight="1" x14ac:dyDescent="0.2">
      <c r="B493" s="23"/>
      <c r="C493" s="23"/>
      <c r="D493" s="24"/>
      <c r="G493" s="23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</row>
    <row r="494" spans="2:30" s="28" customFormat="1" ht="15" customHeight="1" x14ac:dyDescent="0.2">
      <c r="B494" s="23"/>
      <c r="C494" s="23"/>
      <c r="D494" s="24"/>
      <c r="G494" s="23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</row>
    <row r="495" spans="2:30" s="28" customFormat="1" ht="15" customHeight="1" x14ac:dyDescent="0.2">
      <c r="B495" s="23"/>
      <c r="C495" s="23"/>
      <c r="D495" s="24"/>
      <c r="G495" s="23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</row>
    <row r="496" spans="2:30" s="28" customFormat="1" ht="15" customHeight="1" x14ac:dyDescent="0.2">
      <c r="B496" s="23"/>
      <c r="C496" s="23"/>
      <c r="D496" s="24"/>
      <c r="G496" s="23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</row>
    <row r="497" spans="2:30" s="28" customFormat="1" ht="15" customHeight="1" x14ac:dyDescent="0.2">
      <c r="B497" s="23"/>
      <c r="C497" s="23"/>
      <c r="D497" s="24"/>
      <c r="G497" s="23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</row>
    <row r="498" spans="2:30" s="28" customFormat="1" ht="15" customHeight="1" x14ac:dyDescent="0.2">
      <c r="B498" s="23"/>
      <c r="C498" s="23"/>
      <c r="D498" s="24"/>
      <c r="G498" s="23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</row>
    <row r="499" spans="2:30" s="28" customFormat="1" ht="15" customHeight="1" x14ac:dyDescent="0.2">
      <c r="B499" s="23"/>
      <c r="C499" s="23"/>
      <c r="D499" s="24"/>
      <c r="G499" s="23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</row>
    <row r="500" spans="2:30" s="28" customFormat="1" ht="15" customHeight="1" x14ac:dyDescent="0.2">
      <c r="B500" s="23"/>
      <c r="C500" s="23"/>
      <c r="D500" s="24"/>
      <c r="G500" s="23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</row>
    <row r="501" spans="2:30" s="28" customFormat="1" ht="15" customHeight="1" x14ac:dyDescent="0.2">
      <c r="B501" s="23"/>
      <c r="C501" s="23"/>
      <c r="D501" s="24"/>
      <c r="G501" s="23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</row>
    <row r="502" spans="2:30" s="28" customFormat="1" ht="15" customHeight="1" x14ac:dyDescent="0.2">
      <c r="B502" s="23"/>
      <c r="C502" s="23"/>
      <c r="D502" s="24"/>
      <c r="G502" s="23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</row>
    <row r="503" spans="2:30" s="28" customFormat="1" ht="15" customHeight="1" x14ac:dyDescent="0.2">
      <c r="B503" s="23"/>
      <c r="C503" s="23"/>
      <c r="D503" s="24"/>
      <c r="G503" s="23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</row>
    <row r="504" spans="2:30" s="28" customFormat="1" ht="15" customHeight="1" x14ac:dyDescent="0.2">
      <c r="B504" s="23"/>
      <c r="C504" s="23"/>
      <c r="D504" s="24"/>
      <c r="G504" s="23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</row>
    <row r="505" spans="2:30" s="28" customFormat="1" ht="15" customHeight="1" x14ac:dyDescent="0.2">
      <c r="B505" s="23"/>
      <c r="C505" s="23"/>
      <c r="D505" s="24"/>
      <c r="G505" s="23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</row>
    <row r="506" spans="2:30" s="28" customFormat="1" ht="15" customHeight="1" x14ac:dyDescent="0.2">
      <c r="B506" s="23"/>
      <c r="C506" s="23"/>
      <c r="D506" s="24"/>
      <c r="G506" s="23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</row>
    <row r="507" spans="2:30" s="28" customFormat="1" ht="15" customHeight="1" x14ac:dyDescent="0.2">
      <c r="B507" s="23"/>
      <c r="C507" s="23"/>
      <c r="D507" s="24"/>
      <c r="G507" s="23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</row>
    <row r="508" spans="2:30" s="28" customFormat="1" ht="15" customHeight="1" x14ac:dyDescent="0.2">
      <c r="B508" s="23"/>
      <c r="C508" s="23"/>
      <c r="D508" s="24"/>
      <c r="G508" s="23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</row>
    <row r="509" spans="2:30" s="28" customFormat="1" ht="15" customHeight="1" x14ac:dyDescent="0.2">
      <c r="B509" s="23"/>
      <c r="C509" s="23"/>
      <c r="D509" s="24"/>
      <c r="G509" s="23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</row>
    <row r="510" spans="2:30" s="28" customFormat="1" ht="15" customHeight="1" x14ac:dyDescent="0.2">
      <c r="B510" s="23"/>
      <c r="C510" s="23"/>
      <c r="D510" s="24"/>
      <c r="G510" s="23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</row>
    <row r="511" spans="2:30" s="28" customFormat="1" ht="15" customHeight="1" x14ac:dyDescent="0.2">
      <c r="B511" s="23"/>
      <c r="C511" s="23"/>
      <c r="D511" s="24"/>
      <c r="G511" s="23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</row>
    <row r="512" spans="2:30" s="28" customFormat="1" ht="15" customHeight="1" x14ac:dyDescent="0.2">
      <c r="B512" s="23"/>
      <c r="C512" s="23"/>
      <c r="D512" s="24"/>
      <c r="G512" s="23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</row>
    <row r="513" spans="2:30" s="28" customFormat="1" ht="15" customHeight="1" x14ac:dyDescent="0.2">
      <c r="B513" s="23"/>
      <c r="C513" s="23"/>
      <c r="D513" s="24"/>
      <c r="G513" s="23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</row>
    <row r="514" spans="2:30" s="28" customFormat="1" ht="15" customHeight="1" x14ac:dyDescent="0.2">
      <c r="B514" s="23"/>
      <c r="C514" s="23"/>
      <c r="D514" s="24"/>
      <c r="G514" s="23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</row>
    <row r="515" spans="2:30" s="28" customFormat="1" ht="15" customHeight="1" x14ac:dyDescent="0.2">
      <c r="B515" s="23"/>
      <c r="C515" s="23"/>
      <c r="D515" s="24"/>
      <c r="G515" s="23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</row>
    <row r="516" spans="2:30" s="28" customFormat="1" ht="15" customHeight="1" x14ac:dyDescent="0.2">
      <c r="B516" s="23"/>
      <c r="C516" s="23"/>
      <c r="D516" s="24"/>
      <c r="G516" s="23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</row>
    <row r="517" spans="2:30" s="28" customFormat="1" ht="15" customHeight="1" x14ac:dyDescent="0.2">
      <c r="B517" s="23"/>
      <c r="C517" s="23"/>
      <c r="D517" s="24"/>
      <c r="G517" s="23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</row>
    <row r="518" spans="2:30" s="28" customFormat="1" ht="15" customHeight="1" x14ac:dyDescent="0.2">
      <c r="B518" s="23"/>
      <c r="C518" s="23"/>
      <c r="D518" s="24"/>
      <c r="G518" s="23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</row>
    <row r="519" spans="2:30" s="28" customFormat="1" ht="15" customHeight="1" x14ac:dyDescent="0.2">
      <c r="B519" s="23"/>
      <c r="C519" s="23"/>
      <c r="D519" s="24"/>
      <c r="G519" s="23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</row>
    <row r="520" spans="2:30" s="28" customFormat="1" ht="15" customHeight="1" x14ac:dyDescent="0.2">
      <c r="B520" s="23"/>
      <c r="C520" s="23"/>
      <c r="D520" s="24"/>
      <c r="G520" s="23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</row>
    <row r="521" spans="2:30" s="28" customFormat="1" ht="15" customHeight="1" x14ac:dyDescent="0.2">
      <c r="B521" s="23"/>
      <c r="C521" s="23"/>
      <c r="D521" s="24"/>
      <c r="G521" s="23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</row>
    <row r="522" spans="2:30" s="28" customFormat="1" ht="15" customHeight="1" x14ac:dyDescent="0.2">
      <c r="B522" s="23"/>
      <c r="C522" s="23"/>
      <c r="D522" s="24"/>
      <c r="G522" s="23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</row>
    <row r="523" spans="2:30" s="28" customFormat="1" ht="15" customHeight="1" x14ac:dyDescent="0.2">
      <c r="B523" s="23"/>
      <c r="C523" s="23"/>
      <c r="D523" s="24"/>
      <c r="G523" s="23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</row>
    <row r="524" spans="2:30" s="28" customFormat="1" ht="15" customHeight="1" x14ac:dyDescent="0.2">
      <c r="B524" s="23"/>
      <c r="C524" s="23"/>
      <c r="D524" s="24"/>
      <c r="G524" s="23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</row>
    <row r="525" spans="2:30" s="28" customFormat="1" ht="15" customHeight="1" x14ac:dyDescent="0.2">
      <c r="B525" s="23"/>
      <c r="C525" s="23"/>
      <c r="D525" s="24"/>
      <c r="G525" s="23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</row>
    <row r="526" spans="2:30" s="28" customFormat="1" ht="15" customHeight="1" x14ac:dyDescent="0.2">
      <c r="B526" s="23"/>
      <c r="C526" s="23"/>
      <c r="D526" s="24"/>
      <c r="G526" s="23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</row>
    <row r="527" spans="2:30" s="28" customFormat="1" ht="15" customHeight="1" x14ac:dyDescent="0.2">
      <c r="B527" s="23"/>
      <c r="C527" s="23"/>
      <c r="D527" s="24"/>
      <c r="G527" s="23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</row>
    <row r="528" spans="2:30" s="28" customFormat="1" ht="15" customHeight="1" x14ac:dyDescent="0.2">
      <c r="B528" s="23"/>
      <c r="C528" s="23"/>
      <c r="D528" s="24"/>
      <c r="G528" s="23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</row>
    <row r="529" spans="2:30" s="28" customFormat="1" ht="15" customHeight="1" x14ac:dyDescent="0.2">
      <c r="B529" s="23"/>
      <c r="C529" s="23"/>
      <c r="D529" s="24"/>
      <c r="G529" s="23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</row>
    <row r="530" spans="2:30" s="28" customFormat="1" ht="15" customHeight="1" x14ac:dyDescent="0.2">
      <c r="B530" s="23"/>
      <c r="C530" s="23"/>
      <c r="D530" s="24"/>
      <c r="G530" s="23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</row>
    <row r="531" spans="2:30" s="28" customFormat="1" ht="15" customHeight="1" x14ac:dyDescent="0.2">
      <c r="B531" s="23"/>
      <c r="C531" s="23"/>
      <c r="D531" s="24"/>
      <c r="G531" s="23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</row>
    <row r="532" spans="2:30" s="28" customFormat="1" ht="15" customHeight="1" x14ac:dyDescent="0.2">
      <c r="B532" s="23"/>
      <c r="C532" s="23"/>
      <c r="D532" s="24"/>
      <c r="G532" s="23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</row>
    <row r="533" spans="2:30" s="28" customFormat="1" ht="15" customHeight="1" x14ac:dyDescent="0.2">
      <c r="B533" s="23"/>
      <c r="C533" s="23"/>
      <c r="D533" s="24"/>
      <c r="G533" s="23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</row>
    <row r="534" spans="2:30" s="28" customFormat="1" ht="15" customHeight="1" x14ac:dyDescent="0.2">
      <c r="B534" s="23"/>
      <c r="C534" s="23"/>
      <c r="D534" s="24"/>
      <c r="G534" s="23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</row>
    <row r="535" spans="2:30" s="28" customFormat="1" ht="15" customHeight="1" x14ac:dyDescent="0.2">
      <c r="B535" s="23"/>
      <c r="C535" s="23"/>
      <c r="D535" s="24"/>
      <c r="G535" s="23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</row>
    <row r="536" spans="2:30" s="28" customFormat="1" ht="15" customHeight="1" x14ac:dyDescent="0.2">
      <c r="B536" s="23"/>
      <c r="C536" s="23"/>
      <c r="D536" s="24"/>
      <c r="G536" s="23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</row>
    <row r="537" spans="2:30" s="28" customFormat="1" ht="15" customHeight="1" x14ac:dyDescent="0.2">
      <c r="B537" s="23"/>
      <c r="C537" s="23"/>
      <c r="D537" s="24"/>
      <c r="G537" s="23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</row>
    <row r="538" spans="2:30" s="28" customFormat="1" ht="15" customHeight="1" x14ac:dyDescent="0.2">
      <c r="B538" s="23"/>
      <c r="C538" s="23"/>
      <c r="D538" s="24"/>
      <c r="G538" s="23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</row>
    <row r="539" spans="2:30" s="28" customFormat="1" ht="15" customHeight="1" x14ac:dyDescent="0.2">
      <c r="B539" s="23"/>
      <c r="C539" s="23"/>
      <c r="D539" s="24"/>
      <c r="G539" s="23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</row>
    <row r="540" spans="2:30" s="28" customFormat="1" ht="15" customHeight="1" x14ac:dyDescent="0.2">
      <c r="B540" s="23"/>
      <c r="C540" s="23"/>
      <c r="D540" s="24"/>
      <c r="G540" s="23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</row>
    <row r="541" spans="2:30" s="28" customFormat="1" ht="15" customHeight="1" x14ac:dyDescent="0.2">
      <c r="B541" s="23"/>
      <c r="C541" s="23"/>
      <c r="D541" s="24"/>
      <c r="G541" s="23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</row>
    <row r="542" spans="2:30" s="28" customFormat="1" ht="15" customHeight="1" x14ac:dyDescent="0.2">
      <c r="B542" s="23"/>
      <c r="C542" s="23"/>
      <c r="D542" s="24"/>
      <c r="G542" s="23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</row>
    <row r="543" spans="2:30" s="28" customFormat="1" ht="15" customHeight="1" x14ac:dyDescent="0.2">
      <c r="B543" s="23"/>
      <c r="C543" s="23"/>
      <c r="D543" s="24"/>
      <c r="G543" s="23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</row>
    <row r="544" spans="2:30" s="28" customFormat="1" ht="15" customHeight="1" x14ac:dyDescent="0.2">
      <c r="B544" s="23"/>
      <c r="C544" s="23"/>
      <c r="D544" s="24"/>
      <c r="G544" s="23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</row>
    <row r="545" spans="2:30" s="28" customFormat="1" ht="15" customHeight="1" x14ac:dyDescent="0.2">
      <c r="B545" s="23"/>
      <c r="C545" s="23"/>
      <c r="D545" s="24"/>
      <c r="G545" s="23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</row>
    <row r="546" spans="2:30" s="28" customFormat="1" ht="15" customHeight="1" x14ac:dyDescent="0.2">
      <c r="B546" s="23"/>
      <c r="C546" s="23"/>
      <c r="D546" s="24"/>
      <c r="G546" s="23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</row>
    <row r="547" spans="2:30" s="28" customFormat="1" ht="15" customHeight="1" x14ac:dyDescent="0.2">
      <c r="B547" s="23"/>
      <c r="C547" s="23"/>
      <c r="D547" s="24"/>
      <c r="G547" s="23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</row>
    <row r="548" spans="2:30" s="28" customFormat="1" ht="15" customHeight="1" x14ac:dyDescent="0.2">
      <c r="B548" s="23"/>
      <c r="C548" s="23"/>
      <c r="D548" s="24"/>
      <c r="G548" s="23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</row>
    <row r="549" spans="2:30" s="28" customFormat="1" ht="15" customHeight="1" x14ac:dyDescent="0.2">
      <c r="B549" s="23"/>
      <c r="C549" s="23"/>
      <c r="D549" s="24"/>
      <c r="G549" s="23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</row>
    <row r="550" spans="2:30" s="28" customFormat="1" ht="15" customHeight="1" x14ac:dyDescent="0.2">
      <c r="B550" s="23"/>
      <c r="C550" s="23"/>
      <c r="D550" s="24"/>
      <c r="G550" s="23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</row>
    <row r="551" spans="2:30" s="28" customFormat="1" ht="15" customHeight="1" x14ac:dyDescent="0.2">
      <c r="B551" s="23"/>
      <c r="C551" s="23"/>
      <c r="D551" s="24"/>
      <c r="G551" s="23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</row>
    <row r="552" spans="2:30" s="28" customFormat="1" ht="15" customHeight="1" x14ac:dyDescent="0.2">
      <c r="B552" s="23"/>
      <c r="C552" s="23"/>
      <c r="D552" s="24"/>
      <c r="G552" s="23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</row>
    <row r="553" spans="2:30" s="28" customFormat="1" ht="15" customHeight="1" x14ac:dyDescent="0.2">
      <c r="B553" s="23"/>
      <c r="C553" s="23"/>
      <c r="D553" s="24"/>
      <c r="G553" s="23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</row>
    <row r="554" spans="2:30" s="28" customFormat="1" ht="15" customHeight="1" x14ac:dyDescent="0.2">
      <c r="B554" s="23"/>
      <c r="C554" s="23"/>
      <c r="D554" s="24"/>
      <c r="G554" s="23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</row>
    <row r="555" spans="2:30" s="28" customFormat="1" ht="15" customHeight="1" x14ac:dyDescent="0.2">
      <c r="B555" s="23"/>
      <c r="C555" s="23"/>
      <c r="D555" s="24"/>
      <c r="G555" s="23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</row>
    <row r="556" spans="2:30" s="28" customFormat="1" ht="15" customHeight="1" x14ac:dyDescent="0.2">
      <c r="B556" s="23"/>
      <c r="C556" s="23"/>
      <c r="D556" s="24"/>
      <c r="G556" s="23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</row>
    <row r="557" spans="2:30" s="28" customFormat="1" ht="15" customHeight="1" x14ac:dyDescent="0.2">
      <c r="B557" s="23"/>
      <c r="C557" s="23"/>
      <c r="D557" s="24"/>
      <c r="G557" s="23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</row>
    <row r="558" spans="2:30" s="28" customFormat="1" ht="15" customHeight="1" x14ac:dyDescent="0.2">
      <c r="B558" s="23"/>
      <c r="C558" s="23"/>
      <c r="D558" s="24"/>
      <c r="G558" s="23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</row>
    <row r="559" spans="2:30" s="28" customFormat="1" ht="15" customHeight="1" x14ac:dyDescent="0.2">
      <c r="B559" s="23"/>
      <c r="C559" s="23"/>
      <c r="D559" s="24"/>
      <c r="G559" s="23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</row>
    <row r="560" spans="2:30" s="28" customFormat="1" ht="15" customHeight="1" x14ac:dyDescent="0.2">
      <c r="B560" s="23"/>
      <c r="C560" s="23"/>
      <c r="D560" s="24"/>
      <c r="G560" s="23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</row>
    <row r="561" spans="2:30" s="28" customFormat="1" ht="15" customHeight="1" x14ac:dyDescent="0.2">
      <c r="B561" s="23"/>
      <c r="C561" s="23"/>
      <c r="D561" s="24"/>
      <c r="G561" s="23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</row>
    <row r="562" spans="2:30" s="28" customFormat="1" ht="15" customHeight="1" x14ac:dyDescent="0.2">
      <c r="B562" s="23"/>
      <c r="C562" s="23"/>
      <c r="D562" s="24"/>
      <c r="G562" s="23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</row>
    <row r="563" spans="2:30" s="28" customFormat="1" ht="15" customHeight="1" x14ac:dyDescent="0.2">
      <c r="B563" s="23"/>
      <c r="C563" s="23"/>
      <c r="D563" s="24"/>
      <c r="G563" s="23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</row>
    <row r="564" spans="2:30" s="28" customFormat="1" ht="15" customHeight="1" x14ac:dyDescent="0.2">
      <c r="B564" s="23"/>
      <c r="C564" s="23"/>
      <c r="D564" s="24"/>
      <c r="G564" s="23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</row>
    <row r="565" spans="2:30" s="28" customFormat="1" ht="15" customHeight="1" x14ac:dyDescent="0.2">
      <c r="B565" s="23"/>
      <c r="C565" s="23"/>
      <c r="D565" s="24"/>
      <c r="G565" s="23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</row>
    <row r="566" spans="2:30" s="28" customFormat="1" ht="15" customHeight="1" x14ac:dyDescent="0.2">
      <c r="B566" s="23"/>
      <c r="C566" s="23"/>
      <c r="D566" s="24"/>
      <c r="G566" s="23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</row>
    <row r="567" spans="2:30" s="28" customFormat="1" ht="15" customHeight="1" x14ac:dyDescent="0.2">
      <c r="B567" s="23"/>
      <c r="C567" s="23"/>
      <c r="D567" s="24"/>
      <c r="G567" s="23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</row>
    <row r="568" spans="2:30" s="28" customFormat="1" ht="15" customHeight="1" x14ac:dyDescent="0.2">
      <c r="B568" s="23"/>
      <c r="C568" s="23"/>
      <c r="D568" s="24"/>
      <c r="G568" s="23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</row>
    <row r="569" spans="2:30" s="28" customFormat="1" ht="15" customHeight="1" x14ac:dyDescent="0.2">
      <c r="B569" s="23"/>
      <c r="C569" s="23"/>
      <c r="D569" s="24"/>
      <c r="G569" s="23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</row>
    <row r="570" spans="2:30" s="28" customFormat="1" ht="15" customHeight="1" x14ac:dyDescent="0.2">
      <c r="B570" s="23"/>
      <c r="C570" s="23"/>
      <c r="D570" s="24"/>
      <c r="G570" s="23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</row>
    <row r="571" spans="2:30" s="28" customFormat="1" ht="15" customHeight="1" x14ac:dyDescent="0.2">
      <c r="B571" s="23"/>
      <c r="C571" s="23"/>
      <c r="D571" s="24"/>
      <c r="G571" s="23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</row>
    <row r="572" spans="2:30" s="28" customFormat="1" ht="15" customHeight="1" x14ac:dyDescent="0.2">
      <c r="B572" s="23"/>
      <c r="C572" s="23"/>
      <c r="D572" s="24"/>
      <c r="G572" s="23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</row>
    <row r="573" spans="2:30" s="28" customFormat="1" ht="15" customHeight="1" x14ac:dyDescent="0.2">
      <c r="B573" s="23"/>
      <c r="C573" s="23"/>
      <c r="D573" s="24"/>
      <c r="G573" s="23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</row>
    <row r="574" spans="2:30" s="28" customFormat="1" ht="15" customHeight="1" x14ac:dyDescent="0.2">
      <c r="B574" s="23"/>
      <c r="C574" s="23"/>
      <c r="D574" s="24"/>
      <c r="G574" s="23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</row>
    <row r="575" spans="2:30" s="28" customFormat="1" ht="15" customHeight="1" x14ac:dyDescent="0.2">
      <c r="B575" s="23"/>
      <c r="C575" s="23"/>
      <c r="D575" s="24"/>
      <c r="G575" s="23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</row>
    <row r="576" spans="2:30" s="28" customFormat="1" ht="15" customHeight="1" x14ac:dyDescent="0.2">
      <c r="B576" s="23"/>
      <c r="C576" s="23"/>
      <c r="D576" s="24"/>
      <c r="G576" s="23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</row>
    <row r="577" spans="2:30" s="28" customFormat="1" ht="15" customHeight="1" x14ac:dyDescent="0.2">
      <c r="B577" s="23"/>
      <c r="C577" s="23"/>
      <c r="D577" s="24"/>
      <c r="G577" s="23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</row>
    <row r="578" spans="2:30" s="28" customFormat="1" ht="15" customHeight="1" x14ac:dyDescent="0.2">
      <c r="B578" s="23"/>
      <c r="C578" s="23"/>
      <c r="D578" s="24"/>
      <c r="G578" s="23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</row>
    <row r="579" spans="2:30" s="28" customFormat="1" ht="15" customHeight="1" x14ac:dyDescent="0.2">
      <c r="B579" s="23"/>
      <c r="C579" s="23"/>
      <c r="D579" s="24"/>
      <c r="G579" s="23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</row>
    <row r="580" spans="2:30" s="28" customFormat="1" ht="15" customHeight="1" x14ac:dyDescent="0.2">
      <c r="B580" s="23"/>
      <c r="C580" s="23"/>
      <c r="D580" s="24"/>
      <c r="G580" s="23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</row>
    <row r="581" spans="2:30" s="28" customFormat="1" ht="15" customHeight="1" x14ac:dyDescent="0.2">
      <c r="B581" s="23"/>
      <c r="C581" s="23"/>
      <c r="D581" s="24"/>
      <c r="G581" s="23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</row>
    <row r="582" spans="2:30" s="28" customFormat="1" ht="15" customHeight="1" x14ac:dyDescent="0.2">
      <c r="B582" s="23"/>
      <c r="C582" s="23"/>
      <c r="D582" s="24"/>
      <c r="G582" s="23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</row>
    <row r="583" spans="2:30" s="28" customFormat="1" ht="15" customHeight="1" x14ac:dyDescent="0.2">
      <c r="B583" s="23"/>
      <c r="C583" s="23"/>
      <c r="D583" s="24"/>
      <c r="G583" s="23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</row>
    <row r="584" spans="2:30" s="28" customFormat="1" ht="15" customHeight="1" x14ac:dyDescent="0.2">
      <c r="B584" s="23"/>
      <c r="C584" s="23"/>
      <c r="D584" s="24"/>
      <c r="G584" s="23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</row>
    <row r="585" spans="2:30" s="28" customFormat="1" ht="15" customHeight="1" x14ac:dyDescent="0.2">
      <c r="B585" s="23"/>
      <c r="C585" s="23"/>
      <c r="D585" s="24"/>
      <c r="G585" s="23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</row>
    <row r="586" spans="2:30" s="28" customFormat="1" ht="15" customHeight="1" x14ac:dyDescent="0.2">
      <c r="B586" s="23"/>
      <c r="C586" s="23"/>
      <c r="D586" s="24"/>
      <c r="G586" s="23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</row>
    <row r="587" spans="2:30" s="28" customFormat="1" ht="15" customHeight="1" x14ac:dyDescent="0.2">
      <c r="B587" s="23"/>
      <c r="C587" s="23"/>
      <c r="D587" s="24"/>
      <c r="G587" s="23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</row>
    <row r="588" spans="2:30" s="28" customFormat="1" ht="15" customHeight="1" x14ac:dyDescent="0.2">
      <c r="B588" s="23"/>
      <c r="C588" s="23"/>
      <c r="D588" s="24"/>
      <c r="G588" s="23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</row>
    <row r="589" spans="2:30" s="28" customFormat="1" ht="15" customHeight="1" x14ac:dyDescent="0.2">
      <c r="B589" s="23"/>
      <c r="C589" s="23"/>
      <c r="D589" s="24"/>
      <c r="G589" s="23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</row>
    <row r="590" spans="2:30" s="28" customFormat="1" ht="15" customHeight="1" x14ac:dyDescent="0.2">
      <c r="B590" s="23"/>
      <c r="C590" s="23"/>
      <c r="D590" s="24"/>
      <c r="G590" s="23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</row>
    <row r="591" spans="2:30" s="28" customFormat="1" ht="15" customHeight="1" x14ac:dyDescent="0.2">
      <c r="B591" s="23"/>
      <c r="C591" s="23"/>
      <c r="D591" s="24"/>
      <c r="G591" s="23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</row>
    <row r="592" spans="2:30" s="28" customFormat="1" ht="15" customHeight="1" x14ac:dyDescent="0.2">
      <c r="B592" s="23"/>
      <c r="C592" s="23"/>
      <c r="D592" s="24"/>
      <c r="G592" s="23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</row>
    <row r="593" spans="2:30" s="28" customFormat="1" ht="15" customHeight="1" x14ac:dyDescent="0.2">
      <c r="B593" s="23"/>
      <c r="C593" s="23"/>
      <c r="D593" s="24"/>
      <c r="G593" s="23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</row>
    <row r="594" spans="2:30" s="28" customFormat="1" ht="15" customHeight="1" x14ac:dyDescent="0.2">
      <c r="B594" s="23"/>
      <c r="C594" s="23"/>
      <c r="D594" s="24"/>
      <c r="G594" s="23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</row>
    <row r="595" spans="2:30" s="28" customFormat="1" ht="15" customHeight="1" x14ac:dyDescent="0.2">
      <c r="B595" s="23"/>
      <c r="C595" s="23"/>
      <c r="D595" s="24"/>
      <c r="G595" s="23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</row>
    <row r="596" spans="2:30" s="28" customFormat="1" ht="15" customHeight="1" x14ac:dyDescent="0.2">
      <c r="B596" s="23"/>
      <c r="C596" s="23"/>
      <c r="D596" s="24"/>
      <c r="G596" s="23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</row>
    <row r="597" spans="2:30" s="28" customFormat="1" ht="15" customHeight="1" x14ac:dyDescent="0.2">
      <c r="B597" s="23"/>
      <c r="C597" s="23"/>
      <c r="D597" s="24"/>
      <c r="G597" s="23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</row>
    <row r="598" spans="2:30" s="28" customFormat="1" ht="15" customHeight="1" x14ac:dyDescent="0.2">
      <c r="B598" s="23"/>
      <c r="C598" s="23"/>
      <c r="D598" s="24"/>
      <c r="G598" s="23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</row>
    <row r="599" spans="2:30" s="28" customFormat="1" ht="15" customHeight="1" x14ac:dyDescent="0.2">
      <c r="B599" s="23"/>
      <c r="C599" s="23"/>
      <c r="D599" s="24"/>
      <c r="G599" s="23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</row>
    <row r="600" spans="2:30" s="28" customFormat="1" ht="15" customHeight="1" x14ac:dyDescent="0.2">
      <c r="B600" s="23"/>
      <c r="C600" s="23"/>
      <c r="D600" s="24"/>
      <c r="G600" s="23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</row>
    <row r="601" spans="2:30" s="28" customFormat="1" ht="15" customHeight="1" x14ac:dyDescent="0.2">
      <c r="B601" s="23"/>
      <c r="C601" s="23"/>
      <c r="D601" s="24"/>
      <c r="G601" s="23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</row>
    <row r="602" spans="2:30" s="28" customFormat="1" ht="15" customHeight="1" x14ac:dyDescent="0.2">
      <c r="B602" s="23"/>
      <c r="C602" s="23"/>
      <c r="D602" s="24"/>
      <c r="G602" s="23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</row>
    <row r="603" spans="2:30" s="28" customFormat="1" ht="15" customHeight="1" x14ac:dyDescent="0.2">
      <c r="B603" s="23"/>
      <c r="C603" s="23"/>
      <c r="D603" s="24"/>
      <c r="G603" s="23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</row>
    <row r="604" spans="2:30" s="28" customFormat="1" ht="15" customHeight="1" x14ac:dyDescent="0.2">
      <c r="B604" s="23"/>
      <c r="C604" s="23"/>
      <c r="D604" s="24"/>
      <c r="G604" s="23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</row>
    <row r="605" spans="2:30" s="28" customFormat="1" ht="15" customHeight="1" x14ac:dyDescent="0.2">
      <c r="B605" s="23"/>
      <c r="C605" s="23"/>
      <c r="D605" s="24"/>
      <c r="G605" s="23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</row>
    <row r="606" spans="2:30" s="28" customFormat="1" ht="15" customHeight="1" x14ac:dyDescent="0.2">
      <c r="B606" s="23"/>
      <c r="C606" s="23"/>
      <c r="D606" s="24"/>
      <c r="G606" s="23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</row>
    <row r="607" spans="2:30" s="28" customFormat="1" ht="15" customHeight="1" x14ac:dyDescent="0.2">
      <c r="B607" s="23"/>
      <c r="C607" s="23"/>
      <c r="D607" s="24"/>
      <c r="G607" s="23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</row>
    <row r="608" spans="2:30" s="28" customFormat="1" ht="15" customHeight="1" x14ac:dyDescent="0.2">
      <c r="B608" s="23"/>
      <c r="C608" s="23"/>
      <c r="D608" s="24"/>
      <c r="G608" s="23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</row>
    <row r="609" spans="2:30" s="28" customFormat="1" ht="15" customHeight="1" x14ac:dyDescent="0.2">
      <c r="B609" s="23"/>
      <c r="C609" s="23"/>
      <c r="D609" s="24"/>
      <c r="G609" s="23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</row>
    <row r="610" spans="2:30" s="28" customFormat="1" ht="15" customHeight="1" x14ac:dyDescent="0.2">
      <c r="B610" s="23"/>
      <c r="C610" s="23"/>
      <c r="D610" s="24"/>
      <c r="G610" s="23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</row>
    <row r="611" spans="2:30" s="28" customFormat="1" ht="15" customHeight="1" x14ac:dyDescent="0.2">
      <c r="B611" s="23"/>
      <c r="C611" s="23"/>
      <c r="D611" s="24"/>
      <c r="G611" s="23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</row>
    <row r="612" spans="2:30" s="28" customFormat="1" ht="15" customHeight="1" x14ac:dyDescent="0.2">
      <c r="B612" s="23"/>
      <c r="C612" s="23"/>
      <c r="D612" s="24"/>
      <c r="G612" s="23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</row>
    <row r="613" spans="2:30" s="28" customFormat="1" ht="15" customHeight="1" x14ac:dyDescent="0.2">
      <c r="B613" s="23"/>
      <c r="C613" s="23"/>
      <c r="D613" s="24"/>
      <c r="G613" s="23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</row>
    <row r="614" spans="2:30" s="28" customFormat="1" ht="15" customHeight="1" x14ac:dyDescent="0.2">
      <c r="B614" s="23"/>
      <c r="C614" s="23"/>
      <c r="D614" s="24"/>
      <c r="G614" s="23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</row>
    <row r="615" spans="2:30" s="28" customFormat="1" ht="15" customHeight="1" x14ac:dyDescent="0.2">
      <c r="B615" s="23"/>
      <c r="C615" s="23"/>
      <c r="D615" s="24"/>
      <c r="G615" s="23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</row>
    <row r="616" spans="2:30" s="28" customFormat="1" ht="15" customHeight="1" x14ac:dyDescent="0.2">
      <c r="B616" s="23"/>
      <c r="C616" s="23"/>
      <c r="D616" s="24"/>
      <c r="G616" s="23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</row>
    <row r="617" spans="2:30" s="28" customFormat="1" ht="15" customHeight="1" x14ac:dyDescent="0.2">
      <c r="B617" s="23"/>
      <c r="C617" s="23"/>
      <c r="D617" s="24"/>
      <c r="G617" s="23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</row>
    <row r="618" spans="2:30" s="28" customFormat="1" ht="15" customHeight="1" x14ac:dyDescent="0.2">
      <c r="B618" s="23"/>
      <c r="C618" s="23"/>
      <c r="D618" s="24"/>
      <c r="G618" s="23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</row>
    <row r="619" spans="2:30" s="28" customFormat="1" ht="15" customHeight="1" x14ac:dyDescent="0.2">
      <c r="B619" s="23"/>
      <c r="C619" s="23"/>
      <c r="D619" s="24"/>
      <c r="G619" s="23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</row>
    <row r="620" spans="2:30" s="28" customFormat="1" ht="15" customHeight="1" x14ac:dyDescent="0.2">
      <c r="B620" s="23"/>
      <c r="C620" s="23"/>
      <c r="D620" s="24"/>
      <c r="G620" s="23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</row>
    <row r="621" spans="2:30" s="28" customFormat="1" ht="15" customHeight="1" x14ac:dyDescent="0.2">
      <c r="B621" s="23"/>
      <c r="C621" s="23"/>
      <c r="D621" s="24"/>
      <c r="G621" s="23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</row>
    <row r="622" spans="2:30" s="28" customFormat="1" ht="15" customHeight="1" x14ac:dyDescent="0.2">
      <c r="B622" s="23"/>
      <c r="C622" s="23"/>
      <c r="D622" s="24"/>
      <c r="G622" s="23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</row>
    <row r="623" spans="2:30" s="28" customFormat="1" ht="15" customHeight="1" x14ac:dyDescent="0.2">
      <c r="B623" s="23"/>
      <c r="C623" s="23"/>
      <c r="D623" s="24"/>
      <c r="G623" s="23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</row>
    <row r="624" spans="2:30" s="28" customFormat="1" ht="15" customHeight="1" x14ac:dyDescent="0.2">
      <c r="B624" s="23"/>
      <c r="C624" s="23"/>
      <c r="D624" s="24"/>
      <c r="G624" s="23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</row>
    <row r="625" spans="2:30" s="28" customFormat="1" ht="15" customHeight="1" x14ac:dyDescent="0.2">
      <c r="B625" s="23"/>
      <c r="C625" s="23"/>
      <c r="D625" s="24"/>
      <c r="G625" s="23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</row>
    <row r="626" spans="2:30" s="28" customFormat="1" ht="15" customHeight="1" x14ac:dyDescent="0.2">
      <c r="B626" s="23"/>
      <c r="C626" s="23"/>
      <c r="D626" s="24"/>
      <c r="G626" s="23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</row>
    <row r="627" spans="2:30" s="28" customFormat="1" ht="15" customHeight="1" x14ac:dyDescent="0.2">
      <c r="B627" s="23"/>
      <c r="C627" s="23"/>
      <c r="D627" s="24"/>
      <c r="G627" s="23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</row>
    <row r="628" spans="2:30" s="28" customFormat="1" ht="15" customHeight="1" x14ac:dyDescent="0.2">
      <c r="B628" s="23"/>
      <c r="C628" s="23"/>
      <c r="D628" s="24"/>
      <c r="G628" s="23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</row>
    <row r="629" spans="2:30" s="28" customFormat="1" ht="15" customHeight="1" x14ac:dyDescent="0.2">
      <c r="B629" s="23"/>
      <c r="C629" s="23"/>
      <c r="D629" s="24"/>
      <c r="G629" s="23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</row>
    <row r="630" spans="2:30" s="28" customFormat="1" ht="15" customHeight="1" x14ac:dyDescent="0.2">
      <c r="B630" s="23"/>
      <c r="C630" s="23"/>
      <c r="D630" s="24"/>
      <c r="G630" s="23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</row>
    <row r="631" spans="2:30" s="28" customFormat="1" ht="15" customHeight="1" x14ac:dyDescent="0.2">
      <c r="B631" s="23"/>
      <c r="C631" s="23"/>
      <c r="D631" s="24"/>
      <c r="G631" s="23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</row>
    <row r="632" spans="2:30" s="28" customFormat="1" ht="15" customHeight="1" x14ac:dyDescent="0.2">
      <c r="B632" s="23"/>
      <c r="C632" s="23"/>
      <c r="D632" s="24"/>
      <c r="G632" s="23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</row>
    <row r="633" spans="2:30" s="28" customFormat="1" ht="15" customHeight="1" x14ac:dyDescent="0.2">
      <c r="B633" s="23"/>
      <c r="C633" s="23"/>
      <c r="D633" s="24"/>
      <c r="G633" s="23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</row>
    <row r="634" spans="2:30" s="28" customFormat="1" ht="15" customHeight="1" x14ac:dyDescent="0.2">
      <c r="B634" s="23"/>
      <c r="C634" s="23"/>
      <c r="D634" s="24"/>
      <c r="G634" s="23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</row>
    <row r="635" spans="2:30" s="28" customFormat="1" ht="15" customHeight="1" x14ac:dyDescent="0.2">
      <c r="B635" s="23"/>
      <c r="C635" s="23"/>
      <c r="D635" s="24"/>
      <c r="G635" s="23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</row>
    <row r="636" spans="2:30" s="28" customFormat="1" ht="15" customHeight="1" x14ac:dyDescent="0.2">
      <c r="B636" s="23"/>
      <c r="C636" s="23"/>
      <c r="D636" s="24"/>
      <c r="G636" s="23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</row>
    <row r="637" spans="2:30" s="28" customFormat="1" ht="15" customHeight="1" x14ac:dyDescent="0.2">
      <c r="B637" s="23"/>
      <c r="C637" s="23"/>
      <c r="D637" s="24"/>
      <c r="G637" s="23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</row>
    <row r="638" spans="2:30" s="28" customFormat="1" ht="15" customHeight="1" x14ac:dyDescent="0.2">
      <c r="B638" s="23"/>
      <c r="C638" s="23"/>
      <c r="D638" s="24"/>
      <c r="G638" s="23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</row>
    <row r="639" spans="2:30" s="28" customFormat="1" ht="15" customHeight="1" x14ac:dyDescent="0.2">
      <c r="B639" s="23"/>
      <c r="C639" s="23"/>
      <c r="D639" s="24"/>
      <c r="G639" s="23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</row>
    <row r="640" spans="2:30" s="28" customFormat="1" ht="15" customHeight="1" x14ac:dyDescent="0.2">
      <c r="B640" s="23"/>
      <c r="C640" s="23"/>
      <c r="D640" s="24"/>
      <c r="G640" s="23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</row>
    <row r="641" spans="2:30" s="28" customFormat="1" ht="15" customHeight="1" x14ac:dyDescent="0.2">
      <c r="B641" s="23"/>
      <c r="C641" s="23"/>
      <c r="D641" s="24"/>
      <c r="G641" s="23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</row>
    <row r="642" spans="2:30" s="28" customFormat="1" ht="15" customHeight="1" x14ac:dyDescent="0.2">
      <c r="B642" s="23"/>
      <c r="C642" s="23"/>
      <c r="D642" s="24"/>
      <c r="G642" s="23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</row>
    <row r="643" spans="2:30" s="28" customFormat="1" ht="15" customHeight="1" x14ac:dyDescent="0.2">
      <c r="B643" s="23"/>
      <c r="C643" s="23"/>
      <c r="D643" s="24"/>
      <c r="G643" s="23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</row>
    <row r="644" spans="2:30" s="28" customFormat="1" ht="15" customHeight="1" x14ac:dyDescent="0.2">
      <c r="B644" s="23"/>
      <c r="C644" s="23"/>
      <c r="D644" s="24"/>
      <c r="G644" s="23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</row>
    <row r="645" spans="2:30" s="28" customFormat="1" ht="15" customHeight="1" x14ac:dyDescent="0.2">
      <c r="B645" s="23"/>
      <c r="C645" s="23"/>
      <c r="D645" s="24"/>
      <c r="G645" s="23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</row>
    <row r="646" spans="2:30" s="28" customFormat="1" ht="15" customHeight="1" x14ac:dyDescent="0.2">
      <c r="B646" s="23"/>
      <c r="C646" s="23"/>
      <c r="D646" s="24"/>
      <c r="G646" s="23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</row>
    <row r="647" spans="2:30" s="28" customFormat="1" ht="15" customHeight="1" x14ac:dyDescent="0.2">
      <c r="B647" s="23"/>
      <c r="C647" s="23"/>
      <c r="D647" s="24"/>
      <c r="G647" s="23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</row>
    <row r="648" spans="2:30" s="28" customFormat="1" ht="15" customHeight="1" x14ac:dyDescent="0.2">
      <c r="B648" s="23"/>
      <c r="C648" s="23"/>
      <c r="D648" s="24"/>
      <c r="G648" s="23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</row>
    <row r="649" spans="2:30" s="28" customFormat="1" ht="15" customHeight="1" x14ac:dyDescent="0.2">
      <c r="B649" s="23"/>
      <c r="C649" s="23"/>
      <c r="D649" s="24"/>
      <c r="G649" s="23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</row>
    <row r="650" spans="2:30" s="28" customFormat="1" ht="15" customHeight="1" x14ac:dyDescent="0.2">
      <c r="B650" s="23"/>
      <c r="C650" s="23"/>
      <c r="D650" s="24"/>
      <c r="G650" s="23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</row>
    <row r="651" spans="2:30" s="28" customFormat="1" ht="15" customHeight="1" x14ac:dyDescent="0.2">
      <c r="B651" s="23"/>
      <c r="C651" s="23"/>
      <c r="D651" s="24"/>
      <c r="G651" s="23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</row>
    <row r="652" spans="2:30" s="28" customFormat="1" ht="15" customHeight="1" x14ac:dyDescent="0.2">
      <c r="B652" s="23"/>
      <c r="C652" s="23"/>
      <c r="D652" s="24"/>
      <c r="G652" s="23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</row>
    <row r="653" spans="2:30" s="28" customFormat="1" ht="15" customHeight="1" x14ac:dyDescent="0.2">
      <c r="B653" s="23"/>
      <c r="C653" s="23"/>
      <c r="D653" s="24"/>
      <c r="G653" s="23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</row>
    <row r="654" spans="2:30" s="28" customFormat="1" ht="15" customHeight="1" x14ac:dyDescent="0.2">
      <c r="B654" s="23"/>
      <c r="C654" s="23"/>
      <c r="D654" s="24"/>
      <c r="G654" s="23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</row>
    <row r="655" spans="2:30" s="28" customFormat="1" ht="15" customHeight="1" x14ac:dyDescent="0.2">
      <c r="B655" s="23"/>
      <c r="C655" s="23"/>
      <c r="D655" s="24"/>
      <c r="G655" s="23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</row>
    <row r="656" spans="2:30" s="28" customFormat="1" ht="15" customHeight="1" x14ac:dyDescent="0.2">
      <c r="B656" s="23"/>
      <c r="C656" s="23"/>
      <c r="D656" s="24"/>
      <c r="G656" s="23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</row>
    <row r="657" spans="2:30" s="28" customFormat="1" ht="15" customHeight="1" x14ac:dyDescent="0.2">
      <c r="B657" s="23"/>
      <c r="C657" s="23"/>
      <c r="D657" s="24"/>
      <c r="G657" s="23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</row>
    <row r="658" spans="2:30" s="28" customFormat="1" ht="15" customHeight="1" x14ac:dyDescent="0.2">
      <c r="B658" s="23"/>
      <c r="C658" s="23"/>
      <c r="D658" s="24"/>
      <c r="G658" s="23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</row>
    <row r="659" spans="2:30" s="28" customFormat="1" ht="15" customHeight="1" x14ac:dyDescent="0.2">
      <c r="B659" s="23"/>
      <c r="C659" s="23"/>
      <c r="D659" s="24"/>
      <c r="G659" s="23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</row>
    <row r="660" spans="2:30" s="28" customFormat="1" ht="15" customHeight="1" x14ac:dyDescent="0.2">
      <c r="B660" s="23"/>
      <c r="C660" s="23"/>
      <c r="D660" s="24"/>
      <c r="G660" s="23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</row>
    <row r="661" spans="2:30" s="28" customFormat="1" ht="15" customHeight="1" x14ac:dyDescent="0.2">
      <c r="B661" s="23"/>
      <c r="C661" s="23"/>
      <c r="D661" s="24"/>
      <c r="G661" s="23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</row>
    <row r="662" spans="2:30" s="28" customFormat="1" ht="15" customHeight="1" x14ac:dyDescent="0.2">
      <c r="B662" s="23"/>
      <c r="C662" s="23"/>
      <c r="D662" s="24"/>
      <c r="G662" s="23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</row>
    <row r="663" spans="2:30" s="28" customFormat="1" ht="15" customHeight="1" x14ac:dyDescent="0.2">
      <c r="B663" s="23"/>
      <c r="C663" s="23"/>
      <c r="D663" s="24"/>
      <c r="G663" s="23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</row>
    <row r="664" spans="2:30" s="28" customFormat="1" ht="15" customHeight="1" x14ac:dyDescent="0.2">
      <c r="B664" s="23"/>
      <c r="C664" s="23"/>
      <c r="D664" s="24"/>
      <c r="G664" s="23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</row>
    <row r="665" spans="2:30" s="28" customFormat="1" ht="15" customHeight="1" x14ac:dyDescent="0.2">
      <c r="B665" s="23"/>
      <c r="C665" s="23"/>
      <c r="D665" s="24"/>
      <c r="G665" s="23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</row>
    <row r="666" spans="2:30" s="28" customFormat="1" ht="15" customHeight="1" x14ac:dyDescent="0.2">
      <c r="B666" s="23"/>
      <c r="C666" s="23"/>
      <c r="D666" s="24"/>
      <c r="G666" s="23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</row>
    <row r="667" spans="2:30" s="28" customFormat="1" ht="15" customHeight="1" x14ac:dyDescent="0.2">
      <c r="B667" s="23"/>
      <c r="C667" s="23"/>
      <c r="D667" s="24"/>
      <c r="G667" s="23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</row>
    <row r="668" spans="2:30" s="28" customFormat="1" ht="15" customHeight="1" x14ac:dyDescent="0.2">
      <c r="B668" s="23"/>
      <c r="C668" s="23"/>
      <c r="D668" s="24"/>
      <c r="G668" s="23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</row>
    <row r="669" spans="2:30" s="28" customFormat="1" ht="15" customHeight="1" x14ac:dyDescent="0.2">
      <c r="B669" s="23"/>
      <c r="C669" s="23"/>
      <c r="D669" s="24"/>
      <c r="G669" s="23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</row>
    <row r="670" spans="2:30" s="28" customFormat="1" ht="15" customHeight="1" x14ac:dyDescent="0.2">
      <c r="B670" s="23"/>
      <c r="C670" s="23"/>
      <c r="D670" s="24"/>
      <c r="G670" s="23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</row>
    <row r="671" spans="2:30" s="28" customFormat="1" ht="15" customHeight="1" x14ac:dyDescent="0.2">
      <c r="B671" s="23"/>
      <c r="C671" s="23"/>
      <c r="D671" s="24"/>
      <c r="G671" s="23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</row>
    <row r="672" spans="2:30" s="28" customFormat="1" ht="15" customHeight="1" x14ac:dyDescent="0.2">
      <c r="B672" s="23"/>
      <c r="C672" s="23"/>
      <c r="D672" s="24"/>
      <c r="G672" s="23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</row>
    <row r="673" spans="2:30" s="28" customFormat="1" ht="15" customHeight="1" x14ac:dyDescent="0.2">
      <c r="B673" s="23"/>
      <c r="C673" s="23"/>
      <c r="D673" s="24"/>
      <c r="G673" s="23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4"/>
    </row>
    <row r="674" spans="2:30" s="28" customFormat="1" ht="15" customHeight="1" x14ac:dyDescent="0.2">
      <c r="B674" s="23"/>
      <c r="C674" s="23"/>
      <c r="D674" s="24"/>
      <c r="G674" s="23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</row>
    <row r="675" spans="2:30" s="28" customFormat="1" ht="15" customHeight="1" x14ac:dyDescent="0.2">
      <c r="B675" s="23"/>
      <c r="C675" s="23"/>
      <c r="D675" s="24"/>
      <c r="G675" s="23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</row>
    <row r="676" spans="2:30" s="28" customFormat="1" ht="15" customHeight="1" x14ac:dyDescent="0.2">
      <c r="B676" s="23"/>
      <c r="C676" s="23"/>
      <c r="D676" s="24"/>
      <c r="G676" s="23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4"/>
    </row>
    <row r="677" spans="2:30" s="28" customFormat="1" ht="15" customHeight="1" x14ac:dyDescent="0.2">
      <c r="B677" s="23"/>
      <c r="C677" s="23"/>
      <c r="D677" s="24"/>
      <c r="G677" s="23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  <c r="AA677" s="54"/>
      <c r="AB677" s="54"/>
      <c r="AC677" s="54"/>
      <c r="AD677" s="54"/>
    </row>
    <row r="678" spans="2:30" s="28" customFormat="1" ht="15" customHeight="1" x14ac:dyDescent="0.2">
      <c r="B678" s="23"/>
      <c r="C678" s="23"/>
      <c r="D678" s="24"/>
      <c r="G678" s="23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  <c r="AA678" s="54"/>
      <c r="AB678" s="54"/>
      <c r="AC678" s="54"/>
      <c r="AD678" s="54"/>
    </row>
    <row r="679" spans="2:30" s="28" customFormat="1" ht="15" customHeight="1" x14ac:dyDescent="0.2">
      <c r="B679" s="23"/>
      <c r="C679" s="23"/>
      <c r="D679" s="24"/>
      <c r="G679" s="23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  <c r="AA679" s="54"/>
      <c r="AB679" s="54"/>
      <c r="AC679" s="54"/>
      <c r="AD679" s="54"/>
    </row>
    <row r="680" spans="2:30" s="28" customFormat="1" ht="15" customHeight="1" x14ac:dyDescent="0.2">
      <c r="B680" s="23"/>
      <c r="C680" s="23"/>
      <c r="D680" s="24"/>
      <c r="G680" s="23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  <c r="AA680" s="54"/>
      <c r="AB680" s="54"/>
      <c r="AC680" s="54"/>
      <c r="AD680" s="54"/>
    </row>
    <row r="681" spans="2:30" s="28" customFormat="1" ht="15" customHeight="1" x14ac:dyDescent="0.2">
      <c r="B681" s="23"/>
      <c r="C681" s="23"/>
      <c r="D681" s="24"/>
      <c r="G681" s="23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  <c r="AA681" s="54"/>
      <c r="AB681" s="54"/>
      <c r="AC681" s="54"/>
      <c r="AD681" s="54"/>
    </row>
    <row r="682" spans="2:30" s="28" customFormat="1" ht="15" customHeight="1" x14ac:dyDescent="0.2">
      <c r="B682" s="23"/>
      <c r="C682" s="23"/>
      <c r="D682" s="24"/>
      <c r="G682" s="23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  <c r="AA682" s="54"/>
      <c r="AB682" s="54"/>
      <c r="AC682" s="54"/>
      <c r="AD682" s="54"/>
    </row>
    <row r="683" spans="2:30" s="28" customFormat="1" ht="15" customHeight="1" x14ac:dyDescent="0.2">
      <c r="B683" s="23"/>
      <c r="C683" s="23"/>
      <c r="D683" s="24"/>
      <c r="G683" s="23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  <c r="AA683" s="54"/>
      <c r="AB683" s="54"/>
      <c r="AC683" s="54"/>
      <c r="AD683" s="54"/>
    </row>
    <row r="684" spans="2:30" s="28" customFormat="1" ht="15" customHeight="1" x14ac:dyDescent="0.2">
      <c r="B684" s="23"/>
      <c r="C684" s="23"/>
      <c r="D684" s="24"/>
      <c r="G684" s="23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  <c r="AA684" s="54"/>
      <c r="AB684" s="54"/>
      <c r="AC684" s="54"/>
      <c r="AD684" s="54"/>
    </row>
    <row r="685" spans="2:30" s="28" customFormat="1" ht="15" customHeight="1" x14ac:dyDescent="0.2">
      <c r="B685" s="23"/>
      <c r="C685" s="23"/>
      <c r="D685" s="24"/>
      <c r="G685" s="23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</row>
    <row r="686" spans="2:30" s="28" customFormat="1" ht="15" customHeight="1" x14ac:dyDescent="0.2">
      <c r="B686" s="23"/>
      <c r="C686" s="23"/>
      <c r="D686" s="24"/>
      <c r="G686" s="23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  <c r="AA686" s="54"/>
      <c r="AB686" s="54"/>
      <c r="AC686" s="54"/>
      <c r="AD686" s="54"/>
    </row>
    <row r="687" spans="2:30" s="28" customFormat="1" ht="15" customHeight="1" x14ac:dyDescent="0.2">
      <c r="B687" s="23"/>
      <c r="C687" s="23"/>
      <c r="D687" s="24"/>
      <c r="G687" s="23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  <c r="AA687" s="54"/>
      <c r="AB687" s="54"/>
      <c r="AC687" s="54"/>
      <c r="AD687" s="54"/>
    </row>
    <row r="688" spans="2:30" s="28" customFormat="1" ht="15" customHeight="1" x14ac:dyDescent="0.2">
      <c r="B688" s="23"/>
      <c r="C688" s="23"/>
      <c r="D688" s="24"/>
      <c r="G688" s="23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  <c r="AA688" s="54"/>
      <c r="AB688" s="54"/>
      <c r="AC688" s="54"/>
      <c r="AD688" s="54"/>
    </row>
    <row r="689" spans="2:30" s="28" customFormat="1" ht="15" customHeight="1" x14ac:dyDescent="0.2">
      <c r="B689" s="23"/>
      <c r="C689" s="23"/>
      <c r="D689" s="24"/>
      <c r="G689" s="23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  <c r="AA689" s="54"/>
      <c r="AB689" s="54"/>
      <c r="AC689" s="54"/>
      <c r="AD689" s="54"/>
    </row>
    <row r="690" spans="2:30" s="28" customFormat="1" ht="15" customHeight="1" x14ac:dyDescent="0.2">
      <c r="B690" s="23"/>
      <c r="C690" s="23"/>
      <c r="D690" s="24"/>
      <c r="G690" s="23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  <c r="AA690" s="54"/>
      <c r="AB690" s="54"/>
      <c r="AC690" s="54"/>
      <c r="AD690" s="54"/>
    </row>
    <row r="691" spans="2:30" s="28" customFormat="1" ht="15" customHeight="1" x14ac:dyDescent="0.2">
      <c r="B691" s="23"/>
      <c r="C691" s="23"/>
      <c r="D691" s="24"/>
      <c r="G691" s="23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  <c r="AA691" s="54"/>
      <c r="AB691" s="54"/>
      <c r="AC691" s="54"/>
      <c r="AD691" s="54"/>
    </row>
    <row r="692" spans="2:30" s="28" customFormat="1" ht="15" customHeight="1" x14ac:dyDescent="0.2">
      <c r="B692" s="23"/>
      <c r="C692" s="23"/>
      <c r="D692" s="24"/>
      <c r="G692" s="23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  <c r="AA692" s="54"/>
      <c r="AB692" s="54"/>
      <c r="AC692" s="54"/>
      <c r="AD692" s="54"/>
    </row>
    <row r="693" spans="2:30" s="28" customFormat="1" ht="15" customHeight="1" x14ac:dyDescent="0.2">
      <c r="B693" s="23"/>
      <c r="C693" s="23"/>
      <c r="D693" s="24"/>
      <c r="G693" s="23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  <c r="AA693" s="54"/>
      <c r="AB693" s="54"/>
      <c r="AC693" s="54"/>
      <c r="AD693" s="54"/>
    </row>
    <row r="694" spans="2:30" s="28" customFormat="1" ht="15" customHeight="1" x14ac:dyDescent="0.2">
      <c r="B694" s="23"/>
      <c r="C694" s="23"/>
      <c r="D694" s="24"/>
      <c r="G694" s="23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  <c r="AA694" s="54"/>
      <c r="AB694" s="54"/>
      <c r="AC694" s="54"/>
      <c r="AD694" s="54"/>
    </row>
    <row r="695" spans="2:30" s="28" customFormat="1" ht="15" customHeight="1" x14ac:dyDescent="0.2">
      <c r="B695" s="23"/>
      <c r="C695" s="23"/>
      <c r="D695" s="24"/>
      <c r="G695" s="23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  <c r="AA695" s="54"/>
      <c r="AB695" s="54"/>
      <c r="AC695" s="54"/>
      <c r="AD695" s="54"/>
    </row>
    <row r="696" spans="2:30" s="28" customFormat="1" ht="15" customHeight="1" x14ac:dyDescent="0.2">
      <c r="B696" s="23"/>
      <c r="C696" s="23"/>
      <c r="D696" s="24"/>
      <c r="G696" s="23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  <c r="AA696" s="54"/>
      <c r="AB696" s="54"/>
      <c r="AC696" s="54"/>
      <c r="AD696" s="54"/>
    </row>
    <row r="697" spans="2:30" s="28" customFormat="1" ht="15" customHeight="1" x14ac:dyDescent="0.2">
      <c r="B697" s="23"/>
      <c r="C697" s="23"/>
      <c r="D697" s="24"/>
      <c r="G697" s="23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  <c r="AA697" s="54"/>
      <c r="AB697" s="54"/>
      <c r="AC697" s="54"/>
      <c r="AD697" s="54"/>
    </row>
    <row r="698" spans="2:30" s="28" customFormat="1" ht="15" customHeight="1" x14ac:dyDescent="0.2">
      <c r="B698" s="23"/>
      <c r="C698" s="23"/>
      <c r="D698" s="24"/>
      <c r="G698" s="23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  <c r="AA698" s="54"/>
      <c r="AB698" s="54"/>
      <c r="AC698" s="54"/>
      <c r="AD698" s="54"/>
    </row>
    <row r="699" spans="2:30" s="28" customFormat="1" ht="15" customHeight="1" x14ac:dyDescent="0.2">
      <c r="B699" s="23"/>
      <c r="C699" s="23"/>
      <c r="D699" s="24"/>
      <c r="G699" s="23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  <c r="AA699" s="54"/>
      <c r="AB699" s="54"/>
      <c r="AC699" s="54"/>
      <c r="AD699" s="54"/>
    </row>
    <row r="700" spans="2:30" s="28" customFormat="1" ht="15" customHeight="1" x14ac:dyDescent="0.2">
      <c r="B700" s="23"/>
      <c r="C700" s="23"/>
      <c r="D700" s="24"/>
      <c r="G700" s="23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  <c r="AA700" s="54"/>
      <c r="AB700" s="54"/>
      <c r="AC700" s="54"/>
      <c r="AD700" s="54"/>
    </row>
    <row r="701" spans="2:30" s="28" customFormat="1" ht="15" customHeight="1" x14ac:dyDescent="0.2">
      <c r="B701" s="23"/>
      <c r="C701" s="23"/>
      <c r="D701" s="24"/>
      <c r="G701" s="23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  <c r="AA701" s="54"/>
      <c r="AB701" s="54"/>
      <c r="AC701" s="54"/>
      <c r="AD701" s="54"/>
    </row>
    <row r="702" spans="2:30" s="28" customFormat="1" ht="15" customHeight="1" x14ac:dyDescent="0.2">
      <c r="B702" s="23"/>
      <c r="C702" s="23"/>
      <c r="D702" s="24"/>
      <c r="G702" s="23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  <c r="AA702" s="54"/>
      <c r="AB702" s="54"/>
      <c r="AC702" s="54"/>
      <c r="AD702" s="54"/>
    </row>
    <row r="703" spans="2:30" s="28" customFormat="1" ht="15" customHeight="1" x14ac:dyDescent="0.2">
      <c r="B703" s="23"/>
      <c r="C703" s="23"/>
      <c r="D703" s="24"/>
      <c r="G703" s="23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  <c r="AA703" s="54"/>
      <c r="AB703" s="54"/>
      <c r="AC703" s="54"/>
      <c r="AD703" s="54"/>
    </row>
    <row r="704" spans="2:30" s="28" customFormat="1" ht="15" customHeight="1" x14ac:dyDescent="0.2">
      <c r="B704" s="23"/>
      <c r="C704" s="23"/>
      <c r="D704" s="24"/>
      <c r="G704" s="23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  <c r="AA704" s="54"/>
      <c r="AB704" s="54"/>
      <c r="AC704" s="54"/>
      <c r="AD704" s="54"/>
    </row>
    <row r="705" spans="2:30" s="28" customFormat="1" ht="15" customHeight="1" x14ac:dyDescent="0.2">
      <c r="B705" s="23"/>
      <c r="C705" s="23"/>
      <c r="D705" s="24"/>
      <c r="G705" s="23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  <c r="AA705" s="54"/>
      <c r="AB705" s="54"/>
      <c r="AC705" s="54"/>
      <c r="AD705" s="54"/>
    </row>
    <row r="706" spans="2:30" s="28" customFormat="1" ht="15" customHeight="1" x14ac:dyDescent="0.2">
      <c r="B706" s="23"/>
      <c r="C706" s="23"/>
      <c r="D706" s="24"/>
      <c r="G706" s="23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  <c r="AA706" s="54"/>
      <c r="AB706" s="54"/>
      <c r="AC706" s="54"/>
      <c r="AD706" s="54"/>
    </row>
    <row r="707" spans="2:30" s="28" customFormat="1" ht="15" customHeight="1" x14ac:dyDescent="0.2">
      <c r="B707" s="23"/>
      <c r="C707" s="23"/>
      <c r="D707" s="24"/>
      <c r="G707" s="23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  <c r="AA707" s="54"/>
      <c r="AB707" s="54"/>
      <c r="AC707" s="54"/>
      <c r="AD707" s="54"/>
    </row>
    <row r="708" spans="2:30" s="28" customFormat="1" ht="15" customHeight="1" x14ac:dyDescent="0.2">
      <c r="B708" s="23"/>
      <c r="C708" s="23"/>
      <c r="D708" s="24"/>
      <c r="G708" s="23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  <c r="AA708" s="54"/>
      <c r="AB708" s="54"/>
      <c r="AC708" s="54"/>
      <c r="AD708" s="54"/>
    </row>
    <row r="709" spans="2:30" s="28" customFormat="1" ht="15" customHeight="1" x14ac:dyDescent="0.2">
      <c r="B709" s="23"/>
      <c r="C709" s="23"/>
      <c r="D709" s="24"/>
      <c r="G709" s="23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  <c r="AA709" s="54"/>
      <c r="AB709" s="54"/>
      <c r="AC709" s="54"/>
      <c r="AD709" s="54"/>
    </row>
    <row r="710" spans="2:30" s="28" customFormat="1" ht="15" customHeight="1" x14ac:dyDescent="0.2">
      <c r="B710" s="23"/>
      <c r="C710" s="23"/>
      <c r="D710" s="24"/>
      <c r="G710" s="23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  <c r="AA710" s="54"/>
      <c r="AB710" s="54"/>
      <c r="AC710" s="54"/>
      <c r="AD710" s="54"/>
    </row>
    <row r="711" spans="2:30" s="28" customFormat="1" ht="15" customHeight="1" x14ac:dyDescent="0.2">
      <c r="B711" s="23"/>
      <c r="C711" s="23"/>
      <c r="D711" s="24"/>
      <c r="G711" s="23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4"/>
    </row>
    <row r="712" spans="2:30" s="28" customFormat="1" ht="15" customHeight="1" x14ac:dyDescent="0.2">
      <c r="B712" s="23"/>
      <c r="C712" s="23"/>
      <c r="D712" s="24"/>
      <c r="G712" s="23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  <c r="AA712" s="54"/>
      <c r="AB712" s="54"/>
      <c r="AC712" s="54"/>
      <c r="AD712" s="54"/>
    </row>
    <row r="713" spans="2:30" s="28" customFormat="1" ht="15" customHeight="1" x14ac:dyDescent="0.2">
      <c r="B713" s="23"/>
      <c r="C713" s="23"/>
      <c r="D713" s="24"/>
      <c r="G713" s="23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  <c r="AA713" s="54"/>
      <c r="AB713" s="54"/>
      <c r="AC713" s="54"/>
      <c r="AD713" s="54"/>
    </row>
    <row r="714" spans="2:30" s="28" customFormat="1" ht="15" customHeight="1" x14ac:dyDescent="0.2">
      <c r="B714" s="23"/>
      <c r="C714" s="23"/>
      <c r="D714" s="24"/>
      <c r="G714" s="23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  <c r="AA714" s="54"/>
      <c r="AB714" s="54"/>
      <c r="AC714" s="54"/>
      <c r="AD714" s="54"/>
    </row>
    <row r="715" spans="2:30" s="28" customFormat="1" ht="15" customHeight="1" x14ac:dyDescent="0.2">
      <c r="B715" s="23"/>
      <c r="C715" s="23"/>
      <c r="D715" s="24"/>
      <c r="G715" s="23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  <c r="AA715" s="54"/>
      <c r="AB715" s="54"/>
      <c r="AC715" s="54"/>
      <c r="AD715" s="54"/>
    </row>
    <row r="716" spans="2:30" s="28" customFormat="1" ht="15" customHeight="1" x14ac:dyDescent="0.2">
      <c r="B716" s="23"/>
      <c r="C716" s="23"/>
      <c r="D716" s="24"/>
      <c r="G716" s="23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  <c r="AA716" s="54"/>
      <c r="AB716" s="54"/>
      <c r="AC716" s="54"/>
      <c r="AD716" s="54"/>
    </row>
    <row r="717" spans="2:30" s="28" customFormat="1" ht="15" customHeight="1" x14ac:dyDescent="0.2">
      <c r="B717" s="23"/>
      <c r="C717" s="23"/>
      <c r="D717" s="24"/>
      <c r="G717" s="23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  <c r="AA717" s="54"/>
      <c r="AB717" s="54"/>
      <c r="AC717" s="54"/>
      <c r="AD717" s="54"/>
    </row>
    <row r="718" spans="2:30" s="28" customFormat="1" ht="15" customHeight="1" x14ac:dyDescent="0.2">
      <c r="B718" s="23"/>
      <c r="C718" s="23"/>
      <c r="D718" s="24"/>
      <c r="G718" s="23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  <c r="AA718" s="54"/>
      <c r="AB718" s="54"/>
      <c r="AC718" s="54"/>
      <c r="AD718" s="54"/>
    </row>
    <row r="719" spans="2:30" s="28" customFormat="1" ht="15" customHeight="1" x14ac:dyDescent="0.2">
      <c r="B719" s="23"/>
      <c r="C719" s="23"/>
      <c r="D719" s="24"/>
      <c r="G719" s="23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  <c r="AA719" s="54"/>
      <c r="AB719" s="54"/>
      <c r="AC719" s="54"/>
      <c r="AD719" s="54"/>
    </row>
    <row r="720" spans="2:30" s="28" customFormat="1" ht="15" customHeight="1" x14ac:dyDescent="0.2">
      <c r="B720" s="23"/>
      <c r="C720" s="23"/>
      <c r="D720" s="24"/>
      <c r="G720" s="23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  <c r="AA720" s="54"/>
      <c r="AB720" s="54"/>
      <c r="AC720" s="54"/>
      <c r="AD720" s="54"/>
    </row>
    <row r="721" spans="2:30" s="28" customFormat="1" ht="15" customHeight="1" x14ac:dyDescent="0.2">
      <c r="B721" s="23"/>
      <c r="C721" s="23"/>
      <c r="D721" s="24"/>
      <c r="G721" s="23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  <c r="AA721" s="54"/>
      <c r="AB721" s="54"/>
      <c r="AC721" s="54"/>
      <c r="AD721" s="54"/>
    </row>
    <row r="722" spans="2:30" s="28" customFormat="1" ht="15" customHeight="1" x14ac:dyDescent="0.2">
      <c r="B722" s="23"/>
      <c r="C722" s="23"/>
      <c r="D722" s="24"/>
      <c r="G722" s="23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  <c r="AA722" s="54"/>
      <c r="AB722" s="54"/>
      <c r="AC722" s="54"/>
      <c r="AD722" s="54"/>
    </row>
    <row r="723" spans="2:30" s="28" customFormat="1" ht="15" customHeight="1" x14ac:dyDescent="0.2">
      <c r="B723" s="23"/>
      <c r="C723" s="23"/>
      <c r="D723" s="24"/>
      <c r="G723" s="23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  <c r="AA723" s="54"/>
      <c r="AB723" s="54"/>
      <c r="AC723" s="54"/>
      <c r="AD723" s="54"/>
    </row>
    <row r="724" spans="2:30" s="28" customFormat="1" ht="15" customHeight="1" x14ac:dyDescent="0.2">
      <c r="B724" s="23"/>
      <c r="C724" s="23"/>
      <c r="D724" s="24"/>
      <c r="G724" s="23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  <c r="AA724" s="54"/>
      <c r="AB724" s="54"/>
      <c r="AC724" s="54"/>
      <c r="AD724" s="54"/>
    </row>
    <row r="725" spans="2:30" s="28" customFormat="1" ht="15" customHeight="1" x14ac:dyDescent="0.2">
      <c r="B725" s="23"/>
      <c r="C725" s="23"/>
      <c r="D725" s="24"/>
      <c r="G725" s="23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  <c r="AA725" s="54"/>
      <c r="AB725" s="54"/>
      <c r="AC725" s="54"/>
      <c r="AD725" s="54"/>
    </row>
    <row r="726" spans="2:30" s="28" customFormat="1" ht="15" customHeight="1" x14ac:dyDescent="0.2">
      <c r="B726" s="23"/>
      <c r="C726" s="23"/>
      <c r="D726" s="24"/>
      <c r="G726" s="23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  <c r="AA726" s="54"/>
      <c r="AB726" s="54"/>
      <c r="AC726" s="54"/>
      <c r="AD726" s="54"/>
    </row>
    <row r="727" spans="2:30" s="28" customFormat="1" ht="15" customHeight="1" x14ac:dyDescent="0.2">
      <c r="B727" s="23"/>
      <c r="C727" s="23"/>
      <c r="D727" s="24"/>
      <c r="G727" s="23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  <c r="AA727" s="54"/>
      <c r="AB727" s="54"/>
      <c r="AC727" s="54"/>
      <c r="AD727" s="54"/>
    </row>
    <row r="728" spans="2:30" s="28" customFormat="1" ht="15" customHeight="1" x14ac:dyDescent="0.2">
      <c r="B728" s="23"/>
      <c r="C728" s="23"/>
      <c r="D728" s="24"/>
      <c r="G728" s="23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  <c r="AA728" s="54"/>
      <c r="AB728" s="54"/>
      <c r="AC728" s="54"/>
      <c r="AD728" s="54"/>
    </row>
    <row r="729" spans="2:30" s="28" customFormat="1" ht="15" customHeight="1" x14ac:dyDescent="0.2">
      <c r="B729" s="23"/>
      <c r="C729" s="23"/>
      <c r="D729" s="24"/>
      <c r="G729" s="23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  <c r="AA729" s="54"/>
      <c r="AB729" s="54"/>
      <c r="AC729" s="54"/>
      <c r="AD729" s="54"/>
    </row>
    <row r="730" spans="2:30" s="28" customFormat="1" ht="15" customHeight="1" x14ac:dyDescent="0.2">
      <c r="B730" s="23"/>
      <c r="C730" s="23"/>
      <c r="D730" s="24"/>
      <c r="G730" s="23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  <c r="AA730" s="54"/>
      <c r="AB730" s="54"/>
      <c r="AC730" s="54"/>
      <c r="AD730" s="54"/>
    </row>
    <row r="731" spans="2:30" s="28" customFormat="1" ht="15" customHeight="1" x14ac:dyDescent="0.2">
      <c r="B731" s="23"/>
      <c r="C731" s="23"/>
      <c r="D731" s="24"/>
      <c r="G731" s="23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  <c r="AA731" s="54"/>
      <c r="AB731" s="54"/>
      <c r="AC731" s="54"/>
      <c r="AD731" s="54"/>
    </row>
    <row r="732" spans="2:30" s="28" customFormat="1" ht="15" customHeight="1" x14ac:dyDescent="0.2">
      <c r="B732" s="23"/>
      <c r="C732" s="23"/>
      <c r="D732" s="24"/>
      <c r="G732" s="23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  <c r="AA732" s="54"/>
      <c r="AB732" s="54"/>
      <c r="AC732" s="54"/>
      <c r="AD732" s="54"/>
    </row>
    <row r="733" spans="2:30" s="28" customFormat="1" ht="15" customHeight="1" x14ac:dyDescent="0.2">
      <c r="B733" s="23"/>
      <c r="C733" s="23"/>
      <c r="D733" s="24"/>
      <c r="G733" s="23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  <c r="AA733" s="54"/>
      <c r="AB733" s="54"/>
      <c r="AC733" s="54"/>
      <c r="AD733" s="54"/>
    </row>
    <row r="734" spans="2:30" s="28" customFormat="1" ht="15" customHeight="1" x14ac:dyDescent="0.2">
      <c r="B734" s="23"/>
      <c r="C734" s="23"/>
      <c r="D734" s="24"/>
      <c r="G734" s="23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  <c r="AA734" s="54"/>
      <c r="AB734" s="54"/>
      <c r="AC734" s="54"/>
      <c r="AD734" s="54"/>
    </row>
    <row r="735" spans="2:30" s="28" customFormat="1" ht="15" customHeight="1" x14ac:dyDescent="0.2">
      <c r="B735" s="23"/>
      <c r="C735" s="23"/>
      <c r="D735" s="24"/>
      <c r="G735" s="23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  <c r="AA735" s="54"/>
      <c r="AB735" s="54"/>
      <c r="AC735" s="54"/>
      <c r="AD735" s="54"/>
    </row>
    <row r="736" spans="2:30" s="28" customFormat="1" ht="15" customHeight="1" x14ac:dyDescent="0.2">
      <c r="B736" s="23"/>
      <c r="C736" s="23"/>
      <c r="D736" s="24"/>
      <c r="G736" s="23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  <c r="AA736" s="54"/>
      <c r="AB736" s="54"/>
      <c r="AC736" s="54"/>
      <c r="AD736" s="54"/>
    </row>
    <row r="737" spans="2:30" s="28" customFormat="1" ht="15" customHeight="1" x14ac:dyDescent="0.2">
      <c r="B737" s="23"/>
      <c r="C737" s="23"/>
      <c r="D737" s="24"/>
      <c r="G737" s="23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  <c r="AA737" s="54"/>
      <c r="AB737" s="54"/>
      <c r="AC737" s="54"/>
      <c r="AD737" s="54"/>
    </row>
    <row r="738" spans="2:30" s="28" customFormat="1" ht="15" customHeight="1" x14ac:dyDescent="0.2">
      <c r="B738" s="23"/>
      <c r="C738" s="23"/>
      <c r="D738" s="24"/>
      <c r="G738" s="23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  <c r="AA738" s="54"/>
      <c r="AB738" s="54"/>
      <c r="AC738" s="54"/>
      <c r="AD738" s="54"/>
    </row>
    <row r="739" spans="2:30" s="28" customFormat="1" ht="15" customHeight="1" x14ac:dyDescent="0.2">
      <c r="B739" s="23"/>
      <c r="C739" s="23"/>
      <c r="D739" s="24"/>
      <c r="G739" s="23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  <c r="AA739" s="54"/>
      <c r="AB739" s="54"/>
      <c r="AC739" s="54"/>
      <c r="AD739" s="54"/>
    </row>
    <row r="740" spans="2:30" s="28" customFormat="1" ht="15" customHeight="1" x14ac:dyDescent="0.2">
      <c r="B740" s="23"/>
      <c r="C740" s="23"/>
      <c r="D740" s="24"/>
      <c r="G740" s="23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  <c r="AA740" s="54"/>
      <c r="AB740" s="54"/>
      <c r="AC740" s="54"/>
      <c r="AD740" s="54"/>
    </row>
    <row r="741" spans="2:30" s="28" customFormat="1" ht="15" customHeight="1" x14ac:dyDescent="0.2">
      <c r="B741" s="23"/>
      <c r="C741" s="23"/>
      <c r="D741" s="24"/>
      <c r="G741" s="23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  <c r="AA741" s="54"/>
      <c r="AB741" s="54"/>
      <c r="AC741" s="54"/>
      <c r="AD741" s="54"/>
    </row>
    <row r="742" spans="2:30" s="28" customFormat="1" ht="15" customHeight="1" x14ac:dyDescent="0.2">
      <c r="B742" s="23"/>
      <c r="C742" s="23"/>
      <c r="D742" s="24"/>
      <c r="G742" s="23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  <c r="AA742" s="54"/>
      <c r="AB742" s="54"/>
      <c r="AC742" s="54"/>
      <c r="AD742" s="54"/>
    </row>
    <row r="743" spans="2:30" s="28" customFormat="1" ht="15" customHeight="1" x14ac:dyDescent="0.2">
      <c r="B743" s="23"/>
      <c r="C743" s="23"/>
      <c r="D743" s="24"/>
      <c r="G743" s="23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  <c r="AA743" s="54"/>
      <c r="AB743" s="54"/>
      <c r="AC743" s="54"/>
      <c r="AD743" s="54"/>
    </row>
    <row r="744" spans="2:30" s="28" customFormat="1" ht="15" customHeight="1" x14ac:dyDescent="0.2">
      <c r="B744" s="23"/>
      <c r="C744" s="23"/>
      <c r="D744" s="24"/>
      <c r="G744" s="23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  <c r="AA744" s="54"/>
      <c r="AB744" s="54"/>
      <c r="AC744" s="54"/>
      <c r="AD744" s="54"/>
    </row>
    <row r="745" spans="2:30" s="28" customFormat="1" ht="15" customHeight="1" x14ac:dyDescent="0.2">
      <c r="B745" s="23"/>
      <c r="C745" s="23"/>
      <c r="D745" s="24"/>
      <c r="G745" s="23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  <c r="AA745" s="54"/>
      <c r="AB745" s="54"/>
      <c r="AC745" s="54"/>
      <c r="AD745" s="54"/>
    </row>
    <row r="746" spans="2:30" s="28" customFormat="1" ht="15" customHeight="1" x14ac:dyDescent="0.2">
      <c r="B746" s="23"/>
      <c r="C746" s="23"/>
      <c r="D746" s="24"/>
      <c r="G746" s="23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  <c r="AA746" s="54"/>
      <c r="AB746" s="54"/>
      <c r="AC746" s="54"/>
      <c r="AD746" s="54"/>
    </row>
    <row r="747" spans="2:30" s="28" customFormat="1" ht="15" customHeight="1" x14ac:dyDescent="0.2">
      <c r="B747" s="23"/>
      <c r="C747" s="23"/>
      <c r="D747" s="24"/>
      <c r="G747" s="23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  <c r="AA747" s="54"/>
      <c r="AB747" s="54"/>
      <c r="AC747" s="54"/>
      <c r="AD747" s="54"/>
    </row>
    <row r="748" spans="2:30" s="28" customFormat="1" ht="15" customHeight="1" x14ac:dyDescent="0.2">
      <c r="B748" s="23"/>
      <c r="C748" s="23"/>
      <c r="D748" s="24"/>
      <c r="G748" s="23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  <c r="AA748" s="54"/>
      <c r="AB748" s="54"/>
      <c r="AC748" s="54"/>
      <c r="AD748" s="54"/>
    </row>
    <row r="749" spans="2:30" s="28" customFormat="1" ht="15" customHeight="1" x14ac:dyDescent="0.2">
      <c r="B749" s="23"/>
      <c r="C749" s="23"/>
      <c r="D749" s="24"/>
      <c r="G749" s="23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  <c r="AA749" s="54"/>
      <c r="AB749" s="54"/>
      <c r="AC749" s="54"/>
      <c r="AD749" s="54"/>
    </row>
    <row r="750" spans="2:30" s="28" customFormat="1" ht="15" customHeight="1" x14ac:dyDescent="0.2">
      <c r="B750" s="23"/>
      <c r="C750" s="23"/>
      <c r="D750" s="24"/>
      <c r="G750" s="23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  <c r="AA750" s="54"/>
      <c r="AB750" s="54"/>
      <c r="AC750" s="54"/>
      <c r="AD750" s="54"/>
    </row>
    <row r="751" spans="2:30" s="28" customFormat="1" ht="15" customHeight="1" x14ac:dyDescent="0.2">
      <c r="B751" s="23"/>
      <c r="C751" s="23"/>
      <c r="D751" s="24"/>
      <c r="G751" s="23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A751" s="54"/>
      <c r="AB751" s="54"/>
      <c r="AC751" s="54"/>
      <c r="AD751" s="54"/>
    </row>
    <row r="752" spans="2:30" s="28" customFormat="1" ht="15" customHeight="1" x14ac:dyDescent="0.2">
      <c r="B752" s="23"/>
      <c r="C752" s="23"/>
      <c r="D752" s="24"/>
      <c r="G752" s="23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  <c r="AA752" s="54"/>
      <c r="AB752" s="54"/>
      <c r="AC752" s="54"/>
      <c r="AD752" s="54"/>
    </row>
    <row r="753" spans="2:30" s="28" customFormat="1" ht="15" customHeight="1" x14ac:dyDescent="0.2">
      <c r="B753" s="23"/>
      <c r="C753" s="23"/>
      <c r="D753" s="24"/>
      <c r="G753" s="23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  <c r="AA753" s="54"/>
      <c r="AB753" s="54"/>
      <c r="AC753" s="54"/>
      <c r="AD753" s="54"/>
    </row>
    <row r="754" spans="2:30" s="28" customFormat="1" ht="15" customHeight="1" x14ac:dyDescent="0.2">
      <c r="B754" s="23"/>
      <c r="C754" s="23"/>
      <c r="D754" s="24"/>
      <c r="G754" s="23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  <c r="AA754" s="54"/>
      <c r="AB754" s="54"/>
      <c r="AC754" s="54"/>
      <c r="AD754" s="54"/>
    </row>
    <row r="755" spans="2:30" s="28" customFormat="1" ht="15" customHeight="1" x14ac:dyDescent="0.2">
      <c r="B755" s="23"/>
      <c r="C755" s="23"/>
      <c r="D755" s="24"/>
      <c r="G755" s="23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  <c r="AA755" s="54"/>
      <c r="AB755" s="54"/>
      <c r="AC755" s="54"/>
      <c r="AD755" s="54"/>
    </row>
    <row r="756" spans="2:30" s="28" customFormat="1" ht="15" customHeight="1" x14ac:dyDescent="0.2">
      <c r="B756" s="23"/>
      <c r="C756" s="23"/>
      <c r="D756" s="24"/>
      <c r="G756" s="23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  <c r="AA756" s="54"/>
      <c r="AB756" s="54"/>
      <c r="AC756" s="54"/>
      <c r="AD756" s="54"/>
    </row>
    <row r="757" spans="2:30" s="28" customFormat="1" ht="15" customHeight="1" x14ac:dyDescent="0.2">
      <c r="B757" s="23"/>
      <c r="C757" s="23"/>
      <c r="D757" s="24"/>
      <c r="G757" s="23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  <c r="AA757" s="54"/>
      <c r="AB757" s="54"/>
      <c r="AC757" s="54"/>
      <c r="AD757" s="54"/>
    </row>
    <row r="758" spans="2:30" s="28" customFormat="1" ht="15" customHeight="1" x14ac:dyDescent="0.2">
      <c r="B758" s="23"/>
      <c r="C758" s="23"/>
      <c r="D758" s="24"/>
      <c r="G758" s="23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  <c r="AA758" s="54"/>
      <c r="AB758" s="54"/>
      <c r="AC758" s="54"/>
      <c r="AD758" s="54"/>
    </row>
    <row r="759" spans="2:30" s="28" customFormat="1" ht="15" customHeight="1" x14ac:dyDescent="0.2">
      <c r="B759" s="23"/>
      <c r="C759" s="23"/>
      <c r="D759" s="24"/>
      <c r="G759" s="23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  <c r="AA759" s="54"/>
      <c r="AB759" s="54"/>
      <c r="AC759" s="54"/>
      <c r="AD759" s="54"/>
    </row>
    <row r="760" spans="2:30" s="28" customFormat="1" ht="15" customHeight="1" x14ac:dyDescent="0.2">
      <c r="B760" s="23"/>
      <c r="C760" s="23"/>
      <c r="D760" s="24"/>
      <c r="G760" s="23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  <c r="AA760" s="54"/>
      <c r="AB760" s="54"/>
      <c r="AC760" s="54"/>
      <c r="AD760" s="54"/>
    </row>
    <row r="761" spans="2:30" s="28" customFormat="1" ht="15" customHeight="1" x14ac:dyDescent="0.2">
      <c r="B761" s="23"/>
      <c r="C761" s="23"/>
      <c r="D761" s="24"/>
      <c r="G761" s="23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  <c r="AA761" s="54"/>
      <c r="AB761" s="54"/>
      <c r="AC761" s="54"/>
      <c r="AD761" s="54"/>
    </row>
    <row r="762" spans="2:30" s="28" customFormat="1" ht="15" customHeight="1" x14ac:dyDescent="0.2">
      <c r="B762" s="23"/>
      <c r="C762" s="23"/>
      <c r="D762" s="24"/>
      <c r="G762" s="23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  <c r="AA762" s="54"/>
      <c r="AB762" s="54"/>
      <c r="AC762" s="54"/>
      <c r="AD762" s="54"/>
    </row>
    <row r="763" spans="2:30" s="28" customFormat="1" ht="15" customHeight="1" x14ac:dyDescent="0.2">
      <c r="B763" s="23"/>
      <c r="C763" s="23"/>
      <c r="D763" s="24"/>
      <c r="G763" s="23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  <c r="AA763" s="54"/>
      <c r="AB763" s="54"/>
      <c r="AC763" s="54"/>
      <c r="AD763" s="54"/>
    </row>
    <row r="764" spans="2:30" s="28" customFormat="1" ht="15" customHeight="1" x14ac:dyDescent="0.2">
      <c r="B764" s="23"/>
      <c r="C764" s="23"/>
      <c r="D764" s="24"/>
      <c r="G764" s="23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  <c r="AA764" s="54"/>
      <c r="AB764" s="54"/>
      <c r="AC764" s="54"/>
      <c r="AD764" s="54"/>
    </row>
    <row r="765" spans="2:30" s="28" customFormat="1" ht="15" customHeight="1" x14ac:dyDescent="0.2">
      <c r="B765" s="23"/>
      <c r="C765" s="23"/>
      <c r="D765" s="24"/>
      <c r="G765" s="23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  <c r="AA765" s="54"/>
      <c r="AB765" s="54"/>
      <c r="AC765" s="54"/>
      <c r="AD765" s="54"/>
    </row>
    <row r="766" spans="2:30" s="28" customFormat="1" ht="15" customHeight="1" x14ac:dyDescent="0.2">
      <c r="B766" s="23"/>
      <c r="C766" s="23"/>
      <c r="D766" s="24"/>
      <c r="G766" s="23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  <c r="AA766" s="54"/>
      <c r="AB766" s="54"/>
      <c r="AC766" s="54"/>
      <c r="AD766" s="54"/>
    </row>
    <row r="767" spans="2:30" s="28" customFormat="1" ht="15" customHeight="1" x14ac:dyDescent="0.2">
      <c r="B767" s="23"/>
      <c r="C767" s="23"/>
      <c r="D767" s="24"/>
      <c r="G767" s="23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  <c r="AA767" s="54"/>
      <c r="AB767" s="54"/>
      <c r="AC767" s="54"/>
      <c r="AD767" s="54"/>
    </row>
    <row r="768" spans="2:30" s="28" customFormat="1" ht="15" customHeight="1" x14ac:dyDescent="0.2">
      <c r="B768" s="23"/>
      <c r="C768" s="23"/>
      <c r="D768" s="24"/>
      <c r="G768" s="23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  <c r="AA768" s="54"/>
      <c r="AB768" s="54"/>
      <c r="AC768" s="54"/>
      <c r="AD768" s="54"/>
    </row>
    <row r="769" spans="2:30" s="28" customFormat="1" ht="15" customHeight="1" x14ac:dyDescent="0.2">
      <c r="B769" s="23"/>
      <c r="C769" s="23"/>
      <c r="D769" s="24"/>
      <c r="G769" s="23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  <c r="AA769" s="54"/>
      <c r="AB769" s="54"/>
      <c r="AC769" s="54"/>
      <c r="AD769" s="54"/>
    </row>
    <row r="770" spans="2:30" s="28" customFormat="1" ht="15" customHeight="1" x14ac:dyDescent="0.2">
      <c r="B770" s="23"/>
      <c r="C770" s="23"/>
      <c r="D770" s="24"/>
      <c r="G770" s="23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  <c r="AA770" s="54"/>
      <c r="AB770" s="54"/>
      <c r="AC770" s="54"/>
      <c r="AD770" s="54"/>
    </row>
    <row r="771" spans="2:30" s="28" customFormat="1" ht="15" customHeight="1" x14ac:dyDescent="0.2">
      <c r="B771" s="23"/>
      <c r="C771" s="23"/>
      <c r="D771" s="24"/>
      <c r="G771" s="23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A771" s="54"/>
      <c r="AB771" s="54"/>
      <c r="AC771" s="54"/>
      <c r="AD771" s="54"/>
    </row>
    <row r="772" spans="2:30" s="28" customFormat="1" ht="15" customHeight="1" x14ac:dyDescent="0.2">
      <c r="B772" s="23"/>
      <c r="C772" s="23"/>
      <c r="D772" s="24"/>
      <c r="G772" s="23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  <c r="AA772" s="54"/>
      <c r="AB772" s="54"/>
      <c r="AC772" s="54"/>
      <c r="AD772" s="54"/>
    </row>
    <row r="773" spans="2:30" s="28" customFormat="1" ht="15" customHeight="1" x14ac:dyDescent="0.2">
      <c r="B773" s="23"/>
      <c r="C773" s="23"/>
      <c r="D773" s="24"/>
      <c r="G773" s="23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  <c r="AA773" s="54"/>
      <c r="AB773" s="54"/>
      <c r="AC773" s="54"/>
      <c r="AD773" s="54"/>
    </row>
    <row r="774" spans="2:30" s="28" customFormat="1" ht="15" customHeight="1" x14ac:dyDescent="0.2">
      <c r="B774" s="23"/>
      <c r="C774" s="23"/>
      <c r="D774" s="24"/>
      <c r="G774" s="23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  <c r="AA774" s="54"/>
      <c r="AB774" s="54"/>
      <c r="AC774" s="54"/>
      <c r="AD774" s="54"/>
    </row>
    <row r="775" spans="2:30" s="28" customFormat="1" ht="15" customHeight="1" x14ac:dyDescent="0.2">
      <c r="B775" s="23"/>
      <c r="C775" s="23"/>
      <c r="D775" s="24"/>
      <c r="G775" s="23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  <c r="AA775" s="54"/>
      <c r="AB775" s="54"/>
      <c r="AC775" s="54"/>
      <c r="AD775" s="54"/>
    </row>
    <row r="776" spans="2:30" s="28" customFormat="1" ht="15" customHeight="1" x14ac:dyDescent="0.2">
      <c r="B776" s="23"/>
      <c r="C776" s="23"/>
      <c r="D776" s="24"/>
      <c r="G776" s="23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  <c r="AA776" s="54"/>
      <c r="AB776" s="54"/>
      <c r="AC776" s="54"/>
      <c r="AD776" s="54"/>
    </row>
    <row r="777" spans="2:30" s="28" customFormat="1" ht="15" customHeight="1" x14ac:dyDescent="0.2">
      <c r="B777" s="23"/>
      <c r="C777" s="23"/>
      <c r="D777" s="24"/>
      <c r="G777" s="23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  <c r="AA777" s="54"/>
      <c r="AB777" s="54"/>
      <c r="AC777" s="54"/>
      <c r="AD777" s="54"/>
    </row>
    <row r="778" spans="2:30" s="28" customFormat="1" ht="15" customHeight="1" x14ac:dyDescent="0.2">
      <c r="B778" s="23"/>
      <c r="C778" s="23"/>
      <c r="D778" s="24"/>
      <c r="G778" s="23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  <c r="AA778" s="54"/>
      <c r="AB778" s="54"/>
      <c r="AC778" s="54"/>
      <c r="AD778" s="54"/>
    </row>
    <row r="779" spans="2:30" s="28" customFormat="1" ht="15" customHeight="1" x14ac:dyDescent="0.2">
      <c r="B779" s="23"/>
      <c r="C779" s="23"/>
      <c r="D779" s="24"/>
      <c r="G779" s="23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  <c r="AA779" s="54"/>
      <c r="AB779" s="54"/>
      <c r="AC779" s="54"/>
      <c r="AD779" s="54"/>
    </row>
    <row r="780" spans="2:30" s="28" customFormat="1" ht="15" customHeight="1" x14ac:dyDescent="0.2">
      <c r="B780" s="23"/>
      <c r="C780" s="23"/>
      <c r="D780" s="24"/>
      <c r="G780" s="23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  <c r="AA780" s="54"/>
      <c r="AB780" s="54"/>
      <c r="AC780" s="54"/>
      <c r="AD780" s="54"/>
    </row>
    <row r="781" spans="2:30" s="28" customFormat="1" ht="15" customHeight="1" x14ac:dyDescent="0.2">
      <c r="B781" s="23"/>
      <c r="C781" s="23"/>
      <c r="D781" s="24"/>
      <c r="G781" s="23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  <c r="AA781" s="54"/>
      <c r="AB781" s="54"/>
      <c r="AC781" s="54"/>
      <c r="AD781" s="54"/>
    </row>
    <row r="782" spans="2:30" s="28" customFormat="1" ht="15" customHeight="1" x14ac:dyDescent="0.2">
      <c r="B782" s="23"/>
      <c r="C782" s="23"/>
      <c r="D782" s="24"/>
      <c r="G782" s="23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  <c r="AA782" s="54"/>
      <c r="AB782" s="54"/>
      <c r="AC782" s="54"/>
      <c r="AD782" s="54"/>
    </row>
    <row r="783" spans="2:30" s="28" customFormat="1" ht="15" customHeight="1" x14ac:dyDescent="0.2">
      <c r="B783" s="23"/>
      <c r="C783" s="23"/>
      <c r="D783" s="24"/>
      <c r="G783" s="23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  <c r="AA783" s="54"/>
      <c r="AB783" s="54"/>
      <c r="AC783" s="54"/>
      <c r="AD783" s="54"/>
    </row>
    <row r="784" spans="2:30" s="28" customFormat="1" ht="15" customHeight="1" x14ac:dyDescent="0.2">
      <c r="B784" s="23"/>
      <c r="C784" s="23"/>
      <c r="D784" s="24"/>
      <c r="G784" s="23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  <c r="AA784" s="54"/>
      <c r="AB784" s="54"/>
      <c r="AC784" s="54"/>
      <c r="AD784" s="54"/>
    </row>
    <row r="785" spans="2:30" s="28" customFormat="1" ht="15" customHeight="1" x14ac:dyDescent="0.2">
      <c r="B785" s="23"/>
      <c r="C785" s="23"/>
      <c r="D785" s="24"/>
      <c r="G785" s="23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  <c r="AA785" s="54"/>
      <c r="AB785" s="54"/>
      <c r="AC785" s="54"/>
      <c r="AD785" s="54"/>
    </row>
    <row r="786" spans="2:30" s="28" customFormat="1" ht="15" customHeight="1" x14ac:dyDescent="0.2">
      <c r="B786" s="23"/>
      <c r="C786" s="23"/>
      <c r="D786" s="24"/>
      <c r="G786" s="23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  <c r="AA786" s="54"/>
      <c r="AB786" s="54"/>
      <c r="AC786" s="54"/>
      <c r="AD786" s="54"/>
    </row>
    <row r="787" spans="2:30" s="28" customFormat="1" ht="15" customHeight="1" x14ac:dyDescent="0.2">
      <c r="B787" s="23"/>
      <c r="C787" s="23"/>
      <c r="D787" s="24"/>
      <c r="G787" s="23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  <c r="AA787" s="54"/>
      <c r="AB787" s="54"/>
      <c r="AC787" s="54"/>
      <c r="AD787" s="54"/>
    </row>
    <row r="788" spans="2:30" s="28" customFormat="1" ht="15" customHeight="1" x14ac:dyDescent="0.2">
      <c r="B788" s="23"/>
      <c r="C788" s="23"/>
      <c r="D788" s="24"/>
      <c r="G788" s="23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  <c r="AA788" s="54"/>
      <c r="AB788" s="54"/>
      <c r="AC788" s="54"/>
      <c r="AD788" s="54"/>
    </row>
    <row r="789" spans="2:30" s="28" customFormat="1" ht="15" customHeight="1" x14ac:dyDescent="0.2">
      <c r="B789" s="23"/>
      <c r="C789" s="23"/>
      <c r="D789" s="24"/>
      <c r="G789" s="23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  <c r="AA789" s="54"/>
      <c r="AB789" s="54"/>
      <c r="AC789" s="54"/>
      <c r="AD789" s="54"/>
    </row>
    <row r="790" spans="2:30" s="28" customFormat="1" ht="15" customHeight="1" x14ac:dyDescent="0.2">
      <c r="B790" s="23"/>
      <c r="C790" s="23"/>
      <c r="D790" s="24"/>
      <c r="G790" s="23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  <c r="AA790" s="54"/>
      <c r="AB790" s="54"/>
      <c r="AC790" s="54"/>
      <c r="AD790" s="54"/>
    </row>
    <row r="791" spans="2:30" s="28" customFormat="1" ht="15" customHeight="1" x14ac:dyDescent="0.2">
      <c r="B791" s="23"/>
      <c r="C791" s="23"/>
      <c r="D791" s="24"/>
      <c r="G791" s="23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  <c r="AA791" s="54"/>
      <c r="AB791" s="54"/>
      <c r="AC791" s="54"/>
      <c r="AD791" s="54"/>
    </row>
    <row r="792" spans="2:30" s="28" customFormat="1" ht="15" customHeight="1" x14ac:dyDescent="0.2">
      <c r="B792" s="23"/>
      <c r="C792" s="23"/>
      <c r="D792" s="24"/>
      <c r="G792" s="23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  <c r="AA792" s="54"/>
      <c r="AB792" s="54"/>
      <c r="AC792" s="54"/>
      <c r="AD792" s="54"/>
    </row>
    <row r="793" spans="2:30" s="28" customFormat="1" ht="15" customHeight="1" x14ac:dyDescent="0.2">
      <c r="B793" s="23"/>
      <c r="C793" s="23"/>
      <c r="D793" s="24"/>
      <c r="G793" s="23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  <c r="AA793" s="54"/>
      <c r="AB793" s="54"/>
      <c r="AC793" s="54"/>
      <c r="AD793" s="54"/>
    </row>
    <row r="794" spans="2:30" s="28" customFormat="1" ht="15" customHeight="1" x14ac:dyDescent="0.2">
      <c r="B794" s="23"/>
      <c r="C794" s="23"/>
      <c r="D794" s="24"/>
      <c r="G794" s="23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  <c r="AA794" s="54"/>
      <c r="AB794" s="54"/>
      <c r="AC794" s="54"/>
      <c r="AD794" s="54"/>
    </row>
    <row r="795" spans="2:30" s="28" customFormat="1" ht="15" customHeight="1" x14ac:dyDescent="0.2">
      <c r="B795" s="23"/>
      <c r="C795" s="23"/>
      <c r="D795" s="24"/>
      <c r="G795" s="23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  <c r="AA795" s="54"/>
      <c r="AB795" s="54"/>
      <c r="AC795" s="54"/>
      <c r="AD795" s="54"/>
    </row>
    <row r="796" spans="2:30" s="28" customFormat="1" ht="15" customHeight="1" x14ac:dyDescent="0.2">
      <c r="B796" s="23"/>
      <c r="C796" s="23"/>
      <c r="D796" s="24"/>
      <c r="G796" s="23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  <c r="AA796" s="54"/>
      <c r="AB796" s="54"/>
      <c r="AC796" s="54"/>
      <c r="AD796" s="54"/>
    </row>
    <row r="797" spans="2:30" s="28" customFormat="1" ht="15" customHeight="1" x14ac:dyDescent="0.2">
      <c r="B797" s="23"/>
      <c r="C797" s="23"/>
      <c r="D797" s="24"/>
      <c r="G797" s="23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  <c r="AA797" s="54"/>
      <c r="AB797" s="54"/>
      <c r="AC797" s="54"/>
      <c r="AD797" s="54"/>
    </row>
    <row r="798" spans="2:30" s="28" customFormat="1" ht="15" customHeight="1" x14ac:dyDescent="0.2">
      <c r="B798" s="23"/>
      <c r="C798" s="23"/>
      <c r="D798" s="24"/>
      <c r="G798" s="23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  <c r="AA798" s="54"/>
      <c r="AB798" s="54"/>
      <c r="AC798" s="54"/>
      <c r="AD798" s="54"/>
    </row>
    <row r="799" spans="2:30" s="28" customFormat="1" ht="15" customHeight="1" x14ac:dyDescent="0.2">
      <c r="B799" s="23"/>
      <c r="C799" s="23"/>
      <c r="D799" s="24"/>
      <c r="G799" s="23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  <c r="AA799" s="54"/>
      <c r="AB799" s="54"/>
      <c r="AC799" s="54"/>
      <c r="AD799" s="54"/>
    </row>
    <row r="800" spans="2:30" s="28" customFormat="1" ht="15" customHeight="1" x14ac:dyDescent="0.2">
      <c r="B800" s="23"/>
      <c r="C800" s="23"/>
      <c r="D800" s="24"/>
      <c r="G800" s="23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  <c r="AA800" s="54"/>
      <c r="AB800" s="54"/>
      <c r="AC800" s="54"/>
      <c r="AD800" s="54"/>
    </row>
    <row r="801" spans="2:30" s="28" customFormat="1" ht="15" customHeight="1" x14ac:dyDescent="0.2">
      <c r="B801" s="23"/>
      <c r="C801" s="23"/>
      <c r="D801" s="24"/>
      <c r="G801" s="23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  <c r="AA801" s="54"/>
      <c r="AB801" s="54"/>
      <c r="AC801" s="54"/>
      <c r="AD801" s="54"/>
    </row>
    <row r="802" spans="2:30" s="28" customFormat="1" ht="15" customHeight="1" x14ac:dyDescent="0.2">
      <c r="B802" s="23"/>
      <c r="C802" s="23"/>
      <c r="D802" s="24"/>
      <c r="G802" s="23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  <c r="AA802" s="54"/>
      <c r="AB802" s="54"/>
      <c r="AC802" s="54"/>
      <c r="AD802" s="54"/>
    </row>
    <row r="803" spans="2:30" s="28" customFormat="1" ht="15" customHeight="1" x14ac:dyDescent="0.2">
      <c r="B803" s="23"/>
      <c r="C803" s="23"/>
      <c r="D803" s="24"/>
      <c r="G803" s="23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  <c r="AA803" s="54"/>
      <c r="AB803" s="54"/>
      <c r="AC803" s="54"/>
      <c r="AD803" s="54"/>
    </row>
    <row r="804" spans="2:30" s="28" customFormat="1" ht="15" customHeight="1" x14ac:dyDescent="0.2">
      <c r="B804" s="23"/>
      <c r="C804" s="23"/>
      <c r="D804" s="24"/>
      <c r="G804" s="23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  <c r="AA804" s="54"/>
      <c r="AB804" s="54"/>
      <c r="AC804" s="54"/>
      <c r="AD804" s="54"/>
    </row>
    <row r="805" spans="2:30" s="28" customFormat="1" ht="15" customHeight="1" x14ac:dyDescent="0.2">
      <c r="B805" s="23"/>
      <c r="C805" s="23"/>
      <c r="D805" s="24"/>
      <c r="G805" s="23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  <c r="AA805" s="54"/>
      <c r="AB805" s="54"/>
      <c r="AC805" s="54"/>
      <c r="AD805" s="54"/>
    </row>
    <row r="806" spans="2:30" s="28" customFormat="1" ht="15" customHeight="1" x14ac:dyDescent="0.2">
      <c r="B806" s="23"/>
      <c r="C806" s="23"/>
      <c r="D806" s="24"/>
      <c r="G806" s="23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  <c r="AA806" s="54"/>
      <c r="AB806" s="54"/>
      <c r="AC806" s="54"/>
      <c r="AD806" s="54"/>
    </row>
    <row r="807" spans="2:30" s="28" customFormat="1" ht="15" customHeight="1" x14ac:dyDescent="0.2">
      <c r="B807" s="23"/>
      <c r="C807" s="23"/>
      <c r="D807" s="24"/>
      <c r="G807" s="23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  <c r="AA807" s="54"/>
      <c r="AB807" s="54"/>
      <c r="AC807" s="54"/>
      <c r="AD807" s="54"/>
    </row>
    <row r="808" spans="2:30" s="28" customFormat="1" ht="15" customHeight="1" x14ac:dyDescent="0.2">
      <c r="B808" s="23"/>
      <c r="C808" s="23"/>
      <c r="D808" s="24"/>
      <c r="G808" s="23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  <c r="AA808" s="54"/>
      <c r="AB808" s="54"/>
      <c r="AC808" s="54"/>
      <c r="AD808" s="54"/>
    </row>
    <row r="809" spans="2:30" s="28" customFormat="1" ht="15" customHeight="1" x14ac:dyDescent="0.2">
      <c r="B809" s="23"/>
      <c r="C809" s="23"/>
      <c r="D809" s="24"/>
      <c r="G809" s="23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  <c r="AA809" s="54"/>
      <c r="AB809" s="54"/>
      <c r="AC809" s="54"/>
      <c r="AD809" s="54"/>
    </row>
    <row r="810" spans="2:30" s="28" customFormat="1" ht="15" customHeight="1" x14ac:dyDescent="0.2">
      <c r="B810" s="23"/>
      <c r="C810" s="23"/>
      <c r="D810" s="24"/>
      <c r="G810" s="23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  <c r="AA810" s="54"/>
      <c r="AB810" s="54"/>
      <c r="AC810" s="54"/>
      <c r="AD810" s="54"/>
    </row>
    <row r="811" spans="2:30" s="28" customFormat="1" ht="15" customHeight="1" x14ac:dyDescent="0.2">
      <c r="B811" s="23"/>
      <c r="C811" s="23"/>
      <c r="D811" s="24"/>
      <c r="G811" s="23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  <c r="AA811" s="54"/>
      <c r="AB811" s="54"/>
      <c r="AC811" s="54"/>
      <c r="AD811" s="54"/>
    </row>
    <row r="812" spans="2:30" s="28" customFormat="1" ht="15" customHeight="1" x14ac:dyDescent="0.2">
      <c r="B812" s="23"/>
      <c r="C812" s="23"/>
      <c r="D812" s="24"/>
      <c r="G812" s="23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  <c r="AA812" s="54"/>
      <c r="AB812" s="54"/>
      <c r="AC812" s="54"/>
      <c r="AD812" s="54"/>
    </row>
    <row r="813" spans="2:30" s="28" customFormat="1" ht="15" customHeight="1" x14ac:dyDescent="0.2">
      <c r="B813" s="23"/>
      <c r="C813" s="23"/>
      <c r="D813" s="24"/>
      <c r="G813" s="23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  <c r="AA813" s="54"/>
      <c r="AB813" s="54"/>
      <c r="AC813" s="54"/>
      <c r="AD813" s="54"/>
    </row>
    <row r="814" spans="2:30" s="28" customFormat="1" ht="15" customHeight="1" x14ac:dyDescent="0.2">
      <c r="B814" s="23"/>
      <c r="C814" s="23"/>
      <c r="D814" s="24"/>
      <c r="G814" s="23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  <c r="AA814" s="54"/>
      <c r="AB814" s="54"/>
      <c r="AC814" s="54"/>
      <c r="AD814" s="54"/>
    </row>
    <row r="815" spans="2:30" s="28" customFormat="1" ht="15" customHeight="1" x14ac:dyDescent="0.2">
      <c r="B815" s="23"/>
      <c r="C815" s="23"/>
      <c r="D815" s="24"/>
      <c r="G815" s="23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  <c r="AA815" s="54"/>
      <c r="AB815" s="54"/>
      <c r="AC815" s="54"/>
      <c r="AD815" s="54"/>
    </row>
    <row r="816" spans="2:30" s="28" customFormat="1" ht="15" customHeight="1" x14ac:dyDescent="0.2">
      <c r="B816" s="23"/>
      <c r="C816" s="23"/>
      <c r="D816" s="24"/>
      <c r="G816" s="23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  <c r="AA816" s="54"/>
      <c r="AB816" s="54"/>
      <c r="AC816" s="54"/>
      <c r="AD816" s="54"/>
    </row>
    <row r="817" spans="2:30" s="28" customFormat="1" ht="15" customHeight="1" x14ac:dyDescent="0.2">
      <c r="B817" s="23"/>
      <c r="C817" s="23"/>
      <c r="D817" s="24"/>
      <c r="G817" s="23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A817" s="54"/>
      <c r="AB817" s="54"/>
      <c r="AC817" s="54"/>
      <c r="AD817" s="54"/>
    </row>
    <row r="818" spans="2:30" s="28" customFormat="1" ht="15" customHeight="1" x14ac:dyDescent="0.2">
      <c r="B818" s="23"/>
      <c r="C818" s="23"/>
      <c r="D818" s="24"/>
      <c r="G818" s="23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  <c r="AA818" s="54"/>
      <c r="AB818" s="54"/>
      <c r="AC818" s="54"/>
      <c r="AD818" s="54"/>
    </row>
    <row r="819" spans="2:30" s="28" customFormat="1" ht="15" customHeight="1" x14ac:dyDescent="0.2">
      <c r="B819" s="23"/>
      <c r="C819" s="23"/>
      <c r="D819" s="24"/>
      <c r="G819" s="23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  <c r="AA819" s="54"/>
      <c r="AB819" s="54"/>
      <c r="AC819" s="54"/>
      <c r="AD819" s="54"/>
    </row>
    <row r="820" spans="2:30" s="28" customFormat="1" ht="15" customHeight="1" x14ac:dyDescent="0.2">
      <c r="B820" s="23"/>
      <c r="C820" s="23"/>
      <c r="D820" s="24"/>
      <c r="G820" s="23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  <c r="AA820" s="54"/>
      <c r="AB820" s="54"/>
      <c r="AC820" s="54"/>
      <c r="AD820" s="54"/>
    </row>
    <row r="821" spans="2:30" s="28" customFormat="1" ht="15" customHeight="1" x14ac:dyDescent="0.2">
      <c r="B821" s="23"/>
      <c r="C821" s="23"/>
      <c r="D821" s="24"/>
      <c r="G821" s="23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  <c r="AA821" s="54"/>
      <c r="AB821" s="54"/>
      <c r="AC821" s="54"/>
      <c r="AD821" s="54"/>
    </row>
    <row r="822" spans="2:30" s="28" customFormat="1" ht="15" customHeight="1" x14ac:dyDescent="0.2">
      <c r="B822" s="23"/>
      <c r="C822" s="23"/>
      <c r="D822" s="24"/>
      <c r="G822" s="23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  <c r="AA822" s="54"/>
      <c r="AB822" s="54"/>
      <c r="AC822" s="54"/>
      <c r="AD822" s="54"/>
    </row>
    <row r="823" spans="2:30" s="28" customFormat="1" ht="15" customHeight="1" x14ac:dyDescent="0.2">
      <c r="B823" s="23"/>
      <c r="C823" s="23"/>
      <c r="D823" s="24"/>
      <c r="G823" s="23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  <c r="AA823" s="54"/>
      <c r="AB823" s="54"/>
      <c r="AC823" s="54"/>
      <c r="AD823" s="54"/>
    </row>
    <row r="824" spans="2:30" s="28" customFormat="1" ht="15" customHeight="1" x14ac:dyDescent="0.2">
      <c r="B824" s="23"/>
      <c r="C824" s="23"/>
      <c r="D824" s="24"/>
      <c r="G824" s="23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  <c r="AA824" s="54"/>
      <c r="AB824" s="54"/>
      <c r="AC824" s="54"/>
      <c r="AD824" s="54"/>
    </row>
    <row r="825" spans="2:30" s="28" customFormat="1" ht="15" customHeight="1" x14ac:dyDescent="0.2">
      <c r="B825" s="23"/>
      <c r="C825" s="23"/>
      <c r="D825" s="24"/>
      <c r="G825" s="23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  <c r="AA825" s="54"/>
      <c r="AB825" s="54"/>
      <c r="AC825" s="54"/>
      <c r="AD825" s="54"/>
    </row>
    <row r="826" spans="2:30" s="28" customFormat="1" ht="15" customHeight="1" x14ac:dyDescent="0.2">
      <c r="B826" s="23"/>
      <c r="C826" s="23"/>
      <c r="D826" s="24"/>
      <c r="G826" s="23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  <c r="AA826" s="54"/>
      <c r="AB826" s="54"/>
      <c r="AC826" s="54"/>
      <c r="AD826" s="54"/>
    </row>
    <row r="827" spans="2:30" s="28" customFormat="1" ht="15" customHeight="1" x14ac:dyDescent="0.2">
      <c r="B827" s="23"/>
      <c r="C827" s="23"/>
      <c r="D827" s="24"/>
      <c r="G827" s="23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  <c r="AA827" s="54"/>
      <c r="AB827" s="54"/>
      <c r="AC827" s="54"/>
      <c r="AD827" s="54"/>
    </row>
    <row r="828" spans="2:30" s="28" customFormat="1" ht="15" customHeight="1" x14ac:dyDescent="0.2">
      <c r="B828" s="23"/>
      <c r="C828" s="23"/>
      <c r="D828" s="24"/>
      <c r="G828" s="23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  <c r="AA828" s="54"/>
      <c r="AB828" s="54"/>
      <c r="AC828" s="54"/>
      <c r="AD828" s="54"/>
    </row>
    <row r="829" spans="2:30" s="28" customFormat="1" ht="15" customHeight="1" x14ac:dyDescent="0.2">
      <c r="B829" s="23"/>
      <c r="C829" s="23"/>
      <c r="D829" s="24"/>
      <c r="G829" s="23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  <c r="AA829" s="54"/>
      <c r="AB829" s="54"/>
      <c r="AC829" s="54"/>
      <c r="AD829" s="54"/>
    </row>
    <row r="830" spans="2:30" s="28" customFormat="1" ht="15" customHeight="1" x14ac:dyDescent="0.2">
      <c r="B830" s="23"/>
      <c r="C830" s="23"/>
      <c r="D830" s="24"/>
      <c r="G830" s="23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  <c r="AA830" s="54"/>
      <c r="AB830" s="54"/>
      <c r="AC830" s="54"/>
      <c r="AD830" s="54"/>
    </row>
    <row r="831" spans="2:30" s="28" customFormat="1" ht="15" customHeight="1" x14ac:dyDescent="0.2">
      <c r="B831" s="23"/>
      <c r="C831" s="23"/>
      <c r="D831" s="24"/>
      <c r="G831" s="23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  <c r="AA831" s="54"/>
      <c r="AB831" s="54"/>
      <c r="AC831" s="54"/>
      <c r="AD831" s="54"/>
    </row>
    <row r="832" spans="2:30" s="28" customFormat="1" ht="15" customHeight="1" x14ac:dyDescent="0.2">
      <c r="B832" s="23"/>
      <c r="C832" s="23"/>
      <c r="D832" s="24"/>
      <c r="G832" s="23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  <c r="AA832" s="54"/>
      <c r="AB832" s="54"/>
      <c r="AC832" s="54"/>
      <c r="AD832" s="54"/>
    </row>
    <row r="833" spans="2:30" s="28" customFormat="1" ht="15" customHeight="1" x14ac:dyDescent="0.2">
      <c r="B833" s="23"/>
      <c r="C833" s="23"/>
      <c r="D833" s="24"/>
      <c r="G833" s="23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  <c r="AA833" s="54"/>
      <c r="AB833" s="54"/>
      <c r="AC833" s="54"/>
      <c r="AD833" s="54"/>
    </row>
    <row r="834" spans="2:30" s="28" customFormat="1" ht="15" customHeight="1" x14ac:dyDescent="0.2">
      <c r="B834" s="23"/>
      <c r="C834" s="23"/>
      <c r="D834" s="24"/>
      <c r="G834" s="23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  <c r="AA834" s="54"/>
      <c r="AB834" s="54"/>
      <c r="AC834" s="54"/>
      <c r="AD834" s="54"/>
    </row>
    <row r="835" spans="2:30" s="28" customFormat="1" ht="15" customHeight="1" x14ac:dyDescent="0.2">
      <c r="B835" s="23"/>
      <c r="C835" s="23"/>
      <c r="D835" s="24"/>
      <c r="G835" s="23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  <c r="AA835" s="54"/>
      <c r="AB835" s="54"/>
      <c r="AC835" s="54"/>
      <c r="AD835" s="54"/>
    </row>
    <row r="836" spans="2:30" s="28" customFormat="1" ht="15" customHeight="1" x14ac:dyDescent="0.2">
      <c r="B836" s="23"/>
      <c r="C836" s="23"/>
      <c r="D836" s="24"/>
      <c r="G836" s="23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  <c r="AA836" s="54"/>
      <c r="AB836" s="54"/>
      <c r="AC836" s="54"/>
      <c r="AD836" s="54"/>
    </row>
    <row r="837" spans="2:30" s="28" customFormat="1" ht="15" customHeight="1" x14ac:dyDescent="0.2">
      <c r="B837" s="23"/>
      <c r="C837" s="23"/>
      <c r="D837" s="24"/>
      <c r="G837" s="23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  <c r="AA837" s="54"/>
      <c r="AB837" s="54"/>
      <c r="AC837" s="54"/>
      <c r="AD837" s="54"/>
    </row>
    <row r="838" spans="2:30" s="28" customFormat="1" ht="15" customHeight="1" x14ac:dyDescent="0.2">
      <c r="B838" s="23"/>
      <c r="C838" s="23"/>
      <c r="D838" s="24"/>
      <c r="G838" s="23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  <c r="AA838" s="54"/>
      <c r="AB838" s="54"/>
      <c r="AC838" s="54"/>
      <c r="AD838" s="54"/>
    </row>
    <row r="839" spans="2:30" s="28" customFormat="1" ht="15" customHeight="1" x14ac:dyDescent="0.2">
      <c r="B839" s="23"/>
      <c r="C839" s="23"/>
      <c r="D839" s="24"/>
      <c r="G839" s="23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  <c r="AA839" s="54"/>
      <c r="AB839" s="54"/>
      <c r="AC839" s="54"/>
      <c r="AD839" s="54"/>
    </row>
    <row r="840" spans="2:30" s="28" customFormat="1" ht="15" customHeight="1" x14ac:dyDescent="0.2">
      <c r="B840" s="23"/>
      <c r="C840" s="23"/>
      <c r="D840" s="24"/>
      <c r="G840" s="23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  <c r="AA840" s="54"/>
      <c r="AB840" s="54"/>
      <c r="AC840" s="54"/>
      <c r="AD840" s="54"/>
    </row>
    <row r="841" spans="2:30" s="28" customFormat="1" ht="15" customHeight="1" x14ac:dyDescent="0.2">
      <c r="B841" s="23"/>
      <c r="C841" s="23"/>
      <c r="D841" s="24"/>
      <c r="G841" s="23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  <c r="AA841" s="54"/>
      <c r="AB841" s="54"/>
      <c r="AC841" s="54"/>
      <c r="AD841" s="54"/>
    </row>
    <row r="842" spans="2:30" s="28" customFormat="1" ht="15" customHeight="1" x14ac:dyDescent="0.2">
      <c r="B842" s="23"/>
      <c r="C842" s="23"/>
      <c r="D842" s="24"/>
      <c r="G842" s="23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  <c r="AA842" s="54"/>
      <c r="AB842" s="54"/>
      <c r="AC842" s="54"/>
      <c r="AD842" s="54"/>
    </row>
    <row r="843" spans="2:30" s="28" customFormat="1" ht="15" customHeight="1" x14ac:dyDescent="0.2">
      <c r="B843" s="23"/>
      <c r="C843" s="23"/>
      <c r="D843" s="24"/>
      <c r="G843" s="23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  <c r="AA843" s="54"/>
      <c r="AB843" s="54"/>
      <c r="AC843" s="54"/>
      <c r="AD843" s="54"/>
    </row>
    <row r="844" spans="2:30" s="28" customFormat="1" ht="15" customHeight="1" x14ac:dyDescent="0.2">
      <c r="B844" s="23"/>
      <c r="C844" s="23"/>
      <c r="D844" s="24"/>
      <c r="G844" s="23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  <c r="AA844" s="54"/>
      <c r="AB844" s="54"/>
      <c r="AC844" s="54"/>
      <c r="AD844" s="54"/>
    </row>
    <row r="845" spans="2:30" s="28" customFormat="1" ht="15" customHeight="1" x14ac:dyDescent="0.2">
      <c r="B845" s="23"/>
      <c r="C845" s="23"/>
      <c r="D845" s="24"/>
      <c r="G845" s="23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  <c r="AA845" s="54"/>
      <c r="AB845" s="54"/>
      <c r="AC845" s="54"/>
      <c r="AD845" s="54"/>
    </row>
    <row r="846" spans="2:30" s="28" customFormat="1" ht="15" customHeight="1" x14ac:dyDescent="0.2">
      <c r="B846" s="23"/>
      <c r="C846" s="23"/>
      <c r="D846" s="24"/>
      <c r="G846" s="23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  <c r="AA846" s="54"/>
      <c r="AB846" s="54"/>
      <c r="AC846" s="54"/>
      <c r="AD846" s="54"/>
    </row>
    <row r="847" spans="2:30" s="28" customFormat="1" ht="15" customHeight="1" x14ac:dyDescent="0.2">
      <c r="B847" s="23"/>
      <c r="C847" s="23"/>
      <c r="D847" s="24"/>
      <c r="G847" s="23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  <c r="AA847" s="54"/>
      <c r="AB847" s="54"/>
      <c r="AC847" s="54"/>
      <c r="AD847" s="54"/>
    </row>
    <row r="848" spans="2:30" s="28" customFormat="1" ht="15" customHeight="1" x14ac:dyDescent="0.2">
      <c r="B848" s="23"/>
      <c r="C848" s="23"/>
      <c r="D848" s="24"/>
      <c r="G848" s="23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  <c r="AA848" s="54"/>
      <c r="AB848" s="54"/>
      <c r="AC848" s="54"/>
      <c r="AD848" s="54"/>
    </row>
    <row r="849" spans="2:30" s="28" customFormat="1" ht="15" customHeight="1" x14ac:dyDescent="0.2">
      <c r="B849" s="23"/>
      <c r="C849" s="23"/>
      <c r="D849" s="24"/>
      <c r="G849" s="23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  <c r="AA849" s="54"/>
      <c r="AB849" s="54"/>
      <c r="AC849" s="54"/>
      <c r="AD849" s="54"/>
    </row>
    <row r="850" spans="2:30" s="28" customFormat="1" ht="15" customHeight="1" x14ac:dyDescent="0.2">
      <c r="B850" s="23"/>
      <c r="C850" s="23"/>
      <c r="D850" s="24"/>
      <c r="G850" s="23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  <c r="AA850" s="54"/>
      <c r="AB850" s="54"/>
      <c r="AC850" s="54"/>
      <c r="AD850" s="54"/>
    </row>
    <row r="851" spans="2:30" s="28" customFormat="1" ht="15" customHeight="1" x14ac:dyDescent="0.2">
      <c r="B851" s="23"/>
      <c r="C851" s="23"/>
      <c r="D851" s="24"/>
      <c r="G851" s="23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  <c r="AA851" s="54"/>
      <c r="AB851" s="54"/>
      <c r="AC851" s="54"/>
      <c r="AD851" s="54"/>
    </row>
    <row r="852" spans="2:30" s="28" customFormat="1" ht="15" customHeight="1" x14ac:dyDescent="0.2">
      <c r="B852" s="23"/>
      <c r="C852" s="23"/>
      <c r="D852" s="24"/>
      <c r="G852" s="23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  <c r="AA852" s="54"/>
      <c r="AB852" s="54"/>
      <c r="AC852" s="54"/>
      <c r="AD852" s="54"/>
    </row>
    <row r="853" spans="2:30" s="28" customFormat="1" ht="15" customHeight="1" x14ac:dyDescent="0.2">
      <c r="B853" s="23"/>
      <c r="C853" s="23"/>
      <c r="D853" s="24"/>
      <c r="G853" s="23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  <c r="AA853" s="54"/>
      <c r="AB853" s="54"/>
      <c r="AC853" s="54"/>
      <c r="AD853" s="54"/>
    </row>
    <row r="854" spans="2:30" s="28" customFormat="1" ht="15" customHeight="1" x14ac:dyDescent="0.2">
      <c r="B854" s="23"/>
      <c r="C854" s="23"/>
      <c r="D854" s="24"/>
      <c r="G854" s="23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  <c r="AA854" s="54"/>
      <c r="AB854" s="54"/>
      <c r="AC854" s="54"/>
      <c r="AD854" s="54"/>
    </row>
    <row r="855" spans="2:30" s="28" customFormat="1" ht="15" customHeight="1" x14ac:dyDescent="0.2">
      <c r="B855" s="23"/>
      <c r="C855" s="23"/>
      <c r="D855" s="24"/>
      <c r="G855" s="23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  <c r="AA855" s="54"/>
      <c r="AB855" s="54"/>
      <c r="AC855" s="54"/>
      <c r="AD855" s="54"/>
    </row>
    <row r="856" spans="2:30" s="28" customFormat="1" ht="15" customHeight="1" x14ac:dyDescent="0.2">
      <c r="B856" s="23"/>
      <c r="C856" s="23"/>
      <c r="D856" s="24"/>
      <c r="G856" s="23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  <c r="AA856" s="54"/>
      <c r="AB856" s="54"/>
      <c r="AC856" s="54"/>
      <c r="AD856" s="54"/>
    </row>
    <row r="857" spans="2:30" s="28" customFormat="1" ht="15" customHeight="1" x14ac:dyDescent="0.2">
      <c r="B857" s="23"/>
      <c r="C857" s="23"/>
      <c r="D857" s="24"/>
      <c r="G857" s="23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  <c r="AA857" s="54"/>
      <c r="AB857" s="54"/>
      <c r="AC857" s="54"/>
      <c r="AD857" s="54"/>
    </row>
    <row r="858" spans="2:30" s="28" customFormat="1" ht="15" customHeight="1" x14ac:dyDescent="0.2">
      <c r="B858" s="23"/>
      <c r="C858" s="23"/>
      <c r="D858" s="24"/>
      <c r="G858" s="23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  <c r="AA858" s="54"/>
      <c r="AB858" s="54"/>
      <c r="AC858" s="54"/>
      <c r="AD858" s="54"/>
    </row>
    <row r="859" spans="2:30" s="28" customFormat="1" ht="15" customHeight="1" x14ac:dyDescent="0.2">
      <c r="B859" s="23"/>
      <c r="C859" s="23"/>
      <c r="D859" s="24"/>
      <c r="G859" s="23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  <c r="AA859" s="54"/>
      <c r="AB859" s="54"/>
      <c r="AC859" s="54"/>
      <c r="AD859" s="54"/>
    </row>
    <row r="860" spans="2:30" s="28" customFormat="1" ht="15" customHeight="1" x14ac:dyDescent="0.2">
      <c r="B860" s="23"/>
      <c r="C860" s="23"/>
      <c r="D860" s="24"/>
      <c r="G860" s="23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  <c r="AA860" s="54"/>
      <c r="AB860" s="54"/>
      <c r="AC860" s="54"/>
      <c r="AD860" s="54"/>
    </row>
    <row r="861" spans="2:30" s="28" customFormat="1" ht="15" customHeight="1" x14ac:dyDescent="0.2">
      <c r="B861" s="23"/>
      <c r="C861" s="23"/>
      <c r="D861" s="24"/>
      <c r="G861" s="23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  <c r="AA861" s="54"/>
      <c r="AB861" s="54"/>
      <c r="AC861" s="54"/>
      <c r="AD861" s="54"/>
    </row>
    <row r="862" spans="2:30" s="28" customFormat="1" ht="15" customHeight="1" x14ac:dyDescent="0.2">
      <c r="B862" s="23"/>
      <c r="C862" s="23"/>
      <c r="D862" s="24"/>
      <c r="G862" s="23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  <c r="AA862" s="54"/>
      <c r="AB862" s="54"/>
      <c r="AC862" s="54"/>
      <c r="AD862" s="54"/>
    </row>
    <row r="863" spans="2:30" s="28" customFormat="1" ht="15" customHeight="1" x14ac:dyDescent="0.2">
      <c r="B863" s="23"/>
      <c r="C863" s="23"/>
      <c r="D863" s="24"/>
      <c r="G863" s="23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  <c r="AA863" s="54"/>
      <c r="AB863" s="54"/>
      <c r="AC863" s="54"/>
      <c r="AD863" s="54"/>
    </row>
    <row r="864" spans="2:30" s="28" customFormat="1" ht="15" customHeight="1" x14ac:dyDescent="0.2">
      <c r="B864" s="23"/>
      <c r="C864" s="23"/>
      <c r="D864" s="24"/>
      <c r="G864" s="23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  <c r="AA864" s="54"/>
      <c r="AB864" s="54"/>
      <c r="AC864" s="54"/>
      <c r="AD864" s="54"/>
    </row>
    <row r="865" spans="2:30" s="28" customFormat="1" ht="15" customHeight="1" x14ac:dyDescent="0.2">
      <c r="B865" s="23"/>
      <c r="C865" s="23"/>
      <c r="D865" s="24"/>
      <c r="G865" s="23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  <c r="AA865" s="54"/>
      <c r="AB865" s="54"/>
      <c r="AC865" s="54"/>
      <c r="AD865" s="54"/>
    </row>
    <row r="866" spans="2:30" s="28" customFormat="1" ht="15" customHeight="1" x14ac:dyDescent="0.2">
      <c r="B866" s="23"/>
      <c r="C866" s="23"/>
      <c r="D866" s="24"/>
      <c r="G866" s="23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  <c r="AA866" s="54"/>
      <c r="AB866" s="54"/>
      <c r="AC866" s="54"/>
      <c r="AD866" s="54"/>
    </row>
    <row r="867" spans="2:30" s="28" customFormat="1" ht="15" customHeight="1" x14ac:dyDescent="0.2">
      <c r="B867" s="23"/>
      <c r="C867" s="23"/>
      <c r="D867" s="24"/>
      <c r="G867" s="23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  <c r="AA867" s="54"/>
      <c r="AB867" s="54"/>
      <c r="AC867" s="54"/>
      <c r="AD867" s="54"/>
    </row>
    <row r="868" spans="2:30" s="28" customFormat="1" ht="15" customHeight="1" x14ac:dyDescent="0.2">
      <c r="B868" s="23"/>
      <c r="C868" s="23"/>
      <c r="D868" s="24"/>
      <c r="G868" s="23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  <c r="AA868" s="54"/>
      <c r="AB868" s="54"/>
      <c r="AC868" s="54"/>
      <c r="AD868" s="54"/>
    </row>
    <row r="869" spans="2:30" s="28" customFormat="1" ht="15" customHeight="1" x14ac:dyDescent="0.2">
      <c r="B869" s="23"/>
      <c r="C869" s="23"/>
      <c r="D869" s="24"/>
      <c r="G869" s="23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  <c r="AA869" s="54"/>
      <c r="AB869" s="54"/>
      <c r="AC869" s="54"/>
      <c r="AD869" s="54"/>
    </row>
    <row r="870" spans="2:30" s="28" customFormat="1" ht="15" customHeight="1" x14ac:dyDescent="0.2">
      <c r="B870" s="23"/>
      <c r="C870" s="23"/>
      <c r="D870" s="24"/>
      <c r="G870" s="23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  <c r="AA870" s="54"/>
      <c r="AB870" s="54"/>
      <c r="AC870" s="54"/>
      <c r="AD870" s="54"/>
    </row>
    <row r="871" spans="2:30" s="28" customFormat="1" ht="15" customHeight="1" x14ac:dyDescent="0.2">
      <c r="B871" s="23"/>
      <c r="C871" s="23"/>
      <c r="D871" s="24"/>
      <c r="G871" s="23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  <c r="AA871" s="54"/>
      <c r="AB871" s="54"/>
      <c r="AC871" s="54"/>
      <c r="AD871" s="54"/>
    </row>
    <row r="872" spans="2:30" s="28" customFormat="1" ht="15" customHeight="1" x14ac:dyDescent="0.2">
      <c r="B872" s="23"/>
      <c r="C872" s="23"/>
      <c r="D872" s="24"/>
      <c r="G872" s="23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  <c r="AA872" s="54"/>
      <c r="AB872" s="54"/>
      <c r="AC872" s="54"/>
      <c r="AD872" s="54"/>
    </row>
    <row r="873" spans="2:30" s="28" customFormat="1" ht="15" customHeight="1" x14ac:dyDescent="0.2">
      <c r="B873" s="23"/>
      <c r="C873" s="23"/>
      <c r="D873" s="24"/>
      <c r="G873" s="23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  <c r="AA873" s="54"/>
      <c r="AB873" s="54"/>
      <c r="AC873" s="54"/>
      <c r="AD873" s="54"/>
    </row>
    <row r="874" spans="2:30" s="28" customFormat="1" ht="15" customHeight="1" x14ac:dyDescent="0.2">
      <c r="B874" s="23"/>
      <c r="C874" s="23"/>
      <c r="D874" s="24"/>
      <c r="G874" s="23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  <c r="AA874" s="54"/>
      <c r="AB874" s="54"/>
      <c r="AC874" s="54"/>
      <c r="AD874" s="54"/>
    </row>
    <row r="875" spans="2:30" s="28" customFormat="1" ht="15" customHeight="1" x14ac:dyDescent="0.2">
      <c r="B875" s="23"/>
      <c r="C875" s="23"/>
      <c r="D875" s="24"/>
      <c r="G875" s="23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  <c r="AA875" s="54"/>
      <c r="AB875" s="54"/>
      <c r="AC875" s="54"/>
      <c r="AD875" s="54"/>
    </row>
    <row r="876" spans="2:30" s="28" customFormat="1" ht="15" customHeight="1" x14ac:dyDescent="0.2">
      <c r="B876" s="23"/>
      <c r="C876" s="23"/>
      <c r="D876" s="24"/>
      <c r="G876" s="23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  <c r="AA876" s="54"/>
      <c r="AB876" s="54"/>
      <c r="AC876" s="54"/>
      <c r="AD876" s="54"/>
    </row>
    <row r="877" spans="2:30" s="28" customFormat="1" ht="15" customHeight="1" x14ac:dyDescent="0.2">
      <c r="B877" s="23"/>
      <c r="C877" s="23"/>
      <c r="D877" s="24"/>
      <c r="G877" s="23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  <c r="AA877" s="54"/>
      <c r="AB877" s="54"/>
      <c r="AC877" s="54"/>
      <c r="AD877" s="54"/>
    </row>
    <row r="878" spans="2:30" s="28" customFormat="1" ht="15" customHeight="1" x14ac:dyDescent="0.2">
      <c r="B878" s="23"/>
      <c r="C878" s="23"/>
      <c r="D878" s="24"/>
      <c r="G878" s="23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  <c r="AA878" s="54"/>
      <c r="AB878" s="54"/>
      <c r="AC878" s="54"/>
      <c r="AD878" s="54"/>
    </row>
    <row r="879" spans="2:30" s="28" customFormat="1" ht="15" customHeight="1" x14ac:dyDescent="0.2">
      <c r="B879" s="23"/>
      <c r="C879" s="23"/>
      <c r="D879" s="24"/>
      <c r="G879" s="23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  <c r="AA879" s="54"/>
      <c r="AB879" s="54"/>
      <c r="AC879" s="54"/>
      <c r="AD879" s="54"/>
    </row>
    <row r="880" spans="2:30" s="28" customFormat="1" ht="15" customHeight="1" x14ac:dyDescent="0.2">
      <c r="B880" s="23"/>
      <c r="C880" s="23"/>
      <c r="D880" s="24"/>
      <c r="G880" s="23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  <c r="AA880" s="54"/>
      <c r="AB880" s="54"/>
      <c r="AC880" s="54"/>
      <c r="AD880" s="54"/>
    </row>
    <row r="881" spans="2:30" s="28" customFormat="1" ht="15" customHeight="1" x14ac:dyDescent="0.2">
      <c r="B881" s="23"/>
      <c r="C881" s="23"/>
      <c r="D881" s="24"/>
      <c r="G881" s="23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  <c r="AA881" s="54"/>
      <c r="AB881" s="54"/>
      <c r="AC881" s="54"/>
      <c r="AD881" s="54"/>
    </row>
    <row r="882" spans="2:30" s="28" customFormat="1" ht="15" customHeight="1" x14ac:dyDescent="0.2">
      <c r="B882" s="23"/>
      <c r="C882" s="23"/>
      <c r="D882" s="24"/>
      <c r="G882" s="23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  <c r="AA882" s="54"/>
      <c r="AB882" s="54"/>
      <c r="AC882" s="54"/>
      <c r="AD882" s="54"/>
    </row>
    <row r="883" spans="2:30" s="28" customFormat="1" ht="15" customHeight="1" x14ac:dyDescent="0.2">
      <c r="B883" s="23"/>
      <c r="C883" s="23"/>
      <c r="D883" s="24"/>
      <c r="G883" s="23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  <c r="AA883" s="54"/>
      <c r="AB883" s="54"/>
      <c r="AC883" s="54"/>
      <c r="AD883" s="54"/>
    </row>
    <row r="884" spans="2:30" s="28" customFormat="1" ht="15" customHeight="1" x14ac:dyDescent="0.2">
      <c r="B884" s="23"/>
      <c r="C884" s="23"/>
      <c r="D884" s="24"/>
      <c r="G884" s="23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  <c r="AA884" s="54"/>
      <c r="AB884" s="54"/>
      <c r="AC884" s="54"/>
      <c r="AD884" s="54"/>
    </row>
    <row r="885" spans="2:30" s="28" customFormat="1" ht="15" customHeight="1" x14ac:dyDescent="0.2">
      <c r="B885" s="23"/>
      <c r="C885" s="23"/>
      <c r="D885" s="24"/>
      <c r="G885" s="23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  <c r="AA885" s="54"/>
      <c r="AB885" s="54"/>
      <c r="AC885" s="54"/>
      <c r="AD885" s="54"/>
    </row>
    <row r="886" spans="2:30" s="28" customFormat="1" ht="15" customHeight="1" x14ac:dyDescent="0.2">
      <c r="B886" s="23"/>
      <c r="C886" s="23"/>
      <c r="D886" s="24"/>
      <c r="G886" s="23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  <c r="AA886" s="54"/>
      <c r="AB886" s="54"/>
      <c r="AC886" s="54"/>
      <c r="AD886" s="54"/>
    </row>
    <row r="887" spans="2:30" s="28" customFormat="1" ht="15" customHeight="1" x14ac:dyDescent="0.2">
      <c r="B887" s="23"/>
      <c r="C887" s="23"/>
      <c r="D887" s="24"/>
      <c r="G887" s="23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  <c r="AA887" s="54"/>
      <c r="AB887" s="54"/>
      <c r="AC887" s="54"/>
      <c r="AD887" s="54"/>
    </row>
    <row r="888" spans="2:30" s="28" customFormat="1" ht="15" customHeight="1" x14ac:dyDescent="0.2">
      <c r="B888" s="23"/>
      <c r="C888" s="23"/>
      <c r="D888" s="24"/>
      <c r="G888" s="23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  <c r="AA888" s="54"/>
      <c r="AB888" s="54"/>
      <c r="AC888" s="54"/>
      <c r="AD888" s="54"/>
    </row>
    <row r="889" spans="2:30" s="28" customFormat="1" ht="15" customHeight="1" x14ac:dyDescent="0.2">
      <c r="B889" s="23"/>
      <c r="C889" s="23"/>
      <c r="D889" s="24"/>
      <c r="G889" s="23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  <c r="AA889" s="54"/>
      <c r="AB889" s="54"/>
      <c r="AC889" s="54"/>
      <c r="AD889" s="54"/>
    </row>
    <row r="890" spans="2:30" s="28" customFormat="1" ht="15" customHeight="1" x14ac:dyDescent="0.2">
      <c r="B890" s="23"/>
      <c r="C890" s="23"/>
      <c r="D890" s="24"/>
      <c r="G890" s="23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  <c r="AA890" s="54"/>
      <c r="AB890" s="54"/>
      <c r="AC890" s="54"/>
      <c r="AD890" s="54"/>
    </row>
    <row r="891" spans="2:30" s="28" customFormat="1" ht="15" customHeight="1" x14ac:dyDescent="0.2">
      <c r="B891" s="23"/>
      <c r="C891" s="23"/>
      <c r="D891" s="24"/>
      <c r="G891" s="23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  <c r="AA891" s="54"/>
      <c r="AB891" s="54"/>
      <c r="AC891" s="54"/>
      <c r="AD891" s="54"/>
    </row>
    <row r="892" spans="2:30" s="28" customFormat="1" ht="15" customHeight="1" x14ac:dyDescent="0.2">
      <c r="B892" s="23"/>
      <c r="C892" s="23"/>
      <c r="D892" s="24"/>
      <c r="G892" s="23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  <c r="AA892" s="54"/>
      <c r="AB892" s="54"/>
      <c r="AC892" s="54"/>
      <c r="AD892" s="54"/>
    </row>
    <row r="893" spans="2:30" s="28" customFormat="1" ht="15" customHeight="1" x14ac:dyDescent="0.2">
      <c r="B893" s="23"/>
      <c r="C893" s="23"/>
      <c r="D893" s="24"/>
      <c r="G893" s="23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  <c r="AA893" s="54"/>
      <c r="AB893" s="54"/>
      <c r="AC893" s="54"/>
      <c r="AD893" s="54"/>
    </row>
    <row r="894" spans="2:30" s="28" customFormat="1" ht="15" customHeight="1" x14ac:dyDescent="0.2">
      <c r="B894" s="23"/>
      <c r="C894" s="23"/>
      <c r="D894" s="24"/>
      <c r="G894" s="23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  <c r="AA894" s="54"/>
      <c r="AB894" s="54"/>
      <c r="AC894" s="54"/>
      <c r="AD894" s="54"/>
    </row>
    <row r="895" spans="2:30" s="28" customFormat="1" ht="15" customHeight="1" x14ac:dyDescent="0.2">
      <c r="B895" s="23"/>
      <c r="C895" s="23"/>
      <c r="D895" s="24"/>
      <c r="G895" s="23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  <c r="AA895" s="54"/>
      <c r="AB895" s="54"/>
      <c r="AC895" s="54"/>
      <c r="AD895" s="54"/>
    </row>
    <row r="896" spans="2:30" s="28" customFormat="1" ht="15" customHeight="1" x14ac:dyDescent="0.2">
      <c r="B896" s="23"/>
      <c r="C896" s="23"/>
      <c r="D896" s="24"/>
      <c r="G896" s="23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  <c r="AA896" s="54"/>
      <c r="AB896" s="54"/>
      <c r="AC896" s="54"/>
      <c r="AD896" s="54"/>
    </row>
    <row r="897" spans="2:30" s="28" customFormat="1" ht="15" customHeight="1" x14ac:dyDescent="0.2">
      <c r="B897" s="23"/>
      <c r="C897" s="23"/>
      <c r="D897" s="24"/>
      <c r="G897" s="23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  <c r="AA897" s="54"/>
      <c r="AB897" s="54"/>
      <c r="AC897" s="54"/>
      <c r="AD897" s="54"/>
    </row>
    <row r="898" spans="2:30" s="28" customFormat="1" ht="15" customHeight="1" x14ac:dyDescent="0.2">
      <c r="B898" s="23"/>
      <c r="C898" s="23"/>
      <c r="D898" s="24"/>
      <c r="G898" s="23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  <c r="AA898" s="54"/>
      <c r="AB898" s="54"/>
      <c r="AC898" s="54"/>
      <c r="AD898" s="54"/>
    </row>
    <row r="899" spans="2:30" s="28" customFormat="1" ht="15" customHeight="1" x14ac:dyDescent="0.2">
      <c r="B899" s="23"/>
      <c r="C899" s="23"/>
      <c r="D899" s="24"/>
      <c r="G899" s="23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  <c r="AA899" s="54"/>
      <c r="AB899" s="54"/>
      <c r="AC899" s="54"/>
      <c r="AD899" s="54"/>
    </row>
    <row r="900" spans="2:30" s="28" customFormat="1" ht="15" customHeight="1" x14ac:dyDescent="0.2">
      <c r="B900" s="23"/>
      <c r="C900" s="23"/>
      <c r="D900" s="24"/>
      <c r="G900" s="23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  <c r="AA900" s="54"/>
      <c r="AB900" s="54"/>
      <c r="AC900" s="54"/>
      <c r="AD900" s="54"/>
    </row>
    <row r="901" spans="2:30" s="28" customFormat="1" ht="15" customHeight="1" x14ac:dyDescent="0.2">
      <c r="B901" s="23"/>
      <c r="C901" s="23"/>
      <c r="D901" s="24"/>
      <c r="G901" s="23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  <c r="AA901" s="54"/>
      <c r="AB901" s="54"/>
      <c r="AC901" s="54"/>
      <c r="AD901" s="54"/>
    </row>
    <row r="902" spans="2:30" s="28" customFormat="1" ht="15" customHeight="1" x14ac:dyDescent="0.2">
      <c r="B902" s="23"/>
      <c r="C902" s="23"/>
      <c r="D902" s="24"/>
      <c r="G902" s="23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  <c r="AA902" s="54"/>
      <c r="AB902" s="54"/>
      <c r="AC902" s="54"/>
      <c r="AD902" s="54"/>
    </row>
    <row r="903" spans="2:30" s="28" customFormat="1" ht="15" customHeight="1" x14ac:dyDescent="0.2">
      <c r="B903" s="23"/>
      <c r="C903" s="23"/>
      <c r="D903" s="24"/>
      <c r="G903" s="23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  <c r="AA903" s="54"/>
      <c r="AB903" s="54"/>
      <c r="AC903" s="54"/>
      <c r="AD903" s="54"/>
    </row>
    <row r="904" spans="2:30" s="28" customFormat="1" ht="15" customHeight="1" x14ac:dyDescent="0.2">
      <c r="B904" s="23"/>
      <c r="C904" s="23"/>
      <c r="D904" s="24"/>
      <c r="G904" s="23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  <c r="AA904" s="54"/>
      <c r="AB904" s="54"/>
      <c r="AC904" s="54"/>
      <c r="AD904" s="54"/>
    </row>
    <row r="905" spans="2:30" s="28" customFormat="1" ht="15" customHeight="1" x14ac:dyDescent="0.2">
      <c r="B905" s="23"/>
      <c r="C905" s="23"/>
      <c r="D905" s="24"/>
      <c r="G905" s="23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  <c r="AA905" s="54"/>
      <c r="AB905" s="54"/>
      <c r="AC905" s="54"/>
      <c r="AD905" s="54"/>
    </row>
    <row r="906" spans="2:30" s="28" customFormat="1" ht="15" customHeight="1" x14ac:dyDescent="0.2">
      <c r="B906" s="23"/>
      <c r="C906" s="23"/>
      <c r="D906" s="24"/>
      <c r="G906" s="23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  <c r="AA906" s="54"/>
      <c r="AB906" s="54"/>
      <c r="AC906" s="54"/>
      <c r="AD906" s="54"/>
    </row>
    <row r="907" spans="2:30" s="28" customFormat="1" ht="15" customHeight="1" x14ac:dyDescent="0.2">
      <c r="B907" s="23"/>
      <c r="C907" s="23"/>
      <c r="D907" s="24"/>
      <c r="G907" s="23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  <c r="AA907" s="54"/>
      <c r="AB907" s="54"/>
      <c r="AC907" s="54"/>
      <c r="AD907" s="54"/>
    </row>
    <row r="908" spans="2:30" s="28" customFormat="1" ht="15" customHeight="1" x14ac:dyDescent="0.2">
      <c r="B908" s="23"/>
      <c r="C908" s="23"/>
      <c r="D908" s="24"/>
      <c r="G908" s="23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  <c r="AA908" s="54"/>
      <c r="AB908" s="54"/>
      <c r="AC908" s="54"/>
      <c r="AD908" s="54"/>
    </row>
    <row r="909" spans="2:30" s="28" customFormat="1" ht="15" customHeight="1" x14ac:dyDescent="0.2">
      <c r="B909" s="23"/>
      <c r="C909" s="23"/>
      <c r="D909" s="24"/>
      <c r="G909" s="23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  <c r="AA909" s="54"/>
      <c r="AB909" s="54"/>
      <c r="AC909" s="54"/>
      <c r="AD909" s="54"/>
    </row>
    <row r="910" spans="2:30" s="28" customFormat="1" ht="15" customHeight="1" x14ac:dyDescent="0.2">
      <c r="B910" s="23"/>
      <c r="C910" s="23"/>
      <c r="D910" s="24"/>
      <c r="G910" s="23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  <c r="AA910" s="54"/>
      <c r="AB910" s="54"/>
      <c r="AC910" s="54"/>
      <c r="AD910" s="54"/>
    </row>
    <row r="911" spans="2:30" s="28" customFormat="1" ht="15" customHeight="1" x14ac:dyDescent="0.2">
      <c r="B911" s="23"/>
      <c r="C911" s="23"/>
      <c r="D911" s="24"/>
      <c r="G911" s="23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  <c r="AA911" s="54"/>
      <c r="AB911" s="54"/>
      <c r="AC911" s="54"/>
      <c r="AD911" s="54"/>
    </row>
    <row r="912" spans="2:30" s="28" customFormat="1" ht="15" customHeight="1" x14ac:dyDescent="0.2">
      <c r="B912" s="23"/>
      <c r="C912" s="23"/>
      <c r="D912" s="24"/>
      <c r="G912" s="23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  <c r="AA912" s="54"/>
      <c r="AB912" s="54"/>
      <c r="AC912" s="54"/>
      <c r="AD912" s="54"/>
    </row>
    <row r="913" spans="2:30" s="28" customFormat="1" ht="15" customHeight="1" x14ac:dyDescent="0.2">
      <c r="B913" s="23"/>
      <c r="C913" s="23"/>
      <c r="D913" s="24"/>
      <c r="G913" s="23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  <c r="AA913" s="54"/>
      <c r="AB913" s="54"/>
      <c r="AC913" s="54"/>
      <c r="AD913" s="54"/>
    </row>
    <row r="914" spans="2:30" s="28" customFormat="1" ht="15" customHeight="1" x14ac:dyDescent="0.2">
      <c r="B914" s="23"/>
      <c r="C914" s="23"/>
      <c r="D914" s="24"/>
      <c r="G914" s="23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  <c r="AA914" s="54"/>
      <c r="AB914" s="54"/>
      <c r="AC914" s="54"/>
      <c r="AD914" s="54"/>
    </row>
    <row r="915" spans="2:30" s="28" customFormat="1" ht="15" customHeight="1" x14ac:dyDescent="0.2">
      <c r="B915" s="23"/>
      <c r="C915" s="23"/>
      <c r="D915" s="24"/>
      <c r="G915" s="23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  <c r="Z915" s="54"/>
      <c r="AA915" s="54"/>
      <c r="AB915" s="54"/>
      <c r="AC915" s="54"/>
      <c r="AD915" s="54"/>
    </row>
    <row r="916" spans="2:30" s="28" customFormat="1" ht="15" customHeight="1" x14ac:dyDescent="0.2">
      <c r="B916" s="23"/>
      <c r="C916" s="23"/>
      <c r="D916" s="24"/>
      <c r="G916" s="23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  <c r="AA916" s="54"/>
      <c r="AB916" s="54"/>
      <c r="AC916" s="54"/>
      <c r="AD916" s="54"/>
    </row>
    <row r="917" spans="2:30" s="28" customFormat="1" ht="15" customHeight="1" x14ac:dyDescent="0.2">
      <c r="B917" s="23"/>
      <c r="C917" s="23"/>
      <c r="D917" s="24"/>
      <c r="G917" s="23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  <c r="Z917" s="54"/>
      <c r="AA917" s="54"/>
      <c r="AB917" s="54"/>
      <c r="AC917" s="54"/>
      <c r="AD917" s="54"/>
    </row>
    <row r="918" spans="2:30" s="28" customFormat="1" ht="15" customHeight="1" x14ac:dyDescent="0.2">
      <c r="B918" s="23"/>
      <c r="C918" s="23"/>
      <c r="D918" s="24"/>
      <c r="G918" s="23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  <c r="AA918" s="54"/>
      <c r="AB918" s="54"/>
      <c r="AC918" s="54"/>
      <c r="AD918" s="54"/>
    </row>
    <row r="919" spans="2:30" s="28" customFormat="1" ht="15" customHeight="1" x14ac:dyDescent="0.2">
      <c r="B919" s="23"/>
      <c r="C919" s="23"/>
      <c r="D919" s="24"/>
      <c r="G919" s="23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  <c r="Z919" s="54"/>
      <c r="AA919" s="54"/>
      <c r="AB919" s="54"/>
      <c r="AC919" s="54"/>
      <c r="AD919" s="54"/>
    </row>
    <row r="920" spans="2:30" s="28" customFormat="1" ht="15" customHeight="1" x14ac:dyDescent="0.2">
      <c r="B920" s="23"/>
      <c r="C920" s="23"/>
      <c r="D920" s="24"/>
      <c r="G920" s="23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  <c r="AA920" s="54"/>
      <c r="AB920" s="54"/>
      <c r="AC920" s="54"/>
      <c r="AD920" s="54"/>
    </row>
    <row r="921" spans="2:30" s="28" customFormat="1" ht="15" customHeight="1" x14ac:dyDescent="0.2">
      <c r="B921" s="23"/>
      <c r="C921" s="23"/>
      <c r="D921" s="24"/>
      <c r="G921" s="23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  <c r="AA921" s="54"/>
      <c r="AB921" s="54"/>
      <c r="AC921" s="54"/>
      <c r="AD921" s="54"/>
    </row>
    <row r="922" spans="2:30" s="28" customFormat="1" ht="15" customHeight="1" x14ac:dyDescent="0.2">
      <c r="B922" s="23"/>
      <c r="C922" s="23"/>
      <c r="D922" s="24"/>
      <c r="G922" s="23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  <c r="AA922" s="54"/>
      <c r="AB922" s="54"/>
      <c r="AC922" s="54"/>
      <c r="AD922" s="54"/>
    </row>
    <row r="923" spans="2:30" s="28" customFormat="1" ht="15" customHeight="1" x14ac:dyDescent="0.2">
      <c r="B923" s="23"/>
      <c r="C923" s="23"/>
      <c r="D923" s="24"/>
      <c r="G923" s="23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  <c r="AA923" s="54"/>
      <c r="AB923" s="54"/>
      <c r="AC923" s="54"/>
      <c r="AD923" s="54"/>
    </row>
    <row r="924" spans="2:30" s="28" customFormat="1" ht="15" customHeight="1" x14ac:dyDescent="0.2">
      <c r="B924" s="23"/>
      <c r="C924" s="23"/>
      <c r="D924" s="24"/>
      <c r="G924" s="23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  <c r="AA924" s="54"/>
      <c r="AB924" s="54"/>
      <c r="AC924" s="54"/>
      <c r="AD924" s="54"/>
    </row>
    <row r="925" spans="2:30" s="28" customFormat="1" ht="15" customHeight="1" x14ac:dyDescent="0.2">
      <c r="B925" s="23"/>
      <c r="C925" s="23"/>
      <c r="D925" s="24"/>
      <c r="G925" s="23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  <c r="AA925" s="54"/>
      <c r="AB925" s="54"/>
      <c r="AC925" s="54"/>
      <c r="AD925" s="54"/>
    </row>
    <row r="926" spans="2:30" s="28" customFormat="1" ht="15" customHeight="1" x14ac:dyDescent="0.2">
      <c r="B926" s="23"/>
      <c r="C926" s="23"/>
      <c r="D926" s="24"/>
      <c r="G926" s="23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  <c r="AA926" s="54"/>
      <c r="AB926" s="54"/>
      <c r="AC926" s="54"/>
      <c r="AD926" s="54"/>
    </row>
    <row r="927" spans="2:30" s="28" customFormat="1" ht="15" customHeight="1" x14ac:dyDescent="0.2">
      <c r="B927" s="23"/>
      <c r="C927" s="23"/>
      <c r="D927" s="24"/>
      <c r="G927" s="23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  <c r="AA927" s="54"/>
      <c r="AB927" s="54"/>
      <c r="AC927" s="54"/>
      <c r="AD927" s="54"/>
    </row>
    <row r="928" spans="2:30" s="28" customFormat="1" ht="15" customHeight="1" x14ac:dyDescent="0.2">
      <c r="B928" s="23"/>
      <c r="C928" s="23"/>
      <c r="D928" s="24"/>
      <c r="G928" s="23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  <c r="AA928" s="54"/>
      <c r="AB928" s="54"/>
      <c r="AC928" s="54"/>
      <c r="AD928" s="54"/>
    </row>
    <row r="929" spans="2:30" s="28" customFormat="1" ht="15" customHeight="1" x14ac:dyDescent="0.2">
      <c r="B929" s="23"/>
      <c r="C929" s="23"/>
      <c r="D929" s="24"/>
      <c r="G929" s="23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  <c r="AA929" s="54"/>
      <c r="AB929" s="54"/>
      <c r="AC929" s="54"/>
      <c r="AD929" s="54"/>
    </row>
    <row r="930" spans="2:30" s="28" customFormat="1" ht="15" customHeight="1" x14ac:dyDescent="0.2">
      <c r="B930" s="23"/>
      <c r="C930" s="23"/>
      <c r="D930" s="24"/>
      <c r="G930" s="23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  <c r="AA930" s="54"/>
      <c r="AB930" s="54"/>
      <c r="AC930" s="54"/>
      <c r="AD930" s="54"/>
    </row>
    <row r="931" spans="2:30" s="28" customFormat="1" ht="15" customHeight="1" x14ac:dyDescent="0.2">
      <c r="B931" s="23"/>
      <c r="C931" s="23"/>
      <c r="D931" s="24"/>
      <c r="G931" s="23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  <c r="AA931" s="54"/>
      <c r="AB931" s="54"/>
      <c r="AC931" s="54"/>
      <c r="AD931" s="54"/>
    </row>
    <row r="932" spans="2:30" s="28" customFormat="1" ht="15" customHeight="1" x14ac:dyDescent="0.2">
      <c r="B932" s="23"/>
      <c r="C932" s="23"/>
      <c r="D932" s="24"/>
      <c r="G932" s="23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  <c r="AA932" s="54"/>
      <c r="AB932" s="54"/>
      <c r="AC932" s="54"/>
      <c r="AD932" s="54"/>
    </row>
    <row r="933" spans="2:30" s="28" customFormat="1" ht="15" customHeight="1" x14ac:dyDescent="0.2">
      <c r="B933" s="23"/>
      <c r="C933" s="23"/>
      <c r="D933" s="24"/>
      <c r="G933" s="23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  <c r="AA933" s="54"/>
      <c r="AB933" s="54"/>
      <c r="AC933" s="54"/>
      <c r="AD933" s="54"/>
    </row>
    <row r="934" spans="2:30" s="28" customFormat="1" ht="15" customHeight="1" x14ac:dyDescent="0.2">
      <c r="B934" s="23"/>
      <c r="C934" s="23"/>
      <c r="D934" s="24"/>
      <c r="G934" s="23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  <c r="AA934" s="54"/>
      <c r="AB934" s="54"/>
      <c r="AC934" s="54"/>
      <c r="AD934" s="54"/>
    </row>
    <row r="935" spans="2:30" s="28" customFormat="1" ht="15" customHeight="1" x14ac:dyDescent="0.2">
      <c r="B935" s="23"/>
      <c r="C935" s="23"/>
      <c r="D935" s="24"/>
      <c r="G935" s="23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  <c r="AA935" s="54"/>
      <c r="AB935" s="54"/>
      <c r="AC935" s="54"/>
      <c r="AD935" s="54"/>
    </row>
    <row r="936" spans="2:30" s="28" customFormat="1" ht="15" customHeight="1" x14ac:dyDescent="0.2">
      <c r="B936" s="23"/>
      <c r="C936" s="23"/>
      <c r="D936" s="24"/>
      <c r="G936" s="23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  <c r="AA936" s="54"/>
      <c r="AB936" s="54"/>
      <c r="AC936" s="54"/>
      <c r="AD936" s="54"/>
    </row>
    <row r="937" spans="2:30" s="28" customFormat="1" ht="15" customHeight="1" x14ac:dyDescent="0.2">
      <c r="B937" s="23"/>
      <c r="C937" s="23"/>
      <c r="D937" s="24"/>
      <c r="G937" s="23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  <c r="AA937" s="54"/>
      <c r="AB937" s="54"/>
      <c r="AC937" s="54"/>
      <c r="AD937" s="54"/>
    </row>
    <row r="938" spans="2:30" s="28" customFormat="1" ht="15" customHeight="1" x14ac:dyDescent="0.2">
      <c r="B938" s="23"/>
      <c r="C938" s="23"/>
      <c r="D938" s="24"/>
      <c r="G938" s="23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  <c r="AA938" s="54"/>
      <c r="AB938" s="54"/>
      <c r="AC938" s="54"/>
      <c r="AD938" s="54"/>
    </row>
    <row r="939" spans="2:30" s="28" customFormat="1" ht="15" customHeight="1" x14ac:dyDescent="0.2">
      <c r="B939" s="23"/>
      <c r="C939" s="23"/>
      <c r="D939" s="24"/>
      <c r="G939" s="23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  <c r="AA939" s="54"/>
      <c r="AB939" s="54"/>
      <c r="AC939" s="54"/>
      <c r="AD939" s="54"/>
    </row>
    <row r="940" spans="2:30" s="28" customFormat="1" ht="15" customHeight="1" x14ac:dyDescent="0.2">
      <c r="B940" s="23"/>
      <c r="C940" s="23"/>
      <c r="D940" s="24"/>
      <c r="G940" s="23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  <c r="AA940" s="54"/>
      <c r="AB940" s="54"/>
      <c r="AC940" s="54"/>
      <c r="AD940" s="54"/>
    </row>
    <row r="941" spans="2:30" s="28" customFormat="1" ht="15" customHeight="1" x14ac:dyDescent="0.2">
      <c r="B941" s="23"/>
      <c r="C941" s="23"/>
      <c r="D941" s="24"/>
      <c r="G941" s="23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  <c r="AA941" s="54"/>
      <c r="AB941" s="54"/>
      <c r="AC941" s="54"/>
      <c r="AD941" s="54"/>
    </row>
    <row r="942" spans="2:30" s="28" customFormat="1" ht="15" customHeight="1" x14ac:dyDescent="0.2">
      <c r="B942" s="23"/>
      <c r="C942" s="23"/>
      <c r="D942" s="24"/>
      <c r="G942" s="23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  <c r="AA942" s="54"/>
      <c r="AB942" s="54"/>
      <c r="AC942" s="54"/>
      <c r="AD942" s="54"/>
    </row>
    <row r="943" spans="2:30" s="28" customFormat="1" ht="15" customHeight="1" x14ac:dyDescent="0.2">
      <c r="B943" s="23"/>
      <c r="C943" s="23"/>
      <c r="D943" s="24"/>
      <c r="G943" s="23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  <c r="Z943" s="54"/>
      <c r="AA943" s="54"/>
      <c r="AB943" s="54"/>
      <c r="AC943" s="54"/>
      <c r="AD943" s="54"/>
    </row>
    <row r="944" spans="2:30" s="28" customFormat="1" ht="15" customHeight="1" x14ac:dyDescent="0.2">
      <c r="B944" s="23"/>
      <c r="C944" s="23"/>
      <c r="D944" s="24"/>
      <c r="G944" s="23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  <c r="Z944" s="54"/>
      <c r="AA944" s="54"/>
      <c r="AB944" s="54"/>
      <c r="AC944" s="54"/>
      <c r="AD944" s="54"/>
    </row>
    <row r="945" spans="2:30" s="28" customFormat="1" ht="15" customHeight="1" x14ac:dyDescent="0.2">
      <c r="B945" s="23"/>
      <c r="C945" s="23"/>
      <c r="D945" s="24"/>
      <c r="G945" s="23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  <c r="Z945" s="54"/>
      <c r="AA945" s="54"/>
      <c r="AB945" s="54"/>
      <c r="AC945" s="54"/>
      <c r="AD945" s="54"/>
    </row>
    <row r="946" spans="2:30" s="28" customFormat="1" ht="15" customHeight="1" x14ac:dyDescent="0.2">
      <c r="B946" s="23"/>
      <c r="C946" s="23"/>
      <c r="D946" s="24"/>
      <c r="G946" s="23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  <c r="Z946" s="54"/>
      <c r="AA946" s="54"/>
      <c r="AB946" s="54"/>
      <c r="AC946" s="54"/>
      <c r="AD946" s="54"/>
    </row>
    <row r="947" spans="2:30" s="28" customFormat="1" ht="15" customHeight="1" x14ac:dyDescent="0.2">
      <c r="B947" s="23"/>
      <c r="C947" s="23"/>
      <c r="D947" s="24"/>
      <c r="G947" s="23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  <c r="Z947" s="54"/>
      <c r="AA947" s="54"/>
      <c r="AB947" s="54"/>
      <c r="AC947" s="54"/>
      <c r="AD947" s="54"/>
    </row>
    <row r="948" spans="2:30" s="28" customFormat="1" ht="15" customHeight="1" x14ac:dyDescent="0.2">
      <c r="B948" s="23"/>
      <c r="C948" s="23"/>
      <c r="D948" s="24"/>
      <c r="G948" s="23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  <c r="Z948" s="54"/>
      <c r="AA948" s="54"/>
      <c r="AB948" s="54"/>
      <c r="AC948" s="54"/>
      <c r="AD948" s="54"/>
    </row>
    <row r="949" spans="2:30" s="28" customFormat="1" ht="15" customHeight="1" x14ac:dyDescent="0.2">
      <c r="B949" s="23"/>
      <c r="C949" s="23"/>
      <c r="D949" s="24"/>
      <c r="G949" s="23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  <c r="Z949" s="54"/>
      <c r="AA949" s="54"/>
      <c r="AB949" s="54"/>
      <c r="AC949" s="54"/>
      <c r="AD949" s="54"/>
    </row>
    <row r="950" spans="2:30" s="28" customFormat="1" ht="15" customHeight="1" x14ac:dyDescent="0.2">
      <c r="B950" s="23"/>
      <c r="C950" s="23"/>
      <c r="D950" s="24"/>
      <c r="G950" s="23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  <c r="Y950" s="54"/>
      <c r="Z950" s="54"/>
      <c r="AA950" s="54"/>
      <c r="AB950" s="54"/>
      <c r="AC950" s="54"/>
      <c r="AD950" s="54"/>
    </row>
    <row r="951" spans="2:30" s="28" customFormat="1" ht="15" customHeight="1" x14ac:dyDescent="0.2">
      <c r="B951" s="23"/>
      <c r="C951" s="23"/>
      <c r="D951" s="24"/>
      <c r="G951" s="23"/>
      <c r="H951" s="54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  <c r="Y951" s="54"/>
      <c r="Z951" s="54"/>
      <c r="AA951" s="54"/>
      <c r="AB951" s="54"/>
      <c r="AC951" s="54"/>
      <c r="AD951" s="54"/>
    </row>
    <row r="952" spans="2:30" s="28" customFormat="1" ht="15" customHeight="1" x14ac:dyDescent="0.2">
      <c r="B952" s="23"/>
      <c r="C952" s="23"/>
      <c r="D952" s="24"/>
      <c r="G952" s="23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  <c r="Y952" s="54"/>
      <c r="Z952" s="54"/>
      <c r="AA952" s="54"/>
      <c r="AB952" s="54"/>
      <c r="AC952" s="54"/>
      <c r="AD952" s="54"/>
    </row>
    <row r="953" spans="2:30" s="28" customFormat="1" ht="15" customHeight="1" x14ac:dyDescent="0.2">
      <c r="B953" s="23"/>
      <c r="C953" s="23"/>
      <c r="D953" s="24"/>
      <c r="G953" s="23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  <c r="Z953" s="54"/>
      <c r="AA953" s="54"/>
      <c r="AB953" s="54"/>
      <c r="AC953" s="54"/>
      <c r="AD953" s="54"/>
    </row>
    <row r="954" spans="2:30" s="28" customFormat="1" ht="15" customHeight="1" x14ac:dyDescent="0.2">
      <c r="B954" s="23"/>
      <c r="C954" s="23"/>
      <c r="D954" s="24"/>
      <c r="G954" s="23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  <c r="Y954" s="54"/>
      <c r="Z954" s="54"/>
      <c r="AA954" s="54"/>
      <c r="AB954" s="54"/>
      <c r="AC954" s="54"/>
      <c r="AD954" s="54"/>
    </row>
    <row r="955" spans="2:30" s="28" customFormat="1" ht="15" customHeight="1" x14ac:dyDescent="0.2">
      <c r="B955" s="23"/>
      <c r="C955" s="23"/>
      <c r="D955" s="24"/>
      <c r="G955" s="23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  <c r="Z955" s="54"/>
      <c r="AA955" s="54"/>
      <c r="AB955" s="54"/>
      <c r="AC955" s="54"/>
      <c r="AD955" s="54"/>
    </row>
    <row r="956" spans="2:30" s="28" customFormat="1" ht="15" customHeight="1" x14ac:dyDescent="0.2">
      <c r="B956" s="23"/>
      <c r="C956" s="23"/>
      <c r="D956" s="24"/>
      <c r="G956" s="23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  <c r="Z956" s="54"/>
      <c r="AA956" s="54"/>
      <c r="AB956" s="54"/>
      <c r="AC956" s="54"/>
      <c r="AD956" s="54"/>
    </row>
    <row r="957" spans="2:30" s="28" customFormat="1" ht="15" customHeight="1" x14ac:dyDescent="0.2">
      <c r="B957" s="23"/>
      <c r="C957" s="23"/>
      <c r="D957" s="24"/>
      <c r="G957" s="23"/>
      <c r="H957" s="54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  <c r="Y957" s="54"/>
      <c r="Z957" s="54"/>
      <c r="AA957" s="54"/>
      <c r="AB957" s="54"/>
      <c r="AC957" s="54"/>
      <c r="AD957" s="54"/>
    </row>
    <row r="958" spans="2:30" s="28" customFormat="1" ht="15" customHeight="1" x14ac:dyDescent="0.2">
      <c r="B958" s="23"/>
      <c r="C958" s="23"/>
      <c r="D958" s="24"/>
      <c r="G958" s="23"/>
      <c r="H958" s="54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  <c r="Y958" s="54"/>
      <c r="Z958" s="54"/>
      <c r="AA958" s="54"/>
      <c r="AB958" s="54"/>
      <c r="AC958" s="54"/>
      <c r="AD958" s="54"/>
    </row>
    <row r="959" spans="2:30" s="28" customFormat="1" ht="15" customHeight="1" x14ac:dyDescent="0.2">
      <c r="B959" s="23"/>
      <c r="C959" s="23"/>
      <c r="D959" s="24"/>
      <c r="G959" s="23"/>
      <c r="H959" s="54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  <c r="Y959" s="54"/>
      <c r="Z959" s="54"/>
      <c r="AA959" s="54"/>
      <c r="AB959" s="54"/>
      <c r="AC959" s="54"/>
      <c r="AD959" s="54"/>
    </row>
    <row r="960" spans="2:30" s="28" customFormat="1" ht="15" customHeight="1" x14ac:dyDescent="0.2">
      <c r="B960" s="23"/>
      <c r="C960" s="23"/>
      <c r="D960" s="24"/>
      <c r="G960" s="23"/>
      <c r="H960" s="54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  <c r="Y960" s="54"/>
      <c r="Z960" s="54"/>
      <c r="AA960" s="54"/>
      <c r="AB960" s="54"/>
      <c r="AC960" s="54"/>
      <c r="AD960" s="54"/>
    </row>
    <row r="961" spans="2:30" s="28" customFormat="1" ht="15" customHeight="1" x14ac:dyDescent="0.2">
      <c r="B961" s="23"/>
      <c r="C961" s="23"/>
      <c r="D961" s="24"/>
      <c r="G961" s="23"/>
      <c r="H961" s="54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  <c r="Y961" s="54"/>
      <c r="Z961" s="54"/>
      <c r="AA961" s="54"/>
      <c r="AB961" s="54"/>
      <c r="AC961" s="54"/>
      <c r="AD961" s="54"/>
    </row>
    <row r="962" spans="2:30" s="28" customFormat="1" ht="15" customHeight="1" x14ac:dyDescent="0.2">
      <c r="B962" s="23"/>
      <c r="C962" s="23"/>
      <c r="D962" s="24"/>
      <c r="G962" s="23"/>
      <c r="H962" s="54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  <c r="Y962" s="54"/>
      <c r="Z962" s="54"/>
      <c r="AA962" s="54"/>
      <c r="AB962" s="54"/>
      <c r="AC962" s="54"/>
      <c r="AD962" s="54"/>
    </row>
    <row r="963" spans="2:30" s="28" customFormat="1" ht="15" customHeight="1" x14ac:dyDescent="0.2">
      <c r="B963" s="23"/>
      <c r="C963" s="23"/>
      <c r="D963" s="24"/>
      <c r="G963" s="23"/>
      <c r="H963" s="54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  <c r="Y963" s="54"/>
      <c r="Z963" s="54"/>
      <c r="AA963" s="54"/>
      <c r="AB963" s="54"/>
      <c r="AC963" s="54"/>
      <c r="AD963" s="54"/>
    </row>
    <row r="964" spans="2:30" s="28" customFormat="1" ht="15" customHeight="1" x14ac:dyDescent="0.2">
      <c r="B964" s="23"/>
      <c r="C964" s="23"/>
      <c r="D964" s="24"/>
      <c r="G964" s="23"/>
      <c r="H964" s="54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  <c r="Y964" s="54"/>
      <c r="Z964" s="54"/>
      <c r="AA964" s="54"/>
      <c r="AB964" s="54"/>
      <c r="AC964" s="54"/>
      <c r="AD964" s="54"/>
    </row>
    <row r="965" spans="2:30" s="28" customFormat="1" ht="15" customHeight="1" x14ac:dyDescent="0.2">
      <c r="B965" s="23"/>
      <c r="C965" s="23"/>
      <c r="D965" s="24"/>
      <c r="G965" s="23"/>
      <c r="H965" s="54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  <c r="Z965" s="54"/>
      <c r="AA965" s="54"/>
      <c r="AB965" s="54"/>
      <c r="AC965" s="54"/>
      <c r="AD965" s="54"/>
    </row>
    <row r="966" spans="2:30" s="28" customFormat="1" ht="15" customHeight="1" x14ac:dyDescent="0.2">
      <c r="B966" s="23"/>
      <c r="C966" s="23"/>
      <c r="D966" s="24"/>
      <c r="G966" s="23"/>
      <c r="H966" s="54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  <c r="Y966" s="54"/>
      <c r="Z966" s="54"/>
      <c r="AA966" s="54"/>
      <c r="AB966" s="54"/>
      <c r="AC966" s="54"/>
      <c r="AD966" s="54"/>
    </row>
    <row r="967" spans="2:30" s="28" customFormat="1" ht="15" customHeight="1" x14ac:dyDescent="0.2">
      <c r="B967" s="23"/>
      <c r="C967" s="23"/>
      <c r="D967" s="24"/>
      <c r="G967" s="23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  <c r="Z967" s="54"/>
      <c r="AA967" s="54"/>
      <c r="AB967" s="54"/>
      <c r="AC967" s="54"/>
      <c r="AD967" s="54"/>
    </row>
    <row r="968" spans="2:30" s="28" customFormat="1" ht="15" customHeight="1" x14ac:dyDescent="0.2">
      <c r="B968" s="23"/>
      <c r="C968" s="23"/>
      <c r="D968" s="24"/>
      <c r="G968" s="23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  <c r="Z968" s="54"/>
      <c r="AA968" s="54"/>
      <c r="AB968" s="54"/>
      <c r="AC968" s="54"/>
      <c r="AD968" s="54"/>
    </row>
    <row r="969" spans="2:30" s="28" customFormat="1" ht="15" customHeight="1" x14ac:dyDescent="0.2">
      <c r="B969" s="23"/>
      <c r="C969" s="23"/>
      <c r="D969" s="24"/>
      <c r="G969" s="23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  <c r="Z969" s="54"/>
      <c r="AA969" s="54"/>
      <c r="AB969" s="54"/>
      <c r="AC969" s="54"/>
      <c r="AD969" s="54"/>
    </row>
    <row r="970" spans="2:30" s="28" customFormat="1" ht="15" customHeight="1" x14ac:dyDescent="0.2">
      <c r="B970" s="23"/>
      <c r="C970" s="23"/>
      <c r="D970" s="24"/>
      <c r="G970" s="23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  <c r="Z970" s="54"/>
      <c r="AA970" s="54"/>
      <c r="AB970" s="54"/>
      <c r="AC970" s="54"/>
      <c r="AD970" s="54"/>
    </row>
    <row r="971" spans="2:30" s="28" customFormat="1" ht="15" customHeight="1" x14ac:dyDescent="0.2">
      <c r="B971" s="23"/>
      <c r="C971" s="23"/>
      <c r="D971" s="24"/>
      <c r="G971" s="23"/>
      <c r="H971" s="54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4"/>
      <c r="Y971" s="54"/>
      <c r="Z971" s="54"/>
      <c r="AA971" s="54"/>
      <c r="AB971" s="54"/>
      <c r="AC971" s="54"/>
      <c r="AD971" s="54"/>
    </row>
    <row r="972" spans="2:30" s="28" customFormat="1" ht="15" customHeight="1" x14ac:dyDescent="0.2">
      <c r="B972" s="23"/>
      <c r="C972" s="23"/>
      <c r="D972" s="24"/>
      <c r="G972" s="23"/>
      <c r="H972" s="54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  <c r="Y972" s="54"/>
      <c r="Z972" s="54"/>
      <c r="AA972" s="54"/>
      <c r="AB972" s="54"/>
      <c r="AC972" s="54"/>
      <c r="AD972" s="54"/>
    </row>
    <row r="973" spans="2:30" s="28" customFormat="1" ht="15" customHeight="1" x14ac:dyDescent="0.2">
      <c r="B973" s="23"/>
      <c r="C973" s="23"/>
      <c r="D973" s="24"/>
      <c r="G973" s="23"/>
      <c r="H973" s="54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  <c r="Y973" s="54"/>
      <c r="Z973" s="54"/>
      <c r="AA973" s="54"/>
      <c r="AB973" s="54"/>
      <c r="AC973" s="54"/>
      <c r="AD973" s="54"/>
    </row>
    <row r="974" spans="2:30" s="28" customFormat="1" ht="15" customHeight="1" x14ac:dyDescent="0.2">
      <c r="B974" s="23"/>
      <c r="C974" s="23"/>
      <c r="D974" s="24"/>
      <c r="G974" s="23"/>
      <c r="H974" s="54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  <c r="Y974" s="54"/>
      <c r="Z974" s="54"/>
      <c r="AA974" s="54"/>
      <c r="AB974" s="54"/>
      <c r="AC974" s="54"/>
      <c r="AD974" s="54"/>
    </row>
    <row r="975" spans="2:30" s="28" customFormat="1" ht="15" customHeight="1" x14ac:dyDescent="0.2">
      <c r="B975" s="23"/>
      <c r="C975" s="23"/>
      <c r="D975" s="24"/>
      <c r="G975" s="23"/>
      <c r="H975" s="54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  <c r="Y975" s="54"/>
      <c r="Z975" s="54"/>
      <c r="AA975" s="54"/>
      <c r="AB975" s="54"/>
      <c r="AC975" s="54"/>
      <c r="AD975" s="54"/>
    </row>
    <row r="976" spans="2:30" s="28" customFormat="1" ht="15" customHeight="1" x14ac:dyDescent="0.2">
      <c r="B976" s="23"/>
      <c r="C976" s="23"/>
      <c r="D976" s="24"/>
      <c r="G976" s="23"/>
      <c r="H976" s="54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  <c r="Y976" s="54"/>
      <c r="Z976" s="54"/>
      <c r="AA976" s="54"/>
      <c r="AB976" s="54"/>
      <c r="AC976" s="54"/>
      <c r="AD976" s="54"/>
    </row>
    <row r="977" spans="2:30" s="28" customFormat="1" ht="15" customHeight="1" x14ac:dyDescent="0.2">
      <c r="B977" s="23"/>
      <c r="C977" s="23"/>
      <c r="D977" s="24"/>
      <c r="G977" s="23"/>
      <c r="H977" s="54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  <c r="Y977" s="54"/>
      <c r="Z977" s="54"/>
      <c r="AA977" s="54"/>
      <c r="AB977" s="54"/>
      <c r="AC977" s="54"/>
      <c r="AD977" s="54"/>
    </row>
    <row r="978" spans="2:30" s="28" customFormat="1" ht="15" customHeight="1" x14ac:dyDescent="0.2">
      <c r="B978" s="23"/>
      <c r="C978" s="23"/>
      <c r="D978" s="24"/>
      <c r="G978" s="23"/>
      <c r="H978" s="54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  <c r="Y978" s="54"/>
      <c r="Z978" s="54"/>
      <c r="AA978" s="54"/>
      <c r="AB978" s="54"/>
      <c r="AC978" s="54"/>
      <c r="AD978" s="54"/>
    </row>
    <row r="979" spans="2:30" s="28" customFormat="1" ht="15" customHeight="1" x14ac:dyDescent="0.2">
      <c r="B979" s="23"/>
      <c r="C979" s="23"/>
      <c r="D979" s="24"/>
      <c r="G979" s="23"/>
      <c r="H979" s="54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  <c r="Y979" s="54"/>
      <c r="Z979" s="54"/>
      <c r="AA979" s="54"/>
      <c r="AB979" s="54"/>
      <c r="AC979" s="54"/>
      <c r="AD979" s="54"/>
    </row>
    <row r="980" spans="2:30" s="28" customFormat="1" ht="15" customHeight="1" x14ac:dyDescent="0.2">
      <c r="B980" s="23"/>
      <c r="C980" s="23"/>
      <c r="D980" s="24"/>
      <c r="G980" s="23"/>
      <c r="H980" s="54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  <c r="Y980" s="54"/>
      <c r="Z980" s="54"/>
      <c r="AA980" s="54"/>
      <c r="AB980" s="54"/>
      <c r="AC980" s="54"/>
      <c r="AD980" s="54"/>
    </row>
    <row r="981" spans="2:30" s="28" customFormat="1" ht="15" customHeight="1" x14ac:dyDescent="0.2">
      <c r="B981" s="23"/>
      <c r="C981" s="23"/>
      <c r="D981" s="24"/>
      <c r="G981" s="23"/>
      <c r="H981" s="54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  <c r="Y981" s="54"/>
      <c r="Z981" s="54"/>
      <c r="AA981" s="54"/>
      <c r="AB981" s="54"/>
      <c r="AC981" s="54"/>
      <c r="AD981" s="54"/>
    </row>
    <row r="982" spans="2:30" s="28" customFormat="1" ht="15" customHeight="1" x14ac:dyDescent="0.2">
      <c r="B982" s="23"/>
      <c r="C982" s="23"/>
      <c r="D982" s="24"/>
      <c r="G982" s="23"/>
      <c r="H982" s="54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  <c r="Y982" s="54"/>
      <c r="Z982" s="54"/>
      <c r="AA982" s="54"/>
      <c r="AB982" s="54"/>
      <c r="AC982" s="54"/>
      <c r="AD982" s="54"/>
    </row>
    <row r="983" spans="2:30" s="28" customFormat="1" ht="15" customHeight="1" x14ac:dyDescent="0.2">
      <c r="B983" s="23"/>
      <c r="C983" s="23"/>
      <c r="D983" s="24"/>
      <c r="G983" s="23"/>
      <c r="H983" s="54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  <c r="Y983" s="54"/>
      <c r="Z983" s="54"/>
      <c r="AA983" s="54"/>
      <c r="AB983" s="54"/>
      <c r="AC983" s="54"/>
      <c r="AD983" s="54"/>
    </row>
    <row r="984" spans="2:30" s="28" customFormat="1" ht="15" customHeight="1" x14ac:dyDescent="0.2">
      <c r="B984" s="23"/>
      <c r="C984" s="23"/>
      <c r="D984" s="24"/>
      <c r="G984" s="23"/>
      <c r="H984" s="54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  <c r="Y984" s="54"/>
      <c r="Z984" s="54"/>
      <c r="AA984" s="54"/>
      <c r="AB984" s="54"/>
      <c r="AC984" s="54"/>
      <c r="AD984" s="54"/>
    </row>
    <row r="985" spans="2:30" s="28" customFormat="1" ht="15" customHeight="1" x14ac:dyDescent="0.2">
      <c r="B985" s="23"/>
      <c r="C985" s="23"/>
      <c r="D985" s="24"/>
      <c r="G985" s="23"/>
      <c r="H985" s="54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  <c r="Y985" s="54"/>
      <c r="Z985" s="54"/>
      <c r="AA985" s="54"/>
      <c r="AB985" s="54"/>
      <c r="AC985" s="54"/>
      <c r="AD985" s="54"/>
    </row>
    <row r="986" spans="2:30" s="28" customFormat="1" ht="15" customHeight="1" x14ac:dyDescent="0.2">
      <c r="B986" s="23"/>
      <c r="C986" s="23"/>
      <c r="D986" s="24"/>
      <c r="G986" s="23"/>
      <c r="H986" s="54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  <c r="Y986" s="54"/>
      <c r="Z986" s="54"/>
      <c r="AA986" s="54"/>
      <c r="AB986" s="54"/>
      <c r="AC986" s="54"/>
      <c r="AD986" s="54"/>
    </row>
    <row r="987" spans="2:30" s="28" customFormat="1" ht="15" customHeight="1" x14ac:dyDescent="0.2">
      <c r="B987" s="23"/>
      <c r="C987" s="23"/>
      <c r="D987" s="24"/>
      <c r="G987" s="23"/>
      <c r="H987" s="54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  <c r="Y987" s="54"/>
      <c r="Z987" s="54"/>
      <c r="AA987" s="54"/>
      <c r="AB987" s="54"/>
      <c r="AC987" s="54"/>
      <c r="AD987" s="54"/>
    </row>
    <row r="988" spans="2:30" s="28" customFormat="1" ht="15" customHeight="1" x14ac:dyDescent="0.2">
      <c r="B988" s="23"/>
      <c r="C988" s="23"/>
      <c r="D988" s="24"/>
      <c r="G988" s="23"/>
      <c r="H988" s="54"/>
      <c r="I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4"/>
      <c r="Y988" s="54"/>
      <c r="Z988" s="54"/>
      <c r="AA988" s="54"/>
      <c r="AB988" s="54"/>
      <c r="AC988" s="54"/>
      <c r="AD988" s="54"/>
    </row>
    <row r="989" spans="2:30" s="28" customFormat="1" ht="15" customHeight="1" x14ac:dyDescent="0.2">
      <c r="B989" s="23"/>
      <c r="C989" s="23"/>
      <c r="D989" s="24"/>
      <c r="G989" s="23"/>
      <c r="H989" s="54"/>
      <c r="I989" s="54"/>
      <c r="J989" s="54"/>
      <c r="K989" s="54"/>
      <c r="L989" s="54"/>
      <c r="M989" s="54"/>
      <c r="N989" s="54"/>
      <c r="O989" s="54"/>
      <c r="P989" s="54"/>
      <c r="Q989" s="54"/>
      <c r="R989" s="54"/>
      <c r="S989" s="54"/>
      <c r="T989" s="54"/>
      <c r="U989" s="54"/>
      <c r="V989" s="54"/>
      <c r="W989" s="54"/>
      <c r="X989" s="54"/>
      <c r="Y989" s="54"/>
      <c r="Z989" s="54"/>
      <c r="AA989" s="54"/>
      <c r="AB989" s="54"/>
      <c r="AC989" s="54"/>
      <c r="AD989" s="54"/>
    </row>
    <row r="990" spans="2:30" s="28" customFormat="1" ht="15" customHeight="1" x14ac:dyDescent="0.2">
      <c r="B990" s="23"/>
      <c r="C990" s="23"/>
      <c r="D990" s="24"/>
      <c r="G990" s="23"/>
      <c r="H990" s="54"/>
      <c r="I990" s="54"/>
      <c r="J990" s="54"/>
      <c r="K990" s="54"/>
      <c r="L990" s="54"/>
      <c r="M990" s="54"/>
      <c r="N990" s="54"/>
      <c r="O990" s="54"/>
      <c r="P990" s="54"/>
      <c r="Q990" s="54"/>
      <c r="R990" s="54"/>
      <c r="S990" s="54"/>
      <c r="T990" s="54"/>
      <c r="U990" s="54"/>
      <c r="V990" s="54"/>
      <c r="W990" s="54"/>
      <c r="X990" s="54"/>
      <c r="Y990" s="54"/>
      <c r="Z990" s="54"/>
      <c r="AA990" s="54"/>
      <c r="AB990" s="54"/>
      <c r="AC990" s="54"/>
      <c r="AD990" s="54"/>
    </row>
    <row r="991" spans="2:30" s="28" customFormat="1" ht="15" customHeight="1" x14ac:dyDescent="0.2">
      <c r="B991" s="23"/>
      <c r="C991" s="23"/>
      <c r="D991" s="24"/>
      <c r="G991" s="23"/>
      <c r="H991" s="54"/>
      <c r="I991" s="54"/>
      <c r="J991" s="54"/>
      <c r="K991" s="54"/>
      <c r="L991" s="54"/>
      <c r="M991" s="54"/>
      <c r="N991" s="54"/>
      <c r="O991" s="54"/>
      <c r="P991" s="54"/>
      <c r="Q991" s="54"/>
      <c r="R991" s="54"/>
      <c r="S991" s="54"/>
      <c r="T991" s="54"/>
      <c r="U991" s="54"/>
      <c r="V991" s="54"/>
      <c r="W991" s="54"/>
      <c r="X991" s="54"/>
      <c r="Y991" s="54"/>
      <c r="Z991" s="54"/>
      <c r="AA991" s="54"/>
      <c r="AB991" s="54"/>
      <c r="AC991" s="54"/>
      <c r="AD991" s="54"/>
    </row>
    <row r="992" spans="2:30" s="28" customFormat="1" ht="15" customHeight="1" x14ac:dyDescent="0.2">
      <c r="B992" s="23"/>
      <c r="C992" s="23"/>
      <c r="D992" s="24"/>
      <c r="G992" s="23"/>
      <c r="H992" s="54"/>
      <c r="I992" s="54"/>
      <c r="J992" s="54"/>
      <c r="K992" s="54"/>
      <c r="L992" s="54"/>
      <c r="M992" s="54"/>
      <c r="N992" s="54"/>
      <c r="O992" s="54"/>
      <c r="P992" s="54"/>
      <c r="Q992" s="54"/>
      <c r="R992" s="54"/>
      <c r="S992" s="54"/>
      <c r="T992" s="54"/>
      <c r="U992" s="54"/>
      <c r="V992" s="54"/>
      <c r="W992" s="54"/>
      <c r="X992" s="54"/>
      <c r="Y992" s="54"/>
      <c r="Z992" s="54"/>
      <c r="AA992" s="54"/>
      <c r="AB992" s="54"/>
      <c r="AC992" s="54"/>
      <c r="AD992" s="54"/>
    </row>
    <row r="993" spans="2:30" s="28" customFormat="1" ht="15" customHeight="1" x14ac:dyDescent="0.2">
      <c r="B993" s="23"/>
      <c r="C993" s="23"/>
      <c r="D993" s="24"/>
      <c r="G993" s="23"/>
      <c r="H993" s="54"/>
      <c r="I993" s="54"/>
      <c r="J993" s="54"/>
      <c r="K993" s="54"/>
      <c r="L993" s="54"/>
      <c r="M993" s="54"/>
      <c r="N993" s="54"/>
      <c r="O993" s="54"/>
      <c r="P993" s="54"/>
      <c r="Q993" s="54"/>
      <c r="R993" s="54"/>
      <c r="S993" s="54"/>
      <c r="T993" s="54"/>
      <c r="U993" s="54"/>
      <c r="V993" s="54"/>
      <c r="W993" s="54"/>
      <c r="X993" s="54"/>
      <c r="Y993" s="54"/>
      <c r="Z993" s="54"/>
      <c r="AA993" s="54"/>
      <c r="AB993" s="54"/>
      <c r="AC993" s="54"/>
      <c r="AD993" s="54"/>
    </row>
    <row r="994" spans="2:30" s="28" customFormat="1" ht="15" customHeight="1" x14ac:dyDescent="0.2">
      <c r="B994" s="23"/>
      <c r="C994" s="23"/>
      <c r="D994" s="24"/>
      <c r="G994" s="23"/>
      <c r="H994" s="54"/>
      <c r="I994" s="54"/>
      <c r="J994" s="54"/>
      <c r="K994" s="54"/>
      <c r="L994" s="54"/>
      <c r="M994" s="54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4"/>
      <c r="Y994" s="54"/>
      <c r="Z994" s="54"/>
      <c r="AA994" s="54"/>
      <c r="AB994" s="54"/>
      <c r="AC994" s="54"/>
      <c r="AD994" s="54"/>
    </row>
    <row r="995" spans="2:30" s="28" customFormat="1" ht="15" customHeight="1" x14ac:dyDescent="0.2">
      <c r="B995" s="23"/>
      <c r="C995" s="23"/>
      <c r="D995" s="24"/>
      <c r="G995" s="23"/>
      <c r="H995" s="54"/>
      <c r="I995" s="54"/>
      <c r="J995" s="54"/>
      <c r="K995" s="54"/>
      <c r="L995" s="54"/>
      <c r="M995" s="54"/>
      <c r="N995" s="54"/>
      <c r="O995" s="54"/>
      <c r="P995" s="54"/>
      <c r="Q995" s="54"/>
      <c r="R995" s="54"/>
      <c r="S995" s="54"/>
      <c r="T995" s="54"/>
      <c r="U995" s="54"/>
      <c r="V995" s="54"/>
      <c r="W995" s="54"/>
      <c r="X995" s="54"/>
      <c r="Y995" s="54"/>
      <c r="Z995" s="54"/>
      <c r="AA995" s="54"/>
      <c r="AB995" s="54"/>
      <c r="AC995" s="54"/>
      <c r="AD995" s="54"/>
    </row>
    <row r="996" spans="2:30" s="28" customFormat="1" ht="15" customHeight="1" x14ac:dyDescent="0.2">
      <c r="B996" s="23"/>
      <c r="C996" s="23"/>
      <c r="D996" s="24"/>
      <c r="G996" s="23"/>
      <c r="H996" s="54"/>
      <c r="I996" s="54"/>
      <c r="J996" s="54"/>
      <c r="K996" s="54"/>
      <c r="L996" s="54"/>
      <c r="M996" s="54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4"/>
      <c r="Y996" s="54"/>
      <c r="Z996" s="54"/>
      <c r="AA996" s="54"/>
      <c r="AB996" s="54"/>
      <c r="AC996" s="54"/>
      <c r="AD996" s="54"/>
    </row>
    <row r="997" spans="2:30" s="28" customFormat="1" ht="15" customHeight="1" x14ac:dyDescent="0.2">
      <c r="B997" s="23"/>
      <c r="C997" s="23"/>
      <c r="D997" s="24"/>
      <c r="G997" s="23"/>
      <c r="H997" s="54"/>
      <c r="I997" s="54"/>
      <c r="J997" s="54"/>
      <c r="K997" s="54"/>
      <c r="L997" s="54"/>
      <c r="M997" s="54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4"/>
      <c r="Y997" s="54"/>
      <c r="Z997" s="54"/>
      <c r="AA997" s="54"/>
      <c r="AB997" s="54"/>
      <c r="AC997" s="54"/>
      <c r="AD997" s="54"/>
    </row>
    <row r="998" spans="2:30" s="28" customFormat="1" ht="15" customHeight="1" x14ac:dyDescent="0.2">
      <c r="B998" s="23"/>
      <c r="C998" s="23"/>
      <c r="D998" s="24"/>
      <c r="G998" s="23"/>
      <c r="H998" s="54"/>
      <c r="I998" s="54"/>
      <c r="J998" s="54"/>
      <c r="K998" s="54"/>
      <c r="L998" s="54"/>
      <c r="M998" s="54"/>
      <c r="N998" s="54"/>
      <c r="O998" s="54"/>
      <c r="P998" s="54"/>
      <c r="Q998" s="54"/>
      <c r="R998" s="54"/>
      <c r="S998" s="54"/>
      <c r="T998" s="54"/>
      <c r="U998" s="54"/>
      <c r="V998" s="54"/>
      <c r="W998" s="54"/>
      <c r="X998" s="54"/>
      <c r="Y998" s="54"/>
      <c r="Z998" s="54"/>
      <c r="AA998" s="54"/>
      <c r="AB998" s="54"/>
      <c r="AC998" s="54"/>
      <c r="AD998" s="54"/>
    </row>
    <row r="999" spans="2:30" s="28" customFormat="1" ht="15" customHeight="1" x14ac:dyDescent="0.2">
      <c r="B999" s="23"/>
      <c r="C999" s="23"/>
      <c r="D999" s="24"/>
      <c r="G999" s="23"/>
      <c r="H999" s="54"/>
      <c r="I999" s="54"/>
      <c r="J999" s="54"/>
      <c r="K999" s="54"/>
      <c r="L999" s="54"/>
      <c r="M999" s="54"/>
      <c r="N999" s="54"/>
      <c r="O999" s="54"/>
      <c r="P999" s="54"/>
      <c r="Q999" s="54"/>
      <c r="R999" s="54"/>
      <c r="S999" s="54"/>
      <c r="T999" s="54"/>
      <c r="U999" s="54"/>
      <c r="V999" s="54"/>
      <c r="W999" s="54"/>
      <c r="X999" s="54"/>
      <c r="Y999" s="54"/>
      <c r="Z999" s="54"/>
      <c r="AA999" s="54"/>
      <c r="AB999" s="54"/>
      <c r="AC999" s="54"/>
      <c r="AD999" s="54"/>
    </row>
    <row r="1000" spans="2:30" s="28" customFormat="1" ht="15" customHeight="1" x14ac:dyDescent="0.2">
      <c r="B1000" s="23"/>
      <c r="C1000" s="23"/>
      <c r="D1000" s="24"/>
      <c r="G1000" s="23"/>
      <c r="H1000" s="54"/>
      <c r="I1000" s="54"/>
      <c r="J1000" s="54"/>
      <c r="K1000" s="54"/>
      <c r="L1000" s="54"/>
      <c r="M1000" s="54"/>
      <c r="N1000" s="54"/>
      <c r="O1000" s="54"/>
      <c r="P1000" s="54"/>
      <c r="Q1000" s="54"/>
      <c r="R1000" s="54"/>
      <c r="S1000" s="54"/>
      <c r="T1000" s="54"/>
      <c r="U1000" s="54"/>
      <c r="V1000" s="54"/>
      <c r="W1000" s="54"/>
      <c r="X1000" s="54"/>
      <c r="Y1000" s="54"/>
      <c r="Z1000" s="54"/>
      <c r="AA1000" s="54"/>
      <c r="AB1000" s="54"/>
      <c r="AC1000" s="54"/>
      <c r="AD1000" s="54"/>
    </row>
    <row r="1001" spans="2:30" s="28" customFormat="1" ht="15" customHeight="1" x14ac:dyDescent="0.2">
      <c r="B1001" s="23"/>
      <c r="C1001" s="23"/>
      <c r="D1001" s="24"/>
      <c r="G1001" s="23"/>
      <c r="H1001" s="54"/>
      <c r="I1001" s="54"/>
      <c r="J1001" s="54"/>
      <c r="K1001" s="54"/>
      <c r="L1001" s="54"/>
      <c r="M1001" s="54"/>
      <c r="N1001" s="54"/>
      <c r="O1001" s="54"/>
      <c r="P1001" s="54"/>
      <c r="Q1001" s="54"/>
      <c r="R1001" s="54"/>
      <c r="S1001" s="54"/>
      <c r="T1001" s="54"/>
      <c r="U1001" s="54"/>
      <c r="V1001" s="54"/>
      <c r="W1001" s="54"/>
      <c r="X1001" s="54"/>
      <c r="Y1001" s="54"/>
      <c r="Z1001" s="54"/>
      <c r="AA1001" s="54"/>
      <c r="AB1001" s="54"/>
      <c r="AC1001" s="54"/>
      <c r="AD1001" s="54"/>
    </row>
    <row r="1002" spans="2:30" s="28" customFormat="1" ht="15" customHeight="1" x14ac:dyDescent="0.2">
      <c r="B1002" s="23"/>
      <c r="C1002" s="23"/>
      <c r="D1002" s="24"/>
      <c r="G1002" s="23"/>
      <c r="H1002" s="54"/>
      <c r="I1002" s="54"/>
      <c r="J1002" s="54"/>
      <c r="K1002" s="54"/>
      <c r="L1002" s="54"/>
      <c r="M1002" s="54"/>
      <c r="N1002" s="54"/>
      <c r="O1002" s="54"/>
      <c r="P1002" s="54"/>
      <c r="Q1002" s="54"/>
      <c r="R1002" s="54"/>
      <c r="S1002" s="54"/>
      <c r="T1002" s="54"/>
      <c r="U1002" s="54"/>
      <c r="V1002" s="54"/>
      <c r="W1002" s="54"/>
      <c r="X1002" s="54"/>
      <c r="Y1002" s="54"/>
      <c r="Z1002" s="54"/>
      <c r="AA1002" s="54"/>
      <c r="AB1002" s="54"/>
      <c r="AC1002" s="54"/>
      <c r="AD1002" s="54"/>
    </row>
    <row r="1003" spans="2:30" s="28" customFormat="1" ht="15" customHeight="1" x14ac:dyDescent="0.2">
      <c r="B1003" s="23"/>
      <c r="C1003" s="23"/>
      <c r="D1003" s="24"/>
      <c r="G1003" s="23"/>
      <c r="H1003" s="54"/>
      <c r="I1003" s="54"/>
      <c r="J1003" s="54"/>
      <c r="K1003" s="54"/>
      <c r="L1003" s="54"/>
      <c r="M1003" s="54"/>
      <c r="N1003" s="54"/>
      <c r="O1003" s="54"/>
      <c r="P1003" s="54"/>
      <c r="Q1003" s="54"/>
      <c r="R1003" s="54"/>
      <c r="S1003" s="54"/>
      <c r="T1003" s="54"/>
      <c r="U1003" s="54"/>
      <c r="V1003" s="54"/>
      <c r="W1003" s="54"/>
      <c r="X1003" s="54"/>
      <c r="Y1003" s="54"/>
      <c r="Z1003" s="54"/>
      <c r="AA1003" s="54"/>
      <c r="AB1003" s="54"/>
      <c r="AC1003" s="54"/>
      <c r="AD1003" s="54"/>
    </row>
    <row r="1004" spans="2:30" s="28" customFormat="1" ht="15" customHeight="1" x14ac:dyDescent="0.2">
      <c r="B1004" s="23"/>
      <c r="C1004" s="23"/>
      <c r="D1004" s="24"/>
      <c r="G1004" s="23"/>
      <c r="H1004" s="54"/>
      <c r="I1004" s="54"/>
      <c r="J1004" s="54"/>
      <c r="K1004" s="54"/>
      <c r="L1004" s="54"/>
      <c r="M1004" s="54"/>
      <c r="N1004" s="54"/>
      <c r="O1004" s="54"/>
      <c r="P1004" s="54"/>
      <c r="Q1004" s="54"/>
      <c r="R1004" s="54"/>
      <c r="S1004" s="54"/>
      <c r="T1004" s="54"/>
      <c r="U1004" s="54"/>
      <c r="V1004" s="54"/>
      <c r="W1004" s="54"/>
      <c r="X1004" s="54"/>
      <c r="Y1004" s="54"/>
      <c r="Z1004" s="54"/>
      <c r="AA1004" s="54"/>
      <c r="AB1004" s="54"/>
      <c r="AC1004" s="54"/>
      <c r="AD1004" s="54"/>
    </row>
    <row r="1005" spans="2:30" s="28" customFormat="1" ht="15" customHeight="1" x14ac:dyDescent="0.2">
      <c r="B1005" s="23"/>
      <c r="C1005" s="23"/>
      <c r="D1005" s="24"/>
      <c r="G1005" s="23"/>
      <c r="H1005" s="54"/>
      <c r="I1005" s="54"/>
      <c r="J1005" s="54"/>
      <c r="K1005" s="54"/>
      <c r="L1005" s="54"/>
      <c r="M1005" s="54"/>
      <c r="N1005" s="54"/>
      <c r="O1005" s="54"/>
      <c r="P1005" s="54"/>
      <c r="Q1005" s="54"/>
      <c r="R1005" s="54"/>
      <c r="S1005" s="54"/>
      <c r="T1005" s="54"/>
      <c r="U1005" s="54"/>
      <c r="V1005" s="54"/>
      <c r="W1005" s="54"/>
      <c r="X1005" s="54"/>
      <c r="Y1005" s="54"/>
      <c r="Z1005" s="54"/>
      <c r="AA1005" s="54"/>
      <c r="AB1005" s="54"/>
      <c r="AC1005" s="54"/>
      <c r="AD1005" s="54"/>
    </row>
    <row r="1006" spans="2:30" s="28" customFormat="1" ht="15" customHeight="1" x14ac:dyDescent="0.2">
      <c r="B1006" s="23"/>
      <c r="C1006" s="23"/>
      <c r="D1006" s="24"/>
      <c r="G1006" s="23"/>
      <c r="H1006" s="54"/>
      <c r="I1006" s="54"/>
      <c r="J1006" s="54"/>
      <c r="K1006" s="54"/>
      <c r="L1006" s="54"/>
      <c r="M1006" s="54"/>
      <c r="N1006" s="54"/>
      <c r="O1006" s="54"/>
      <c r="P1006" s="54"/>
      <c r="Q1006" s="54"/>
      <c r="R1006" s="54"/>
      <c r="S1006" s="54"/>
      <c r="T1006" s="54"/>
      <c r="U1006" s="54"/>
      <c r="V1006" s="54"/>
      <c r="W1006" s="54"/>
      <c r="X1006" s="54"/>
      <c r="Y1006" s="54"/>
      <c r="Z1006" s="54"/>
      <c r="AA1006" s="54"/>
      <c r="AB1006" s="54"/>
      <c r="AC1006" s="54"/>
      <c r="AD1006" s="54"/>
    </row>
    <row r="1007" spans="2:30" s="28" customFormat="1" ht="15" customHeight="1" x14ac:dyDescent="0.2">
      <c r="B1007" s="23"/>
      <c r="C1007" s="23"/>
      <c r="D1007" s="24"/>
      <c r="G1007" s="23"/>
      <c r="H1007" s="54"/>
      <c r="I1007" s="54"/>
      <c r="J1007" s="54"/>
      <c r="K1007" s="54"/>
      <c r="L1007" s="54"/>
      <c r="M1007" s="54"/>
      <c r="N1007" s="54"/>
      <c r="O1007" s="54"/>
      <c r="P1007" s="54"/>
      <c r="Q1007" s="54"/>
      <c r="R1007" s="54"/>
      <c r="S1007" s="54"/>
      <c r="T1007" s="54"/>
      <c r="U1007" s="54"/>
      <c r="V1007" s="54"/>
      <c r="W1007" s="54"/>
      <c r="X1007" s="54"/>
      <c r="Y1007" s="54"/>
      <c r="Z1007" s="54"/>
      <c r="AA1007" s="54"/>
      <c r="AB1007" s="54"/>
      <c r="AC1007" s="54"/>
      <c r="AD1007" s="54"/>
    </row>
    <row r="1008" spans="2:30" s="28" customFormat="1" ht="15" customHeight="1" x14ac:dyDescent="0.2">
      <c r="B1008" s="23"/>
      <c r="C1008" s="23"/>
      <c r="D1008" s="24"/>
      <c r="G1008" s="23"/>
      <c r="H1008" s="54"/>
      <c r="I1008" s="54"/>
      <c r="J1008" s="54"/>
      <c r="K1008" s="54"/>
      <c r="L1008" s="54"/>
      <c r="M1008" s="54"/>
      <c r="N1008" s="54"/>
      <c r="O1008" s="54"/>
      <c r="P1008" s="54"/>
      <c r="Q1008" s="54"/>
      <c r="R1008" s="54"/>
      <c r="S1008" s="54"/>
      <c r="T1008" s="54"/>
      <c r="U1008" s="54"/>
      <c r="V1008" s="54"/>
      <c r="W1008" s="54"/>
      <c r="X1008" s="54"/>
      <c r="Y1008" s="54"/>
      <c r="Z1008" s="54"/>
      <c r="AA1008" s="54"/>
      <c r="AB1008" s="54"/>
      <c r="AC1008" s="54"/>
      <c r="AD1008" s="54"/>
    </row>
    <row r="1009" spans="2:30" s="28" customFormat="1" ht="15" customHeight="1" x14ac:dyDescent="0.2">
      <c r="B1009" s="23"/>
      <c r="C1009" s="23"/>
      <c r="D1009" s="24"/>
      <c r="G1009" s="23"/>
      <c r="H1009" s="54"/>
      <c r="I1009" s="54"/>
      <c r="J1009" s="54"/>
      <c r="K1009" s="54"/>
      <c r="L1009" s="54"/>
      <c r="M1009" s="54"/>
      <c r="N1009" s="54"/>
      <c r="O1009" s="54"/>
      <c r="P1009" s="54"/>
      <c r="Q1009" s="54"/>
      <c r="R1009" s="54"/>
      <c r="S1009" s="54"/>
      <c r="T1009" s="54"/>
      <c r="U1009" s="54"/>
      <c r="V1009" s="54"/>
      <c r="W1009" s="54"/>
      <c r="X1009" s="54"/>
      <c r="Y1009" s="54"/>
      <c r="Z1009" s="54"/>
      <c r="AA1009" s="54"/>
      <c r="AB1009" s="54"/>
      <c r="AC1009" s="54"/>
      <c r="AD1009" s="54"/>
    </row>
    <row r="1010" spans="2:30" s="28" customFormat="1" ht="15" customHeight="1" x14ac:dyDescent="0.2">
      <c r="B1010" s="23"/>
      <c r="C1010" s="23"/>
      <c r="D1010" s="24"/>
      <c r="G1010" s="23"/>
      <c r="H1010" s="54"/>
      <c r="I1010" s="54"/>
      <c r="J1010" s="54"/>
      <c r="K1010" s="54"/>
      <c r="L1010" s="54"/>
      <c r="M1010" s="54"/>
      <c r="N1010" s="54"/>
      <c r="O1010" s="54"/>
      <c r="P1010" s="54"/>
      <c r="Q1010" s="54"/>
      <c r="R1010" s="54"/>
      <c r="S1010" s="54"/>
      <c r="T1010" s="54"/>
      <c r="U1010" s="54"/>
      <c r="V1010" s="54"/>
      <c r="W1010" s="54"/>
      <c r="X1010" s="54"/>
      <c r="Y1010" s="54"/>
      <c r="Z1010" s="54"/>
      <c r="AA1010" s="54"/>
      <c r="AB1010" s="54"/>
      <c r="AC1010" s="54"/>
      <c r="AD1010" s="54"/>
    </row>
    <row r="1011" spans="2:30" s="28" customFormat="1" ht="15" customHeight="1" x14ac:dyDescent="0.2">
      <c r="B1011" s="23"/>
      <c r="C1011" s="23"/>
      <c r="D1011" s="24"/>
      <c r="G1011" s="23"/>
      <c r="H1011" s="54"/>
      <c r="I1011" s="54"/>
      <c r="J1011" s="54"/>
      <c r="K1011" s="54"/>
      <c r="L1011" s="54"/>
      <c r="M1011" s="54"/>
      <c r="N1011" s="54"/>
      <c r="O1011" s="54"/>
      <c r="P1011" s="54"/>
      <c r="Q1011" s="54"/>
      <c r="R1011" s="54"/>
      <c r="S1011" s="54"/>
      <c r="T1011" s="54"/>
      <c r="U1011" s="54"/>
      <c r="V1011" s="54"/>
      <c r="W1011" s="54"/>
      <c r="X1011" s="54"/>
      <c r="Y1011" s="54"/>
      <c r="Z1011" s="54"/>
      <c r="AA1011" s="54"/>
      <c r="AB1011" s="54"/>
      <c r="AC1011" s="54"/>
      <c r="AD1011" s="54"/>
    </row>
    <row r="1012" spans="2:30" s="28" customFormat="1" ht="15" customHeight="1" x14ac:dyDescent="0.2">
      <c r="B1012" s="23"/>
      <c r="C1012" s="23"/>
      <c r="D1012" s="24"/>
      <c r="G1012" s="23"/>
      <c r="H1012" s="54"/>
      <c r="I1012" s="54"/>
      <c r="J1012" s="54"/>
      <c r="K1012" s="54"/>
      <c r="L1012" s="54"/>
      <c r="M1012" s="54"/>
      <c r="N1012" s="54"/>
      <c r="O1012" s="54"/>
      <c r="P1012" s="54"/>
      <c r="Q1012" s="54"/>
      <c r="R1012" s="54"/>
      <c r="S1012" s="54"/>
      <c r="T1012" s="54"/>
      <c r="U1012" s="54"/>
      <c r="V1012" s="54"/>
      <c r="W1012" s="54"/>
      <c r="X1012" s="54"/>
      <c r="Y1012" s="54"/>
      <c r="Z1012" s="54"/>
      <c r="AA1012" s="54"/>
      <c r="AB1012" s="54"/>
      <c r="AC1012" s="54"/>
      <c r="AD1012" s="54"/>
    </row>
    <row r="1013" spans="2:30" s="28" customFormat="1" ht="15" customHeight="1" x14ac:dyDescent="0.2">
      <c r="B1013" s="23"/>
      <c r="C1013" s="23"/>
      <c r="D1013" s="24"/>
      <c r="G1013" s="23"/>
      <c r="H1013" s="54"/>
      <c r="I1013" s="54"/>
      <c r="J1013" s="54"/>
      <c r="K1013" s="54"/>
      <c r="L1013" s="54"/>
      <c r="M1013" s="54"/>
      <c r="N1013" s="54"/>
      <c r="O1013" s="54"/>
      <c r="P1013" s="54"/>
      <c r="Q1013" s="54"/>
      <c r="R1013" s="54"/>
      <c r="S1013" s="54"/>
      <c r="T1013" s="54"/>
      <c r="U1013" s="54"/>
      <c r="V1013" s="54"/>
      <c r="W1013" s="54"/>
      <c r="X1013" s="54"/>
      <c r="Y1013" s="54"/>
      <c r="Z1013" s="54"/>
      <c r="AA1013" s="54"/>
      <c r="AB1013" s="54"/>
      <c r="AC1013" s="54"/>
      <c r="AD1013" s="54"/>
    </row>
    <row r="1014" spans="2:30" s="28" customFormat="1" ht="15" customHeight="1" x14ac:dyDescent="0.2">
      <c r="B1014" s="23"/>
      <c r="C1014" s="23"/>
      <c r="D1014" s="24"/>
      <c r="G1014" s="23"/>
      <c r="H1014" s="54"/>
      <c r="I1014" s="54"/>
      <c r="J1014" s="54"/>
      <c r="K1014" s="54"/>
      <c r="L1014" s="54"/>
      <c r="M1014" s="54"/>
      <c r="N1014" s="54"/>
      <c r="O1014" s="54"/>
      <c r="P1014" s="54"/>
      <c r="Q1014" s="54"/>
      <c r="R1014" s="54"/>
      <c r="S1014" s="54"/>
      <c r="T1014" s="54"/>
      <c r="U1014" s="54"/>
      <c r="V1014" s="54"/>
      <c r="W1014" s="54"/>
      <c r="X1014" s="54"/>
      <c r="Y1014" s="54"/>
      <c r="Z1014" s="54"/>
      <c r="AA1014" s="54"/>
      <c r="AB1014" s="54"/>
      <c r="AC1014" s="54"/>
      <c r="AD1014" s="54"/>
    </row>
    <row r="1015" spans="2:30" s="28" customFormat="1" ht="15" customHeight="1" x14ac:dyDescent="0.2">
      <c r="B1015" s="23"/>
      <c r="C1015" s="23"/>
      <c r="D1015" s="24"/>
      <c r="G1015" s="23"/>
      <c r="H1015" s="54"/>
      <c r="I1015" s="54"/>
      <c r="J1015" s="54"/>
      <c r="K1015" s="54"/>
      <c r="L1015" s="54"/>
      <c r="M1015" s="54"/>
      <c r="N1015" s="54"/>
      <c r="O1015" s="54"/>
      <c r="P1015" s="54"/>
      <c r="Q1015" s="54"/>
      <c r="R1015" s="54"/>
      <c r="S1015" s="54"/>
      <c r="T1015" s="54"/>
      <c r="U1015" s="54"/>
      <c r="V1015" s="54"/>
      <c r="W1015" s="54"/>
      <c r="X1015" s="54"/>
      <c r="Y1015" s="54"/>
      <c r="Z1015" s="54"/>
      <c r="AA1015" s="54"/>
      <c r="AB1015" s="54"/>
      <c r="AC1015" s="54"/>
      <c r="AD1015" s="54"/>
    </row>
    <row r="1016" spans="2:30" s="28" customFormat="1" ht="15" customHeight="1" x14ac:dyDescent="0.2">
      <c r="B1016" s="23"/>
      <c r="C1016" s="23"/>
      <c r="D1016" s="24"/>
      <c r="G1016" s="23"/>
      <c r="H1016" s="54"/>
      <c r="I1016" s="54"/>
      <c r="J1016" s="54"/>
      <c r="K1016" s="54"/>
      <c r="L1016" s="54"/>
      <c r="M1016" s="54"/>
      <c r="N1016" s="54"/>
      <c r="O1016" s="54"/>
      <c r="P1016" s="54"/>
      <c r="Q1016" s="54"/>
      <c r="R1016" s="54"/>
      <c r="S1016" s="54"/>
      <c r="T1016" s="54"/>
      <c r="U1016" s="54"/>
      <c r="V1016" s="54"/>
      <c r="W1016" s="54"/>
      <c r="X1016" s="54"/>
      <c r="Y1016" s="54"/>
      <c r="Z1016" s="54"/>
      <c r="AA1016" s="54"/>
      <c r="AB1016" s="54"/>
      <c r="AC1016" s="54"/>
      <c r="AD1016" s="54"/>
    </row>
    <row r="1017" spans="2:30" s="28" customFormat="1" ht="15" customHeight="1" x14ac:dyDescent="0.2">
      <c r="B1017" s="23"/>
      <c r="C1017" s="23"/>
      <c r="D1017" s="24"/>
      <c r="G1017" s="23"/>
      <c r="H1017" s="54"/>
      <c r="I1017" s="54"/>
      <c r="J1017" s="54"/>
      <c r="K1017" s="54"/>
      <c r="L1017" s="54"/>
      <c r="M1017" s="54"/>
      <c r="N1017" s="54"/>
      <c r="O1017" s="54"/>
      <c r="P1017" s="54"/>
      <c r="Q1017" s="54"/>
      <c r="R1017" s="54"/>
      <c r="S1017" s="54"/>
      <c r="T1017" s="54"/>
      <c r="U1017" s="54"/>
      <c r="V1017" s="54"/>
      <c r="W1017" s="54"/>
      <c r="X1017" s="54"/>
      <c r="Y1017" s="54"/>
      <c r="Z1017" s="54"/>
      <c r="AA1017" s="54"/>
      <c r="AB1017" s="54"/>
      <c r="AC1017" s="54"/>
      <c r="AD1017" s="54"/>
    </row>
    <row r="1018" spans="2:30" s="28" customFormat="1" ht="15" customHeight="1" x14ac:dyDescent="0.2">
      <c r="B1018" s="23"/>
      <c r="C1018" s="23"/>
      <c r="D1018" s="24"/>
      <c r="G1018" s="23"/>
      <c r="H1018" s="54"/>
      <c r="I1018" s="54"/>
      <c r="J1018" s="54"/>
      <c r="K1018" s="54"/>
      <c r="L1018" s="54"/>
      <c r="M1018" s="54"/>
      <c r="N1018" s="54"/>
      <c r="O1018" s="54"/>
      <c r="P1018" s="54"/>
      <c r="Q1018" s="54"/>
      <c r="R1018" s="54"/>
      <c r="S1018" s="54"/>
      <c r="T1018" s="54"/>
      <c r="U1018" s="54"/>
      <c r="V1018" s="54"/>
      <c r="W1018" s="54"/>
      <c r="X1018" s="54"/>
      <c r="Y1018" s="54"/>
      <c r="Z1018" s="54"/>
      <c r="AA1018" s="54"/>
      <c r="AB1018" s="54"/>
      <c r="AC1018" s="54"/>
      <c r="AD1018" s="54"/>
    </row>
    <row r="1019" spans="2:30" s="28" customFormat="1" ht="15" customHeight="1" x14ac:dyDescent="0.2">
      <c r="B1019" s="23"/>
      <c r="C1019" s="23"/>
      <c r="D1019" s="24"/>
      <c r="G1019" s="23"/>
      <c r="H1019" s="54"/>
      <c r="I1019" s="54"/>
      <c r="J1019" s="54"/>
      <c r="K1019" s="54"/>
      <c r="L1019" s="54"/>
      <c r="M1019" s="54"/>
      <c r="N1019" s="54"/>
      <c r="O1019" s="54"/>
      <c r="P1019" s="54"/>
      <c r="Q1019" s="54"/>
      <c r="R1019" s="54"/>
      <c r="S1019" s="54"/>
      <c r="T1019" s="54"/>
      <c r="U1019" s="54"/>
      <c r="V1019" s="54"/>
      <c r="W1019" s="54"/>
      <c r="X1019" s="54"/>
      <c r="Y1019" s="54"/>
      <c r="Z1019" s="54"/>
      <c r="AA1019" s="54"/>
      <c r="AB1019" s="54"/>
      <c r="AC1019" s="54"/>
      <c r="AD1019" s="54"/>
    </row>
    <row r="1020" spans="2:30" s="28" customFormat="1" ht="15" customHeight="1" x14ac:dyDescent="0.2">
      <c r="B1020" s="23"/>
      <c r="C1020" s="23"/>
      <c r="D1020" s="24"/>
      <c r="G1020" s="23"/>
      <c r="H1020" s="54"/>
      <c r="I1020" s="54"/>
      <c r="J1020" s="54"/>
      <c r="K1020" s="54"/>
      <c r="L1020" s="54"/>
      <c r="M1020" s="54"/>
      <c r="N1020" s="54"/>
      <c r="O1020" s="54"/>
      <c r="P1020" s="54"/>
      <c r="Q1020" s="54"/>
      <c r="R1020" s="54"/>
      <c r="S1020" s="54"/>
      <c r="T1020" s="54"/>
      <c r="U1020" s="54"/>
      <c r="V1020" s="54"/>
      <c r="W1020" s="54"/>
      <c r="X1020" s="54"/>
      <c r="Y1020" s="54"/>
      <c r="Z1020" s="54"/>
      <c r="AA1020" s="54"/>
      <c r="AB1020" s="54"/>
      <c r="AC1020" s="54"/>
      <c r="AD1020" s="54"/>
    </row>
    <row r="1021" spans="2:30" s="28" customFormat="1" ht="15" customHeight="1" x14ac:dyDescent="0.2">
      <c r="B1021" s="23"/>
      <c r="C1021" s="23"/>
      <c r="D1021" s="24"/>
      <c r="G1021" s="23"/>
      <c r="H1021" s="54"/>
      <c r="I1021" s="54"/>
      <c r="J1021" s="54"/>
      <c r="K1021" s="54"/>
      <c r="L1021" s="54"/>
      <c r="M1021" s="54"/>
      <c r="N1021" s="54"/>
      <c r="O1021" s="54"/>
      <c r="P1021" s="54"/>
      <c r="Q1021" s="54"/>
      <c r="R1021" s="54"/>
      <c r="S1021" s="54"/>
      <c r="T1021" s="54"/>
      <c r="U1021" s="54"/>
      <c r="V1021" s="54"/>
      <c r="W1021" s="54"/>
      <c r="X1021" s="54"/>
      <c r="Y1021" s="54"/>
      <c r="Z1021" s="54"/>
      <c r="AA1021" s="54"/>
      <c r="AB1021" s="54"/>
      <c r="AC1021" s="54"/>
      <c r="AD1021" s="54"/>
    </row>
    <row r="1022" spans="2:30" s="28" customFormat="1" ht="15" customHeight="1" x14ac:dyDescent="0.2">
      <c r="B1022" s="23"/>
      <c r="C1022" s="23"/>
      <c r="D1022" s="24"/>
      <c r="G1022" s="23"/>
      <c r="H1022" s="54"/>
      <c r="I1022" s="54"/>
      <c r="J1022" s="54"/>
      <c r="K1022" s="54"/>
      <c r="L1022" s="54"/>
      <c r="M1022" s="54"/>
      <c r="N1022" s="54"/>
      <c r="O1022" s="54"/>
      <c r="P1022" s="54"/>
      <c r="Q1022" s="54"/>
      <c r="R1022" s="54"/>
      <c r="S1022" s="54"/>
      <c r="T1022" s="54"/>
      <c r="U1022" s="54"/>
      <c r="V1022" s="54"/>
      <c r="W1022" s="54"/>
      <c r="X1022" s="54"/>
      <c r="Y1022" s="54"/>
      <c r="Z1022" s="54"/>
      <c r="AA1022" s="54"/>
      <c r="AB1022" s="54"/>
      <c r="AC1022" s="54"/>
      <c r="AD1022" s="54"/>
    </row>
    <row r="1023" spans="2:30" s="28" customFormat="1" ht="15" customHeight="1" x14ac:dyDescent="0.2">
      <c r="B1023" s="23"/>
      <c r="C1023" s="23"/>
      <c r="D1023" s="24"/>
      <c r="G1023" s="23"/>
      <c r="H1023" s="54"/>
      <c r="I1023" s="54"/>
      <c r="J1023" s="54"/>
      <c r="K1023" s="54"/>
      <c r="L1023" s="54"/>
      <c r="M1023" s="54"/>
      <c r="N1023" s="54"/>
      <c r="O1023" s="54"/>
      <c r="P1023" s="54"/>
      <c r="Q1023" s="54"/>
      <c r="R1023" s="54"/>
      <c r="S1023" s="54"/>
      <c r="T1023" s="54"/>
      <c r="U1023" s="54"/>
      <c r="V1023" s="54"/>
      <c r="W1023" s="54"/>
      <c r="X1023" s="54"/>
      <c r="Y1023" s="54"/>
      <c r="Z1023" s="54"/>
      <c r="AA1023" s="54"/>
      <c r="AB1023" s="54"/>
      <c r="AC1023" s="54"/>
      <c r="AD1023" s="54"/>
    </row>
    <row r="1024" spans="2:30" s="28" customFormat="1" ht="15" customHeight="1" x14ac:dyDescent="0.2">
      <c r="B1024" s="23"/>
      <c r="C1024" s="23"/>
      <c r="D1024" s="24"/>
      <c r="G1024" s="23"/>
      <c r="H1024" s="54"/>
      <c r="I1024" s="54"/>
      <c r="J1024" s="54"/>
      <c r="K1024" s="54"/>
      <c r="L1024" s="54"/>
      <c r="M1024" s="54"/>
      <c r="N1024" s="54"/>
      <c r="O1024" s="54"/>
      <c r="P1024" s="54"/>
      <c r="Q1024" s="54"/>
      <c r="R1024" s="54"/>
      <c r="S1024" s="54"/>
      <c r="T1024" s="54"/>
      <c r="U1024" s="54"/>
      <c r="V1024" s="54"/>
      <c r="W1024" s="54"/>
      <c r="X1024" s="54"/>
      <c r="Y1024" s="54"/>
      <c r="Z1024" s="54"/>
      <c r="AA1024" s="54"/>
      <c r="AB1024" s="54"/>
      <c r="AC1024" s="54"/>
      <c r="AD1024" s="54"/>
    </row>
    <row r="1025" spans="2:30" s="28" customFormat="1" ht="15" customHeight="1" x14ac:dyDescent="0.2">
      <c r="B1025" s="23"/>
      <c r="C1025" s="23"/>
      <c r="D1025" s="24"/>
      <c r="G1025" s="23"/>
      <c r="H1025" s="54"/>
      <c r="I1025" s="54"/>
      <c r="J1025" s="54"/>
      <c r="K1025" s="54"/>
      <c r="L1025" s="54"/>
      <c r="M1025" s="54"/>
      <c r="N1025" s="54"/>
      <c r="O1025" s="54"/>
      <c r="P1025" s="54"/>
      <c r="Q1025" s="54"/>
      <c r="R1025" s="54"/>
      <c r="S1025" s="54"/>
      <c r="T1025" s="54"/>
      <c r="U1025" s="54"/>
      <c r="V1025" s="54"/>
      <c r="W1025" s="54"/>
      <c r="X1025" s="54"/>
      <c r="Y1025" s="54"/>
      <c r="Z1025" s="54"/>
      <c r="AA1025" s="54"/>
      <c r="AB1025" s="54"/>
      <c r="AC1025" s="54"/>
      <c r="AD1025" s="54"/>
    </row>
    <row r="1026" spans="2:30" s="28" customFormat="1" ht="15" customHeight="1" x14ac:dyDescent="0.2">
      <c r="B1026" s="23"/>
      <c r="C1026" s="23"/>
      <c r="D1026" s="24"/>
      <c r="G1026" s="23"/>
      <c r="H1026" s="54"/>
      <c r="I1026" s="54"/>
      <c r="J1026" s="54"/>
      <c r="K1026" s="54"/>
      <c r="L1026" s="54"/>
      <c r="M1026" s="54"/>
      <c r="N1026" s="54"/>
      <c r="O1026" s="54"/>
      <c r="P1026" s="54"/>
      <c r="Q1026" s="54"/>
      <c r="R1026" s="54"/>
      <c r="S1026" s="54"/>
      <c r="T1026" s="54"/>
      <c r="U1026" s="54"/>
      <c r="V1026" s="54"/>
      <c r="W1026" s="54"/>
      <c r="X1026" s="54"/>
      <c r="Y1026" s="54"/>
      <c r="Z1026" s="54"/>
      <c r="AA1026" s="54"/>
      <c r="AB1026" s="54"/>
      <c r="AC1026" s="54"/>
      <c r="AD1026" s="54"/>
    </row>
    <row r="1027" spans="2:30" s="28" customFormat="1" ht="15" customHeight="1" x14ac:dyDescent="0.2">
      <c r="B1027" s="23"/>
      <c r="C1027" s="23"/>
      <c r="D1027" s="24"/>
      <c r="G1027" s="23"/>
      <c r="H1027" s="54"/>
      <c r="I1027" s="54"/>
      <c r="J1027" s="54"/>
      <c r="K1027" s="54"/>
      <c r="L1027" s="54"/>
      <c r="M1027" s="54"/>
      <c r="N1027" s="54"/>
      <c r="O1027" s="54"/>
      <c r="P1027" s="54"/>
      <c r="Q1027" s="54"/>
      <c r="R1027" s="54"/>
      <c r="S1027" s="54"/>
      <c r="T1027" s="54"/>
      <c r="U1027" s="54"/>
      <c r="V1027" s="54"/>
      <c r="W1027" s="54"/>
      <c r="X1027" s="54"/>
      <c r="Y1027" s="54"/>
      <c r="Z1027" s="54"/>
      <c r="AA1027" s="54"/>
      <c r="AB1027" s="54"/>
      <c r="AC1027" s="54"/>
      <c r="AD1027" s="54"/>
    </row>
    <row r="1028" spans="2:30" s="28" customFormat="1" ht="15" customHeight="1" x14ac:dyDescent="0.2">
      <c r="B1028" s="23"/>
      <c r="C1028" s="23"/>
      <c r="D1028" s="24"/>
      <c r="G1028" s="23"/>
      <c r="H1028" s="54"/>
      <c r="I1028" s="54"/>
      <c r="J1028" s="54"/>
      <c r="K1028" s="54"/>
      <c r="L1028" s="54"/>
      <c r="M1028" s="54"/>
      <c r="N1028" s="54"/>
      <c r="O1028" s="54"/>
      <c r="P1028" s="54"/>
      <c r="Q1028" s="54"/>
      <c r="R1028" s="54"/>
      <c r="S1028" s="54"/>
      <c r="T1028" s="54"/>
      <c r="U1028" s="54"/>
      <c r="V1028" s="54"/>
      <c r="W1028" s="54"/>
      <c r="X1028" s="54"/>
      <c r="Y1028" s="54"/>
      <c r="Z1028" s="54"/>
      <c r="AA1028" s="54"/>
      <c r="AB1028" s="54"/>
      <c r="AC1028" s="54"/>
      <c r="AD1028" s="54"/>
    </row>
    <row r="1029" spans="2:30" s="28" customFormat="1" ht="15" customHeight="1" x14ac:dyDescent="0.2">
      <c r="B1029" s="23"/>
      <c r="C1029" s="23"/>
      <c r="D1029" s="24"/>
      <c r="G1029" s="23"/>
      <c r="H1029" s="54"/>
      <c r="I1029" s="54"/>
      <c r="J1029" s="54"/>
      <c r="K1029" s="54"/>
      <c r="L1029" s="54"/>
      <c r="M1029" s="54"/>
      <c r="N1029" s="54"/>
      <c r="O1029" s="54"/>
      <c r="P1029" s="54"/>
      <c r="Q1029" s="54"/>
      <c r="R1029" s="54"/>
      <c r="S1029" s="54"/>
      <c r="T1029" s="54"/>
      <c r="U1029" s="54"/>
      <c r="V1029" s="54"/>
      <c r="W1029" s="54"/>
      <c r="X1029" s="54"/>
      <c r="Y1029" s="54"/>
      <c r="Z1029" s="54"/>
      <c r="AA1029" s="54"/>
      <c r="AB1029" s="54"/>
      <c r="AC1029" s="54"/>
      <c r="AD1029" s="54"/>
    </row>
    <row r="1030" spans="2:30" s="28" customFormat="1" ht="15" customHeight="1" x14ac:dyDescent="0.2">
      <c r="B1030" s="23"/>
      <c r="C1030" s="23"/>
      <c r="D1030" s="24"/>
      <c r="G1030" s="23"/>
      <c r="H1030" s="54"/>
      <c r="I1030" s="54"/>
      <c r="J1030" s="54"/>
      <c r="K1030" s="54"/>
      <c r="L1030" s="54"/>
      <c r="M1030" s="54"/>
      <c r="N1030" s="54"/>
      <c r="O1030" s="54"/>
      <c r="P1030" s="54"/>
      <c r="Q1030" s="54"/>
      <c r="R1030" s="54"/>
      <c r="S1030" s="54"/>
      <c r="T1030" s="54"/>
      <c r="U1030" s="54"/>
      <c r="V1030" s="54"/>
      <c r="W1030" s="54"/>
      <c r="X1030" s="54"/>
      <c r="Y1030" s="54"/>
      <c r="Z1030" s="54"/>
      <c r="AA1030" s="54"/>
      <c r="AB1030" s="54"/>
      <c r="AC1030" s="54"/>
      <c r="AD1030" s="54"/>
    </row>
    <row r="1031" spans="2:30" s="28" customFormat="1" ht="15" customHeight="1" x14ac:dyDescent="0.2">
      <c r="B1031" s="23"/>
      <c r="C1031" s="23"/>
      <c r="D1031" s="24"/>
      <c r="G1031" s="23"/>
      <c r="H1031" s="54"/>
      <c r="I1031" s="54"/>
      <c r="J1031" s="54"/>
      <c r="K1031" s="54"/>
      <c r="L1031" s="54"/>
      <c r="M1031" s="54"/>
      <c r="N1031" s="54"/>
      <c r="O1031" s="54"/>
      <c r="P1031" s="54"/>
      <c r="Q1031" s="54"/>
      <c r="R1031" s="54"/>
      <c r="S1031" s="54"/>
      <c r="T1031" s="54"/>
      <c r="U1031" s="54"/>
      <c r="V1031" s="54"/>
      <c r="W1031" s="54"/>
      <c r="X1031" s="54"/>
      <c r="Y1031" s="54"/>
      <c r="Z1031" s="54"/>
      <c r="AA1031" s="54"/>
      <c r="AB1031" s="54"/>
      <c r="AC1031" s="54"/>
      <c r="AD1031" s="54"/>
    </row>
    <row r="1032" spans="2:30" s="28" customFormat="1" ht="15" customHeight="1" x14ac:dyDescent="0.2">
      <c r="B1032" s="23"/>
      <c r="C1032" s="23"/>
      <c r="D1032" s="24"/>
      <c r="G1032" s="23"/>
      <c r="H1032" s="54"/>
      <c r="I1032" s="54"/>
      <c r="J1032" s="54"/>
      <c r="K1032" s="54"/>
      <c r="L1032" s="54"/>
      <c r="M1032" s="54"/>
      <c r="N1032" s="54"/>
      <c r="O1032" s="54"/>
      <c r="P1032" s="54"/>
      <c r="Q1032" s="54"/>
      <c r="R1032" s="54"/>
      <c r="S1032" s="54"/>
      <c r="T1032" s="54"/>
      <c r="U1032" s="54"/>
      <c r="V1032" s="54"/>
      <c r="W1032" s="54"/>
      <c r="X1032" s="54"/>
      <c r="Y1032" s="54"/>
      <c r="Z1032" s="54"/>
      <c r="AA1032" s="54"/>
      <c r="AB1032" s="54"/>
      <c r="AC1032" s="54"/>
      <c r="AD1032" s="54"/>
    </row>
    <row r="1033" spans="2:30" s="28" customFormat="1" ht="15" customHeight="1" x14ac:dyDescent="0.2">
      <c r="B1033" s="23"/>
      <c r="C1033" s="23"/>
      <c r="D1033" s="24"/>
      <c r="G1033" s="23"/>
      <c r="H1033" s="54"/>
      <c r="I1033" s="54"/>
      <c r="J1033" s="54"/>
      <c r="K1033" s="54"/>
      <c r="L1033" s="54"/>
      <c r="M1033" s="54"/>
      <c r="N1033" s="54"/>
      <c r="O1033" s="54"/>
      <c r="P1033" s="54"/>
      <c r="Q1033" s="54"/>
      <c r="R1033" s="54"/>
      <c r="S1033" s="54"/>
      <c r="T1033" s="54"/>
      <c r="U1033" s="54"/>
      <c r="V1033" s="54"/>
      <c r="W1033" s="54"/>
      <c r="X1033" s="54"/>
      <c r="Y1033" s="54"/>
      <c r="Z1033" s="54"/>
      <c r="AA1033" s="54"/>
      <c r="AB1033" s="54"/>
      <c r="AC1033" s="54"/>
      <c r="AD1033" s="54"/>
    </row>
    <row r="1034" spans="2:30" s="28" customFormat="1" ht="15" customHeight="1" x14ac:dyDescent="0.2">
      <c r="B1034" s="23"/>
      <c r="C1034" s="23"/>
      <c r="D1034" s="24"/>
      <c r="G1034" s="23"/>
      <c r="H1034" s="54"/>
      <c r="I1034" s="54"/>
      <c r="J1034" s="54"/>
      <c r="K1034" s="54"/>
      <c r="L1034" s="54"/>
      <c r="M1034" s="54"/>
      <c r="N1034" s="54"/>
      <c r="O1034" s="54"/>
      <c r="P1034" s="54"/>
      <c r="Q1034" s="54"/>
      <c r="R1034" s="54"/>
      <c r="S1034" s="54"/>
      <c r="T1034" s="54"/>
      <c r="U1034" s="54"/>
      <c r="V1034" s="54"/>
      <c r="W1034" s="54"/>
      <c r="X1034" s="54"/>
      <c r="Y1034" s="54"/>
      <c r="Z1034" s="54"/>
      <c r="AA1034" s="54"/>
      <c r="AB1034" s="54"/>
      <c r="AC1034" s="54"/>
      <c r="AD1034" s="54"/>
    </row>
    <row r="1035" spans="2:30" s="28" customFormat="1" ht="15" customHeight="1" x14ac:dyDescent="0.2">
      <c r="B1035" s="23"/>
      <c r="C1035" s="23"/>
      <c r="D1035" s="24"/>
      <c r="G1035" s="23"/>
      <c r="H1035" s="54"/>
      <c r="I1035" s="54"/>
      <c r="J1035" s="54"/>
      <c r="K1035" s="54"/>
      <c r="L1035" s="54"/>
      <c r="M1035" s="54"/>
      <c r="N1035" s="54"/>
      <c r="O1035" s="54"/>
      <c r="P1035" s="54"/>
      <c r="Q1035" s="54"/>
      <c r="R1035" s="54"/>
      <c r="S1035" s="54"/>
      <c r="T1035" s="54"/>
      <c r="U1035" s="54"/>
      <c r="V1035" s="54"/>
      <c r="W1035" s="54"/>
      <c r="X1035" s="54"/>
      <c r="Y1035" s="54"/>
      <c r="Z1035" s="54"/>
      <c r="AA1035" s="54"/>
      <c r="AB1035" s="54"/>
      <c r="AC1035" s="54"/>
      <c r="AD1035" s="54"/>
    </row>
    <row r="1036" spans="2:30" s="28" customFormat="1" ht="15" customHeight="1" x14ac:dyDescent="0.2">
      <c r="B1036" s="23"/>
      <c r="C1036" s="23"/>
      <c r="D1036" s="24"/>
      <c r="G1036" s="23"/>
      <c r="H1036" s="54"/>
      <c r="I1036" s="54"/>
      <c r="J1036" s="54"/>
      <c r="K1036" s="54"/>
      <c r="L1036" s="54"/>
      <c r="M1036" s="54"/>
      <c r="N1036" s="54"/>
      <c r="O1036" s="54"/>
      <c r="P1036" s="54"/>
      <c r="Q1036" s="54"/>
      <c r="R1036" s="54"/>
      <c r="S1036" s="54"/>
      <c r="T1036" s="54"/>
      <c r="U1036" s="54"/>
      <c r="V1036" s="54"/>
      <c r="W1036" s="54"/>
      <c r="X1036" s="54"/>
      <c r="Y1036" s="54"/>
      <c r="Z1036" s="54"/>
      <c r="AA1036" s="54"/>
      <c r="AB1036" s="54"/>
      <c r="AC1036" s="54"/>
      <c r="AD1036" s="54"/>
    </row>
    <row r="1037" spans="2:30" s="28" customFormat="1" ht="15" customHeight="1" x14ac:dyDescent="0.2">
      <c r="B1037" s="23"/>
      <c r="C1037" s="23"/>
      <c r="D1037" s="24"/>
      <c r="G1037" s="23"/>
      <c r="H1037" s="54"/>
      <c r="I1037" s="54"/>
      <c r="J1037" s="54"/>
      <c r="K1037" s="54"/>
      <c r="L1037" s="54"/>
      <c r="M1037" s="54"/>
      <c r="N1037" s="54"/>
      <c r="O1037" s="54"/>
      <c r="P1037" s="54"/>
      <c r="Q1037" s="54"/>
      <c r="R1037" s="54"/>
      <c r="S1037" s="54"/>
      <c r="T1037" s="54"/>
      <c r="U1037" s="54"/>
      <c r="V1037" s="54"/>
      <c r="W1037" s="54"/>
      <c r="X1037" s="54"/>
      <c r="Y1037" s="54"/>
      <c r="Z1037" s="54"/>
      <c r="AA1037" s="54"/>
      <c r="AB1037" s="54"/>
      <c r="AC1037" s="54"/>
      <c r="AD1037" s="54"/>
    </row>
    <row r="1038" spans="2:30" s="28" customFormat="1" ht="15" customHeight="1" x14ac:dyDescent="0.2">
      <c r="B1038" s="23"/>
      <c r="C1038" s="23"/>
      <c r="D1038" s="24"/>
      <c r="G1038" s="23"/>
      <c r="H1038" s="54"/>
      <c r="I1038" s="54"/>
      <c r="J1038" s="54"/>
      <c r="K1038" s="54"/>
      <c r="L1038" s="54"/>
      <c r="M1038" s="54"/>
      <c r="N1038" s="54"/>
      <c r="O1038" s="54"/>
      <c r="P1038" s="54"/>
      <c r="Q1038" s="54"/>
      <c r="R1038" s="54"/>
      <c r="S1038" s="54"/>
      <c r="T1038" s="54"/>
      <c r="U1038" s="54"/>
      <c r="V1038" s="54"/>
      <c r="W1038" s="54"/>
      <c r="X1038" s="54"/>
      <c r="Y1038" s="54"/>
      <c r="Z1038" s="54"/>
      <c r="AA1038" s="54"/>
      <c r="AB1038" s="54"/>
      <c r="AC1038" s="54"/>
      <c r="AD1038" s="54"/>
    </row>
    <row r="1039" spans="2:30" s="28" customFormat="1" ht="15" customHeight="1" x14ac:dyDescent="0.2">
      <c r="B1039" s="23"/>
      <c r="C1039" s="23"/>
      <c r="D1039" s="24"/>
      <c r="G1039" s="23"/>
      <c r="H1039" s="54"/>
      <c r="I1039" s="54"/>
      <c r="J1039" s="54"/>
      <c r="K1039" s="54"/>
      <c r="L1039" s="54"/>
      <c r="M1039" s="54"/>
      <c r="N1039" s="54"/>
      <c r="O1039" s="54"/>
      <c r="P1039" s="54"/>
      <c r="Q1039" s="54"/>
      <c r="R1039" s="54"/>
      <c r="S1039" s="54"/>
      <c r="T1039" s="54"/>
      <c r="U1039" s="54"/>
      <c r="V1039" s="54"/>
      <c r="W1039" s="54"/>
      <c r="X1039" s="54"/>
      <c r="Y1039" s="54"/>
      <c r="Z1039" s="54"/>
      <c r="AA1039" s="54"/>
      <c r="AB1039" s="54"/>
      <c r="AC1039" s="54"/>
      <c r="AD1039" s="54"/>
    </row>
    <row r="1040" spans="2:30" s="28" customFormat="1" ht="15" customHeight="1" x14ac:dyDescent="0.2">
      <c r="B1040" s="23"/>
      <c r="C1040" s="23"/>
      <c r="D1040" s="24"/>
      <c r="G1040" s="23"/>
      <c r="H1040" s="54"/>
      <c r="I1040" s="54"/>
      <c r="J1040" s="54"/>
      <c r="K1040" s="54"/>
      <c r="L1040" s="54"/>
      <c r="M1040" s="54"/>
      <c r="N1040" s="54"/>
      <c r="O1040" s="54"/>
      <c r="P1040" s="54"/>
      <c r="Q1040" s="54"/>
      <c r="R1040" s="54"/>
      <c r="S1040" s="54"/>
      <c r="T1040" s="54"/>
      <c r="U1040" s="54"/>
      <c r="V1040" s="54"/>
      <c r="W1040" s="54"/>
      <c r="X1040" s="54"/>
      <c r="Y1040" s="54"/>
      <c r="Z1040" s="54"/>
      <c r="AA1040" s="54"/>
      <c r="AB1040" s="54"/>
      <c r="AC1040" s="54"/>
      <c r="AD1040" s="54"/>
    </row>
    <row r="1041" spans="2:30" s="28" customFormat="1" ht="15" customHeight="1" x14ac:dyDescent="0.2">
      <c r="B1041" s="23"/>
      <c r="C1041" s="23"/>
      <c r="D1041" s="24"/>
      <c r="G1041" s="23"/>
      <c r="H1041" s="54"/>
      <c r="I1041" s="54"/>
      <c r="J1041" s="54"/>
      <c r="K1041" s="54"/>
      <c r="L1041" s="54"/>
      <c r="M1041" s="54"/>
      <c r="N1041" s="54"/>
      <c r="O1041" s="54"/>
      <c r="P1041" s="54"/>
      <c r="Q1041" s="54"/>
      <c r="R1041" s="54"/>
      <c r="S1041" s="54"/>
      <c r="T1041" s="54"/>
      <c r="U1041" s="54"/>
      <c r="V1041" s="54"/>
      <c r="W1041" s="54"/>
      <c r="X1041" s="54"/>
      <c r="Y1041" s="54"/>
      <c r="Z1041" s="54"/>
      <c r="AA1041" s="54"/>
      <c r="AB1041" s="54"/>
      <c r="AC1041" s="54"/>
      <c r="AD1041" s="54"/>
    </row>
    <row r="1042" spans="2:30" s="28" customFormat="1" ht="15" customHeight="1" x14ac:dyDescent="0.2">
      <c r="B1042" s="23"/>
      <c r="C1042" s="23"/>
      <c r="D1042" s="24"/>
      <c r="G1042" s="23"/>
      <c r="H1042" s="54"/>
      <c r="I1042" s="54"/>
      <c r="J1042" s="54"/>
      <c r="K1042" s="54"/>
      <c r="L1042" s="54"/>
      <c r="M1042" s="54"/>
      <c r="N1042" s="54"/>
      <c r="O1042" s="54"/>
      <c r="P1042" s="54"/>
      <c r="Q1042" s="54"/>
      <c r="R1042" s="54"/>
      <c r="S1042" s="54"/>
      <c r="T1042" s="54"/>
      <c r="U1042" s="54"/>
      <c r="V1042" s="54"/>
      <c r="W1042" s="54"/>
      <c r="X1042" s="54"/>
      <c r="Y1042" s="54"/>
      <c r="Z1042" s="54"/>
      <c r="AA1042" s="54"/>
      <c r="AB1042" s="54"/>
      <c r="AC1042" s="54"/>
      <c r="AD1042" s="54"/>
    </row>
    <row r="1043" spans="2:30" s="28" customFormat="1" ht="15" customHeight="1" x14ac:dyDescent="0.2">
      <c r="B1043" s="23"/>
      <c r="C1043" s="23"/>
      <c r="D1043" s="24"/>
      <c r="G1043" s="23"/>
      <c r="H1043" s="54"/>
      <c r="I1043" s="54"/>
      <c r="J1043" s="54"/>
      <c r="K1043" s="54"/>
      <c r="L1043" s="54"/>
      <c r="M1043" s="54"/>
      <c r="N1043" s="54"/>
      <c r="O1043" s="54"/>
      <c r="P1043" s="54"/>
      <c r="Q1043" s="54"/>
      <c r="R1043" s="54"/>
      <c r="S1043" s="54"/>
      <c r="T1043" s="54"/>
      <c r="U1043" s="54"/>
      <c r="V1043" s="54"/>
      <c r="W1043" s="54"/>
      <c r="X1043" s="54"/>
      <c r="Y1043" s="54"/>
      <c r="Z1043" s="54"/>
      <c r="AA1043" s="54"/>
      <c r="AB1043" s="54"/>
      <c r="AC1043" s="54"/>
      <c r="AD1043" s="54"/>
    </row>
    <row r="1044" spans="2:30" s="28" customFormat="1" ht="15" customHeight="1" x14ac:dyDescent="0.2">
      <c r="B1044" s="23"/>
      <c r="C1044" s="23"/>
      <c r="D1044" s="24"/>
      <c r="G1044" s="23"/>
      <c r="H1044" s="54"/>
      <c r="I1044" s="54"/>
      <c r="J1044" s="54"/>
      <c r="K1044" s="54"/>
      <c r="L1044" s="54"/>
      <c r="M1044" s="54"/>
      <c r="N1044" s="54"/>
      <c r="O1044" s="54"/>
      <c r="P1044" s="54"/>
      <c r="Q1044" s="54"/>
      <c r="R1044" s="54"/>
      <c r="S1044" s="54"/>
      <c r="T1044" s="54"/>
      <c r="U1044" s="54"/>
      <c r="V1044" s="54"/>
      <c r="W1044" s="54"/>
      <c r="X1044" s="54"/>
      <c r="Y1044" s="54"/>
      <c r="Z1044" s="54"/>
      <c r="AA1044" s="54"/>
      <c r="AB1044" s="54"/>
      <c r="AC1044" s="54"/>
      <c r="AD1044" s="54"/>
    </row>
    <row r="1045" spans="2:30" s="28" customFormat="1" ht="15" customHeight="1" x14ac:dyDescent="0.2">
      <c r="B1045" s="23"/>
      <c r="C1045" s="23"/>
      <c r="D1045" s="24"/>
      <c r="G1045" s="23"/>
      <c r="H1045" s="54"/>
      <c r="I1045" s="54"/>
      <c r="J1045" s="54"/>
      <c r="K1045" s="54"/>
      <c r="L1045" s="54"/>
      <c r="M1045" s="54"/>
      <c r="N1045" s="54"/>
      <c r="O1045" s="54"/>
      <c r="P1045" s="54"/>
      <c r="Q1045" s="54"/>
      <c r="R1045" s="54"/>
      <c r="S1045" s="54"/>
      <c r="T1045" s="54"/>
      <c r="U1045" s="54"/>
      <c r="V1045" s="54"/>
      <c r="W1045" s="54"/>
      <c r="X1045" s="54"/>
      <c r="Y1045" s="54"/>
      <c r="Z1045" s="54"/>
      <c r="AA1045" s="54"/>
      <c r="AB1045" s="54"/>
      <c r="AC1045" s="54"/>
      <c r="AD1045" s="54"/>
    </row>
    <row r="1046" spans="2:30" s="28" customFormat="1" ht="15" customHeight="1" x14ac:dyDescent="0.2">
      <c r="B1046" s="23"/>
      <c r="C1046" s="23"/>
      <c r="D1046" s="24"/>
      <c r="G1046" s="23"/>
      <c r="H1046" s="54"/>
      <c r="I1046" s="54"/>
      <c r="J1046" s="54"/>
      <c r="K1046" s="54"/>
      <c r="L1046" s="54"/>
      <c r="M1046" s="54"/>
      <c r="N1046" s="54"/>
      <c r="O1046" s="54"/>
      <c r="P1046" s="54"/>
      <c r="Q1046" s="54"/>
      <c r="R1046" s="54"/>
      <c r="S1046" s="54"/>
      <c r="T1046" s="54"/>
      <c r="U1046" s="54"/>
      <c r="V1046" s="54"/>
      <c r="W1046" s="54"/>
      <c r="X1046" s="54"/>
      <c r="Y1046" s="54"/>
      <c r="Z1046" s="54"/>
      <c r="AA1046" s="54"/>
      <c r="AB1046" s="54"/>
      <c r="AC1046" s="54"/>
      <c r="AD1046" s="54"/>
    </row>
    <row r="1047" spans="2:30" s="28" customFormat="1" ht="15" customHeight="1" x14ac:dyDescent="0.2">
      <c r="B1047" s="23"/>
      <c r="C1047" s="23"/>
      <c r="D1047" s="24"/>
      <c r="G1047" s="23"/>
      <c r="H1047" s="54"/>
      <c r="I1047" s="54"/>
      <c r="J1047" s="54"/>
      <c r="K1047" s="54"/>
      <c r="L1047" s="54"/>
      <c r="M1047" s="54"/>
      <c r="N1047" s="54"/>
      <c r="O1047" s="54"/>
      <c r="P1047" s="54"/>
      <c r="Q1047" s="54"/>
      <c r="R1047" s="54"/>
      <c r="S1047" s="54"/>
      <c r="T1047" s="54"/>
      <c r="U1047" s="54"/>
      <c r="V1047" s="54"/>
      <c r="W1047" s="54"/>
      <c r="X1047" s="54"/>
      <c r="Y1047" s="54"/>
      <c r="Z1047" s="54"/>
      <c r="AA1047" s="54"/>
      <c r="AB1047" s="54"/>
      <c r="AC1047" s="54"/>
      <c r="AD1047" s="54"/>
    </row>
    <row r="1048" spans="2:30" s="28" customFormat="1" ht="15" customHeight="1" x14ac:dyDescent="0.2">
      <c r="B1048" s="23"/>
      <c r="C1048" s="23"/>
      <c r="D1048" s="24"/>
      <c r="G1048" s="23"/>
      <c r="H1048" s="54"/>
      <c r="I1048" s="54"/>
      <c r="J1048" s="54"/>
      <c r="K1048" s="54"/>
      <c r="L1048" s="54"/>
      <c r="M1048" s="54"/>
      <c r="N1048" s="54"/>
      <c r="O1048" s="54"/>
      <c r="P1048" s="54"/>
      <c r="Q1048" s="54"/>
      <c r="R1048" s="54"/>
      <c r="S1048" s="54"/>
      <c r="T1048" s="54"/>
      <c r="U1048" s="54"/>
      <c r="V1048" s="54"/>
      <c r="W1048" s="54"/>
      <c r="X1048" s="54"/>
      <c r="Y1048" s="54"/>
      <c r="Z1048" s="54"/>
      <c r="AA1048" s="54"/>
      <c r="AB1048" s="54"/>
      <c r="AC1048" s="54"/>
      <c r="AD1048" s="54"/>
    </row>
    <row r="1049" spans="2:30" s="28" customFormat="1" ht="15" customHeight="1" x14ac:dyDescent="0.2">
      <c r="B1049" s="23"/>
      <c r="C1049" s="23"/>
      <c r="D1049" s="24"/>
      <c r="G1049" s="23"/>
      <c r="H1049" s="54"/>
      <c r="I1049" s="54"/>
      <c r="J1049" s="54"/>
      <c r="K1049" s="54"/>
      <c r="L1049" s="54"/>
      <c r="M1049" s="54"/>
      <c r="N1049" s="54"/>
      <c r="O1049" s="54"/>
      <c r="P1049" s="54"/>
      <c r="Q1049" s="54"/>
      <c r="R1049" s="54"/>
      <c r="S1049" s="54"/>
      <c r="T1049" s="54"/>
      <c r="U1049" s="54"/>
      <c r="V1049" s="54"/>
      <c r="W1049" s="54"/>
      <c r="X1049" s="54"/>
      <c r="Y1049" s="54"/>
      <c r="Z1049" s="54"/>
      <c r="AA1049" s="54"/>
      <c r="AB1049" s="54"/>
      <c r="AC1049" s="54"/>
      <c r="AD1049" s="54"/>
    </row>
    <row r="1050" spans="2:30" s="28" customFormat="1" ht="15" customHeight="1" x14ac:dyDescent="0.2">
      <c r="B1050" s="23"/>
      <c r="C1050" s="23"/>
      <c r="D1050" s="24"/>
      <c r="G1050" s="23"/>
      <c r="H1050" s="54"/>
      <c r="I1050" s="54"/>
      <c r="J1050" s="54"/>
      <c r="K1050" s="54"/>
      <c r="L1050" s="54"/>
      <c r="M1050" s="54"/>
      <c r="N1050" s="54"/>
      <c r="O1050" s="54"/>
      <c r="P1050" s="54"/>
      <c r="Q1050" s="54"/>
      <c r="R1050" s="54"/>
      <c r="S1050" s="54"/>
      <c r="T1050" s="54"/>
      <c r="U1050" s="54"/>
      <c r="V1050" s="54"/>
      <c r="W1050" s="54"/>
      <c r="X1050" s="54"/>
      <c r="Y1050" s="54"/>
      <c r="Z1050" s="54"/>
      <c r="AA1050" s="54"/>
      <c r="AB1050" s="54"/>
      <c r="AC1050" s="54"/>
      <c r="AD1050" s="54"/>
    </row>
    <row r="1051" spans="2:30" s="28" customFormat="1" ht="15" customHeight="1" x14ac:dyDescent="0.2">
      <c r="B1051" s="23"/>
      <c r="C1051" s="23"/>
      <c r="D1051" s="24"/>
      <c r="G1051" s="23"/>
      <c r="H1051" s="54"/>
      <c r="I1051" s="54"/>
      <c r="J1051" s="54"/>
      <c r="K1051" s="54"/>
      <c r="L1051" s="54"/>
      <c r="M1051" s="54"/>
      <c r="N1051" s="54"/>
      <c r="O1051" s="54"/>
      <c r="P1051" s="54"/>
      <c r="Q1051" s="54"/>
      <c r="R1051" s="54"/>
      <c r="S1051" s="54"/>
      <c r="T1051" s="54"/>
      <c r="U1051" s="54"/>
      <c r="V1051" s="54"/>
      <c r="W1051" s="54"/>
      <c r="X1051" s="54"/>
      <c r="Y1051" s="54"/>
      <c r="Z1051" s="54"/>
      <c r="AA1051" s="54"/>
      <c r="AB1051" s="54"/>
      <c r="AC1051" s="54"/>
      <c r="AD1051" s="54"/>
    </row>
    <row r="1052" spans="2:30" s="28" customFormat="1" ht="15" customHeight="1" x14ac:dyDescent="0.2">
      <c r="B1052" s="23"/>
      <c r="C1052" s="23"/>
      <c r="D1052" s="24"/>
      <c r="G1052" s="23"/>
      <c r="H1052" s="54"/>
      <c r="I1052" s="54"/>
      <c r="J1052" s="54"/>
      <c r="K1052" s="54"/>
      <c r="L1052" s="54"/>
      <c r="M1052" s="54"/>
      <c r="N1052" s="54"/>
      <c r="O1052" s="54"/>
      <c r="P1052" s="54"/>
      <c r="Q1052" s="54"/>
      <c r="R1052" s="54"/>
      <c r="S1052" s="54"/>
      <c r="T1052" s="54"/>
      <c r="U1052" s="54"/>
      <c r="V1052" s="54"/>
      <c r="W1052" s="54"/>
      <c r="X1052" s="54"/>
      <c r="Y1052" s="54"/>
      <c r="Z1052" s="54"/>
      <c r="AA1052" s="54"/>
      <c r="AB1052" s="54"/>
      <c r="AC1052" s="54"/>
      <c r="AD1052" s="54"/>
    </row>
    <row r="1053" spans="2:30" s="28" customFormat="1" ht="15" customHeight="1" x14ac:dyDescent="0.2">
      <c r="B1053" s="23"/>
      <c r="C1053" s="23"/>
      <c r="D1053" s="24"/>
      <c r="G1053" s="23"/>
      <c r="H1053" s="54"/>
      <c r="I1053" s="54"/>
      <c r="J1053" s="54"/>
      <c r="K1053" s="54"/>
      <c r="L1053" s="54"/>
      <c r="M1053" s="54"/>
      <c r="N1053" s="54"/>
      <c r="O1053" s="54"/>
      <c r="P1053" s="54"/>
      <c r="Q1053" s="54"/>
      <c r="R1053" s="54"/>
      <c r="S1053" s="54"/>
      <c r="T1053" s="54"/>
      <c r="U1053" s="54"/>
      <c r="V1053" s="54"/>
      <c r="W1053" s="54"/>
      <c r="X1053" s="54"/>
      <c r="Y1053" s="54"/>
      <c r="Z1053" s="54"/>
      <c r="AA1053" s="54"/>
      <c r="AB1053" s="54"/>
      <c r="AC1053" s="54"/>
      <c r="AD1053" s="54"/>
    </row>
    <row r="1054" spans="2:30" s="28" customFormat="1" ht="15" customHeight="1" x14ac:dyDescent="0.2">
      <c r="B1054" s="23"/>
      <c r="C1054" s="23"/>
      <c r="D1054" s="24"/>
      <c r="G1054" s="23"/>
      <c r="H1054" s="54"/>
      <c r="I1054" s="54"/>
      <c r="J1054" s="54"/>
      <c r="K1054" s="54"/>
      <c r="L1054" s="54"/>
      <c r="M1054" s="54"/>
      <c r="N1054" s="54"/>
      <c r="O1054" s="54"/>
      <c r="P1054" s="54"/>
      <c r="Q1054" s="54"/>
      <c r="R1054" s="54"/>
      <c r="S1054" s="54"/>
      <c r="T1054" s="54"/>
      <c r="U1054" s="54"/>
      <c r="V1054" s="54"/>
      <c r="W1054" s="54"/>
      <c r="X1054" s="54"/>
      <c r="Y1054" s="54"/>
      <c r="Z1054" s="54"/>
      <c r="AA1054" s="54"/>
      <c r="AB1054" s="54"/>
      <c r="AC1054" s="54"/>
      <c r="AD1054" s="54"/>
    </row>
    <row r="1055" spans="2:30" s="28" customFormat="1" ht="15" customHeight="1" x14ac:dyDescent="0.2">
      <c r="B1055" s="23"/>
      <c r="C1055" s="23"/>
      <c r="D1055" s="24"/>
      <c r="G1055" s="23"/>
      <c r="H1055" s="54"/>
      <c r="I1055" s="54"/>
      <c r="J1055" s="54"/>
      <c r="K1055" s="54"/>
      <c r="L1055" s="54"/>
      <c r="M1055" s="54"/>
      <c r="N1055" s="54"/>
      <c r="O1055" s="54"/>
      <c r="P1055" s="54"/>
      <c r="Q1055" s="54"/>
      <c r="R1055" s="54"/>
      <c r="S1055" s="54"/>
      <c r="T1055" s="54"/>
      <c r="U1055" s="54"/>
      <c r="V1055" s="54"/>
      <c r="W1055" s="54"/>
      <c r="X1055" s="54"/>
      <c r="Y1055" s="54"/>
      <c r="Z1055" s="54"/>
      <c r="AA1055" s="54"/>
      <c r="AB1055" s="54"/>
      <c r="AC1055" s="54"/>
      <c r="AD1055" s="54"/>
    </row>
    <row r="1056" spans="2:30" s="28" customFormat="1" ht="15" customHeight="1" x14ac:dyDescent="0.2">
      <c r="B1056" s="23"/>
      <c r="C1056" s="23"/>
      <c r="D1056" s="24"/>
      <c r="G1056" s="23"/>
      <c r="H1056" s="54"/>
      <c r="I1056" s="54"/>
      <c r="J1056" s="54"/>
      <c r="K1056" s="54"/>
      <c r="L1056" s="54"/>
      <c r="M1056" s="54"/>
      <c r="N1056" s="54"/>
      <c r="O1056" s="54"/>
      <c r="P1056" s="54"/>
      <c r="Q1056" s="54"/>
      <c r="R1056" s="54"/>
      <c r="S1056" s="54"/>
      <c r="T1056" s="54"/>
      <c r="U1056" s="54"/>
      <c r="V1056" s="54"/>
      <c r="W1056" s="54"/>
      <c r="X1056" s="54"/>
      <c r="Y1056" s="54"/>
      <c r="Z1056" s="54"/>
      <c r="AA1056" s="54"/>
      <c r="AB1056" s="54"/>
      <c r="AC1056" s="54"/>
      <c r="AD1056" s="54"/>
    </row>
    <row r="1057" spans="2:30" s="28" customFormat="1" ht="15" customHeight="1" x14ac:dyDescent="0.2">
      <c r="B1057" s="23"/>
      <c r="C1057" s="23"/>
      <c r="D1057" s="24"/>
      <c r="G1057" s="23"/>
      <c r="H1057" s="54"/>
      <c r="I1057" s="54"/>
      <c r="J1057" s="54"/>
      <c r="K1057" s="54"/>
      <c r="L1057" s="54"/>
      <c r="M1057" s="54"/>
      <c r="N1057" s="54"/>
      <c r="O1057" s="54"/>
      <c r="P1057" s="54"/>
      <c r="Q1057" s="54"/>
      <c r="R1057" s="54"/>
      <c r="S1057" s="54"/>
      <c r="T1057" s="54"/>
      <c r="U1057" s="54"/>
      <c r="V1057" s="54"/>
      <c r="W1057" s="54"/>
      <c r="X1057" s="54"/>
      <c r="Y1057" s="54"/>
      <c r="Z1057" s="54"/>
      <c r="AA1057" s="54"/>
      <c r="AB1057" s="54"/>
      <c r="AC1057" s="54"/>
      <c r="AD1057" s="54"/>
    </row>
    <row r="1058" spans="2:30" s="28" customFormat="1" ht="15" customHeight="1" x14ac:dyDescent="0.2">
      <c r="B1058" s="23"/>
      <c r="C1058" s="23"/>
      <c r="D1058" s="24"/>
      <c r="G1058" s="23"/>
      <c r="H1058" s="54"/>
      <c r="I1058" s="54"/>
      <c r="J1058" s="54"/>
      <c r="K1058" s="54"/>
      <c r="L1058" s="54"/>
      <c r="M1058" s="54"/>
      <c r="N1058" s="54"/>
      <c r="O1058" s="54"/>
      <c r="P1058" s="54"/>
      <c r="Q1058" s="54"/>
      <c r="R1058" s="54"/>
      <c r="S1058" s="54"/>
      <c r="T1058" s="54"/>
      <c r="U1058" s="54"/>
      <c r="V1058" s="54"/>
      <c r="W1058" s="54"/>
      <c r="X1058" s="54"/>
      <c r="Y1058" s="54"/>
      <c r="Z1058" s="54"/>
      <c r="AA1058" s="54"/>
      <c r="AB1058" s="54"/>
      <c r="AC1058" s="54"/>
      <c r="AD1058" s="54"/>
    </row>
    <row r="1059" spans="2:30" s="28" customFormat="1" ht="15" customHeight="1" x14ac:dyDescent="0.2">
      <c r="B1059" s="23"/>
      <c r="C1059" s="23"/>
      <c r="D1059" s="24"/>
      <c r="G1059" s="23"/>
      <c r="H1059" s="54"/>
      <c r="I1059" s="54"/>
      <c r="J1059" s="54"/>
      <c r="K1059" s="54"/>
      <c r="L1059" s="54"/>
      <c r="M1059" s="54"/>
      <c r="N1059" s="54"/>
      <c r="O1059" s="54"/>
      <c r="P1059" s="54"/>
      <c r="Q1059" s="54"/>
      <c r="R1059" s="54"/>
      <c r="S1059" s="54"/>
      <c r="T1059" s="54"/>
      <c r="U1059" s="54"/>
      <c r="V1059" s="54"/>
      <c r="W1059" s="54"/>
      <c r="X1059" s="54"/>
      <c r="Y1059" s="54"/>
      <c r="Z1059" s="54"/>
      <c r="AA1059" s="54"/>
      <c r="AB1059" s="54"/>
      <c r="AC1059" s="54"/>
      <c r="AD1059" s="54"/>
    </row>
    <row r="1060" spans="2:30" s="28" customFormat="1" ht="15" customHeight="1" x14ac:dyDescent="0.2">
      <c r="B1060" s="23"/>
      <c r="C1060" s="23"/>
      <c r="D1060" s="24"/>
      <c r="G1060" s="23"/>
      <c r="H1060" s="54"/>
      <c r="I1060" s="54"/>
      <c r="J1060" s="54"/>
      <c r="K1060" s="54"/>
      <c r="L1060" s="54"/>
      <c r="M1060" s="54"/>
      <c r="N1060" s="54"/>
      <c r="O1060" s="54"/>
      <c r="P1060" s="54"/>
      <c r="Q1060" s="54"/>
      <c r="R1060" s="54"/>
      <c r="S1060" s="54"/>
      <c r="T1060" s="54"/>
      <c r="U1060" s="54"/>
      <c r="V1060" s="54"/>
      <c r="W1060" s="54"/>
      <c r="X1060" s="54"/>
      <c r="Y1060" s="54"/>
      <c r="Z1060" s="54"/>
      <c r="AA1060" s="54"/>
      <c r="AB1060" s="54"/>
      <c r="AC1060" s="54"/>
      <c r="AD1060" s="54"/>
    </row>
    <row r="1061" spans="2:30" s="28" customFormat="1" ht="15" customHeight="1" x14ac:dyDescent="0.2">
      <c r="B1061" s="23"/>
      <c r="C1061" s="23"/>
      <c r="D1061" s="24"/>
      <c r="G1061" s="23"/>
      <c r="H1061" s="54"/>
      <c r="I1061" s="54"/>
      <c r="J1061" s="54"/>
      <c r="K1061" s="54"/>
      <c r="L1061" s="54"/>
      <c r="M1061" s="54"/>
      <c r="N1061" s="54"/>
      <c r="O1061" s="54"/>
      <c r="P1061" s="54"/>
      <c r="Q1061" s="54"/>
      <c r="R1061" s="54"/>
      <c r="S1061" s="54"/>
      <c r="T1061" s="54"/>
      <c r="U1061" s="54"/>
      <c r="V1061" s="54"/>
      <c r="W1061" s="54"/>
      <c r="X1061" s="54"/>
      <c r="Y1061" s="54"/>
      <c r="Z1061" s="54"/>
      <c r="AA1061" s="54"/>
      <c r="AB1061" s="54"/>
      <c r="AC1061" s="54"/>
      <c r="AD1061" s="54"/>
    </row>
    <row r="1062" spans="2:30" s="28" customFormat="1" ht="15" customHeight="1" x14ac:dyDescent="0.2">
      <c r="B1062" s="23"/>
      <c r="C1062" s="23"/>
      <c r="D1062" s="24"/>
      <c r="G1062" s="23"/>
      <c r="H1062" s="54"/>
      <c r="I1062" s="54"/>
      <c r="J1062" s="54"/>
      <c r="K1062" s="54"/>
      <c r="L1062" s="54"/>
      <c r="M1062" s="54"/>
      <c r="N1062" s="54"/>
      <c r="O1062" s="54"/>
      <c r="P1062" s="54"/>
      <c r="Q1062" s="54"/>
      <c r="R1062" s="54"/>
      <c r="S1062" s="54"/>
      <c r="T1062" s="54"/>
      <c r="U1062" s="54"/>
      <c r="V1062" s="54"/>
      <c r="W1062" s="54"/>
      <c r="X1062" s="54"/>
      <c r="Y1062" s="54"/>
      <c r="Z1062" s="54"/>
      <c r="AA1062" s="54"/>
      <c r="AB1062" s="54"/>
      <c r="AC1062" s="54"/>
      <c r="AD1062" s="54"/>
    </row>
    <row r="1063" spans="2:30" s="28" customFormat="1" ht="15" customHeight="1" x14ac:dyDescent="0.2">
      <c r="B1063" s="23"/>
      <c r="C1063" s="23"/>
      <c r="D1063" s="24"/>
      <c r="G1063" s="23"/>
      <c r="H1063" s="54"/>
      <c r="I1063" s="54"/>
      <c r="J1063" s="54"/>
      <c r="K1063" s="54"/>
      <c r="L1063" s="54"/>
      <c r="M1063" s="54"/>
      <c r="N1063" s="54"/>
      <c r="O1063" s="54"/>
      <c r="P1063" s="54"/>
      <c r="Q1063" s="54"/>
      <c r="R1063" s="54"/>
      <c r="S1063" s="54"/>
      <c r="T1063" s="54"/>
      <c r="U1063" s="54"/>
      <c r="V1063" s="54"/>
      <c r="W1063" s="54"/>
      <c r="X1063" s="54"/>
      <c r="Y1063" s="54"/>
      <c r="Z1063" s="54"/>
      <c r="AA1063" s="54"/>
      <c r="AB1063" s="54"/>
      <c r="AC1063" s="54"/>
      <c r="AD1063" s="54"/>
    </row>
    <row r="1064" spans="2:30" s="28" customFormat="1" ht="15" customHeight="1" x14ac:dyDescent="0.2">
      <c r="B1064" s="23"/>
      <c r="C1064" s="23"/>
      <c r="D1064" s="24"/>
      <c r="G1064" s="23"/>
      <c r="H1064" s="54"/>
      <c r="I1064" s="54"/>
      <c r="J1064" s="54"/>
      <c r="K1064" s="54"/>
      <c r="L1064" s="54"/>
      <c r="M1064" s="54"/>
      <c r="N1064" s="54"/>
      <c r="O1064" s="54"/>
      <c r="P1064" s="54"/>
      <c r="Q1064" s="54"/>
      <c r="R1064" s="54"/>
      <c r="S1064" s="54"/>
      <c r="T1064" s="54"/>
      <c r="U1064" s="54"/>
      <c r="V1064" s="54"/>
      <c r="W1064" s="54"/>
      <c r="X1064" s="54"/>
      <c r="Y1064" s="54"/>
      <c r="Z1064" s="54"/>
      <c r="AA1064" s="54"/>
      <c r="AB1064" s="54"/>
      <c r="AC1064" s="54"/>
      <c r="AD1064" s="54"/>
    </row>
    <row r="1065" spans="2:30" s="28" customFormat="1" ht="15" customHeight="1" x14ac:dyDescent="0.2">
      <c r="B1065" s="23"/>
      <c r="C1065" s="23"/>
      <c r="D1065" s="24"/>
      <c r="G1065" s="23"/>
      <c r="H1065" s="54"/>
      <c r="I1065" s="54"/>
      <c r="J1065" s="54"/>
      <c r="K1065" s="54"/>
      <c r="L1065" s="54"/>
      <c r="M1065" s="54"/>
      <c r="N1065" s="54"/>
      <c r="O1065" s="54"/>
      <c r="P1065" s="54"/>
      <c r="Q1065" s="54"/>
      <c r="R1065" s="54"/>
      <c r="S1065" s="54"/>
      <c r="T1065" s="54"/>
      <c r="U1065" s="54"/>
      <c r="V1065" s="54"/>
      <c r="W1065" s="54"/>
      <c r="X1065" s="54"/>
      <c r="Y1065" s="54"/>
      <c r="Z1065" s="54"/>
      <c r="AA1065" s="54"/>
      <c r="AB1065" s="54"/>
      <c r="AC1065" s="54"/>
      <c r="AD1065" s="54"/>
    </row>
    <row r="1066" spans="2:30" s="28" customFormat="1" ht="15" customHeight="1" x14ac:dyDescent="0.2">
      <c r="B1066" s="23"/>
      <c r="C1066" s="23"/>
      <c r="D1066" s="24"/>
      <c r="G1066" s="23"/>
      <c r="H1066" s="54"/>
      <c r="I1066" s="54"/>
      <c r="J1066" s="54"/>
      <c r="K1066" s="54"/>
      <c r="L1066" s="54"/>
      <c r="M1066" s="54"/>
      <c r="N1066" s="54"/>
      <c r="O1066" s="54"/>
      <c r="P1066" s="54"/>
      <c r="Q1066" s="54"/>
      <c r="R1066" s="54"/>
      <c r="S1066" s="54"/>
      <c r="T1066" s="54"/>
      <c r="U1066" s="54"/>
      <c r="V1066" s="54"/>
      <c r="W1066" s="54"/>
      <c r="X1066" s="54"/>
      <c r="Y1066" s="54"/>
      <c r="Z1066" s="54"/>
      <c r="AA1066" s="54"/>
      <c r="AB1066" s="54"/>
      <c r="AC1066" s="54"/>
      <c r="AD1066" s="54"/>
    </row>
    <row r="1067" spans="2:30" s="28" customFormat="1" ht="15" customHeight="1" x14ac:dyDescent="0.2">
      <c r="B1067" s="23"/>
      <c r="C1067" s="23"/>
      <c r="D1067" s="24"/>
      <c r="G1067" s="23"/>
      <c r="H1067" s="54"/>
      <c r="I1067" s="54"/>
      <c r="J1067" s="54"/>
      <c r="K1067" s="54"/>
      <c r="L1067" s="54"/>
      <c r="M1067" s="54"/>
      <c r="N1067" s="54"/>
      <c r="O1067" s="54"/>
      <c r="P1067" s="54"/>
      <c r="Q1067" s="54"/>
      <c r="R1067" s="54"/>
      <c r="S1067" s="54"/>
      <c r="T1067" s="54"/>
      <c r="U1067" s="54"/>
      <c r="V1067" s="54"/>
      <c r="W1067" s="54"/>
      <c r="X1067" s="54"/>
      <c r="Y1067" s="54"/>
      <c r="Z1067" s="54"/>
      <c r="AA1067" s="54"/>
      <c r="AB1067" s="54"/>
      <c r="AC1067" s="54"/>
      <c r="AD1067" s="54"/>
    </row>
    <row r="1068" spans="2:30" s="28" customFormat="1" ht="15" customHeight="1" x14ac:dyDescent="0.2">
      <c r="B1068" s="23"/>
      <c r="C1068" s="23"/>
      <c r="D1068" s="24"/>
      <c r="G1068" s="23"/>
      <c r="H1068" s="54"/>
      <c r="I1068" s="54"/>
      <c r="J1068" s="54"/>
      <c r="K1068" s="54"/>
      <c r="L1068" s="54"/>
      <c r="M1068" s="54"/>
      <c r="N1068" s="54"/>
      <c r="O1068" s="54"/>
      <c r="P1068" s="54"/>
      <c r="Q1068" s="54"/>
      <c r="R1068" s="54"/>
      <c r="S1068" s="54"/>
      <c r="T1068" s="54"/>
      <c r="U1068" s="54"/>
      <c r="V1068" s="54"/>
      <c r="W1068" s="54"/>
      <c r="X1068" s="54"/>
      <c r="Y1068" s="54"/>
      <c r="Z1068" s="54"/>
      <c r="AA1068" s="54"/>
      <c r="AB1068" s="54"/>
      <c r="AC1068" s="54"/>
      <c r="AD1068" s="54"/>
    </row>
    <row r="1069" spans="2:30" s="28" customFormat="1" ht="15" customHeight="1" x14ac:dyDescent="0.2">
      <c r="B1069" s="23"/>
      <c r="C1069" s="23"/>
      <c r="D1069" s="24"/>
      <c r="G1069" s="23"/>
      <c r="H1069" s="54"/>
      <c r="I1069" s="54"/>
      <c r="J1069" s="54"/>
      <c r="K1069" s="54"/>
      <c r="L1069" s="54"/>
      <c r="M1069" s="54"/>
      <c r="N1069" s="54"/>
      <c r="O1069" s="54"/>
      <c r="P1069" s="54"/>
      <c r="Q1069" s="54"/>
      <c r="R1069" s="54"/>
      <c r="S1069" s="54"/>
      <c r="T1069" s="54"/>
      <c r="U1069" s="54"/>
      <c r="V1069" s="54"/>
      <c r="W1069" s="54"/>
      <c r="X1069" s="54"/>
      <c r="Y1069" s="54"/>
      <c r="Z1069" s="54"/>
      <c r="AA1069" s="54"/>
      <c r="AB1069" s="54"/>
      <c r="AC1069" s="54"/>
      <c r="AD1069" s="54"/>
    </row>
    <row r="1070" spans="2:30" s="28" customFormat="1" ht="15" customHeight="1" x14ac:dyDescent="0.2">
      <c r="B1070" s="23"/>
      <c r="C1070" s="23"/>
      <c r="D1070" s="24"/>
      <c r="G1070" s="23"/>
      <c r="H1070" s="54"/>
      <c r="I1070" s="54"/>
      <c r="J1070" s="54"/>
      <c r="K1070" s="54"/>
      <c r="L1070" s="54"/>
      <c r="M1070" s="54"/>
      <c r="N1070" s="54"/>
      <c r="O1070" s="54"/>
      <c r="P1070" s="54"/>
      <c r="Q1070" s="54"/>
      <c r="R1070" s="54"/>
      <c r="S1070" s="54"/>
      <c r="T1070" s="54"/>
      <c r="U1070" s="54"/>
      <c r="V1070" s="54"/>
      <c r="W1070" s="54"/>
      <c r="X1070" s="54"/>
      <c r="Y1070" s="54"/>
      <c r="Z1070" s="54"/>
      <c r="AA1070" s="54"/>
      <c r="AB1070" s="54"/>
      <c r="AC1070" s="54"/>
      <c r="AD1070" s="54"/>
    </row>
    <row r="1071" spans="2:30" s="28" customFormat="1" ht="15" customHeight="1" x14ac:dyDescent="0.2">
      <c r="B1071" s="23"/>
      <c r="C1071" s="23"/>
      <c r="D1071" s="24"/>
      <c r="G1071" s="23"/>
      <c r="H1071" s="54"/>
      <c r="I1071" s="54"/>
      <c r="J1071" s="54"/>
      <c r="K1071" s="54"/>
      <c r="L1071" s="54"/>
      <c r="M1071" s="54"/>
      <c r="N1071" s="54"/>
      <c r="O1071" s="54"/>
      <c r="P1071" s="54"/>
      <c r="Q1071" s="54"/>
      <c r="R1071" s="54"/>
      <c r="S1071" s="54"/>
      <c r="T1071" s="54"/>
      <c r="U1071" s="54"/>
      <c r="V1071" s="54"/>
      <c r="W1071" s="54"/>
      <c r="X1071" s="54"/>
      <c r="Y1071" s="54"/>
      <c r="Z1071" s="54"/>
      <c r="AA1071" s="54"/>
      <c r="AB1071" s="54"/>
      <c r="AC1071" s="54"/>
      <c r="AD1071" s="54"/>
    </row>
    <row r="1072" spans="2:30" s="28" customFormat="1" ht="15" customHeight="1" x14ac:dyDescent="0.2">
      <c r="B1072" s="23"/>
      <c r="C1072" s="23"/>
      <c r="D1072" s="24"/>
      <c r="G1072" s="23"/>
      <c r="H1072" s="54"/>
      <c r="I1072" s="54"/>
      <c r="J1072" s="54"/>
      <c r="K1072" s="54"/>
      <c r="L1072" s="54"/>
      <c r="M1072" s="54"/>
      <c r="N1072" s="54"/>
      <c r="O1072" s="54"/>
      <c r="P1072" s="54"/>
      <c r="Q1072" s="54"/>
      <c r="R1072" s="54"/>
      <c r="S1072" s="54"/>
      <c r="T1072" s="54"/>
      <c r="U1072" s="54"/>
      <c r="V1072" s="54"/>
      <c r="W1072" s="54"/>
      <c r="X1072" s="54"/>
      <c r="Y1072" s="54"/>
      <c r="Z1072" s="54"/>
      <c r="AA1072" s="54"/>
      <c r="AB1072" s="54"/>
      <c r="AC1072" s="54"/>
      <c r="AD1072" s="54"/>
    </row>
    <row r="1073" spans="2:30" s="28" customFormat="1" ht="15" customHeight="1" x14ac:dyDescent="0.2">
      <c r="B1073" s="23"/>
      <c r="C1073" s="23"/>
      <c r="D1073" s="24"/>
      <c r="G1073" s="23"/>
      <c r="H1073" s="54"/>
      <c r="I1073" s="54"/>
      <c r="J1073" s="54"/>
      <c r="K1073" s="54"/>
      <c r="L1073" s="54"/>
      <c r="M1073" s="54"/>
      <c r="N1073" s="54"/>
      <c r="O1073" s="54"/>
      <c r="P1073" s="54"/>
      <c r="Q1073" s="54"/>
      <c r="R1073" s="54"/>
      <c r="S1073" s="54"/>
      <c r="T1073" s="54"/>
      <c r="U1073" s="54"/>
      <c r="V1073" s="54"/>
      <c r="W1073" s="54"/>
      <c r="X1073" s="54"/>
      <c r="Y1073" s="54"/>
      <c r="Z1073" s="54"/>
      <c r="AA1073" s="54"/>
      <c r="AB1073" s="54"/>
      <c r="AC1073" s="54"/>
      <c r="AD1073" s="54"/>
    </row>
    <row r="1074" spans="2:30" s="28" customFormat="1" ht="15" customHeight="1" x14ac:dyDescent="0.2">
      <c r="B1074" s="23"/>
      <c r="C1074" s="23"/>
      <c r="D1074" s="24"/>
      <c r="G1074" s="23"/>
      <c r="H1074" s="54"/>
      <c r="I1074" s="54"/>
      <c r="J1074" s="54"/>
      <c r="K1074" s="54"/>
      <c r="L1074" s="54"/>
      <c r="M1074" s="54"/>
      <c r="N1074" s="54"/>
      <c r="O1074" s="54"/>
      <c r="P1074" s="54"/>
      <c r="Q1074" s="54"/>
      <c r="R1074" s="54"/>
      <c r="S1074" s="54"/>
      <c r="T1074" s="54"/>
      <c r="U1074" s="54"/>
      <c r="V1074" s="54"/>
      <c r="W1074" s="54"/>
      <c r="X1074" s="54"/>
      <c r="Y1074" s="54"/>
      <c r="Z1074" s="54"/>
      <c r="AA1074" s="54"/>
      <c r="AB1074" s="54"/>
      <c r="AC1074" s="54"/>
      <c r="AD1074" s="54"/>
    </row>
    <row r="1075" spans="2:30" s="28" customFormat="1" ht="15" customHeight="1" x14ac:dyDescent="0.2">
      <c r="B1075" s="23"/>
      <c r="C1075" s="23"/>
      <c r="D1075" s="24"/>
      <c r="G1075" s="23"/>
      <c r="H1075" s="54"/>
      <c r="I1075" s="54"/>
      <c r="J1075" s="54"/>
      <c r="K1075" s="54"/>
      <c r="L1075" s="54"/>
      <c r="M1075" s="54"/>
      <c r="N1075" s="54"/>
      <c r="O1075" s="54"/>
      <c r="P1075" s="54"/>
      <c r="Q1075" s="54"/>
      <c r="R1075" s="54"/>
      <c r="S1075" s="54"/>
      <c r="T1075" s="54"/>
      <c r="U1075" s="54"/>
      <c r="V1075" s="54"/>
      <c r="W1075" s="54"/>
      <c r="X1075" s="54"/>
      <c r="Y1075" s="54"/>
      <c r="Z1075" s="54"/>
      <c r="AA1075" s="54"/>
      <c r="AB1075" s="54"/>
      <c r="AC1075" s="54"/>
      <c r="AD1075" s="54"/>
    </row>
    <row r="1076" spans="2:30" s="28" customFormat="1" ht="15" customHeight="1" x14ac:dyDescent="0.2">
      <c r="B1076" s="23"/>
      <c r="C1076" s="23"/>
      <c r="D1076" s="24"/>
      <c r="G1076" s="23"/>
      <c r="H1076" s="54"/>
      <c r="I1076" s="54"/>
      <c r="J1076" s="54"/>
      <c r="K1076" s="54"/>
      <c r="L1076" s="54"/>
      <c r="M1076" s="54"/>
      <c r="N1076" s="54"/>
      <c r="O1076" s="54"/>
      <c r="P1076" s="54"/>
      <c r="Q1076" s="54"/>
      <c r="R1076" s="54"/>
      <c r="S1076" s="54"/>
      <c r="T1076" s="54"/>
      <c r="U1076" s="54"/>
      <c r="V1076" s="54"/>
      <c r="W1076" s="54"/>
      <c r="X1076" s="54"/>
      <c r="Y1076" s="54"/>
      <c r="Z1076" s="54"/>
      <c r="AA1076" s="54"/>
      <c r="AB1076" s="54"/>
      <c r="AC1076" s="54"/>
      <c r="AD1076" s="54"/>
    </row>
    <row r="1077" spans="2:30" s="28" customFormat="1" ht="15" customHeight="1" x14ac:dyDescent="0.2">
      <c r="B1077" s="23"/>
      <c r="C1077" s="23"/>
      <c r="D1077" s="24"/>
      <c r="G1077" s="23"/>
      <c r="H1077" s="54"/>
      <c r="I1077" s="54"/>
      <c r="J1077" s="54"/>
      <c r="K1077" s="54"/>
      <c r="L1077" s="54"/>
      <c r="M1077" s="54"/>
      <c r="N1077" s="54"/>
      <c r="O1077" s="54"/>
      <c r="P1077" s="54"/>
      <c r="Q1077" s="54"/>
      <c r="R1077" s="54"/>
      <c r="S1077" s="54"/>
      <c r="T1077" s="54"/>
      <c r="U1077" s="54"/>
      <c r="V1077" s="54"/>
      <c r="W1077" s="54"/>
      <c r="X1077" s="54"/>
      <c r="Y1077" s="54"/>
      <c r="Z1077" s="54"/>
      <c r="AA1077" s="54"/>
      <c r="AB1077" s="54"/>
      <c r="AC1077" s="54"/>
      <c r="AD1077" s="54"/>
    </row>
    <row r="1078" spans="2:30" s="28" customFormat="1" ht="15" customHeight="1" x14ac:dyDescent="0.2">
      <c r="B1078" s="23"/>
      <c r="C1078" s="23"/>
      <c r="D1078" s="24"/>
      <c r="G1078" s="23"/>
      <c r="H1078" s="54"/>
      <c r="I1078" s="54"/>
      <c r="J1078" s="54"/>
      <c r="K1078" s="54"/>
      <c r="L1078" s="54"/>
      <c r="M1078" s="54"/>
      <c r="N1078" s="54"/>
      <c r="O1078" s="54"/>
      <c r="P1078" s="54"/>
      <c r="Q1078" s="54"/>
      <c r="R1078" s="54"/>
      <c r="S1078" s="54"/>
      <c r="T1078" s="54"/>
      <c r="U1078" s="54"/>
      <c r="V1078" s="54"/>
      <c r="W1078" s="54"/>
      <c r="X1078" s="54"/>
      <c r="Y1078" s="54"/>
      <c r="Z1078" s="54"/>
      <c r="AA1078" s="54"/>
      <c r="AB1078" s="54"/>
      <c r="AC1078" s="54"/>
      <c r="AD1078" s="54"/>
    </row>
    <row r="1079" spans="2:30" s="28" customFormat="1" ht="15" customHeight="1" x14ac:dyDescent="0.2">
      <c r="B1079" s="23"/>
      <c r="C1079" s="23"/>
      <c r="D1079" s="24"/>
      <c r="G1079" s="23"/>
      <c r="H1079" s="54"/>
      <c r="I1079" s="54"/>
      <c r="J1079" s="54"/>
      <c r="K1079" s="54"/>
      <c r="L1079" s="54"/>
      <c r="M1079" s="54"/>
      <c r="N1079" s="54"/>
      <c r="O1079" s="54"/>
      <c r="P1079" s="54"/>
      <c r="Q1079" s="54"/>
      <c r="R1079" s="54"/>
      <c r="S1079" s="54"/>
      <c r="T1079" s="54"/>
      <c r="U1079" s="54"/>
      <c r="V1079" s="54"/>
      <c r="W1079" s="54"/>
      <c r="X1079" s="54"/>
      <c r="Y1079" s="54"/>
      <c r="Z1079" s="54"/>
      <c r="AA1079" s="54"/>
      <c r="AB1079" s="54"/>
      <c r="AC1079" s="54"/>
      <c r="AD1079" s="54"/>
    </row>
    <row r="1080" spans="2:30" s="28" customFormat="1" ht="15" customHeight="1" x14ac:dyDescent="0.2">
      <c r="B1080" s="23"/>
      <c r="C1080" s="23"/>
      <c r="D1080" s="24"/>
      <c r="G1080" s="23"/>
      <c r="H1080" s="54"/>
      <c r="I1080" s="54"/>
      <c r="J1080" s="54"/>
      <c r="K1080" s="54"/>
      <c r="L1080" s="54"/>
      <c r="M1080" s="54"/>
      <c r="N1080" s="54"/>
      <c r="O1080" s="54"/>
      <c r="P1080" s="54"/>
      <c r="Q1080" s="54"/>
      <c r="R1080" s="54"/>
      <c r="S1080" s="54"/>
      <c r="T1080" s="54"/>
      <c r="U1080" s="54"/>
      <c r="V1080" s="54"/>
      <c r="W1080" s="54"/>
      <c r="X1080" s="54"/>
      <c r="Y1080" s="54"/>
      <c r="Z1080" s="54"/>
      <c r="AA1080" s="54"/>
      <c r="AB1080" s="54"/>
      <c r="AC1080" s="54"/>
      <c r="AD1080" s="54"/>
    </row>
    <row r="1081" spans="2:30" s="28" customFormat="1" ht="15" customHeight="1" x14ac:dyDescent="0.2">
      <c r="B1081" s="23"/>
      <c r="C1081" s="23"/>
      <c r="D1081" s="24"/>
      <c r="G1081" s="23"/>
      <c r="H1081" s="54"/>
      <c r="I1081" s="54"/>
      <c r="J1081" s="54"/>
      <c r="K1081" s="54"/>
      <c r="L1081" s="54"/>
      <c r="M1081" s="54"/>
      <c r="N1081" s="54"/>
      <c r="O1081" s="54"/>
      <c r="P1081" s="54"/>
      <c r="Q1081" s="54"/>
      <c r="R1081" s="54"/>
      <c r="S1081" s="54"/>
      <c r="T1081" s="54"/>
      <c r="U1081" s="54"/>
      <c r="V1081" s="54"/>
      <c r="W1081" s="54"/>
      <c r="X1081" s="54"/>
      <c r="Y1081" s="54"/>
      <c r="Z1081" s="54"/>
      <c r="AA1081" s="54"/>
      <c r="AB1081" s="54"/>
      <c r="AC1081" s="54"/>
      <c r="AD1081" s="54"/>
    </row>
    <row r="1082" spans="2:30" s="28" customFormat="1" ht="15" customHeight="1" x14ac:dyDescent="0.2">
      <c r="B1082" s="23"/>
      <c r="C1082" s="23"/>
      <c r="D1082" s="24"/>
      <c r="G1082" s="23"/>
      <c r="H1082" s="54"/>
      <c r="I1082" s="54"/>
      <c r="J1082" s="54"/>
      <c r="K1082" s="54"/>
      <c r="L1082" s="54"/>
      <c r="M1082" s="54"/>
      <c r="N1082" s="54"/>
      <c r="O1082" s="54"/>
      <c r="P1082" s="54"/>
      <c r="Q1082" s="54"/>
      <c r="R1082" s="54"/>
      <c r="S1082" s="54"/>
      <c r="T1082" s="54"/>
      <c r="U1082" s="54"/>
      <c r="V1082" s="54"/>
      <c r="W1082" s="54"/>
      <c r="X1082" s="54"/>
      <c r="Y1082" s="54"/>
      <c r="Z1082" s="54"/>
      <c r="AA1082" s="54"/>
      <c r="AB1082" s="54"/>
      <c r="AC1082" s="54"/>
      <c r="AD1082" s="54"/>
    </row>
    <row r="1083" spans="2:30" s="28" customFormat="1" ht="15" customHeight="1" x14ac:dyDescent="0.2">
      <c r="B1083" s="23"/>
      <c r="C1083" s="23"/>
      <c r="D1083" s="24"/>
      <c r="G1083" s="23"/>
      <c r="H1083" s="54"/>
      <c r="I1083" s="54"/>
      <c r="J1083" s="54"/>
      <c r="K1083" s="54"/>
      <c r="L1083" s="54"/>
      <c r="M1083" s="54"/>
      <c r="N1083" s="54"/>
      <c r="O1083" s="54"/>
      <c r="P1083" s="54"/>
      <c r="Q1083" s="54"/>
      <c r="R1083" s="54"/>
      <c r="S1083" s="54"/>
      <c r="T1083" s="54"/>
      <c r="U1083" s="54"/>
      <c r="V1083" s="54"/>
      <c r="W1083" s="54"/>
      <c r="X1083" s="54"/>
      <c r="Y1083" s="54"/>
      <c r="Z1083" s="54"/>
      <c r="AA1083" s="54"/>
      <c r="AB1083" s="54"/>
      <c r="AC1083" s="54"/>
      <c r="AD1083" s="54"/>
    </row>
    <row r="1084" spans="2:30" s="28" customFormat="1" ht="15" customHeight="1" x14ac:dyDescent="0.2">
      <c r="B1084" s="23"/>
      <c r="C1084" s="23"/>
      <c r="D1084" s="24"/>
      <c r="G1084" s="23"/>
      <c r="H1084" s="54"/>
      <c r="I1084" s="54"/>
      <c r="J1084" s="54"/>
      <c r="K1084" s="54"/>
      <c r="L1084" s="54"/>
      <c r="M1084" s="54"/>
      <c r="N1084" s="54"/>
      <c r="O1084" s="54"/>
      <c r="P1084" s="54"/>
      <c r="Q1084" s="54"/>
      <c r="R1084" s="54"/>
      <c r="S1084" s="54"/>
      <c r="T1084" s="54"/>
      <c r="U1084" s="54"/>
      <c r="V1084" s="54"/>
      <c r="W1084" s="54"/>
      <c r="X1084" s="54"/>
      <c r="Y1084" s="54"/>
      <c r="Z1084" s="54"/>
      <c r="AA1084" s="54"/>
      <c r="AB1084" s="54"/>
      <c r="AC1084" s="54"/>
      <c r="AD1084" s="54"/>
    </row>
    <row r="1085" spans="2:30" s="28" customFormat="1" ht="15" customHeight="1" x14ac:dyDescent="0.2">
      <c r="B1085" s="23"/>
      <c r="C1085" s="23"/>
      <c r="D1085" s="24"/>
      <c r="G1085" s="23"/>
      <c r="H1085" s="54"/>
      <c r="I1085" s="54"/>
      <c r="J1085" s="54"/>
      <c r="K1085" s="54"/>
      <c r="L1085" s="54"/>
      <c r="M1085" s="54"/>
      <c r="N1085" s="54"/>
      <c r="O1085" s="54"/>
      <c r="P1085" s="54"/>
      <c r="Q1085" s="54"/>
      <c r="R1085" s="54"/>
      <c r="S1085" s="54"/>
      <c r="T1085" s="54"/>
      <c r="U1085" s="54"/>
      <c r="V1085" s="54"/>
      <c r="W1085" s="54"/>
      <c r="X1085" s="54"/>
      <c r="Y1085" s="54"/>
      <c r="Z1085" s="54"/>
      <c r="AA1085" s="54"/>
      <c r="AB1085" s="54"/>
      <c r="AC1085" s="54"/>
      <c r="AD1085" s="54"/>
    </row>
    <row r="1086" spans="2:30" s="28" customFormat="1" ht="15" customHeight="1" x14ac:dyDescent="0.2">
      <c r="B1086" s="23"/>
      <c r="C1086" s="23"/>
      <c r="D1086" s="24"/>
      <c r="G1086" s="23"/>
      <c r="H1086" s="54"/>
      <c r="I1086" s="54"/>
      <c r="J1086" s="54"/>
      <c r="K1086" s="54"/>
      <c r="L1086" s="54"/>
      <c r="M1086" s="54"/>
      <c r="N1086" s="54"/>
      <c r="O1086" s="54"/>
      <c r="P1086" s="54"/>
      <c r="Q1086" s="54"/>
      <c r="R1086" s="54"/>
      <c r="S1086" s="54"/>
      <c r="T1086" s="54"/>
      <c r="U1086" s="54"/>
      <c r="V1086" s="54"/>
      <c r="W1086" s="54"/>
      <c r="X1086" s="54"/>
      <c r="Y1086" s="54"/>
      <c r="Z1086" s="54"/>
      <c r="AA1086" s="54"/>
      <c r="AB1086" s="54"/>
      <c r="AC1086" s="54"/>
      <c r="AD1086" s="54"/>
    </row>
    <row r="1087" spans="2:30" s="28" customFormat="1" ht="15" customHeight="1" x14ac:dyDescent="0.2">
      <c r="B1087" s="23"/>
      <c r="C1087" s="23"/>
      <c r="D1087" s="24"/>
      <c r="G1087" s="23"/>
      <c r="H1087" s="54"/>
      <c r="I1087" s="54"/>
      <c r="J1087" s="54"/>
      <c r="K1087" s="54"/>
      <c r="L1087" s="54"/>
      <c r="M1087" s="54"/>
      <c r="N1087" s="54"/>
      <c r="O1087" s="54"/>
      <c r="P1087" s="54"/>
      <c r="Q1087" s="54"/>
      <c r="R1087" s="54"/>
      <c r="S1087" s="54"/>
      <c r="T1087" s="54"/>
      <c r="U1087" s="54"/>
      <c r="V1087" s="54"/>
      <c r="W1087" s="54"/>
      <c r="X1087" s="54"/>
      <c r="Y1087" s="54"/>
      <c r="Z1087" s="54"/>
      <c r="AA1087" s="54"/>
      <c r="AB1087" s="54"/>
      <c r="AC1087" s="54"/>
      <c r="AD1087" s="54"/>
    </row>
    <row r="1088" spans="2:30" s="28" customFormat="1" ht="15" customHeight="1" x14ac:dyDescent="0.2">
      <c r="B1088" s="23"/>
      <c r="C1088" s="23"/>
      <c r="D1088" s="24"/>
      <c r="G1088" s="23"/>
      <c r="H1088" s="54"/>
      <c r="I1088" s="54"/>
      <c r="J1088" s="54"/>
      <c r="K1088" s="54"/>
      <c r="L1088" s="54"/>
      <c r="M1088" s="54"/>
      <c r="N1088" s="54"/>
      <c r="O1088" s="54"/>
      <c r="P1088" s="54"/>
      <c r="Q1088" s="54"/>
      <c r="R1088" s="54"/>
      <c r="S1088" s="54"/>
      <c r="T1088" s="54"/>
      <c r="U1088" s="54"/>
      <c r="V1088" s="54"/>
      <c r="W1088" s="54"/>
      <c r="X1088" s="54"/>
      <c r="Y1088" s="54"/>
      <c r="Z1088" s="54"/>
      <c r="AA1088" s="54"/>
      <c r="AB1088" s="54"/>
      <c r="AC1088" s="54"/>
      <c r="AD1088" s="54"/>
    </row>
    <row r="1089" spans="2:30" s="28" customFormat="1" ht="15" customHeight="1" x14ac:dyDescent="0.2">
      <c r="B1089" s="23"/>
      <c r="C1089" s="23"/>
      <c r="D1089" s="24"/>
      <c r="G1089" s="23"/>
      <c r="H1089" s="54"/>
      <c r="I1089" s="54"/>
      <c r="J1089" s="54"/>
      <c r="K1089" s="54"/>
      <c r="L1089" s="54"/>
      <c r="M1089" s="54"/>
      <c r="N1089" s="54"/>
      <c r="O1089" s="54"/>
      <c r="P1089" s="54"/>
      <c r="Q1089" s="54"/>
      <c r="R1089" s="54"/>
      <c r="S1089" s="54"/>
      <c r="T1089" s="54"/>
      <c r="U1089" s="54"/>
      <c r="V1089" s="54"/>
      <c r="W1089" s="54"/>
      <c r="X1089" s="54"/>
      <c r="Y1089" s="54"/>
      <c r="Z1089" s="54"/>
      <c r="AA1089" s="54"/>
      <c r="AB1089" s="54"/>
      <c r="AC1089" s="54"/>
      <c r="AD1089" s="54"/>
    </row>
    <row r="1090" spans="2:30" s="28" customFormat="1" ht="15" customHeight="1" x14ac:dyDescent="0.2">
      <c r="B1090" s="23"/>
      <c r="C1090" s="23"/>
      <c r="D1090" s="24"/>
      <c r="G1090" s="23"/>
      <c r="H1090" s="54"/>
      <c r="I1090" s="54"/>
      <c r="J1090" s="54"/>
      <c r="K1090" s="54"/>
      <c r="L1090" s="54"/>
      <c r="M1090" s="54"/>
      <c r="N1090" s="54"/>
      <c r="O1090" s="54"/>
      <c r="P1090" s="54"/>
      <c r="Q1090" s="54"/>
      <c r="R1090" s="54"/>
      <c r="S1090" s="54"/>
      <c r="T1090" s="54"/>
      <c r="U1090" s="54"/>
      <c r="V1090" s="54"/>
      <c r="W1090" s="54"/>
      <c r="X1090" s="54"/>
      <c r="Y1090" s="54"/>
      <c r="Z1090" s="54"/>
      <c r="AA1090" s="54"/>
      <c r="AB1090" s="54"/>
      <c r="AC1090" s="54"/>
      <c r="AD1090" s="54"/>
    </row>
    <row r="1091" spans="2:30" s="28" customFormat="1" ht="15" customHeight="1" x14ac:dyDescent="0.2">
      <c r="B1091" s="23"/>
      <c r="C1091" s="23"/>
      <c r="D1091" s="24"/>
      <c r="G1091" s="23"/>
      <c r="H1091" s="54"/>
      <c r="I1091" s="54"/>
      <c r="J1091" s="54"/>
      <c r="K1091" s="54"/>
      <c r="L1091" s="54"/>
      <c r="M1091" s="54"/>
      <c r="N1091" s="54"/>
      <c r="O1091" s="54"/>
      <c r="P1091" s="54"/>
      <c r="Q1091" s="54"/>
      <c r="R1091" s="54"/>
      <c r="S1091" s="54"/>
      <c r="T1091" s="54"/>
      <c r="U1091" s="54"/>
      <c r="V1091" s="54"/>
      <c r="W1091" s="54"/>
      <c r="X1091" s="54"/>
      <c r="Y1091" s="54"/>
      <c r="Z1091" s="54"/>
      <c r="AA1091" s="54"/>
      <c r="AB1091" s="54"/>
      <c r="AC1091" s="54"/>
      <c r="AD1091" s="54"/>
    </row>
    <row r="1092" spans="2:30" s="28" customFormat="1" ht="15" customHeight="1" x14ac:dyDescent="0.2">
      <c r="B1092" s="23"/>
      <c r="C1092" s="23"/>
      <c r="D1092" s="24"/>
      <c r="G1092" s="23"/>
      <c r="H1092" s="54"/>
      <c r="I1092" s="54"/>
      <c r="J1092" s="54"/>
      <c r="K1092" s="54"/>
      <c r="L1092" s="54"/>
      <c r="M1092" s="54"/>
      <c r="N1092" s="54"/>
      <c r="O1092" s="54"/>
      <c r="P1092" s="54"/>
      <c r="Q1092" s="54"/>
      <c r="R1092" s="54"/>
      <c r="S1092" s="54"/>
      <c r="T1092" s="54"/>
      <c r="U1092" s="54"/>
      <c r="V1092" s="54"/>
      <c r="W1092" s="54"/>
      <c r="X1092" s="54"/>
      <c r="Y1092" s="54"/>
      <c r="Z1092" s="54"/>
      <c r="AA1092" s="54"/>
      <c r="AB1092" s="54"/>
      <c r="AC1092" s="54"/>
      <c r="AD1092" s="54"/>
    </row>
    <row r="1093" spans="2:30" s="28" customFormat="1" ht="15" customHeight="1" x14ac:dyDescent="0.2">
      <c r="B1093" s="23"/>
      <c r="C1093" s="23"/>
      <c r="D1093" s="24"/>
      <c r="G1093" s="23"/>
      <c r="H1093" s="54"/>
      <c r="I1093" s="54"/>
      <c r="J1093" s="54"/>
      <c r="K1093" s="54"/>
      <c r="L1093" s="54"/>
      <c r="M1093" s="54"/>
      <c r="N1093" s="54"/>
      <c r="O1093" s="54"/>
      <c r="P1093" s="54"/>
      <c r="Q1093" s="54"/>
      <c r="R1093" s="54"/>
      <c r="S1093" s="54"/>
      <c r="T1093" s="54"/>
      <c r="U1093" s="54"/>
      <c r="V1093" s="54"/>
      <c r="W1093" s="54"/>
      <c r="X1093" s="54"/>
      <c r="Y1093" s="54"/>
      <c r="Z1093" s="54"/>
      <c r="AA1093" s="54"/>
      <c r="AB1093" s="54"/>
      <c r="AC1093" s="54"/>
      <c r="AD1093" s="54"/>
    </row>
    <row r="1094" spans="2:30" s="28" customFormat="1" ht="15" customHeight="1" x14ac:dyDescent="0.2">
      <c r="B1094" s="23"/>
      <c r="C1094" s="23"/>
      <c r="D1094" s="24"/>
      <c r="G1094" s="23"/>
      <c r="H1094" s="54"/>
      <c r="I1094" s="54"/>
      <c r="J1094" s="54"/>
      <c r="K1094" s="54"/>
      <c r="L1094" s="54"/>
      <c r="M1094" s="54"/>
      <c r="N1094" s="54"/>
      <c r="O1094" s="54"/>
      <c r="P1094" s="54"/>
      <c r="Q1094" s="54"/>
      <c r="R1094" s="54"/>
      <c r="S1094" s="54"/>
      <c r="T1094" s="54"/>
      <c r="U1094" s="54"/>
      <c r="V1094" s="54"/>
      <c r="W1094" s="54"/>
      <c r="X1094" s="54"/>
      <c r="Y1094" s="54"/>
      <c r="Z1094" s="54"/>
      <c r="AA1094" s="54"/>
      <c r="AB1094" s="54"/>
      <c r="AC1094" s="54"/>
      <c r="AD1094" s="54"/>
    </row>
    <row r="1095" spans="2:30" s="28" customFormat="1" ht="15" customHeight="1" x14ac:dyDescent="0.2">
      <c r="B1095" s="23"/>
      <c r="C1095" s="23"/>
      <c r="D1095" s="24"/>
      <c r="G1095" s="23"/>
      <c r="H1095" s="54"/>
      <c r="I1095" s="54"/>
      <c r="J1095" s="54"/>
      <c r="K1095" s="54"/>
      <c r="L1095" s="54"/>
      <c r="M1095" s="54"/>
      <c r="N1095" s="54"/>
      <c r="O1095" s="54"/>
      <c r="P1095" s="54"/>
      <c r="Q1095" s="54"/>
      <c r="R1095" s="54"/>
      <c r="S1095" s="54"/>
      <c r="T1095" s="54"/>
      <c r="U1095" s="54"/>
      <c r="V1095" s="54"/>
      <c r="W1095" s="54"/>
      <c r="X1095" s="54"/>
      <c r="Y1095" s="54"/>
      <c r="Z1095" s="54"/>
      <c r="AA1095" s="54"/>
      <c r="AB1095" s="54"/>
      <c r="AC1095" s="54"/>
      <c r="AD1095" s="54"/>
    </row>
  </sheetData>
  <mergeCells count="4">
    <mergeCell ref="B1:G1"/>
    <mergeCell ref="B4:C4"/>
    <mergeCell ref="D4:E4"/>
    <mergeCell ref="B2:G2"/>
  </mergeCells>
  <printOptions horizontalCentered="1" verticalCentered="1"/>
  <pageMargins left="0" right="0" top="0" bottom="0" header="0.19685039370078741" footer="0.19685039370078741"/>
  <pageSetup paperSize="9" scale="42" orientation="portrait" r:id="rId1"/>
  <headerFooter alignWithMargins="0">
    <oddHeader xml:space="preserve">&amp;C
&amp;R&amp;"Arial,Félkövér"&amp;16 18. melléklet a .../2022. (........) önkormányzati rendelethez
&amp;14
</oddHeader>
  </headerFooter>
  <rowBreaks count="1" manualBreakCount="1">
    <brk id="78" min="1" max="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T108"/>
  <sheetViews>
    <sheetView zoomScale="75" zoomScaleNormal="75" zoomScaleSheetLayoutView="75" workbookViewId="0">
      <selection activeCell="L12" sqref="L12"/>
    </sheetView>
  </sheetViews>
  <sheetFormatPr defaultColWidth="12" defaultRowHeight="15" x14ac:dyDescent="0.2"/>
  <cols>
    <col min="1" max="1" width="9.1640625" style="1166" customWidth="1"/>
    <col min="2" max="2" width="82.6640625" style="1166" customWidth="1"/>
    <col min="3" max="3" width="24" style="1166" customWidth="1"/>
    <col min="4" max="4" width="24" style="1165" customWidth="1"/>
    <col min="5" max="5" width="20.6640625" style="1165" bestFit="1" customWidth="1"/>
    <col min="6" max="6" width="18.5" style="1165" customWidth="1"/>
    <col min="7" max="7" width="21.33203125" style="1165" bestFit="1" customWidth="1"/>
    <col min="8" max="8" width="12.1640625" style="1165" bestFit="1" customWidth="1"/>
    <col min="9" max="9" width="16.6640625" style="1165" bestFit="1" customWidth="1"/>
    <col min="10" max="10" width="14" style="1165" bestFit="1" customWidth="1"/>
    <col min="11" max="11" width="19.5" style="1165" customWidth="1"/>
    <col min="12" max="12" width="12.1640625" style="1165" bestFit="1" customWidth="1"/>
    <col min="13" max="15" width="12" style="1165"/>
    <col min="16" max="16" width="22.83203125" style="1165" customWidth="1"/>
    <col min="17" max="17" width="16.1640625" style="1165" customWidth="1"/>
    <col min="18" max="20" width="12" style="1165"/>
    <col min="21" max="16384" width="12" style="1166"/>
  </cols>
  <sheetData>
    <row r="1" spans="2:12" ht="40.5" customHeight="1" x14ac:dyDescent="0.25">
      <c r="B1" s="2480" t="s">
        <v>702</v>
      </c>
      <c r="C1" s="2480"/>
    </row>
    <row r="2" spans="2:12" ht="43.5" customHeight="1" thickBot="1" x14ac:dyDescent="0.25">
      <c r="C2" s="1167" t="s">
        <v>19</v>
      </c>
    </row>
    <row r="3" spans="2:12" s="1165" customFormat="1" ht="39.950000000000003" customHeight="1" x14ac:dyDescent="0.2">
      <c r="B3" s="1168" t="s">
        <v>703</v>
      </c>
      <c r="C3" s="1858">
        <v>9599951</v>
      </c>
      <c r="E3" s="1169"/>
      <c r="G3" s="1170"/>
      <c r="H3" s="1170"/>
      <c r="I3" s="1170"/>
      <c r="J3" s="1170"/>
      <c r="K3" s="1170"/>
      <c r="L3" s="1170"/>
    </row>
    <row r="4" spans="2:12" s="1174" customFormat="1" ht="39.950000000000003" customHeight="1" x14ac:dyDescent="0.25">
      <c r="B4" s="1171" t="s">
        <v>704</v>
      </c>
      <c r="C4" s="1859">
        <f>+'1 kiemelt előirányzatok telj. '!E20</f>
        <v>33642689</v>
      </c>
      <c r="D4" s="1172"/>
      <c r="E4" s="1173"/>
      <c r="G4" s="1172"/>
      <c r="H4" s="1172"/>
      <c r="I4" s="1172"/>
      <c r="J4" s="1172"/>
      <c r="K4" s="1170"/>
      <c r="L4" s="1172"/>
    </row>
    <row r="5" spans="2:12" s="1165" customFormat="1" ht="39.950000000000003" customHeight="1" x14ac:dyDescent="0.2">
      <c r="B5" s="1175" t="s">
        <v>705</v>
      </c>
      <c r="C5" s="1860">
        <f>(241491552-496221522-23725230+23725230+1579283-1216362-662997588+644198051+17717731-13341665+333450+14798)/1000-1</f>
        <v>-268443.272</v>
      </c>
      <c r="D5" s="1170"/>
      <c r="E5" s="1176"/>
      <c r="F5" s="1176"/>
      <c r="G5" s="1170"/>
      <c r="H5" s="1170"/>
      <c r="I5" s="1170"/>
      <c r="J5" s="1170"/>
      <c r="K5" s="1170"/>
      <c r="L5" s="1170"/>
    </row>
    <row r="6" spans="2:12" s="1165" customFormat="1" ht="39.950000000000003" customHeight="1" x14ac:dyDescent="0.2">
      <c r="B6" s="1177" t="s">
        <v>1241</v>
      </c>
      <c r="C6" s="1861">
        <v>-9173163</v>
      </c>
      <c r="D6" s="1170"/>
      <c r="E6" s="1176"/>
      <c r="G6" s="1170"/>
      <c r="H6" s="1170"/>
      <c r="I6" s="1170"/>
      <c r="J6" s="1170"/>
      <c r="K6" s="1170"/>
      <c r="L6" s="1170"/>
    </row>
    <row r="7" spans="2:12" s="1165" customFormat="1" ht="57" customHeight="1" x14ac:dyDescent="0.2">
      <c r="B7" s="1178" t="s">
        <v>706</v>
      </c>
      <c r="C7" s="1861">
        <v>165</v>
      </c>
      <c r="E7" s="1176"/>
      <c r="G7" s="1170"/>
      <c r="H7" s="1170"/>
      <c r="I7" s="1170"/>
      <c r="J7" s="1170"/>
      <c r="K7" s="1170"/>
      <c r="L7" s="1170"/>
    </row>
    <row r="8" spans="2:12" s="1174" customFormat="1" ht="39.950000000000003" customHeight="1" x14ac:dyDescent="0.25">
      <c r="B8" s="1171" t="s">
        <v>707</v>
      </c>
      <c r="C8" s="1859">
        <f>-'1 kiemelt előirányzatok telj. '!J20</f>
        <v>-24184461</v>
      </c>
      <c r="D8" s="1172"/>
      <c r="E8" s="1173"/>
      <c r="G8" s="1172"/>
      <c r="H8" s="1172"/>
      <c r="I8" s="1172"/>
      <c r="J8" s="1172"/>
      <c r="K8" s="1170"/>
      <c r="L8" s="1172"/>
    </row>
    <row r="9" spans="2:12" s="1165" customFormat="1" ht="39.950000000000003" customHeight="1" thickBot="1" x14ac:dyDescent="0.25">
      <c r="B9" s="1179" t="s">
        <v>708</v>
      </c>
      <c r="C9" s="1180">
        <f>SUM(C3:C8)</f>
        <v>9616737.7280000001</v>
      </c>
      <c r="D9" s="1170"/>
      <c r="E9" s="1181"/>
      <c r="F9" s="1170"/>
      <c r="G9" s="1170"/>
      <c r="H9" s="1170"/>
      <c r="I9" s="1170"/>
      <c r="J9" s="1170"/>
      <c r="K9" s="1170"/>
      <c r="L9" s="1170"/>
    </row>
    <row r="10" spans="2:12" ht="39.950000000000003" customHeight="1" x14ac:dyDescent="0.2">
      <c r="B10" s="1182" t="s">
        <v>709</v>
      </c>
      <c r="C10" s="1183"/>
      <c r="D10" s="1170"/>
      <c r="E10" s="138"/>
      <c r="G10" s="1170"/>
      <c r="H10" s="1170"/>
      <c r="I10" s="1170"/>
      <c r="J10" s="1170"/>
      <c r="K10" s="1170"/>
      <c r="L10" s="1170"/>
    </row>
    <row r="11" spans="2:12" ht="39.950000000000003" customHeight="1" x14ac:dyDescent="0.2">
      <c r="B11" s="1184" t="s">
        <v>710</v>
      </c>
      <c r="C11" s="1862">
        <v>449754</v>
      </c>
      <c r="E11" s="138"/>
      <c r="G11" s="1170"/>
      <c r="H11" s="1170"/>
      <c r="I11" s="1170"/>
    </row>
    <row r="12" spans="2:12" ht="39.950000000000003" customHeight="1" thickBot="1" x14ac:dyDescent="0.25">
      <c r="B12" s="1185" t="s">
        <v>711</v>
      </c>
      <c r="C12" s="1863">
        <v>9166984</v>
      </c>
      <c r="D12" s="1170"/>
      <c r="E12" s="138"/>
    </row>
    <row r="13" spans="2:12" ht="35.1" customHeight="1" x14ac:dyDescent="0.2">
      <c r="D13" s="1170"/>
    </row>
    <row r="14" spans="2:12" s="1165" customFormat="1" ht="35.1" customHeight="1" x14ac:dyDescent="0.2"/>
    <row r="15" spans="2:12" s="1165" customFormat="1" ht="35.1" customHeight="1" x14ac:dyDescent="0.2">
      <c r="B15" s="2068"/>
      <c r="C15" s="2068"/>
      <c r="D15" s="2068"/>
      <c r="E15" s="2068"/>
      <c r="F15" s="2068"/>
      <c r="G15" s="2068"/>
    </row>
    <row r="16" spans="2:12" s="1165" customFormat="1" ht="35.1" customHeight="1" x14ac:dyDescent="0.2">
      <c r="B16" s="2068"/>
      <c r="C16" s="2068"/>
      <c r="D16" s="2069"/>
      <c r="E16" s="951"/>
      <c r="F16" s="2068"/>
      <c r="G16" s="2068"/>
    </row>
    <row r="17" spans="2:7" s="1165" customFormat="1" ht="35.1" customHeight="1" x14ac:dyDescent="0.2">
      <c r="B17" s="2068"/>
      <c r="C17" s="2068"/>
      <c r="D17" s="2069"/>
      <c r="E17" s="951"/>
      <c r="F17" s="2068"/>
      <c r="G17" s="2068"/>
    </row>
    <row r="18" spans="2:7" s="1165" customFormat="1" ht="35.1" customHeight="1" x14ac:dyDescent="0.2">
      <c r="B18" s="2068"/>
      <c r="C18" s="2068"/>
      <c r="D18" s="2069"/>
      <c r="E18" s="951"/>
      <c r="F18" s="2068"/>
      <c r="G18" s="2068"/>
    </row>
    <row r="19" spans="2:7" s="1165" customFormat="1" ht="35.1" customHeight="1" x14ac:dyDescent="0.2">
      <c r="B19" s="2070"/>
      <c r="C19" s="2068"/>
      <c r="D19" s="2069"/>
      <c r="E19" s="951"/>
      <c r="F19" s="2068"/>
      <c r="G19" s="2068"/>
    </row>
    <row r="20" spans="2:7" s="1165" customFormat="1" ht="35.1" customHeight="1" x14ac:dyDescent="0.2">
      <c r="B20" s="2068"/>
      <c r="C20" s="2068"/>
      <c r="D20" s="2069"/>
      <c r="E20" s="951"/>
      <c r="F20" s="2068"/>
      <c r="G20" s="2068"/>
    </row>
    <row r="21" spans="2:7" s="1165" customFormat="1" ht="35.1" customHeight="1" x14ac:dyDescent="0.2">
      <c r="B21" s="2070"/>
      <c r="C21" s="2071"/>
      <c r="D21" s="2069"/>
      <c r="E21" s="951"/>
      <c r="F21" s="2068"/>
      <c r="G21" s="2068"/>
    </row>
    <row r="22" spans="2:7" s="1165" customFormat="1" ht="35.1" customHeight="1" x14ac:dyDescent="0.2">
      <c r="B22" s="2068"/>
      <c r="C22" s="2071"/>
      <c r="D22" s="2069"/>
      <c r="E22" s="951"/>
      <c r="F22" s="2068"/>
      <c r="G22" s="2068"/>
    </row>
    <row r="23" spans="2:7" s="1165" customFormat="1" ht="35.1" customHeight="1" x14ac:dyDescent="0.2">
      <c r="B23" s="2068"/>
      <c r="C23" s="2068"/>
      <c r="D23" s="2068"/>
      <c r="E23" s="951"/>
      <c r="F23" s="2068"/>
      <c r="G23" s="2068"/>
    </row>
    <row r="24" spans="2:7" s="1165" customFormat="1" ht="35.1" customHeight="1" x14ac:dyDescent="0.2">
      <c r="B24" s="2068"/>
      <c r="C24" s="951"/>
      <c r="D24" s="2068"/>
      <c r="E24" s="951"/>
      <c r="F24" s="2068"/>
      <c r="G24" s="2068"/>
    </row>
    <row r="25" spans="2:7" s="1165" customFormat="1" ht="35.1" customHeight="1" x14ac:dyDescent="0.2">
      <c r="B25" s="2072"/>
      <c r="C25" s="951"/>
      <c r="D25" s="2068"/>
      <c r="E25" s="951"/>
      <c r="F25" s="2068"/>
      <c r="G25" s="2068"/>
    </row>
    <row r="26" spans="2:7" s="1165" customFormat="1" ht="35.1" customHeight="1" x14ac:dyDescent="0.2">
      <c r="B26" s="2072"/>
      <c r="C26" s="951"/>
      <c r="D26" s="2068"/>
      <c r="E26" s="951"/>
      <c r="F26" s="2068"/>
      <c r="G26" s="2068"/>
    </row>
    <row r="27" spans="2:7" s="1165" customFormat="1" ht="35.1" customHeight="1" x14ac:dyDescent="0.2">
      <c r="B27" s="1186"/>
      <c r="C27" s="1170"/>
    </row>
    <row r="28" spans="2:7" s="1165" customFormat="1" ht="35.1" customHeight="1" x14ac:dyDescent="0.2">
      <c r="C28" s="1170"/>
    </row>
    <row r="29" spans="2:7" s="1165" customFormat="1" ht="35.1" customHeight="1" x14ac:dyDescent="0.2">
      <c r="C29" s="1170"/>
    </row>
    <row r="30" spans="2:7" s="1165" customFormat="1" ht="35.1" customHeight="1" x14ac:dyDescent="0.2">
      <c r="C30" s="1170"/>
    </row>
    <row r="31" spans="2:7" s="1165" customFormat="1" ht="35.1" customHeight="1" x14ac:dyDescent="0.2">
      <c r="C31" s="1170"/>
    </row>
    <row r="32" spans="2:7" ht="35.1" customHeight="1" x14ac:dyDescent="0.2">
      <c r="C32" s="1187"/>
    </row>
    <row r="33" spans="3:3" ht="35.1" customHeight="1" x14ac:dyDescent="0.2">
      <c r="C33" s="1187"/>
    </row>
    <row r="34" spans="3:3" ht="35.1" customHeight="1" x14ac:dyDescent="0.2">
      <c r="C34" s="1187"/>
    </row>
    <row r="35" spans="3:3" ht="35.1" customHeight="1" x14ac:dyDescent="0.2">
      <c r="C35" s="1187"/>
    </row>
    <row r="36" spans="3:3" ht="35.1" customHeight="1" x14ac:dyDescent="0.2">
      <c r="C36" s="1187"/>
    </row>
    <row r="37" spans="3:3" ht="35.1" customHeight="1" x14ac:dyDescent="0.2">
      <c r="C37" s="1187"/>
    </row>
    <row r="38" spans="3:3" ht="35.1" customHeight="1" x14ac:dyDescent="0.2">
      <c r="C38" s="1187"/>
    </row>
    <row r="39" spans="3:3" ht="35.1" customHeight="1" x14ac:dyDescent="0.2">
      <c r="C39" s="1187"/>
    </row>
    <row r="40" spans="3:3" ht="35.1" customHeight="1" x14ac:dyDescent="0.2">
      <c r="C40" s="1187"/>
    </row>
    <row r="41" spans="3:3" ht="35.1" customHeight="1" x14ac:dyDescent="0.2">
      <c r="C41" s="1187"/>
    </row>
    <row r="42" spans="3:3" ht="35.1" customHeight="1" x14ac:dyDescent="0.2">
      <c r="C42" s="1187"/>
    </row>
    <row r="43" spans="3:3" ht="35.1" customHeight="1" x14ac:dyDescent="0.2">
      <c r="C43" s="1187"/>
    </row>
    <row r="44" spans="3:3" ht="35.1" customHeight="1" x14ac:dyDescent="0.2">
      <c r="C44" s="1187"/>
    </row>
    <row r="45" spans="3:3" ht="35.1" customHeight="1" x14ac:dyDescent="0.2">
      <c r="C45" s="1187"/>
    </row>
    <row r="46" spans="3:3" ht="35.1" customHeight="1" x14ac:dyDescent="0.2">
      <c r="C46" s="1187"/>
    </row>
    <row r="47" spans="3:3" ht="35.1" customHeight="1" x14ac:dyDescent="0.2">
      <c r="C47" s="1187"/>
    </row>
    <row r="48" spans="3:3" ht="35.1" customHeight="1" x14ac:dyDescent="0.2">
      <c r="C48" s="1187"/>
    </row>
    <row r="49" spans="3:3" ht="35.1" customHeight="1" x14ac:dyDescent="0.2">
      <c r="C49" s="1187"/>
    </row>
    <row r="50" spans="3:3" ht="63" customHeight="1" x14ac:dyDescent="0.2">
      <c r="C50" s="1187"/>
    </row>
    <row r="51" spans="3:3" ht="35.1" customHeight="1" x14ac:dyDescent="0.2">
      <c r="C51" s="1187"/>
    </row>
    <row r="52" spans="3:3" x14ac:dyDescent="0.2">
      <c r="C52" s="1187"/>
    </row>
    <row r="53" spans="3:3" ht="35.1" customHeight="1" x14ac:dyDescent="0.2">
      <c r="C53" s="1187"/>
    </row>
    <row r="54" spans="3:3" ht="35.1" customHeight="1" x14ac:dyDescent="0.2">
      <c r="C54" s="1187"/>
    </row>
    <row r="55" spans="3:3" ht="35.1" customHeight="1" x14ac:dyDescent="0.2">
      <c r="C55" s="1187"/>
    </row>
    <row r="56" spans="3:3" ht="35.1" customHeight="1" x14ac:dyDescent="0.2">
      <c r="C56" s="1187"/>
    </row>
    <row r="57" spans="3:3" ht="35.1" customHeight="1" x14ac:dyDescent="0.2">
      <c r="C57" s="1187"/>
    </row>
    <row r="58" spans="3:3" ht="35.1" customHeight="1" x14ac:dyDescent="0.2">
      <c r="C58" s="1187"/>
    </row>
    <row r="59" spans="3:3" ht="35.1" customHeight="1" x14ac:dyDescent="0.2">
      <c r="C59" s="1187"/>
    </row>
    <row r="60" spans="3:3" ht="35.1" customHeight="1" x14ac:dyDescent="0.2">
      <c r="C60" s="1187"/>
    </row>
    <row r="61" spans="3:3" ht="35.1" customHeight="1" x14ac:dyDescent="0.2">
      <c r="C61" s="1187"/>
    </row>
    <row r="62" spans="3:3" ht="35.1" customHeight="1" x14ac:dyDescent="0.2">
      <c r="C62" s="1187"/>
    </row>
    <row r="63" spans="3:3" ht="35.1" customHeight="1" x14ac:dyDescent="0.2">
      <c r="C63" s="1187"/>
    </row>
    <row r="64" spans="3:3" ht="35.1" customHeight="1" x14ac:dyDescent="0.2">
      <c r="C64" s="1187"/>
    </row>
    <row r="65" spans="3:3" ht="35.1" customHeight="1" x14ac:dyDescent="0.2">
      <c r="C65" s="1187"/>
    </row>
    <row r="66" spans="3:3" ht="35.1" customHeight="1" x14ac:dyDescent="0.2">
      <c r="C66" s="1187"/>
    </row>
    <row r="67" spans="3:3" ht="35.1" customHeight="1" x14ac:dyDescent="0.2">
      <c r="C67" s="1187"/>
    </row>
    <row r="68" spans="3:3" ht="35.1" customHeight="1" x14ac:dyDescent="0.2">
      <c r="C68" s="1187"/>
    </row>
    <row r="69" spans="3:3" ht="35.1" customHeight="1" x14ac:dyDescent="0.2">
      <c r="C69" s="1187"/>
    </row>
    <row r="70" spans="3:3" ht="35.1" customHeight="1" x14ac:dyDescent="0.2">
      <c r="C70" s="1187"/>
    </row>
    <row r="71" spans="3:3" ht="35.1" customHeight="1" x14ac:dyDescent="0.2">
      <c r="C71" s="1187"/>
    </row>
    <row r="72" spans="3:3" ht="35.1" customHeight="1" x14ac:dyDescent="0.2">
      <c r="C72" s="1187"/>
    </row>
    <row r="73" spans="3:3" ht="35.1" customHeight="1" x14ac:dyDescent="0.2">
      <c r="C73" s="1187"/>
    </row>
    <row r="74" spans="3:3" ht="35.1" customHeight="1" x14ac:dyDescent="0.2">
      <c r="C74" s="1187"/>
    </row>
    <row r="75" spans="3:3" ht="35.1" customHeight="1" x14ac:dyDescent="0.2">
      <c r="C75" s="1187"/>
    </row>
    <row r="76" spans="3:3" ht="35.1" customHeight="1" x14ac:dyDescent="0.2">
      <c r="C76" s="1187"/>
    </row>
    <row r="77" spans="3:3" ht="35.1" customHeight="1" x14ac:dyDescent="0.2">
      <c r="C77" s="1187"/>
    </row>
    <row r="78" spans="3:3" ht="35.1" customHeight="1" x14ac:dyDescent="0.2">
      <c r="C78" s="1187"/>
    </row>
    <row r="79" spans="3:3" ht="35.1" customHeight="1" x14ac:dyDescent="0.2">
      <c r="C79" s="1187"/>
    </row>
    <row r="80" spans="3:3" ht="35.1" customHeight="1" x14ac:dyDescent="0.2">
      <c r="C80" s="1187"/>
    </row>
    <row r="81" spans="3:3" ht="35.1" customHeight="1" x14ac:dyDescent="0.2">
      <c r="C81" s="1187"/>
    </row>
    <row r="82" spans="3:3" ht="35.1" customHeight="1" x14ac:dyDescent="0.2">
      <c r="C82" s="1187"/>
    </row>
    <row r="83" spans="3:3" ht="35.1" customHeight="1" x14ac:dyDescent="0.2">
      <c r="C83" s="1187"/>
    </row>
    <row r="84" spans="3:3" ht="35.1" customHeight="1" x14ac:dyDescent="0.2">
      <c r="C84" s="1187"/>
    </row>
    <row r="85" spans="3:3" ht="70.5" customHeight="1" x14ac:dyDescent="0.2">
      <c r="C85" s="1187"/>
    </row>
    <row r="86" spans="3:3" ht="70.5" customHeight="1" x14ac:dyDescent="0.2">
      <c r="C86" s="1187"/>
    </row>
    <row r="87" spans="3:3" ht="35.1" customHeight="1" x14ac:dyDescent="0.2">
      <c r="C87" s="1187"/>
    </row>
    <row r="88" spans="3:3" ht="35.1" customHeight="1" x14ac:dyDescent="0.2">
      <c r="C88" s="1187"/>
    </row>
    <row r="89" spans="3:3" ht="35.1" customHeight="1" x14ac:dyDescent="0.2">
      <c r="C89" s="1187"/>
    </row>
    <row r="90" spans="3:3" ht="35.1" customHeight="1" x14ac:dyDescent="0.2">
      <c r="C90" s="1187"/>
    </row>
    <row r="91" spans="3:3" ht="35.1" customHeight="1" x14ac:dyDescent="0.2">
      <c r="C91" s="1187"/>
    </row>
    <row r="92" spans="3:3" ht="35.1" customHeight="1" x14ac:dyDescent="0.2">
      <c r="C92" s="1187"/>
    </row>
    <row r="93" spans="3:3" ht="35.1" customHeight="1" x14ac:dyDescent="0.2">
      <c r="C93" s="1187"/>
    </row>
    <row r="94" spans="3:3" ht="35.1" customHeight="1" x14ac:dyDescent="0.2">
      <c r="C94" s="1187"/>
    </row>
    <row r="95" spans="3:3" ht="35.1" customHeight="1" x14ac:dyDescent="0.2">
      <c r="C95" s="1187"/>
    </row>
    <row r="96" spans="3:3" ht="35.1" customHeight="1" x14ac:dyDescent="0.2">
      <c r="C96" s="1187"/>
    </row>
    <row r="97" ht="35.1" customHeight="1" x14ac:dyDescent="0.2"/>
    <row r="98" ht="70.5" customHeight="1" x14ac:dyDescent="0.2"/>
    <row r="99" ht="70.5" customHeight="1" x14ac:dyDescent="0.2"/>
    <row r="100" ht="69" customHeight="1" x14ac:dyDescent="0.2"/>
    <row r="101" ht="35.1" customHeight="1" x14ac:dyDescent="0.2"/>
    <row r="102" ht="75" customHeight="1" x14ac:dyDescent="0.2"/>
    <row r="103" ht="35.1" customHeight="1" x14ac:dyDescent="0.2"/>
    <row r="104" ht="35.1" customHeight="1" x14ac:dyDescent="0.2"/>
    <row r="105" ht="35.1" customHeight="1" x14ac:dyDescent="0.2"/>
    <row r="106" ht="35.1" customHeight="1" x14ac:dyDescent="0.2"/>
    <row r="107" ht="35.1" customHeight="1" x14ac:dyDescent="0.2"/>
    <row r="108" ht="19.5" customHeight="1" x14ac:dyDescent="0.2"/>
  </sheetData>
  <mergeCells count="1">
    <mergeCell ref="B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>
    <oddHeader xml:space="preserve">&amp;R&amp;"Arial CE,Normál"&amp;11 &amp;10 &amp;"Arial CE,Félkövér"19. melléklet a …../2022. (…….) önkormányzati rendelethez </oddHeader>
  </headerFooter>
  <rowBreaks count="1" manualBreakCount="1">
    <brk id="29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21"/>
  <sheetViews>
    <sheetView zoomScale="60" zoomScaleNormal="60" workbookViewId="0">
      <selection activeCell="M73" sqref="M73"/>
    </sheetView>
  </sheetViews>
  <sheetFormatPr defaultColWidth="9.33203125" defaultRowHeight="15" customHeight="1" x14ac:dyDescent="0.25"/>
  <cols>
    <col min="1" max="1" width="3.1640625" style="66" customWidth="1"/>
    <col min="2" max="2" width="5" style="66" customWidth="1"/>
    <col min="3" max="3" width="84.1640625" style="66" customWidth="1"/>
    <col min="4" max="4" width="26.1640625" style="66" customWidth="1"/>
    <col min="5" max="5" width="26.6640625" style="66" customWidth="1"/>
    <col min="6" max="6" width="25.83203125" style="66" customWidth="1"/>
    <col min="7" max="7" width="27.33203125" style="66" bestFit="1" customWidth="1"/>
    <col min="8" max="8" width="8.5" style="66" customWidth="1"/>
    <col min="9" max="9" width="115.83203125" style="66" customWidth="1"/>
    <col min="10" max="10" width="26.5" style="66" customWidth="1"/>
    <col min="11" max="11" width="26" style="66" customWidth="1"/>
    <col min="12" max="12" width="24.5" style="66" customWidth="1"/>
    <col min="13" max="13" width="23.83203125" style="66" customWidth="1"/>
    <col min="14" max="14" width="21.33203125" style="66" bestFit="1" customWidth="1"/>
    <col min="15" max="15" width="17.5" style="66" customWidth="1"/>
    <col min="16" max="16" width="9.33203125" style="66"/>
    <col min="17" max="17" width="34.33203125" style="66" customWidth="1"/>
    <col min="18" max="16384" width="9.33203125" style="66"/>
  </cols>
  <sheetData>
    <row r="1" spans="1:13" ht="15" customHeight="1" x14ac:dyDescent="0.25">
      <c r="C1" s="67"/>
    </row>
    <row r="2" spans="1:13" ht="28.5" customHeight="1" x14ac:dyDescent="0.3">
      <c r="A2" s="2344" t="s">
        <v>201</v>
      </c>
      <c r="B2" s="2344"/>
      <c r="C2" s="2344"/>
      <c r="D2" s="2344"/>
      <c r="E2" s="2344"/>
      <c r="F2" s="2344"/>
      <c r="G2" s="2344"/>
      <c r="H2" s="2344"/>
      <c r="I2" s="2344"/>
      <c r="J2" s="2344"/>
      <c r="K2" s="2344"/>
      <c r="L2" s="2344"/>
      <c r="M2" s="2344"/>
    </row>
    <row r="3" spans="1:13" ht="21" customHeight="1" thickBot="1" x14ac:dyDescent="0.35">
      <c r="A3" s="68"/>
      <c r="B3" s="68"/>
      <c r="C3" s="68"/>
      <c r="D3" s="69"/>
      <c r="E3" s="69"/>
      <c r="F3" s="40"/>
      <c r="G3" s="40"/>
      <c r="H3" s="68"/>
      <c r="I3" s="68"/>
      <c r="J3" s="40"/>
      <c r="K3" s="40"/>
      <c r="M3" s="958" t="s">
        <v>19</v>
      </c>
    </row>
    <row r="4" spans="1:13" ht="24" customHeight="1" x14ac:dyDescent="0.3">
      <c r="A4" s="873" t="s">
        <v>225</v>
      </c>
      <c r="B4" s="874"/>
      <c r="C4" s="875"/>
      <c r="D4" s="2345" t="s">
        <v>514</v>
      </c>
      <c r="E4" s="2345"/>
      <c r="F4" s="779" t="s">
        <v>410</v>
      </c>
      <c r="G4" s="876" t="s">
        <v>107</v>
      </c>
      <c r="H4" s="877" t="s">
        <v>226</v>
      </c>
      <c r="I4" s="878"/>
      <c r="J4" s="2345" t="s">
        <v>514</v>
      </c>
      <c r="K4" s="2345"/>
      <c r="L4" s="779" t="s">
        <v>410</v>
      </c>
      <c r="M4" s="959" t="s">
        <v>107</v>
      </c>
    </row>
    <row r="5" spans="1:13" ht="24.75" customHeight="1" thickBot="1" x14ac:dyDescent="0.35">
      <c r="A5" s="879"/>
      <c r="B5" s="880"/>
      <c r="C5" s="880"/>
      <c r="D5" s="780" t="s">
        <v>213</v>
      </c>
      <c r="E5" s="780" t="s">
        <v>105</v>
      </c>
      <c r="F5" s="781" t="s">
        <v>106</v>
      </c>
      <c r="G5" s="881" t="s">
        <v>108</v>
      </c>
      <c r="H5" s="880"/>
      <c r="I5" s="882"/>
      <c r="J5" s="780" t="s">
        <v>213</v>
      </c>
      <c r="K5" s="780" t="s">
        <v>105</v>
      </c>
      <c r="L5" s="781" t="s">
        <v>106</v>
      </c>
      <c r="M5" s="960" t="s">
        <v>108</v>
      </c>
    </row>
    <row r="6" spans="1:13" ht="30" customHeight="1" x14ac:dyDescent="0.3">
      <c r="A6" s="883" t="s">
        <v>232</v>
      </c>
      <c r="B6" s="884"/>
      <c r="C6" s="884"/>
      <c r="D6" s="81">
        <f>+'3 bev.részl'!G95</f>
        <v>1551438</v>
      </c>
      <c r="E6" s="81">
        <f>+'3 bev.részl'!H95</f>
        <v>1830266</v>
      </c>
      <c r="F6" s="81">
        <f>+'3 bev.részl'!I95</f>
        <v>1823917</v>
      </c>
      <c r="G6" s="114">
        <f>+F6/E6*100</f>
        <v>99.653110531474667</v>
      </c>
      <c r="H6" s="168" t="s">
        <v>13</v>
      </c>
      <c r="I6" s="885"/>
      <c r="J6" s="91">
        <f>+'8 okt.'!D26</f>
        <v>3351862</v>
      </c>
      <c r="K6" s="91">
        <f>+'8 okt.'!E26</f>
        <v>3474668</v>
      </c>
      <c r="L6" s="91">
        <f>+'8 okt.'!F26</f>
        <v>3034967</v>
      </c>
      <c r="M6" s="101">
        <f>+L6/K6*100</f>
        <v>87.345524809852336</v>
      </c>
    </row>
    <row r="7" spans="1:13" ht="30" customHeight="1" x14ac:dyDescent="0.3">
      <c r="A7" s="886" t="s">
        <v>167</v>
      </c>
      <c r="B7" s="198"/>
      <c r="C7" s="198"/>
      <c r="D7" s="82">
        <f>+'3 bev.részl'!G52</f>
        <v>9650258</v>
      </c>
      <c r="E7" s="82">
        <f>+'3 bev.részl'!H52</f>
        <v>6604901</v>
      </c>
      <c r="F7" s="82">
        <f>+'3 bev.részl'!I52</f>
        <v>6582739</v>
      </c>
      <c r="G7" s="115">
        <f>+F7/E7*100</f>
        <v>99.664461284128265</v>
      </c>
      <c r="H7" s="887" t="s">
        <v>173</v>
      </c>
      <c r="I7" s="888"/>
      <c r="J7" s="92">
        <f>+'9 kult.'!C92</f>
        <v>2253754</v>
      </c>
      <c r="K7" s="92">
        <f>+'9 kult.'!D92</f>
        <v>3276087</v>
      </c>
      <c r="L7" s="92">
        <f>+'9 kult.'!E92</f>
        <v>2867850</v>
      </c>
      <c r="M7" s="102">
        <f>+L7/K7*100</f>
        <v>87.538884040625291</v>
      </c>
    </row>
    <row r="8" spans="1:13" ht="30" customHeight="1" x14ac:dyDescent="0.3">
      <c r="A8" s="889" t="s">
        <v>174</v>
      </c>
      <c r="B8" s="198"/>
      <c r="C8" s="198"/>
      <c r="D8" s="83">
        <f>+'3 bev.részl'!G109</f>
        <v>0</v>
      </c>
      <c r="E8" s="83">
        <f>+'3 bev.részl'!H109</f>
        <v>100170</v>
      </c>
      <c r="F8" s="83">
        <f>+'3 bev.részl'!I109</f>
        <v>80867</v>
      </c>
      <c r="G8" s="115">
        <f>+F8/E8*100</f>
        <v>80.729759409004686</v>
      </c>
      <c r="H8" s="887" t="s">
        <v>76</v>
      </c>
      <c r="I8" s="890"/>
      <c r="J8" s="92">
        <f>+'10 szoc.'!C33</f>
        <v>1262164</v>
      </c>
      <c r="K8" s="92">
        <f>+'10 szoc.'!D33</f>
        <v>1548934</v>
      </c>
      <c r="L8" s="92">
        <f>+'10 szoc.'!E33</f>
        <v>1409953</v>
      </c>
      <c r="M8" s="102">
        <f t="shared" ref="M8:M27" si="0">+L8/K8*100</f>
        <v>91.027312977828629</v>
      </c>
    </row>
    <row r="9" spans="1:13" ht="30" customHeight="1" x14ac:dyDescent="0.3">
      <c r="A9" s="889" t="s">
        <v>98</v>
      </c>
      <c r="B9" s="198"/>
      <c r="C9" s="268"/>
      <c r="D9" s="82">
        <f>+'3 bev.részl'!G66</f>
        <v>7745000</v>
      </c>
      <c r="E9" s="82">
        <f>+'3 bev.részl'!H66</f>
        <v>9979861</v>
      </c>
      <c r="F9" s="82">
        <f>+'3 bev.részl'!I66</f>
        <v>9976612</v>
      </c>
      <c r="G9" s="115">
        <f>+F9/E9*100</f>
        <v>99.967444436350362</v>
      </c>
      <c r="H9" s="887" t="s">
        <v>92</v>
      </c>
      <c r="I9" s="890"/>
      <c r="J9" s="92">
        <f>+'11 eü.'!C24</f>
        <v>1047428</v>
      </c>
      <c r="K9" s="92">
        <f>+'11 eü.'!D24</f>
        <v>1376181</v>
      </c>
      <c r="L9" s="92">
        <f>+'11 eü.'!E24</f>
        <v>1154572</v>
      </c>
      <c r="M9" s="102">
        <f t="shared" si="0"/>
        <v>83.896812991895686</v>
      </c>
    </row>
    <row r="10" spans="1:13" ht="30" customHeight="1" x14ac:dyDescent="0.3">
      <c r="A10" s="889" t="s">
        <v>452</v>
      </c>
      <c r="B10" s="268"/>
      <c r="C10" s="198"/>
      <c r="D10" s="83">
        <f>+'3 bev.részl'!G124</f>
        <v>1680038</v>
      </c>
      <c r="E10" s="83">
        <f>+'3 bev.részl'!H124</f>
        <v>2002320</v>
      </c>
      <c r="F10" s="83">
        <f>+'3 bev.részl'!I124</f>
        <v>2000977</v>
      </c>
      <c r="G10" s="115">
        <f>+F10/E10*100</f>
        <v>99.932927803747646</v>
      </c>
      <c r="H10" s="887" t="s">
        <v>450</v>
      </c>
      <c r="I10" s="890"/>
      <c r="J10" s="92">
        <f>+'12 Gyerm.'!C15</f>
        <v>966531</v>
      </c>
      <c r="K10" s="92">
        <f>+'12 Gyerm.'!D15</f>
        <v>1018907</v>
      </c>
      <c r="L10" s="92">
        <f>+'12 Gyerm.'!E15</f>
        <v>995666</v>
      </c>
      <c r="M10" s="102">
        <f t="shared" si="0"/>
        <v>97.719026368451694</v>
      </c>
    </row>
    <row r="11" spans="1:13" ht="30" customHeight="1" x14ac:dyDescent="0.3">
      <c r="A11" s="215"/>
      <c r="B11" s="168"/>
      <c r="C11" s="168"/>
      <c r="D11" s="81"/>
      <c r="E11" s="81"/>
      <c r="F11" s="81"/>
      <c r="G11" s="1832"/>
      <c r="H11" s="887" t="s">
        <v>451</v>
      </c>
      <c r="I11" s="888"/>
      <c r="J11" s="92">
        <f>+'13 egyéb'!C86</f>
        <v>6951460</v>
      </c>
      <c r="K11" s="92">
        <f>+'13 egyéb'!D86</f>
        <v>7892485</v>
      </c>
      <c r="L11" s="92">
        <f>+'13 egyéb'!E86</f>
        <v>8073087</v>
      </c>
      <c r="M11" s="102">
        <f t="shared" si="0"/>
        <v>102.28827802650243</v>
      </c>
    </row>
    <row r="12" spans="1:13" ht="30" customHeight="1" x14ac:dyDescent="0.3">
      <c r="A12" s="215"/>
      <c r="B12" s="205"/>
      <c r="C12" s="168"/>
      <c r="D12" s="81"/>
      <c r="E12" s="81"/>
      <c r="F12" s="81"/>
      <c r="G12" s="891"/>
      <c r="H12" s="887" t="s">
        <v>212</v>
      </c>
      <c r="I12" s="892"/>
      <c r="J12" s="92">
        <f>+'14 sport'!C24</f>
        <v>334000</v>
      </c>
      <c r="K12" s="92">
        <f>+'14 sport'!D24</f>
        <v>876599</v>
      </c>
      <c r="L12" s="92">
        <f>+'14 sport'!E24</f>
        <v>858708</v>
      </c>
      <c r="M12" s="102">
        <f t="shared" si="0"/>
        <v>97.959043987045391</v>
      </c>
    </row>
    <row r="13" spans="1:13" ht="30" customHeight="1" x14ac:dyDescent="0.3">
      <c r="A13" s="215"/>
      <c r="B13" s="496"/>
      <c r="C13" s="205"/>
      <c r="D13" s="81"/>
      <c r="E13" s="81"/>
      <c r="F13" s="81"/>
      <c r="G13" s="891"/>
      <c r="H13" s="887" t="s">
        <v>175</v>
      </c>
      <c r="I13" s="893"/>
      <c r="J13" s="92">
        <f>+'15 város.ü.,körny'!G30</f>
        <v>931189</v>
      </c>
      <c r="K13" s="92">
        <f>+'15 város.ü.,körny'!H30</f>
        <v>1185196</v>
      </c>
      <c r="L13" s="92">
        <f>+'15 város.ü.,körny'!I30</f>
        <v>1042700</v>
      </c>
      <c r="M13" s="102">
        <f t="shared" si="0"/>
        <v>87.977009709786401</v>
      </c>
    </row>
    <row r="14" spans="1:13" ht="30" customHeight="1" x14ac:dyDescent="0.3">
      <c r="A14" s="215"/>
      <c r="B14" s="161"/>
      <c r="C14" s="205"/>
      <c r="D14" s="81"/>
      <c r="E14" s="81"/>
      <c r="F14" s="81"/>
      <c r="G14" s="891"/>
      <c r="H14" s="887" t="s">
        <v>202</v>
      </c>
      <c r="I14" s="893"/>
      <c r="J14" s="92">
        <f>+'16 út-híd'!C29</f>
        <v>200000</v>
      </c>
      <c r="K14" s="92">
        <f>+'16 út-híd'!D29</f>
        <v>306046</v>
      </c>
      <c r="L14" s="92">
        <f>+'16 út-híd'!E29</f>
        <v>276844</v>
      </c>
      <c r="M14" s="102">
        <f t="shared" si="0"/>
        <v>90.458297118733782</v>
      </c>
    </row>
    <row r="15" spans="1:13" ht="30" customHeight="1" x14ac:dyDescent="0.3">
      <c r="A15" s="215"/>
      <c r="B15" s="496"/>
      <c r="C15" s="205"/>
      <c r="D15" s="81"/>
      <c r="E15" s="81"/>
      <c r="F15" s="81"/>
      <c r="G15" s="891"/>
      <c r="H15" s="894" t="s">
        <v>58</v>
      </c>
      <c r="I15" s="168"/>
      <c r="J15" s="91"/>
      <c r="K15" s="91"/>
      <c r="L15" s="91"/>
      <c r="M15" s="102"/>
    </row>
    <row r="16" spans="1:13" ht="30" customHeight="1" x14ac:dyDescent="0.3">
      <c r="A16" s="895"/>
      <c r="B16" s="884"/>
      <c r="C16" s="884"/>
      <c r="D16" s="81"/>
      <c r="E16" s="81"/>
      <c r="F16" s="81"/>
      <c r="G16" s="891"/>
      <c r="H16" s="168"/>
      <c r="I16" s="268" t="s">
        <v>233</v>
      </c>
      <c r="J16" s="82">
        <v>142714</v>
      </c>
      <c r="K16" s="82"/>
      <c r="L16" s="82"/>
      <c r="M16" s="102"/>
    </row>
    <row r="17" spans="1:13" ht="30" customHeight="1" x14ac:dyDescent="0.3">
      <c r="A17" s="895"/>
      <c r="B17" s="884"/>
      <c r="C17" s="884"/>
      <c r="D17" s="81"/>
      <c r="E17" s="81"/>
      <c r="F17" s="81"/>
      <c r="G17" s="891"/>
      <c r="H17" s="168"/>
      <c r="I17" s="245" t="s">
        <v>241</v>
      </c>
      <c r="J17" s="82">
        <v>9275</v>
      </c>
      <c r="K17" s="82">
        <v>0</v>
      </c>
      <c r="L17" s="82"/>
      <c r="M17" s="102"/>
    </row>
    <row r="18" spans="1:13" ht="30" customHeight="1" x14ac:dyDescent="0.3">
      <c r="A18" s="895"/>
      <c r="B18" s="884"/>
      <c r="C18" s="884"/>
      <c r="D18" s="81"/>
      <c r="E18" s="81"/>
      <c r="F18" s="81"/>
      <c r="G18" s="891"/>
      <c r="H18" s="168"/>
      <c r="I18" s="1031" t="s">
        <v>660</v>
      </c>
      <c r="J18" s="1033"/>
      <c r="K18" s="1033">
        <v>500000</v>
      </c>
      <c r="L18" s="1032"/>
      <c r="M18" s="102">
        <f t="shared" si="0"/>
        <v>0</v>
      </c>
    </row>
    <row r="19" spans="1:13" ht="30" customHeight="1" x14ac:dyDescent="0.3">
      <c r="A19" s="895"/>
      <c r="B19" s="884"/>
      <c r="C19" s="884"/>
      <c r="D19" s="81"/>
      <c r="E19" s="81"/>
      <c r="F19" s="81"/>
      <c r="G19" s="891"/>
      <c r="H19" s="168"/>
      <c r="I19" s="1031" t="s">
        <v>661</v>
      </c>
      <c r="J19" s="1033"/>
      <c r="K19" s="1033">
        <v>300000</v>
      </c>
      <c r="L19" s="1032"/>
      <c r="M19" s="102">
        <f t="shared" si="0"/>
        <v>0</v>
      </c>
    </row>
    <row r="20" spans="1:13" ht="47.25" customHeight="1" x14ac:dyDescent="0.3">
      <c r="A20" s="896"/>
      <c r="B20" s="205"/>
      <c r="C20" s="496"/>
      <c r="D20" s="81"/>
      <c r="E20" s="81"/>
      <c r="F20" s="81"/>
      <c r="G20" s="891"/>
      <c r="H20" s="161"/>
      <c r="I20" s="897" t="s">
        <v>496</v>
      </c>
      <c r="J20" s="1033">
        <v>1753</v>
      </c>
      <c r="K20" s="1033"/>
      <c r="L20" s="1032"/>
      <c r="M20" s="102"/>
    </row>
    <row r="21" spans="1:13" ht="47.25" customHeight="1" x14ac:dyDescent="0.3">
      <c r="A21" s="896"/>
      <c r="B21" s="205"/>
      <c r="C21" s="496"/>
      <c r="D21" s="81"/>
      <c r="E21" s="81"/>
      <c r="F21" s="81"/>
      <c r="G21" s="891"/>
      <c r="H21" s="161"/>
      <c r="I21" s="897" t="s">
        <v>516</v>
      </c>
      <c r="J21" s="1033">
        <v>66193</v>
      </c>
      <c r="K21" s="1033"/>
      <c r="L21" s="1032"/>
      <c r="M21" s="102"/>
    </row>
    <row r="22" spans="1:13" ht="47.25" customHeight="1" x14ac:dyDescent="0.3">
      <c r="A22" s="896"/>
      <c r="B22" s="205"/>
      <c r="C22" s="496"/>
      <c r="D22" s="81"/>
      <c r="E22" s="81"/>
      <c r="F22" s="81"/>
      <c r="G22" s="891"/>
      <c r="H22" s="161"/>
      <c r="I22" s="897" t="s">
        <v>517</v>
      </c>
      <c r="J22" s="1033">
        <v>130000</v>
      </c>
      <c r="K22" s="1033"/>
      <c r="L22" s="1032"/>
      <c r="M22" s="102"/>
    </row>
    <row r="23" spans="1:13" ht="47.25" customHeight="1" x14ac:dyDescent="0.3">
      <c r="A23" s="896"/>
      <c r="B23" s="205"/>
      <c r="C23" s="496"/>
      <c r="D23" s="81"/>
      <c r="E23" s="81"/>
      <c r="F23" s="81"/>
      <c r="G23" s="891"/>
      <c r="H23" s="161"/>
      <c r="I23" s="897" t="s">
        <v>518</v>
      </c>
      <c r="J23" s="1033">
        <v>65000</v>
      </c>
      <c r="K23" s="1033"/>
      <c r="L23" s="1032"/>
      <c r="M23" s="102"/>
    </row>
    <row r="24" spans="1:13" ht="47.25" customHeight="1" x14ac:dyDescent="0.3">
      <c r="A24" s="896"/>
      <c r="B24" s="205"/>
      <c r="C24" s="496"/>
      <c r="D24" s="81"/>
      <c r="E24" s="81"/>
      <c r="F24" s="81"/>
      <c r="G24" s="891"/>
      <c r="H24" s="161"/>
      <c r="I24" s="897" t="s">
        <v>519</v>
      </c>
      <c r="J24" s="1033">
        <v>85000</v>
      </c>
      <c r="K24" s="1033"/>
      <c r="L24" s="1032"/>
      <c r="M24" s="102"/>
    </row>
    <row r="25" spans="1:13" ht="47.25" customHeight="1" x14ac:dyDescent="0.3">
      <c r="A25" s="896"/>
      <c r="B25" s="205"/>
      <c r="C25" s="496"/>
      <c r="D25" s="81"/>
      <c r="E25" s="81"/>
      <c r="F25" s="81"/>
      <c r="G25" s="891"/>
      <c r="H25" s="161"/>
      <c r="I25" s="897" t="s">
        <v>520</v>
      </c>
      <c r="J25" s="1033">
        <v>2812936</v>
      </c>
      <c r="K25" s="1033"/>
      <c r="L25" s="82"/>
      <c r="M25" s="102"/>
    </row>
    <row r="26" spans="1:13" ht="30" customHeight="1" thickBot="1" x14ac:dyDescent="0.35">
      <c r="A26" s="896"/>
      <c r="B26" s="168"/>
      <c r="C26" s="496"/>
      <c r="D26" s="81"/>
      <c r="E26" s="81"/>
      <c r="F26" s="81"/>
      <c r="G26" s="891"/>
      <c r="H26" s="161"/>
      <c r="I26" s="168" t="s">
        <v>590</v>
      </c>
      <c r="J26" s="81"/>
      <c r="K26" s="81">
        <v>1515766</v>
      </c>
      <c r="L26" s="81"/>
      <c r="M26" s="1093">
        <f t="shared" si="0"/>
        <v>0</v>
      </c>
    </row>
    <row r="27" spans="1:13" ht="30" customHeight="1" thickBot="1" x14ac:dyDescent="0.35">
      <c r="A27" s="895"/>
      <c r="B27" s="1095"/>
      <c r="C27" s="80"/>
      <c r="D27" s="89"/>
      <c r="E27" s="89"/>
      <c r="F27" s="89"/>
      <c r="G27" s="84"/>
      <c r="H27" s="406" t="s">
        <v>176</v>
      </c>
      <c r="I27" s="898"/>
      <c r="J27" s="88">
        <f>SUM(J16:J26)</f>
        <v>3312871</v>
      </c>
      <c r="K27" s="88">
        <f>SUM(K16:K26)</f>
        <v>2315766</v>
      </c>
      <c r="L27" s="88">
        <f>SUM(L16:L26)</f>
        <v>0</v>
      </c>
      <c r="M27" s="1094">
        <f t="shared" si="0"/>
        <v>0</v>
      </c>
    </row>
    <row r="28" spans="1:13" ht="30" customHeight="1" thickBot="1" x14ac:dyDescent="0.35">
      <c r="A28" s="2346" t="s">
        <v>177</v>
      </c>
      <c r="B28" s="2347"/>
      <c r="C28" s="2348"/>
      <c r="D28" s="88">
        <f>SUM(D6:D27)</f>
        <v>20626734</v>
      </c>
      <c r="E28" s="88">
        <f>SUM(E6:E27)</f>
        <v>20517518</v>
      </c>
      <c r="F28" s="88">
        <f>SUM(F6:F27)</f>
        <v>20465112</v>
      </c>
      <c r="G28" s="100">
        <f>+F28/E28*100</f>
        <v>99.744579241992142</v>
      </c>
      <c r="H28" s="2346" t="s">
        <v>210</v>
      </c>
      <c r="I28" s="2348"/>
      <c r="J28" s="93">
        <f>+J27+J14+J13+J12+J11+J10+J9+J8+J7+J6</f>
        <v>20611259</v>
      </c>
      <c r="K28" s="93">
        <f>+K27+K14+K13+K12+K11+K10+K9+K8+K7+K6</f>
        <v>23270869</v>
      </c>
      <c r="L28" s="93">
        <f>+L27+L14+L13+L12+L11+L10+L9+L8+L7+L6</f>
        <v>19714347</v>
      </c>
      <c r="M28" s="103">
        <f>+L28/K28*100</f>
        <v>84.7168492074791</v>
      </c>
    </row>
    <row r="29" spans="1:13" ht="18.75" customHeight="1" thickBot="1" x14ac:dyDescent="0.35">
      <c r="A29" s="899"/>
      <c r="B29" s="899"/>
      <c r="C29" s="899"/>
      <c r="D29" s="899"/>
      <c r="E29" s="899"/>
      <c r="F29" s="899"/>
      <c r="G29" s="899"/>
      <c r="H29" s="900"/>
      <c r="I29" s="900"/>
      <c r="J29" s="81"/>
      <c r="K29" s="81"/>
      <c r="L29" s="81"/>
      <c r="M29" s="901" t="s">
        <v>19</v>
      </c>
    </row>
    <row r="30" spans="1:13" ht="24.75" customHeight="1" x14ac:dyDescent="0.3">
      <c r="A30" s="172"/>
      <c r="B30" s="877"/>
      <c r="C30" s="877" t="s">
        <v>280</v>
      </c>
      <c r="D30" s="2345" t="s">
        <v>514</v>
      </c>
      <c r="E30" s="2345"/>
      <c r="F30" s="1092" t="s">
        <v>410</v>
      </c>
      <c r="G30" s="959" t="s">
        <v>107</v>
      </c>
      <c r="H30" s="185"/>
      <c r="I30" s="877" t="s">
        <v>178</v>
      </c>
      <c r="J30" s="2345" t="s">
        <v>514</v>
      </c>
      <c r="K30" s="2345"/>
      <c r="L30" s="779" t="s">
        <v>410</v>
      </c>
      <c r="M30" s="902" t="s">
        <v>107</v>
      </c>
    </row>
    <row r="31" spans="1:13" ht="24" customHeight="1" x14ac:dyDescent="0.3">
      <c r="A31" s="903"/>
      <c r="B31" s="904"/>
      <c r="C31" s="904"/>
      <c r="D31" s="905" t="s">
        <v>213</v>
      </c>
      <c r="E31" s="905" t="s">
        <v>105</v>
      </c>
      <c r="F31" s="906" t="s">
        <v>106</v>
      </c>
      <c r="G31" s="1096" t="s">
        <v>108</v>
      </c>
      <c r="H31" s="257"/>
      <c r="I31" s="904"/>
      <c r="J31" s="905" t="s">
        <v>213</v>
      </c>
      <c r="K31" s="905" t="s">
        <v>105</v>
      </c>
      <c r="L31" s="906" t="s">
        <v>106</v>
      </c>
      <c r="M31" s="907" t="s">
        <v>108</v>
      </c>
    </row>
    <row r="32" spans="1:13" ht="18.75" customHeight="1" thickBot="1" x14ac:dyDescent="0.35">
      <c r="A32" s="908"/>
      <c r="B32" s="909"/>
      <c r="C32" s="909"/>
      <c r="D32" s="910"/>
      <c r="E32" s="910"/>
      <c r="F32" s="910"/>
      <c r="G32" s="911"/>
      <c r="H32" s="912"/>
      <c r="I32" s="913"/>
      <c r="J32" s="910"/>
      <c r="K32" s="910"/>
      <c r="L32" s="910"/>
      <c r="M32" s="914"/>
    </row>
    <row r="33" spans="1:13" ht="30" customHeight="1" x14ac:dyDescent="0.3">
      <c r="A33" s="915" t="s">
        <v>185</v>
      </c>
      <c r="B33" s="916"/>
      <c r="C33" s="917"/>
      <c r="D33" s="86">
        <f>+'17 fbev.'!D43</f>
        <v>990000</v>
      </c>
      <c r="E33" s="86">
        <f>+'17 fbev.'!E43</f>
        <v>2033409</v>
      </c>
      <c r="F33" s="86">
        <f>+'17 fbev.'!F43</f>
        <v>2033410</v>
      </c>
      <c r="G33" s="98">
        <f>+F33/E33*100</f>
        <v>100.00004917849779</v>
      </c>
      <c r="H33" s="894" t="s">
        <v>179</v>
      </c>
      <c r="I33" s="885"/>
      <c r="J33" s="87"/>
      <c r="K33" s="87"/>
      <c r="L33" s="87"/>
      <c r="M33" s="104"/>
    </row>
    <row r="34" spans="1:13" ht="30" customHeight="1" x14ac:dyDescent="0.3">
      <c r="A34" s="918" t="s">
        <v>180</v>
      </c>
      <c r="B34" s="919"/>
      <c r="C34" s="920"/>
      <c r="D34" s="83">
        <f>+'17 fbev.'!D37</f>
        <v>0</v>
      </c>
      <c r="E34" s="83">
        <f>+'17 fbev.'!E37</f>
        <v>1786000</v>
      </c>
      <c r="F34" s="83">
        <f>+'17 fbev.'!F37</f>
        <v>1625393</v>
      </c>
      <c r="G34" s="99">
        <f>+F34/E34*100</f>
        <v>91.007446808510636</v>
      </c>
      <c r="H34" s="887" t="s">
        <v>13</v>
      </c>
      <c r="I34" s="921"/>
      <c r="J34" s="94">
        <f>+'8 okt.'!D34</f>
        <v>0</v>
      </c>
      <c r="K34" s="94">
        <f>+'8 okt.'!E34</f>
        <v>125539</v>
      </c>
      <c r="L34" s="94">
        <f>+'8 okt.'!F34</f>
        <v>105513</v>
      </c>
      <c r="M34" s="102">
        <f t="shared" ref="M34:M39" si="1">+L34/K34*100</f>
        <v>84.047985088299242</v>
      </c>
    </row>
    <row r="35" spans="1:13" ht="30" customHeight="1" x14ac:dyDescent="0.3">
      <c r="A35" s="1097" t="s">
        <v>181</v>
      </c>
      <c r="B35" s="920"/>
      <c r="C35" s="920"/>
      <c r="D35" s="83">
        <f>+'17 fbev.'!D52</f>
        <v>17000</v>
      </c>
      <c r="E35" s="83">
        <f>+'17 fbev.'!E52</f>
        <v>188509</v>
      </c>
      <c r="F35" s="83">
        <f>+'17 fbev.'!F52</f>
        <v>71496</v>
      </c>
      <c r="G35" s="99">
        <f>+F35/E35*100</f>
        <v>37.927101623795153</v>
      </c>
      <c r="H35" s="887" t="s">
        <v>173</v>
      </c>
      <c r="I35" s="921"/>
      <c r="J35" s="94">
        <f>+'9 kult.'!C118</f>
        <v>0</v>
      </c>
      <c r="K35" s="94">
        <f>+'9 kult.'!D118</f>
        <v>178838</v>
      </c>
      <c r="L35" s="94">
        <f>+'9 kult.'!E118</f>
        <v>114535</v>
      </c>
      <c r="M35" s="102">
        <f t="shared" si="1"/>
        <v>64.043995124078776</v>
      </c>
    </row>
    <row r="36" spans="1:13" ht="30" customHeight="1" x14ac:dyDescent="0.3">
      <c r="A36" s="922" t="s">
        <v>453</v>
      </c>
      <c r="B36" s="923"/>
      <c r="C36" s="923"/>
      <c r="D36" s="94">
        <f>'17 fbev.'!D67</f>
        <v>2455</v>
      </c>
      <c r="E36" s="94">
        <f>'17 fbev.'!E67</f>
        <v>52257</v>
      </c>
      <c r="F36" s="94">
        <f>'17 fbev.'!F67</f>
        <v>52259</v>
      </c>
      <c r="G36" s="99">
        <f>+F36/E36*100</f>
        <v>100.00382723845608</v>
      </c>
      <c r="H36" s="887" t="s">
        <v>76</v>
      </c>
      <c r="I36" s="921"/>
      <c r="J36" s="94">
        <f>+'10 szoc.'!C41</f>
        <v>0</v>
      </c>
      <c r="K36" s="94">
        <f>+'10 szoc.'!D41</f>
        <v>89984</v>
      </c>
      <c r="L36" s="94">
        <f>+'10 szoc.'!E41</f>
        <v>89773</v>
      </c>
      <c r="M36" s="102">
        <f t="shared" si="1"/>
        <v>99.765513869132292</v>
      </c>
    </row>
    <row r="37" spans="1:13" ht="30" customHeight="1" x14ac:dyDescent="0.3">
      <c r="A37" s="924"/>
      <c r="B37" s="917"/>
      <c r="C37" s="917"/>
      <c r="D37" s="87"/>
      <c r="E37" s="87"/>
      <c r="F37" s="87"/>
      <c r="G37" s="925"/>
      <c r="H37" s="887" t="s">
        <v>92</v>
      </c>
      <c r="I37" s="921"/>
      <c r="J37" s="94">
        <f>+'11 eü.'!C32</f>
        <v>4233</v>
      </c>
      <c r="K37" s="94">
        <f>+'11 eü.'!D32</f>
        <v>99936</v>
      </c>
      <c r="L37" s="94">
        <f>+'11 eü.'!E32</f>
        <v>71121</v>
      </c>
      <c r="M37" s="102">
        <f t="shared" si="1"/>
        <v>71.166546589817486</v>
      </c>
    </row>
    <row r="38" spans="1:13" ht="30" customHeight="1" x14ac:dyDescent="0.3">
      <c r="A38" s="924"/>
      <c r="B38" s="917"/>
      <c r="C38" s="917"/>
      <c r="D38" s="87"/>
      <c r="E38" s="87"/>
      <c r="F38" s="87"/>
      <c r="G38" s="925"/>
      <c r="H38" s="887" t="s">
        <v>454</v>
      </c>
      <c r="I38" s="921"/>
      <c r="J38" s="94">
        <f>+'12 Gyerm.'!C23</f>
        <v>0</v>
      </c>
      <c r="K38" s="94">
        <f>+'12 Gyerm.'!D23</f>
        <v>48985</v>
      </c>
      <c r="L38" s="94">
        <f>+'12 Gyerm.'!E23</f>
        <v>27103</v>
      </c>
      <c r="M38" s="102">
        <f t="shared" si="1"/>
        <v>55.329182402776354</v>
      </c>
    </row>
    <row r="39" spans="1:13" ht="30" customHeight="1" thickBot="1" x14ac:dyDescent="0.35">
      <c r="A39" s="926"/>
      <c r="B39" s="927"/>
      <c r="C39" s="927"/>
      <c r="D39" s="87"/>
      <c r="E39" s="87"/>
      <c r="F39" s="87"/>
      <c r="G39" s="925"/>
      <c r="H39" s="887" t="s">
        <v>451</v>
      </c>
      <c r="I39" s="921"/>
      <c r="J39" s="94">
        <f>+'13 egyéb'!C94</f>
        <v>0</v>
      </c>
      <c r="K39" s="94">
        <f>+'13 egyéb'!D94</f>
        <v>84683</v>
      </c>
      <c r="L39" s="94">
        <f>+'13 egyéb'!E94</f>
        <v>38935</v>
      </c>
      <c r="M39" s="102">
        <f t="shared" si="1"/>
        <v>45.977350826021748</v>
      </c>
    </row>
    <row r="40" spans="1:13" ht="30" customHeight="1" thickBot="1" x14ac:dyDescent="0.35">
      <c r="A40" s="926"/>
      <c r="B40" s="927"/>
      <c r="C40" s="927"/>
      <c r="D40" s="87"/>
      <c r="E40" s="87"/>
      <c r="F40" s="87"/>
      <c r="G40" s="928"/>
      <c r="H40" s="929" t="s">
        <v>182</v>
      </c>
      <c r="I40" s="930"/>
      <c r="J40" s="95">
        <f>SUM(J33:J39)</f>
        <v>4233</v>
      </c>
      <c r="K40" s="95">
        <f>SUM(K33:K39)</f>
        <v>627965</v>
      </c>
      <c r="L40" s="95">
        <f>SUM(L33:L39)</f>
        <v>446980</v>
      </c>
      <c r="M40" s="100">
        <f>+L40/K40*100</f>
        <v>71.179126225187701</v>
      </c>
    </row>
    <row r="41" spans="1:13" ht="30" customHeight="1" x14ac:dyDescent="0.3">
      <c r="A41" s="215"/>
      <c r="B41" s="496"/>
      <c r="C41" s="496"/>
      <c r="D41" s="81"/>
      <c r="E41" s="81"/>
      <c r="F41" s="81"/>
      <c r="G41" s="891"/>
      <c r="H41" s="168" t="s">
        <v>94</v>
      </c>
      <c r="I41" s="931"/>
      <c r="J41" s="81">
        <f>+'18 fkia.'!D13</f>
        <v>0</v>
      </c>
      <c r="K41" s="81">
        <f>+'18 fkia.'!E13</f>
        <v>921467</v>
      </c>
      <c r="L41" s="81">
        <f>+'18 fkia.'!F13</f>
        <v>792188</v>
      </c>
      <c r="M41" s="102">
        <f>+L41/K41*100</f>
        <v>85.970306044600619</v>
      </c>
    </row>
    <row r="42" spans="1:13" ht="30" customHeight="1" x14ac:dyDescent="0.3">
      <c r="A42" s="215"/>
      <c r="B42" s="496"/>
      <c r="C42" s="496"/>
      <c r="D42" s="81"/>
      <c r="E42" s="81"/>
      <c r="F42" s="81"/>
      <c r="G42" s="891"/>
      <c r="H42" s="887" t="s">
        <v>36</v>
      </c>
      <c r="I42" s="893"/>
      <c r="J42" s="82">
        <f>+'18 fkia.'!D17</f>
        <v>0</v>
      </c>
      <c r="K42" s="82">
        <f>+'18 fkia.'!E17</f>
        <v>9337</v>
      </c>
      <c r="L42" s="82">
        <f>+'18 fkia.'!F17</f>
        <v>0</v>
      </c>
      <c r="M42" s="102">
        <f>+L42/K42*100</f>
        <v>0</v>
      </c>
    </row>
    <row r="43" spans="1:13" ht="30" customHeight="1" x14ac:dyDescent="0.3">
      <c r="A43" s="215"/>
      <c r="B43" s="496"/>
      <c r="C43" s="496"/>
      <c r="D43" s="81"/>
      <c r="E43" s="81"/>
      <c r="F43" s="81"/>
      <c r="G43" s="891"/>
      <c r="H43" s="887" t="s">
        <v>192</v>
      </c>
      <c r="I43" s="892"/>
      <c r="J43" s="82">
        <f>+'18 fkia.'!D20</f>
        <v>0</v>
      </c>
      <c r="K43" s="82">
        <f>+'18 fkia.'!E20</f>
        <v>52214</v>
      </c>
      <c r="L43" s="82">
        <f>+'18 fkia.'!F20</f>
        <v>18742</v>
      </c>
      <c r="M43" s="102">
        <f t="shared" ref="M43:M47" si="2">+L43/K43*100</f>
        <v>35.894587658482401</v>
      </c>
    </row>
    <row r="44" spans="1:13" ht="30" customHeight="1" x14ac:dyDescent="0.3">
      <c r="A44" s="932"/>
      <c r="B44" s="933"/>
      <c r="C44" s="496"/>
      <c r="D44" s="81"/>
      <c r="E44" s="81"/>
      <c r="F44" s="81"/>
      <c r="G44" s="891"/>
      <c r="H44" s="887" t="s">
        <v>196</v>
      </c>
      <c r="I44" s="892"/>
      <c r="J44" s="82">
        <f>+'18 fkia.'!D29</f>
        <v>0</v>
      </c>
      <c r="K44" s="82">
        <f>+'18 fkia.'!E29</f>
        <v>112786</v>
      </c>
      <c r="L44" s="82">
        <f>+'18 fkia.'!F29</f>
        <v>73620</v>
      </c>
      <c r="M44" s="102">
        <f t="shared" si="2"/>
        <v>65.274058837089711</v>
      </c>
    </row>
    <row r="45" spans="1:13" ht="30" customHeight="1" x14ac:dyDescent="0.3">
      <c r="A45" s="932"/>
      <c r="B45" s="933"/>
      <c r="C45" s="934"/>
      <c r="D45" s="81"/>
      <c r="E45" s="81"/>
      <c r="F45" s="81"/>
      <c r="G45" s="891"/>
      <c r="H45" s="887" t="s">
        <v>200</v>
      </c>
      <c r="I45" s="892"/>
      <c r="J45" s="82">
        <f>+'18 fkia.'!D143</f>
        <v>6045402</v>
      </c>
      <c r="K45" s="82">
        <f>+'18 fkia.'!E143</f>
        <v>8416387</v>
      </c>
      <c r="L45" s="82">
        <f>+'18 fkia.'!F143</f>
        <v>2798787</v>
      </c>
      <c r="M45" s="102">
        <f t="shared" si="2"/>
        <v>33.254019806836354</v>
      </c>
    </row>
    <row r="46" spans="1:13" ht="30" customHeight="1" x14ac:dyDescent="0.3">
      <c r="A46" s="484"/>
      <c r="B46" s="243"/>
      <c r="C46" s="934"/>
      <c r="D46" s="81"/>
      <c r="E46" s="81"/>
      <c r="F46" s="81"/>
      <c r="G46" s="891"/>
      <c r="H46" s="887" t="s">
        <v>211</v>
      </c>
      <c r="I46" s="268"/>
      <c r="J46" s="82">
        <f>+'18 fkia.'!D150</f>
        <v>1005222</v>
      </c>
      <c r="K46" s="82">
        <f>+'18 fkia.'!E150</f>
        <v>0</v>
      </c>
      <c r="L46" s="82">
        <f>+'18 fkia.'!F150</f>
        <v>0</v>
      </c>
      <c r="M46" s="102"/>
    </row>
    <row r="47" spans="1:13" ht="30" customHeight="1" x14ac:dyDescent="0.3">
      <c r="A47" s="484"/>
      <c r="B47" s="243"/>
      <c r="C47" s="934"/>
      <c r="D47" s="81"/>
      <c r="E47" s="81"/>
      <c r="F47" s="81"/>
      <c r="G47" s="891"/>
      <c r="H47" s="168" t="s">
        <v>60</v>
      </c>
      <c r="I47" s="168"/>
      <c r="J47" s="81">
        <f>+'18 fkia.'!D151</f>
        <v>0</v>
      </c>
      <c r="K47" s="81">
        <f>+'18 fkia.'!E151</f>
        <v>1488</v>
      </c>
      <c r="L47" s="81">
        <f>+'18 fkia.'!F151</f>
        <v>1455</v>
      </c>
      <c r="M47" s="102">
        <f t="shared" si="2"/>
        <v>97.782258064516128</v>
      </c>
    </row>
    <row r="48" spans="1:13" ht="30" customHeight="1" thickBot="1" x14ac:dyDescent="0.35">
      <c r="A48" s="484"/>
      <c r="B48" s="243"/>
      <c r="C48" s="934"/>
      <c r="D48" s="81"/>
      <c r="E48" s="81"/>
      <c r="F48" s="81"/>
      <c r="G48" s="891"/>
      <c r="H48" s="935" t="s">
        <v>183</v>
      </c>
      <c r="I48" s="936"/>
      <c r="J48" s="96">
        <f>SUM(J41:J47)</f>
        <v>7050624</v>
      </c>
      <c r="K48" s="96">
        <f>SUM(K41:K47)</f>
        <v>9513679</v>
      </c>
      <c r="L48" s="96">
        <f>SUM(L41:L47)</f>
        <v>3684792</v>
      </c>
      <c r="M48" s="105">
        <f>+L48/K48*100</f>
        <v>38.731514906063154</v>
      </c>
    </row>
    <row r="49" spans="1:15" ht="30" customHeight="1" thickBot="1" x14ac:dyDescent="0.35">
      <c r="A49" s="2346" t="s">
        <v>406</v>
      </c>
      <c r="B49" s="2347"/>
      <c r="C49" s="2348"/>
      <c r="D49" s="88">
        <f>SUM(D33:D48)</f>
        <v>1009455</v>
      </c>
      <c r="E49" s="88">
        <f>SUM(E33:E48)</f>
        <v>4060175</v>
      </c>
      <c r="F49" s="88">
        <f>SUM(F33:F48)</f>
        <v>3782558</v>
      </c>
      <c r="G49" s="100">
        <f>+F49/E49*100</f>
        <v>93.162437579660974</v>
      </c>
      <c r="H49" s="2346" t="s">
        <v>407</v>
      </c>
      <c r="I49" s="2348"/>
      <c r="J49" s="88">
        <f>+J48+J40</f>
        <v>7054857</v>
      </c>
      <c r="K49" s="88">
        <f>+K48+K40</f>
        <v>10141644</v>
      </c>
      <c r="L49" s="88">
        <f>+L48+L40</f>
        <v>4131772</v>
      </c>
      <c r="M49" s="100">
        <f>+L49/K49*100</f>
        <v>40.740653093324909</v>
      </c>
    </row>
    <row r="50" spans="1:15" s="71" customFormat="1" ht="18.75" customHeight="1" thickBot="1" x14ac:dyDescent="0.35">
      <c r="A50" s="937"/>
      <c r="B50" s="937"/>
      <c r="C50" s="874"/>
      <c r="D50" s="97"/>
      <c r="E50" s="97"/>
      <c r="F50" s="97"/>
      <c r="G50" s="938"/>
      <c r="H50" s="877"/>
      <c r="I50" s="877"/>
      <c r="J50" s="97"/>
      <c r="K50" s="97"/>
      <c r="L50" s="97"/>
      <c r="M50" s="106"/>
    </row>
    <row r="51" spans="1:15" ht="30" customHeight="1" x14ac:dyDescent="0.3">
      <c r="A51" s="939" t="s">
        <v>88</v>
      </c>
      <c r="B51" s="940"/>
      <c r="C51" s="941"/>
      <c r="D51" s="942"/>
      <c r="E51" s="942"/>
      <c r="F51" s="942"/>
      <c r="G51" s="943"/>
      <c r="H51" s="875" t="s">
        <v>88</v>
      </c>
      <c r="I51" s="944"/>
      <c r="J51" s="97"/>
      <c r="K51" s="97"/>
      <c r="L51" s="97"/>
      <c r="M51" s="120"/>
    </row>
    <row r="52" spans="1:15" ht="30" customHeight="1" x14ac:dyDescent="0.3">
      <c r="A52" s="945"/>
      <c r="B52" s="243"/>
      <c r="C52" s="946" t="s">
        <v>35</v>
      </c>
      <c r="D52" s="522"/>
      <c r="E52" s="522">
        <v>2963523</v>
      </c>
      <c r="F52" s="515">
        <v>2963523</v>
      </c>
      <c r="G52" s="157">
        <f>+F52/E52*100</f>
        <v>100</v>
      </c>
      <c r="H52" s="918"/>
      <c r="I52" s="947"/>
      <c r="J52" s="82"/>
      <c r="K52" s="82"/>
      <c r="L52" s="82"/>
      <c r="M52" s="158"/>
      <c r="N52" s="483"/>
    </row>
    <row r="53" spans="1:15" ht="30" customHeight="1" x14ac:dyDescent="0.3">
      <c r="A53" s="945"/>
      <c r="B53" s="243"/>
      <c r="C53" s="946" t="s">
        <v>358</v>
      </c>
      <c r="D53" s="522">
        <v>105275</v>
      </c>
      <c r="E53" s="522">
        <v>0</v>
      </c>
      <c r="F53" s="515"/>
      <c r="G53" s="157"/>
      <c r="H53" s="949" t="s">
        <v>495</v>
      </c>
      <c r="I53" s="950"/>
      <c r="J53" s="82">
        <v>120750</v>
      </c>
      <c r="K53" s="82">
        <v>120750</v>
      </c>
      <c r="L53" s="82">
        <f>120749</f>
        <v>120749</v>
      </c>
      <c r="M53" s="158">
        <f>+L53/K53*100</f>
        <v>99.9991718426501</v>
      </c>
    </row>
    <row r="54" spans="1:15" ht="55.5" customHeight="1" x14ac:dyDescent="0.3">
      <c r="A54" s="945"/>
      <c r="B54" s="243"/>
      <c r="C54" s="948" t="s">
        <v>522</v>
      </c>
      <c r="D54" s="522">
        <v>217593</v>
      </c>
      <c r="E54" s="522">
        <v>0</v>
      </c>
      <c r="F54" s="515"/>
      <c r="G54" s="157"/>
      <c r="H54" s="2354" t="s">
        <v>521</v>
      </c>
      <c r="I54" s="2355"/>
      <c r="J54" s="82">
        <v>217593</v>
      </c>
      <c r="K54" s="82">
        <v>217593</v>
      </c>
      <c r="L54" s="82">
        <v>217593</v>
      </c>
      <c r="M54" s="158">
        <f>+L54/K54*100</f>
        <v>100</v>
      </c>
      <c r="N54" s="483"/>
    </row>
    <row r="55" spans="1:15" s="1091" customFormat="1" ht="55.5" customHeight="1" x14ac:dyDescent="0.3">
      <c r="A55" s="1098"/>
      <c r="B55" s="1099"/>
      <c r="C55" s="1100" t="s">
        <v>658</v>
      </c>
      <c r="D55" s="1101"/>
      <c r="E55" s="1101">
        <v>221856</v>
      </c>
      <c r="F55" s="1102">
        <v>221856</v>
      </c>
      <c r="G55" s="1103">
        <f t="shared" ref="G55:G56" si="3">+F55/E55*100</f>
        <v>100</v>
      </c>
      <c r="H55" s="2356" t="s">
        <v>659</v>
      </c>
      <c r="I55" s="2357"/>
      <c r="J55" s="1104"/>
      <c r="K55" s="1104">
        <v>221856</v>
      </c>
      <c r="L55" s="1104"/>
      <c r="M55" s="1105"/>
      <c r="N55" s="1106"/>
    </row>
    <row r="56" spans="1:15" ht="30" customHeight="1" x14ac:dyDescent="0.3">
      <c r="A56" s="945"/>
      <c r="B56" s="243"/>
      <c r="C56" s="946" t="s">
        <v>359</v>
      </c>
      <c r="D56" s="522"/>
      <c r="E56" s="522">
        <v>5713415</v>
      </c>
      <c r="F56" s="515">
        <v>5713415</v>
      </c>
      <c r="G56" s="157">
        <f t="shared" si="3"/>
        <v>100</v>
      </c>
      <c r="H56" s="918"/>
      <c r="I56" s="947"/>
      <c r="J56" s="82"/>
      <c r="K56" s="82"/>
      <c r="L56" s="82"/>
      <c r="M56" s="158"/>
      <c r="N56" s="483"/>
    </row>
    <row r="57" spans="1:15" ht="30" customHeight="1" x14ac:dyDescent="0.3">
      <c r="A57" s="945"/>
      <c r="B57" s="243"/>
      <c r="C57" s="946" t="s">
        <v>360</v>
      </c>
      <c r="D57" s="522">
        <v>6045402</v>
      </c>
      <c r="E57" s="522">
        <v>0</v>
      </c>
      <c r="F57" s="515"/>
      <c r="G57" s="157"/>
      <c r="H57" s="918"/>
      <c r="I57" s="947"/>
      <c r="J57" s="82"/>
      <c r="K57" s="82"/>
      <c r="L57" s="82"/>
      <c r="M57" s="158"/>
    </row>
    <row r="58" spans="1:15" ht="46.5" customHeight="1" x14ac:dyDescent="0.3">
      <c r="A58" s="945"/>
      <c r="B58" s="243"/>
      <c r="C58" s="946" t="s">
        <v>268</v>
      </c>
      <c r="D58" s="523"/>
      <c r="E58" s="523">
        <v>496225</v>
      </c>
      <c r="F58" s="82">
        <v>496225</v>
      </c>
      <c r="G58" s="99">
        <f t="shared" ref="G58" si="4">+F58/E58*100</f>
        <v>100</v>
      </c>
      <c r="H58" s="918"/>
      <c r="I58" s="947"/>
      <c r="J58" s="82"/>
      <c r="K58" s="82"/>
      <c r="L58" s="82"/>
      <c r="M58" s="158"/>
    </row>
    <row r="59" spans="1:15" ht="48" customHeight="1" thickBot="1" x14ac:dyDescent="0.35">
      <c r="A59" s="945"/>
      <c r="B59" s="243"/>
      <c r="C59" s="948"/>
      <c r="D59" s="82"/>
      <c r="E59" s="82"/>
      <c r="F59" s="82"/>
      <c r="G59" s="99"/>
      <c r="H59" s="168"/>
      <c r="I59" s="904"/>
      <c r="J59" s="81"/>
      <c r="K59" s="81"/>
      <c r="L59" s="81"/>
      <c r="M59" s="159"/>
    </row>
    <row r="60" spans="1:15" ht="30" customHeight="1" thickBot="1" x14ac:dyDescent="0.35">
      <c r="A60" s="2351" t="s">
        <v>89</v>
      </c>
      <c r="B60" s="2352"/>
      <c r="C60" s="2353"/>
      <c r="D60" s="88">
        <f>SUM(D51:D59)</f>
        <v>6368270</v>
      </c>
      <c r="E60" s="88">
        <f>SUM(E51:E59)</f>
        <v>9395019</v>
      </c>
      <c r="F60" s="88">
        <f>SUM(F51:F59)</f>
        <v>9395019</v>
      </c>
      <c r="G60" s="100">
        <f t="shared" ref="G60" si="5">+F60/E60*100</f>
        <v>100</v>
      </c>
      <c r="H60" s="2349" t="s">
        <v>89</v>
      </c>
      <c r="I60" s="2350"/>
      <c r="J60" s="88">
        <f>SUM(J53:J59)</f>
        <v>338343</v>
      </c>
      <c r="K60" s="88">
        <f>SUM(K51:K59)</f>
        <v>560199</v>
      </c>
      <c r="L60" s="88">
        <f>SUM(L51:L59)</f>
        <v>338342</v>
      </c>
      <c r="M60" s="100">
        <f>+L60/K60*100</f>
        <v>60.396751868532426</v>
      </c>
    </row>
    <row r="61" spans="1:15" ht="30" customHeight="1" x14ac:dyDescent="0.3">
      <c r="A61" s="76"/>
      <c r="B61" s="75"/>
      <c r="C61" s="75"/>
      <c r="D61" s="89"/>
      <c r="E61" s="89"/>
      <c r="F61" s="89"/>
      <c r="G61" s="84"/>
      <c r="H61" s="119"/>
      <c r="I61" s="70"/>
      <c r="J61" s="97"/>
      <c r="K61" s="97"/>
      <c r="L61" s="97"/>
      <c r="M61" s="120"/>
    </row>
    <row r="62" spans="1:15" ht="30" customHeight="1" thickBot="1" x14ac:dyDescent="0.35">
      <c r="A62" s="77"/>
      <c r="B62" s="78"/>
      <c r="C62" s="78"/>
      <c r="D62" s="90"/>
      <c r="E62" s="90"/>
      <c r="F62" s="90"/>
      <c r="G62" s="85"/>
      <c r="H62" s="121"/>
      <c r="I62" s="78"/>
      <c r="J62" s="90"/>
      <c r="K62" s="90"/>
      <c r="L62" s="90"/>
      <c r="M62" s="107"/>
    </row>
    <row r="63" spans="1:15" ht="29.25" customHeight="1" thickBot="1" x14ac:dyDescent="0.35">
      <c r="A63" s="2351" t="s">
        <v>409</v>
      </c>
      <c r="B63" s="2352"/>
      <c r="C63" s="2353"/>
      <c r="D63" s="88">
        <f>+D60+D49+D28</f>
        <v>28004459</v>
      </c>
      <c r="E63" s="88">
        <f>+E60+E49+E28</f>
        <v>33972712</v>
      </c>
      <c r="F63" s="88">
        <f>+F60+F49+F28</f>
        <v>33642689</v>
      </c>
      <c r="G63" s="100">
        <f>+F63/E63*100</f>
        <v>99.028564454907226</v>
      </c>
      <c r="H63" s="2349" t="s">
        <v>408</v>
      </c>
      <c r="I63" s="2350"/>
      <c r="J63" s="88">
        <f>+J60+J49+J28</f>
        <v>28004459</v>
      </c>
      <c r="K63" s="88">
        <f>+K60+K49+K28</f>
        <v>33972712</v>
      </c>
      <c r="L63" s="88">
        <f>+L60+L49+L28</f>
        <v>24184461</v>
      </c>
      <c r="M63" s="100">
        <f>+L63/K63*100</f>
        <v>71.187902219875767</v>
      </c>
    </row>
    <row r="64" spans="1:15" ht="20.25" x14ac:dyDescent="0.3">
      <c r="A64" s="108"/>
      <c r="B64" s="75"/>
      <c r="C64" s="75"/>
      <c r="D64" s="80"/>
      <c r="E64" s="80"/>
      <c r="F64" s="80"/>
      <c r="G64" s="80"/>
      <c r="H64" s="109"/>
      <c r="I64" s="74"/>
      <c r="J64" s="154"/>
      <c r="K64" s="5"/>
      <c r="L64" s="5"/>
      <c r="M64" s="110"/>
      <c r="N64" s="71"/>
      <c r="O64" s="71"/>
    </row>
    <row r="65" spans="1:15" ht="30" customHeight="1" x14ac:dyDescent="0.3">
      <c r="A65" s="108"/>
      <c r="B65" s="75"/>
      <c r="C65" s="2166"/>
      <c r="D65" s="2167"/>
      <c r="E65" s="2167"/>
      <c r="F65" s="80"/>
      <c r="G65" s="80"/>
      <c r="H65" s="109"/>
      <c r="I65" s="74"/>
      <c r="J65" s="5"/>
      <c r="K65" s="5"/>
      <c r="L65" s="5"/>
      <c r="M65" s="110"/>
      <c r="N65" s="71"/>
      <c r="O65" s="71"/>
    </row>
    <row r="66" spans="1:15" ht="20.25" x14ac:dyDescent="0.3">
      <c r="A66" s="108"/>
      <c r="B66" s="75"/>
      <c r="C66" s="75"/>
      <c r="D66" s="80"/>
      <c r="E66" s="80"/>
      <c r="F66" s="80"/>
      <c r="G66" s="80"/>
      <c r="H66" s="109"/>
      <c r="I66" s="74"/>
      <c r="J66" s="111"/>
      <c r="K66" s="112"/>
      <c r="L66" s="113"/>
      <c r="M66" s="118"/>
      <c r="N66" s="71"/>
      <c r="O66" s="71"/>
    </row>
    <row r="67" spans="1:15" ht="20.25" x14ac:dyDescent="0.3">
      <c r="A67" s="108"/>
      <c r="B67" s="75"/>
      <c r="C67" s="75"/>
      <c r="D67" s="80"/>
      <c r="E67" s="80"/>
      <c r="F67" s="80"/>
      <c r="G67" s="80"/>
      <c r="H67" s="109"/>
      <c r="I67" s="74"/>
      <c r="J67" s="113"/>
      <c r="K67" s="34"/>
      <c r="L67" s="113"/>
      <c r="M67" s="118"/>
      <c r="N67" s="71"/>
      <c r="O67" s="71"/>
    </row>
    <row r="68" spans="1:15" ht="18" x14ac:dyDescent="0.25">
      <c r="A68" s="58"/>
      <c r="B68" s="34"/>
      <c r="C68" s="34"/>
      <c r="D68" s="71"/>
      <c r="E68" s="71"/>
      <c r="F68" s="71"/>
      <c r="G68" s="71"/>
      <c r="H68" s="71"/>
      <c r="I68" s="71"/>
      <c r="J68" s="34"/>
      <c r="K68" s="34"/>
      <c r="L68" s="113"/>
      <c r="M68" s="67"/>
    </row>
    <row r="69" spans="1:15" ht="18" x14ac:dyDescent="0.25">
      <c r="A69" s="34"/>
      <c r="B69" s="34"/>
      <c r="C69" s="34"/>
      <c r="D69" s="71"/>
      <c r="E69" s="71"/>
      <c r="F69" s="953"/>
      <c r="G69" s="71"/>
      <c r="H69" s="71"/>
      <c r="I69" s="71"/>
      <c r="J69" s="34"/>
      <c r="K69" s="34"/>
      <c r="L69" s="34"/>
    </row>
    <row r="70" spans="1:15" ht="18" x14ac:dyDescent="0.25">
      <c r="A70" s="111"/>
      <c r="B70" s="112"/>
      <c r="C70" s="34"/>
      <c r="D70" s="71"/>
      <c r="E70" s="71"/>
      <c r="F70" s="71"/>
      <c r="G70" s="71"/>
      <c r="H70" s="71"/>
      <c r="I70" s="71"/>
      <c r="J70" s="71"/>
      <c r="K70" s="71"/>
      <c r="L70" s="71"/>
    </row>
    <row r="71" spans="1:15" ht="18" x14ac:dyDescent="0.25">
      <c r="A71" s="113"/>
      <c r="B71" s="34"/>
      <c r="C71" s="34"/>
      <c r="D71" s="71"/>
      <c r="E71" s="71"/>
      <c r="F71" s="71"/>
      <c r="G71" s="71"/>
      <c r="H71" s="71"/>
      <c r="I71" s="71"/>
      <c r="J71" s="954"/>
      <c r="K71" s="71"/>
      <c r="L71" s="71"/>
    </row>
    <row r="72" spans="1:15" ht="18" x14ac:dyDescent="0.25">
      <c r="A72" s="34"/>
      <c r="B72" s="34"/>
      <c r="C72" s="34"/>
      <c r="D72" s="952"/>
      <c r="E72" s="955"/>
      <c r="F72" s="71"/>
      <c r="G72" s="71"/>
      <c r="H72" s="71"/>
      <c r="I72" s="71"/>
      <c r="J72" s="34"/>
      <c r="K72" s="951"/>
      <c r="L72" s="956"/>
      <c r="M72" s="5"/>
    </row>
    <row r="73" spans="1:15" ht="15" customHeight="1" x14ac:dyDescent="0.25">
      <c r="A73" s="34"/>
      <c r="B73" s="34"/>
      <c r="C73" s="34"/>
      <c r="D73" s="957"/>
      <c r="E73" s="957"/>
      <c r="F73" s="71"/>
      <c r="G73" s="71"/>
      <c r="H73" s="71"/>
      <c r="I73" s="71"/>
      <c r="J73" s="34"/>
      <c r="K73" s="138"/>
      <c r="L73" s="34"/>
      <c r="M73" s="34"/>
      <c r="N73" s="71"/>
      <c r="O73" s="71"/>
    </row>
    <row r="74" spans="1:15" ht="35.25" customHeight="1" x14ac:dyDescent="0.25">
      <c r="A74" s="71"/>
      <c r="B74" s="71"/>
      <c r="C74" s="71"/>
      <c r="D74" s="71"/>
      <c r="E74" s="71"/>
      <c r="F74" s="71"/>
      <c r="G74" s="71"/>
      <c r="H74" s="71"/>
      <c r="I74" s="71"/>
      <c r="J74" s="127"/>
      <c r="K74" s="138"/>
      <c r="L74" s="34"/>
      <c r="M74" s="34"/>
      <c r="N74" s="71"/>
      <c r="O74" s="71"/>
    </row>
    <row r="75" spans="1:15" ht="15" customHeight="1" x14ac:dyDescent="0.25">
      <c r="D75" s="71"/>
      <c r="E75" s="71"/>
      <c r="F75" s="71"/>
      <c r="G75" s="71"/>
      <c r="H75" s="71"/>
      <c r="I75" s="71"/>
      <c r="J75" s="34"/>
      <c r="K75" s="138"/>
      <c r="L75" s="34"/>
      <c r="M75" s="34"/>
      <c r="N75" s="71"/>
      <c r="O75" s="71"/>
    </row>
    <row r="76" spans="1:15" ht="46.5" customHeight="1" x14ac:dyDescent="0.25">
      <c r="D76" s="71"/>
      <c r="E76" s="71"/>
      <c r="F76" s="71"/>
      <c r="G76" s="71"/>
      <c r="H76" s="71"/>
      <c r="I76" s="71"/>
      <c r="J76" s="952"/>
      <c r="K76" s="2065"/>
      <c r="L76" s="34"/>
      <c r="M76" s="34"/>
      <c r="N76" s="71"/>
      <c r="O76" s="71"/>
    </row>
    <row r="77" spans="1:15" ht="15.75" customHeight="1" x14ac:dyDescent="0.25">
      <c r="D77" s="71"/>
      <c r="E77" s="71"/>
      <c r="F77" s="71"/>
      <c r="G77" s="71"/>
      <c r="H77" s="71"/>
      <c r="I77" s="71"/>
      <c r="J77" s="34"/>
      <c r="K77" s="34"/>
      <c r="L77" s="34"/>
      <c r="M77" s="34"/>
      <c r="N77" s="71"/>
      <c r="O77" s="71"/>
    </row>
    <row r="78" spans="1:15" ht="15" customHeight="1" x14ac:dyDescent="0.25">
      <c r="D78" s="71"/>
      <c r="E78" s="71"/>
      <c r="F78" s="71"/>
      <c r="G78" s="71"/>
      <c r="H78" s="71"/>
      <c r="I78" s="71"/>
      <c r="J78" s="34"/>
      <c r="K78" s="34"/>
      <c r="L78" s="34"/>
      <c r="M78" s="34"/>
      <c r="N78" s="34"/>
      <c r="O78" s="71"/>
    </row>
    <row r="79" spans="1:15" ht="15" customHeight="1" x14ac:dyDescent="0.25">
      <c r="D79" s="71"/>
      <c r="E79" s="71"/>
      <c r="F79" s="71"/>
      <c r="G79" s="71"/>
      <c r="H79" s="71"/>
      <c r="I79" s="71"/>
      <c r="J79" s="34"/>
      <c r="K79" s="34"/>
      <c r="L79" s="34"/>
      <c r="M79" s="34"/>
      <c r="N79" s="34"/>
      <c r="O79" s="71"/>
    </row>
    <row r="80" spans="1:15" ht="15" customHeight="1" x14ac:dyDescent="0.25">
      <c r="D80" s="71"/>
      <c r="E80" s="71"/>
      <c r="F80" s="71"/>
      <c r="G80" s="71"/>
      <c r="H80" s="71"/>
      <c r="I80" s="71"/>
      <c r="J80" s="34"/>
      <c r="K80" s="34"/>
      <c r="L80" s="34"/>
      <c r="M80" s="34"/>
      <c r="N80" s="34"/>
      <c r="O80" s="71"/>
    </row>
    <row r="81" spans="4:17" ht="15" customHeight="1" x14ac:dyDescent="0.25">
      <c r="D81" s="71"/>
      <c r="E81" s="71"/>
      <c r="F81" s="71"/>
      <c r="G81" s="71"/>
      <c r="H81" s="71"/>
      <c r="I81" s="71"/>
      <c r="J81" s="34"/>
      <c r="K81" s="34"/>
      <c r="L81" s="34"/>
      <c r="M81" s="34"/>
      <c r="N81" s="34"/>
      <c r="O81" s="71"/>
      <c r="Q81" s="67"/>
    </row>
    <row r="82" spans="4:17" ht="15" customHeight="1" x14ac:dyDescent="0.25">
      <c r="D82" s="71"/>
      <c r="E82" s="71"/>
      <c r="F82" s="71"/>
      <c r="G82" s="71"/>
      <c r="H82" s="71"/>
      <c r="I82" s="71"/>
      <c r="J82" s="34"/>
      <c r="K82" s="34"/>
      <c r="L82" s="34"/>
      <c r="M82" s="34"/>
      <c r="N82" s="34"/>
      <c r="O82" s="71"/>
    </row>
    <row r="83" spans="4:17" ht="15" customHeight="1" x14ac:dyDescent="0.25">
      <c r="D83" s="71"/>
      <c r="E83" s="71"/>
      <c r="F83" s="71"/>
      <c r="G83" s="71"/>
      <c r="H83" s="71"/>
      <c r="I83" s="71"/>
      <c r="J83" s="34"/>
      <c r="K83" s="34"/>
      <c r="L83" s="34"/>
      <c r="M83" s="34"/>
      <c r="N83" s="34"/>
      <c r="O83" s="34"/>
    </row>
    <row r="84" spans="4:17" ht="15" customHeight="1" x14ac:dyDescent="0.25">
      <c r="D84" s="71"/>
      <c r="E84" s="71"/>
      <c r="F84" s="71"/>
      <c r="G84" s="71"/>
      <c r="H84" s="71"/>
      <c r="I84" s="71"/>
      <c r="J84" s="34"/>
      <c r="K84" s="34"/>
      <c r="L84" s="34"/>
      <c r="M84" s="34"/>
      <c r="N84" s="34"/>
      <c r="O84" s="71"/>
    </row>
    <row r="85" spans="4:17" ht="15" customHeight="1" x14ac:dyDescent="0.25">
      <c r="D85" s="71"/>
      <c r="E85" s="71"/>
      <c r="F85" s="71"/>
      <c r="G85" s="71"/>
      <c r="H85" s="71"/>
      <c r="I85" s="71"/>
      <c r="J85" s="71"/>
      <c r="K85" s="139"/>
      <c r="L85" s="34"/>
      <c r="M85" s="34"/>
      <c r="N85" s="34"/>
      <c r="O85" s="71"/>
    </row>
    <row r="86" spans="4:17" ht="15" customHeight="1" x14ac:dyDescent="0.25">
      <c r="D86" s="71"/>
      <c r="E86" s="71"/>
      <c r="F86" s="71"/>
      <c r="G86" s="71"/>
      <c r="H86" s="71"/>
      <c r="I86" s="71"/>
      <c r="J86" s="40"/>
      <c r="K86" s="71"/>
      <c r="L86" s="34"/>
      <c r="M86" s="113"/>
      <c r="N86" s="113"/>
      <c r="O86" s="71"/>
    </row>
    <row r="87" spans="4:17" ht="15" customHeight="1" x14ac:dyDescent="0.25">
      <c r="D87" s="71"/>
      <c r="E87" s="71"/>
      <c r="F87" s="71"/>
      <c r="G87" s="71"/>
      <c r="H87" s="71"/>
      <c r="I87" s="71"/>
      <c r="J87" s="40"/>
      <c r="K87" s="71"/>
      <c r="L87" s="34"/>
      <c r="M87" s="71"/>
      <c r="N87" s="34"/>
      <c r="O87" s="71"/>
    </row>
    <row r="88" spans="4:17" ht="15" customHeight="1" x14ac:dyDescent="0.25">
      <c r="D88" s="71"/>
      <c r="E88" s="71"/>
      <c r="F88" s="71"/>
      <c r="G88" s="71"/>
      <c r="H88" s="71"/>
      <c r="I88" s="71"/>
      <c r="J88" s="40"/>
      <c r="K88" s="71"/>
      <c r="L88" s="34"/>
      <c r="M88" s="71"/>
      <c r="N88" s="34"/>
      <c r="O88" s="71"/>
    </row>
    <row r="89" spans="4:17" ht="15" customHeight="1" x14ac:dyDescent="0.25">
      <c r="D89" s="71"/>
      <c r="E89" s="71"/>
      <c r="F89" s="71"/>
      <c r="G89" s="71"/>
      <c r="H89" s="71"/>
      <c r="I89" s="71"/>
      <c r="J89" s="40"/>
      <c r="K89" s="71"/>
      <c r="L89" s="71"/>
      <c r="M89" s="71"/>
      <c r="N89" s="113"/>
      <c r="O89" s="71"/>
    </row>
    <row r="90" spans="4:17" ht="15" customHeight="1" x14ac:dyDescent="0.25"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</row>
    <row r="91" spans="4:17" ht="15" customHeight="1" x14ac:dyDescent="0.25"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</row>
    <row r="92" spans="4:17" ht="15" customHeight="1" x14ac:dyDescent="0.25"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</row>
    <row r="93" spans="4:17" ht="15" customHeight="1" x14ac:dyDescent="0.25"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</row>
    <row r="94" spans="4:17" ht="15" customHeight="1" x14ac:dyDescent="0.25"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</row>
    <row r="95" spans="4:17" ht="15" customHeight="1" x14ac:dyDescent="0.25"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</row>
    <row r="96" spans="4:17" ht="15" customHeight="1" x14ac:dyDescent="0.25"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</row>
    <row r="97" spans="4:15" ht="15" customHeight="1" x14ac:dyDescent="0.25"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</row>
    <row r="98" spans="4:15" ht="15" customHeight="1" x14ac:dyDescent="0.25"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</row>
    <row r="99" spans="4:15" ht="15" customHeight="1" x14ac:dyDescent="0.25"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</row>
    <row r="100" spans="4:15" ht="15" customHeight="1" x14ac:dyDescent="0.25"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</row>
    <row r="101" spans="4:15" ht="15" customHeight="1" x14ac:dyDescent="0.25"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</row>
    <row r="102" spans="4:15" ht="15" customHeight="1" x14ac:dyDescent="0.25"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</row>
    <row r="103" spans="4:15" ht="15" customHeight="1" x14ac:dyDescent="0.25"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</row>
    <row r="104" spans="4:15" ht="15" customHeight="1" x14ac:dyDescent="0.25"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</row>
    <row r="105" spans="4:15" ht="15" customHeight="1" x14ac:dyDescent="0.25"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</row>
    <row r="106" spans="4:15" ht="15" customHeight="1" x14ac:dyDescent="0.25"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</row>
    <row r="107" spans="4:15" ht="15" customHeight="1" x14ac:dyDescent="0.25"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</row>
    <row r="108" spans="4:15" ht="15" customHeight="1" x14ac:dyDescent="0.25"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</row>
    <row r="109" spans="4:15" ht="15" customHeight="1" x14ac:dyDescent="0.25"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</row>
    <row r="110" spans="4:15" ht="15" customHeight="1" x14ac:dyDescent="0.25"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</row>
    <row r="111" spans="4:15" ht="15" customHeight="1" x14ac:dyDescent="0.25"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</row>
    <row r="112" spans="4:15" ht="15" customHeight="1" x14ac:dyDescent="0.25"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</row>
    <row r="113" spans="4:15" ht="15" customHeight="1" x14ac:dyDescent="0.25"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</row>
    <row r="221" spans="7:7" ht="15" customHeight="1" x14ac:dyDescent="0.25">
      <c r="G221" s="66">
        <f>+E221-F221-H221-H222-H223-H224-H225-H226-H227</f>
        <v>0</v>
      </c>
    </row>
  </sheetData>
  <mergeCells count="15">
    <mergeCell ref="A49:C49"/>
    <mergeCell ref="H49:I49"/>
    <mergeCell ref="H60:I60"/>
    <mergeCell ref="H63:I63"/>
    <mergeCell ref="A63:C63"/>
    <mergeCell ref="A60:C60"/>
    <mergeCell ref="H54:I54"/>
    <mergeCell ref="H55:I55"/>
    <mergeCell ref="A2:M2"/>
    <mergeCell ref="D4:E4"/>
    <mergeCell ref="J4:K4"/>
    <mergeCell ref="D30:E30"/>
    <mergeCell ref="J30:K30"/>
    <mergeCell ref="A28:C28"/>
    <mergeCell ref="H28:I28"/>
  </mergeCells>
  <phoneticPr fontId="0" type="noConversion"/>
  <printOptions horizontalCentered="1" verticalCentered="1"/>
  <pageMargins left="0" right="0" top="0.39370078740157483" bottom="0" header="0" footer="0"/>
  <pageSetup paperSize="9" scale="43" orientation="landscape" r:id="rId1"/>
  <headerFooter alignWithMargins="0">
    <oddHeader xml:space="preserve">&amp;L
&amp;R&amp;"Times New Roman CE,Félkövér"&amp;19 &amp;"Arial,Félkövér"&amp;20  2. melléklet  a .../2022. (........) önkormányzati rendelethez </oddHeader>
  </headerFooter>
  <rowBreaks count="1" manualBreakCount="1">
    <brk id="28" max="1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3"/>
  <sheetViews>
    <sheetView zoomScaleNormal="100" zoomScaleSheetLayoutView="75" workbookViewId="0">
      <selection activeCell="R13" sqref="R13"/>
    </sheetView>
  </sheetViews>
  <sheetFormatPr defaultColWidth="10.6640625" defaultRowHeight="12.75" x14ac:dyDescent="0.2"/>
  <cols>
    <col min="1" max="1" width="11" style="1188" customWidth="1"/>
    <col min="2" max="2" width="108.1640625" style="1188" customWidth="1"/>
    <col min="3" max="3" width="31.83203125" style="1212" customWidth="1"/>
    <col min="4" max="4" width="15.33203125" style="1188" customWidth="1"/>
    <col min="5" max="16384" width="10.6640625" style="1188"/>
  </cols>
  <sheetData>
    <row r="1" spans="1:3" x14ac:dyDescent="0.2">
      <c r="A1" s="2481" t="s">
        <v>712</v>
      </c>
      <c r="B1" s="2481"/>
      <c r="C1" s="2481"/>
    </row>
    <row r="2" spans="1:3" x14ac:dyDescent="0.2">
      <c r="A2" s="2481" t="s">
        <v>713</v>
      </c>
      <c r="B2" s="2481"/>
      <c r="C2" s="2481"/>
    </row>
    <row r="3" spans="1:3" x14ac:dyDescent="0.2">
      <c r="A3" s="2481" t="s">
        <v>1416</v>
      </c>
      <c r="B3" s="2481"/>
      <c r="C3" s="2481"/>
    </row>
    <row r="4" spans="1:3" ht="13.5" thickBot="1" x14ac:dyDescent="0.25">
      <c r="C4" s="1189" t="s">
        <v>19</v>
      </c>
    </row>
    <row r="5" spans="1:3" ht="15.75" thickBot="1" x14ac:dyDescent="0.3">
      <c r="A5" s="1190" t="s">
        <v>714</v>
      </c>
      <c r="B5" s="1190" t="s">
        <v>33</v>
      </c>
      <c r="C5" s="1190" t="s">
        <v>701</v>
      </c>
    </row>
    <row r="6" spans="1:3" ht="40.5" customHeight="1" x14ac:dyDescent="0.2">
      <c r="A6" s="1191" t="s">
        <v>193</v>
      </c>
      <c r="B6" s="1192" t="s">
        <v>715</v>
      </c>
      <c r="C6" s="1193">
        <v>34259</v>
      </c>
    </row>
    <row r="7" spans="1:3" ht="31.5" customHeight="1" x14ac:dyDescent="0.2">
      <c r="A7" s="1194" t="s">
        <v>37</v>
      </c>
      <c r="B7" s="1195" t="s">
        <v>716</v>
      </c>
      <c r="C7" s="1196">
        <v>0</v>
      </c>
    </row>
    <row r="8" spans="1:3" ht="33.75" customHeight="1" x14ac:dyDescent="0.2">
      <c r="A8" s="1197" t="s">
        <v>194</v>
      </c>
      <c r="B8" s="1198" t="s">
        <v>717</v>
      </c>
      <c r="C8" s="1199"/>
    </row>
    <row r="9" spans="1:3" ht="15.95" customHeight="1" x14ac:dyDescent="0.2">
      <c r="A9" s="1194"/>
      <c r="B9" s="1200" t="s">
        <v>718</v>
      </c>
      <c r="C9" s="1201">
        <v>1693</v>
      </c>
    </row>
    <row r="10" spans="1:3" ht="15.95" customHeight="1" x14ac:dyDescent="0.2">
      <c r="A10" s="1194"/>
      <c r="B10" s="1200" t="s">
        <v>719</v>
      </c>
      <c r="C10" s="1201">
        <v>28</v>
      </c>
    </row>
    <row r="11" spans="1:3" ht="15.95" customHeight="1" x14ac:dyDescent="0.2">
      <c r="A11" s="1194"/>
      <c r="B11" s="1200" t="s">
        <v>720</v>
      </c>
      <c r="C11" s="1201">
        <v>0</v>
      </c>
    </row>
    <row r="12" spans="1:3" ht="15.95" customHeight="1" x14ac:dyDescent="0.2">
      <c r="A12" s="1194"/>
      <c r="B12" s="1202" t="s">
        <v>721</v>
      </c>
      <c r="C12" s="1201">
        <v>173947</v>
      </c>
    </row>
    <row r="13" spans="1:3" ht="15.95" customHeight="1" x14ac:dyDescent="0.2">
      <c r="A13" s="1194"/>
      <c r="B13" s="1200" t="s">
        <v>722</v>
      </c>
      <c r="C13" s="1201">
        <v>0</v>
      </c>
    </row>
    <row r="14" spans="1:3" ht="31.5" customHeight="1" x14ac:dyDescent="0.2">
      <c r="A14" s="1203" t="s">
        <v>195</v>
      </c>
      <c r="B14" s="1204" t="s">
        <v>723</v>
      </c>
      <c r="C14" s="1205">
        <v>71396</v>
      </c>
    </row>
    <row r="15" spans="1:3" ht="30.75" customHeight="1" thickBot="1" x14ac:dyDescent="0.25">
      <c r="A15" s="1203" t="s">
        <v>197</v>
      </c>
      <c r="B15" s="1204" t="s">
        <v>724</v>
      </c>
      <c r="C15" s="1206">
        <v>4685</v>
      </c>
    </row>
    <row r="16" spans="1:3" ht="23.25" customHeight="1" thickBot="1" x14ac:dyDescent="0.3">
      <c r="A16" s="1207"/>
      <c r="B16" s="1208" t="s">
        <v>725</v>
      </c>
      <c r="C16" s="1209">
        <f>SUM(C6:C15)</f>
        <v>286008</v>
      </c>
    </row>
    <row r="18" spans="1:3" ht="14.25" x14ac:dyDescent="0.2">
      <c r="A18" s="1210"/>
      <c r="B18" s="1211" t="s">
        <v>726</v>
      </c>
    </row>
    <row r="19" spans="1:3" s="1213" customFormat="1" ht="46.5" customHeight="1" x14ac:dyDescent="0.2">
      <c r="B19" s="1214" t="s">
        <v>727</v>
      </c>
      <c r="C19" s="1215"/>
    </row>
    <row r="20" spans="1:3" ht="15" x14ac:dyDescent="0.2">
      <c r="B20" s="1216" t="s">
        <v>728</v>
      </c>
      <c r="C20" s="1215"/>
    </row>
    <row r="21" spans="1:3" ht="15" x14ac:dyDescent="0.2">
      <c r="B21" s="1216" t="s">
        <v>729</v>
      </c>
      <c r="C21" s="1215"/>
    </row>
    <row r="22" spans="1:3" ht="15" x14ac:dyDescent="0.2">
      <c r="B22" s="1216" t="s">
        <v>730</v>
      </c>
      <c r="C22" s="1215"/>
    </row>
    <row r="23" spans="1:3" ht="15" x14ac:dyDescent="0.2">
      <c r="B23" s="1216"/>
      <c r="C23" s="1215"/>
    </row>
  </sheetData>
  <mergeCells count="3">
    <mergeCell ref="A1:C1"/>
    <mergeCell ref="A2:C2"/>
    <mergeCell ref="A3:C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0" orientation="landscape" r:id="rId1"/>
  <headerFooter alignWithMargins="0">
    <oddHeader>&amp;R&amp;"Arial CE,Félkövér"&amp;10  20. melléklet a …../2022. (…….) önkormányzati rendelethez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122"/>
  <sheetViews>
    <sheetView topLeftCell="A97" zoomScale="75" zoomScaleNormal="75" workbookViewId="0">
      <selection activeCell="B44" sqref="B44"/>
    </sheetView>
  </sheetViews>
  <sheetFormatPr defaultColWidth="10.6640625" defaultRowHeight="14.25" x14ac:dyDescent="0.2"/>
  <cols>
    <col min="1" max="1" width="6.5" style="1217" customWidth="1"/>
    <col min="2" max="2" width="141.1640625" style="1217" customWidth="1"/>
    <col min="3" max="4" width="31.83203125" style="1217" customWidth="1"/>
    <col min="5" max="5" width="16.83203125" style="1217" customWidth="1"/>
    <col min="6" max="6" width="15.5" style="1217" customWidth="1"/>
    <col min="7" max="11" width="10.6640625" style="1217" customWidth="1"/>
    <col min="12" max="16384" width="10.6640625" style="1217"/>
  </cols>
  <sheetData>
    <row r="1" spans="2:4" ht="20.25" x14ac:dyDescent="0.3">
      <c r="B1" s="2482" t="s">
        <v>731</v>
      </c>
      <c r="C1" s="2482"/>
      <c r="D1" s="2482"/>
    </row>
    <row r="2" spans="2:4" ht="20.25" x14ac:dyDescent="0.3">
      <c r="B2" s="2482" t="s">
        <v>1235</v>
      </c>
      <c r="C2" s="2482"/>
      <c r="D2" s="2482"/>
    </row>
    <row r="3" spans="2:4" ht="15" x14ac:dyDescent="0.25">
      <c r="B3" s="2483"/>
      <c r="C3" s="2483"/>
      <c r="D3" s="2483"/>
    </row>
    <row r="4" spans="2:4" ht="16.5" thickBot="1" x14ac:dyDescent="0.3">
      <c r="B4" s="1218"/>
      <c r="C4" s="1219"/>
      <c r="D4" s="1220" t="s">
        <v>19</v>
      </c>
    </row>
    <row r="5" spans="2:4" s="24" customFormat="1" ht="25.5" customHeight="1" x14ac:dyDescent="0.25">
      <c r="B5" s="1221" t="s">
        <v>732</v>
      </c>
      <c r="C5" s="1222" t="s">
        <v>514</v>
      </c>
      <c r="D5" s="1223" t="s">
        <v>514</v>
      </c>
    </row>
    <row r="6" spans="2:4" s="24" customFormat="1" ht="26.25" customHeight="1" thickBot="1" x14ac:dyDescent="0.3">
      <c r="B6" s="1224"/>
      <c r="C6" s="1225" t="s">
        <v>105</v>
      </c>
      <c r="D6" s="1226" t="s">
        <v>106</v>
      </c>
    </row>
    <row r="7" spans="2:4" s="24" customFormat="1" ht="18.95" customHeight="1" x14ac:dyDescent="0.25">
      <c r="B7" s="1227" t="s">
        <v>733</v>
      </c>
      <c r="C7" s="1228"/>
      <c r="D7" s="1229"/>
    </row>
    <row r="8" spans="2:4" s="24" customFormat="1" ht="27" customHeight="1" x14ac:dyDescent="0.2">
      <c r="B8" s="1235" t="s">
        <v>513</v>
      </c>
      <c r="C8" s="1230">
        <v>1000</v>
      </c>
      <c r="D8" s="1231"/>
    </row>
    <row r="9" spans="2:4" s="24" customFormat="1" ht="27" customHeight="1" x14ac:dyDescent="0.2">
      <c r="B9" s="1235" t="s">
        <v>615</v>
      </c>
      <c r="C9" s="1230">
        <v>2563</v>
      </c>
      <c r="D9" s="1231">
        <v>2563</v>
      </c>
    </row>
    <row r="10" spans="2:4" s="24" customFormat="1" ht="24" customHeight="1" x14ac:dyDescent="0.2">
      <c r="B10" s="1232" t="s">
        <v>734</v>
      </c>
      <c r="C10" s="1233"/>
      <c r="D10" s="1234"/>
    </row>
    <row r="11" spans="2:4" s="24" customFormat="1" ht="26.25" customHeight="1" x14ac:dyDescent="0.2">
      <c r="B11" s="1235" t="s">
        <v>294</v>
      </c>
      <c r="C11" s="1236">
        <v>7957</v>
      </c>
      <c r="D11" s="1237"/>
    </row>
    <row r="12" spans="2:4" s="24" customFormat="1" ht="27" customHeight="1" x14ac:dyDescent="0.2">
      <c r="B12" s="1235" t="s">
        <v>288</v>
      </c>
      <c r="C12" s="1236">
        <v>136668</v>
      </c>
      <c r="D12" s="1238">
        <v>29305</v>
      </c>
    </row>
    <row r="13" spans="2:4" s="24" customFormat="1" ht="27" customHeight="1" x14ac:dyDescent="0.2">
      <c r="B13" s="1235" t="s">
        <v>292</v>
      </c>
      <c r="C13" s="1236">
        <v>2382</v>
      </c>
      <c r="D13" s="1237">
        <v>2382</v>
      </c>
    </row>
    <row r="14" spans="2:4" s="24" customFormat="1" ht="27" customHeight="1" x14ac:dyDescent="0.2">
      <c r="B14" s="1235" t="s">
        <v>296</v>
      </c>
      <c r="C14" s="1236">
        <v>858</v>
      </c>
      <c r="D14" s="1239">
        <v>858</v>
      </c>
    </row>
    <row r="15" spans="2:4" s="24" customFormat="1" ht="27" customHeight="1" x14ac:dyDescent="0.2">
      <c r="B15" s="1235" t="s">
        <v>300</v>
      </c>
      <c r="C15" s="1236">
        <v>80050</v>
      </c>
      <c r="D15" s="1239">
        <v>77481</v>
      </c>
    </row>
    <row r="16" spans="2:4" s="24" customFormat="1" ht="27" customHeight="1" x14ac:dyDescent="0.2">
      <c r="B16" s="1235" t="s">
        <v>299</v>
      </c>
      <c r="C16" s="1236">
        <v>15727</v>
      </c>
      <c r="D16" s="1239">
        <v>7503</v>
      </c>
    </row>
    <row r="17" spans="2:6" s="24" customFormat="1" ht="40.5" customHeight="1" x14ac:dyDescent="0.2">
      <c r="B17" s="1235" t="s">
        <v>364</v>
      </c>
      <c r="C17" s="1240">
        <v>3800</v>
      </c>
      <c r="D17" s="1241">
        <v>2570</v>
      </c>
    </row>
    <row r="18" spans="2:6" s="24" customFormat="1" ht="40.5" customHeight="1" x14ac:dyDescent="0.2">
      <c r="B18" s="1235" t="s">
        <v>365</v>
      </c>
      <c r="C18" s="1236">
        <v>9000</v>
      </c>
      <c r="D18" s="1237"/>
    </row>
    <row r="19" spans="2:6" s="24" customFormat="1" ht="27" customHeight="1" x14ac:dyDescent="0.2">
      <c r="B19" s="1235" t="s">
        <v>297</v>
      </c>
      <c r="C19" s="1236">
        <v>21835</v>
      </c>
      <c r="D19" s="1239">
        <v>21835</v>
      </c>
    </row>
    <row r="20" spans="2:6" s="24" customFormat="1" ht="27" customHeight="1" x14ac:dyDescent="0.2">
      <c r="B20" s="1235" t="s">
        <v>498</v>
      </c>
      <c r="C20" s="1236">
        <v>21642</v>
      </c>
      <c r="D20" s="1237"/>
    </row>
    <row r="21" spans="2:6" s="24" customFormat="1" ht="27" customHeight="1" x14ac:dyDescent="0.2">
      <c r="B21" s="1235" t="s">
        <v>504</v>
      </c>
      <c r="C21" s="1236">
        <v>1622</v>
      </c>
      <c r="D21" s="1239"/>
    </row>
    <row r="22" spans="2:6" s="24" customFormat="1" ht="40.5" customHeight="1" x14ac:dyDescent="0.25">
      <c r="B22" s="1810" t="s">
        <v>572</v>
      </c>
      <c r="C22" s="1811">
        <v>14937</v>
      </c>
      <c r="D22" s="1237">
        <v>14937</v>
      </c>
    </row>
    <row r="23" spans="2:6" s="24" customFormat="1" ht="27" customHeight="1" x14ac:dyDescent="0.2">
      <c r="B23" s="1235" t="s">
        <v>573</v>
      </c>
      <c r="C23" s="1236">
        <v>9893</v>
      </c>
      <c r="D23" s="1237">
        <v>9893</v>
      </c>
    </row>
    <row r="24" spans="2:6" s="24" customFormat="1" ht="27" customHeight="1" x14ac:dyDescent="0.2">
      <c r="B24" s="1235" t="s">
        <v>574</v>
      </c>
      <c r="C24" s="1236">
        <v>7801</v>
      </c>
      <c r="D24" s="1237">
        <v>7801</v>
      </c>
    </row>
    <row r="25" spans="2:6" s="24" customFormat="1" ht="27" customHeight="1" x14ac:dyDescent="0.2">
      <c r="B25" s="1235" t="s">
        <v>575</v>
      </c>
      <c r="C25" s="1236">
        <v>20000</v>
      </c>
      <c r="D25" s="1237">
        <v>19000</v>
      </c>
    </row>
    <row r="26" spans="2:6" s="24" customFormat="1" ht="27" customHeight="1" x14ac:dyDescent="0.2">
      <c r="B26" s="1235" t="s">
        <v>622</v>
      </c>
      <c r="C26" s="1236">
        <v>130376</v>
      </c>
      <c r="D26" s="1237">
        <v>130376</v>
      </c>
    </row>
    <row r="27" spans="2:6" s="24" customFormat="1" ht="40.5" customHeight="1" x14ac:dyDescent="0.2">
      <c r="B27" s="1235" t="s">
        <v>576</v>
      </c>
      <c r="C27" s="1236">
        <v>52654</v>
      </c>
      <c r="D27" s="1237">
        <v>52654</v>
      </c>
    </row>
    <row r="28" spans="2:6" s="24" customFormat="1" ht="27" customHeight="1" x14ac:dyDescent="0.25">
      <c r="B28" s="1810" t="s">
        <v>577</v>
      </c>
      <c r="C28" s="2169">
        <v>3988</v>
      </c>
      <c r="D28" s="1237">
        <v>3988</v>
      </c>
    </row>
    <row r="29" spans="2:6" s="24" customFormat="1" ht="27" customHeight="1" x14ac:dyDescent="0.25">
      <c r="B29" s="1810" t="s">
        <v>616</v>
      </c>
      <c r="C29" s="2168">
        <v>11960</v>
      </c>
      <c r="D29" s="1239">
        <v>11960</v>
      </c>
    </row>
    <row r="30" spans="2:6" s="24" customFormat="1" ht="24.75" customHeight="1" thickBot="1" x14ac:dyDescent="0.3">
      <c r="B30" s="1242" t="s">
        <v>735</v>
      </c>
      <c r="C30" s="1243">
        <f>SUM(C8:C29)</f>
        <v>556713</v>
      </c>
      <c r="D30" s="1244">
        <f>SUM(D8:D29)</f>
        <v>395106</v>
      </c>
      <c r="E30" s="54"/>
      <c r="F30" s="54"/>
    </row>
    <row r="31" spans="2:6" s="24" customFormat="1" ht="15.75" thickBot="1" x14ac:dyDescent="0.25">
      <c r="B31" s="39"/>
      <c r="C31" s="39"/>
      <c r="D31" s="1245"/>
      <c r="E31" s="54"/>
      <c r="F31" s="54"/>
    </row>
    <row r="32" spans="2:6" s="24" customFormat="1" ht="26.25" customHeight="1" x14ac:dyDescent="0.25">
      <c r="B32" s="1809" t="s">
        <v>736</v>
      </c>
      <c r="C32" s="1222" t="s">
        <v>514</v>
      </c>
      <c r="D32" s="1223" t="s">
        <v>514</v>
      </c>
    </row>
    <row r="33" spans="2:6" s="24" customFormat="1" ht="25.5" customHeight="1" thickBot="1" x14ac:dyDescent="0.3">
      <c r="B33" s="1812"/>
      <c r="C33" s="1248" t="s">
        <v>105</v>
      </c>
      <c r="D33" s="1249" t="s">
        <v>106</v>
      </c>
    </row>
    <row r="34" spans="2:6" s="24" customFormat="1" ht="21" customHeight="1" x14ac:dyDescent="0.25">
      <c r="B34" s="1227" t="s">
        <v>733</v>
      </c>
      <c r="C34" s="1246"/>
      <c r="D34" s="1247"/>
    </row>
    <row r="35" spans="2:6" s="24" customFormat="1" ht="21" customHeight="1" x14ac:dyDescent="0.25">
      <c r="B35" s="1250" t="s">
        <v>737</v>
      </c>
      <c r="C35" s="1251"/>
      <c r="D35" s="1252"/>
    </row>
    <row r="36" spans="2:6" s="24" customFormat="1" ht="27" customHeight="1" x14ac:dyDescent="0.2">
      <c r="B36" s="1235" t="s">
        <v>287</v>
      </c>
      <c r="C36" s="1236">
        <v>17139</v>
      </c>
      <c r="D36" s="1237">
        <v>10871</v>
      </c>
    </row>
    <row r="37" spans="2:6" s="24" customFormat="1" ht="27" customHeight="1" x14ac:dyDescent="0.2">
      <c r="B37" s="1235" t="s">
        <v>298</v>
      </c>
      <c r="C37" s="1236">
        <v>4400</v>
      </c>
      <c r="D37" s="1237"/>
    </row>
    <row r="38" spans="2:6" s="24" customFormat="1" ht="27" customHeight="1" x14ac:dyDescent="0.2">
      <c r="B38" s="1235" t="s">
        <v>286</v>
      </c>
      <c r="C38" s="1236">
        <v>394</v>
      </c>
      <c r="D38" s="1237">
        <v>385</v>
      </c>
    </row>
    <row r="39" spans="2:6" s="24" customFormat="1" ht="27" customHeight="1" x14ac:dyDescent="0.2">
      <c r="B39" s="1235" t="s">
        <v>290</v>
      </c>
      <c r="C39" s="1236">
        <v>150</v>
      </c>
      <c r="D39" s="1237">
        <v>150</v>
      </c>
    </row>
    <row r="40" spans="2:6" s="24" customFormat="1" ht="27" customHeight="1" x14ac:dyDescent="0.2">
      <c r="B40" s="1235" t="s">
        <v>683</v>
      </c>
      <c r="C40" s="1236">
        <v>69290</v>
      </c>
      <c r="D40" s="1237">
        <v>8906</v>
      </c>
    </row>
    <row r="41" spans="2:6" s="24" customFormat="1" ht="27" customHeight="1" x14ac:dyDescent="0.2">
      <c r="B41" s="1235" t="s">
        <v>684</v>
      </c>
      <c r="C41" s="1236">
        <v>1089</v>
      </c>
      <c r="D41" s="1237"/>
    </row>
    <row r="42" spans="2:6" s="24" customFormat="1" ht="27" customHeight="1" x14ac:dyDescent="0.2">
      <c r="B42" s="1235" t="s">
        <v>685</v>
      </c>
      <c r="C42" s="1236">
        <v>1890</v>
      </c>
      <c r="D42" s="1237">
        <v>1697</v>
      </c>
    </row>
    <row r="43" spans="2:6" s="24" customFormat="1" ht="27" customHeight="1" thickBot="1" x14ac:dyDescent="0.25">
      <c r="B43" s="2338" t="s">
        <v>637</v>
      </c>
      <c r="C43" s="2339">
        <v>1329</v>
      </c>
      <c r="D43" s="2340">
        <v>1329</v>
      </c>
      <c r="F43" s="54"/>
    </row>
    <row r="44" spans="2:6" s="24" customFormat="1" ht="23.25" customHeight="1" thickBot="1" x14ac:dyDescent="0.25">
      <c r="B44" s="1254" t="s">
        <v>734</v>
      </c>
      <c r="C44" s="1255"/>
      <c r="D44" s="1256"/>
      <c r="E44" s="54"/>
      <c r="F44" s="54"/>
    </row>
    <row r="45" spans="2:6" s="24" customFormat="1" ht="26.25" customHeight="1" x14ac:dyDescent="0.25">
      <c r="B45" s="1257" t="s">
        <v>38</v>
      </c>
      <c r="C45" s="1258"/>
      <c r="D45" s="1259"/>
      <c r="E45" s="54"/>
    </row>
    <row r="46" spans="2:6" s="24" customFormat="1" ht="27" customHeight="1" x14ac:dyDescent="0.2">
      <c r="B46" s="1235" t="s">
        <v>332</v>
      </c>
      <c r="C46" s="1236">
        <v>76530</v>
      </c>
      <c r="D46" s="1237">
        <v>2997</v>
      </c>
    </row>
    <row r="47" spans="2:6" s="24" customFormat="1" ht="27" customHeight="1" x14ac:dyDescent="0.2">
      <c r="B47" s="1235" t="s">
        <v>331</v>
      </c>
      <c r="C47" s="1236">
        <v>205234</v>
      </c>
      <c r="D47" s="1237">
        <v>3499</v>
      </c>
    </row>
    <row r="48" spans="2:6" s="24" customFormat="1" ht="36" customHeight="1" x14ac:dyDescent="0.2">
      <c r="B48" s="1235" t="s">
        <v>572</v>
      </c>
      <c r="C48" s="1236">
        <v>14937</v>
      </c>
      <c r="D48" s="1237">
        <v>0</v>
      </c>
    </row>
    <row r="49" spans="2:4" s="24" customFormat="1" ht="40.5" customHeight="1" x14ac:dyDescent="0.2">
      <c r="B49" s="1235" t="s">
        <v>580</v>
      </c>
      <c r="C49" s="1240">
        <v>11212</v>
      </c>
      <c r="D49" s="1241">
        <v>678</v>
      </c>
    </row>
    <row r="50" spans="2:4" s="24" customFormat="1" ht="27" customHeight="1" x14ac:dyDescent="0.2">
      <c r="B50" s="1235" t="s">
        <v>573</v>
      </c>
      <c r="C50" s="1236">
        <v>9893</v>
      </c>
      <c r="D50" s="1237"/>
    </row>
    <row r="51" spans="2:4" s="24" customFormat="1" ht="27" customHeight="1" x14ac:dyDescent="0.2">
      <c r="B51" s="1235" t="s">
        <v>581</v>
      </c>
      <c r="C51" s="1236">
        <v>8641</v>
      </c>
      <c r="D51" s="1237">
        <v>461</v>
      </c>
    </row>
    <row r="52" spans="2:4" s="24" customFormat="1" ht="27" customHeight="1" x14ac:dyDescent="0.2">
      <c r="B52" s="1235" t="s">
        <v>574</v>
      </c>
      <c r="C52" s="1236">
        <v>7801</v>
      </c>
      <c r="D52" s="1237"/>
    </row>
    <row r="53" spans="2:4" s="24" customFormat="1" ht="40.5" customHeight="1" x14ac:dyDescent="0.2">
      <c r="B53" s="1235" t="s">
        <v>582</v>
      </c>
      <c r="C53" s="1236">
        <v>2619</v>
      </c>
      <c r="D53" s="1237">
        <v>358</v>
      </c>
    </row>
    <row r="54" spans="2:4" s="24" customFormat="1" ht="27" customHeight="1" x14ac:dyDescent="0.2">
      <c r="B54" s="1235" t="s">
        <v>575</v>
      </c>
      <c r="C54" s="1236">
        <v>20000</v>
      </c>
      <c r="D54" s="1237"/>
    </row>
    <row r="55" spans="2:4" s="24" customFormat="1" ht="27" customHeight="1" x14ac:dyDescent="0.2">
      <c r="B55" s="1235" t="s">
        <v>583</v>
      </c>
      <c r="C55" s="1236">
        <v>13444</v>
      </c>
      <c r="D55" s="1237">
        <v>1425</v>
      </c>
    </row>
    <row r="56" spans="2:4" s="24" customFormat="1" ht="27" customHeight="1" x14ac:dyDescent="0.2">
      <c r="B56" s="1235" t="s">
        <v>622</v>
      </c>
      <c r="C56" s="1236">
        <v>127117</v>
      </c>
      <c r="D56" s="1237"/>
    </row>
    <row r="57" spans="2:4" s="24" customFormat="1" ht="27" customHeight="1" x14ac:dyDescent="0.2">
      <c r="B57" s="1235" t="s">
        <v>623</v>
      </c>
      <c r="C57" s="1236">
        <v>16037</v>
      </c>
      <c r="D57" s="1237"/>
    </row>
    <row r="58" spans="2:4" s="24" customFormat="1" ht="40.5" customHeight="1" x14ac:dyDescent="0.2">
      <c r="B58" s="1235" t="s">
        <v>576</v>
      </c>
      <c r="C58" s="1253">
        <v>52654</v>
      </c>
      <c r="D58" s="1237">
        <v>0</v>
      </c>
    </row>
    <row r="59" spans="2:4" s="24" customFormat="1" ht="40.5" customHeight="1" x14ac:dyDescent="0.2">
      <c r="B59" s="1235" t="s">
        <v>584</v>
      </c>
      <c r="C59" s="1240">
        <v>3174</v>
      </c>
      <c r="D59" s="1241">
        <v>400</v>
      </c>
    </row>
    <row r="60" spans="2:4" s="24" customFormat="1" ht="27" customHeight="1" x14ac:dyDescent="0.2">
      <c r="B60" s="1235" t="s">
        <v>577</v>
      </c>
      <c r="C60" s="1236">
        <v>3988</v>
      </c>
      <c r="D60" s="1237"/>
    </row>
    <row r="61" spans="2:4" s="24" customFormat="1" ht="27" customHeight="1" x14ac:dyDescent="0.2">
      <c r="B61" s="1235" t="s">
        <v>585</v>
      </c>
      <c r="C61" s="1236">
        <v>15804</v>
      </c>
      <c r="D61" s="1237">
        <v>1624</v>
      </c>
    </row>
    <row r="62" spans="2:4" s="24" customFormat="1" ht="27" customHeight="1" x14ac:dyDescent="0.2">
      <c r="B62" s="1235" t="s">
        <v>610</v>
      </c>
      <c r="C62" s="1236">
        <v>11960</v>
      </c>
      <c r="D62" s="1237"/>
    </row>
    <row r="63" spans="2:4" s="24" customFormat="1" ht="27" customHeight="1" x14ac:dyDescent="0.2">
      <c r="B63" s="1235" t="s">
        <v>611</v>
      </c>
      <c r="C63" s="1236">
        <v>12508</v>
      </c>
      <c r="D63" s="1237">
        <v>548</v>
      </c>
    </row>
    <row r="64" spans="2:4" s="24" customFormat="1" ht="27" customHeight="1" x14ac:dyDescent="0.2">
      <c r="B64" s="1235" t="s">
        <v>655</v>
      </c>
      <c r="C64" s="1236">
        <v>155771</v>
      </c>
      <c r="D64" s="1237"/>
    </row>
    <row r="65" spans="2:4" s="24" customFormat="1" ht="27" customHeight="1" x14ac:dyDescent="0.2">
      <c r="B65" s="1235" t="s">
        <v>460</v>
      </c>
      <c r="C65" s="1236">
        <v>216</v>
      </c>
      <c r="D65" s="1237">
        <v>216</v>
      </c>
    </row>
    <row r="66" spans="2:4" s="24" customFormat="1" ht="27" customHeight="1" x14ac:dyDescent="0.2">
      <c r="B66" s="1235" t="s">
        <v>291</v>
      </c>
      <c r="C66" s="1236">
        <f>519466+32974</f>
        <v>552440</v>
      </c>
      <c r="D66" s="1237">
        <v>551722</v>
      </c>
    </row>
    <row r="67" spans="2:4" s="24" customFormat="1" ht="27" customHeight="1" x14ac:dyDescent="0.2">
      <c r="B67" s="1235" t="s">
        <v>326</v>
      </c>
      <c r="C67" s="1236">
        <f>282545-32974</f>
        <v>249571</v>
      </c>
      <c r="D67" s="1237"/>
    </row>
    <row r="68" spans="2:4" s="24" customFormat="1" ht="27" customHeight="1" x14ac:dyDescent="0.2">
      <c r="B68" s="1235" t="s">
        <v>327</v>
      </c>
      <c r="C68" s="1236">
        <f>448869-32974</f>
        <v>415895</v>
      </c>
      <c r="D68" s="1237">
        <v>401115</v>
      </c>
    </row>
    <row r="69" spans="2:4" s="24" customFormat="1" ht="27" customHeight="1" x14ac:dyDescent="0.2">
      <c r="B69" s="1235" t="s">
        <v>502</v>
      </c>
      <c r="C69" s="1236">
        <f>75247+32974</f>
        <v>108221</v>
      </c>
      <c r="D69" s="1237"/>
    </row>
    <row r="70" spans="2:4" s="24" customFormat="1" ht="27" customHeight="1" x14ac:dyDescent="0.2">
      <c r="B70" s="1235" t="s">
        <v>461</v>
      </c>
      <c r="C70" s="1236">
        <v>225513</v>
      </c>
      <c r="D70" s="1237">
        <v>163473</v>
      </c>
    </row>
    <row r="71" spans="2:4" s="24" customFormat="1" ht="27" customHeight="1" x14ac:dyDescent="0.2">
      <c r="B71" s="1235" t="s">
        <v>462</v>
      </c>
      <c r="C71" s="1236">
        <v>74005</v>
      </c>
      <c r="D71" s="1237">
        <v>74004</v>
      </c>
    </row>
    <row r="72" spans="2:4" s="24" customFormat="1" ht="27" customHeight="1" x14ac:dyDescent="0.2">
      <c r="B72" s="1235" t="s">
        <v>329</v>
      </c>
      <c r="C72" s="1236">
        <v>3021</v>
      </c>
      <c r="D72" s="1237">
        <v>2766</v>
      </c>
    </row>
    <row r="73" spans="2:4" s="24" customFormat="1" ht="27" customHeight="1" x14ac:dyDescent="0.2">
      <c r="B73" s="1235" t="s">
        <v>411</v>
      </c>
      <c r="C73" s="1236">
        <v>24214</v>
      </c>
      <c r="D73" s="1237"/>
    </row>
    <row r="74" spans="2:4" s="24" customFormat="1" ht="27" customHeight="1" x14ac:dyDescent="0.2">
      <c r="B74" s="1235" t="s">
        <v>299</v>
      </c>
      <c r="C74" s="1236">
        <v>56302</v>
      </c>
      <c r="D74" s="1237">
        <v>50662</v>
      </c>
    </row>
    <row r="75" spans="2:4" s="24" customFormat="1" ht="27" customHeight="1" x14ac:dyDescent="0.2">
      <c r="B75" s="1235" t="s">
        <v>464</v>
      </c>
      <c r="C75" s="1236">
        <v>5310</v>
      </c>
      <c r="D75" s="1237"/>
    </row>
    <row r="76" spans="2:4" s="24" customFormat="1" ht="27" customHeight="1" x14ac:dyDescent="0.2">
      <c r="B76" s="1235" t="s">
        <v>465</v>
      </c>
      <c r="C76" s="1236">
        <v>63416</v>
      </c>
      <c r="D76" s="1237">
        <v>47991</v>
      </c>
    </row>
    <row r="77" spans="2:4" s="24" customFormat="1" ht="27" customHeight="1" x14ac:dyDescent="0.2">
      <c r="B77" s="1235" t="s">
        <v>444</v>
      </c>
      <c r="C77" s="1236">
        <v>12509</v>
      </c>
      <c r="D77" s="1237"/>
    </row>
    <row r="78" spans="2:4" s="24" customFormat="1" ht="27" customHeight="1" x14ac:dyDescent="0.2">
      <c r="B78" s="1235" t="s">
        <v>293</v>
      </c>
      <c r="C78" s="1236">
        <v>120</v>
      </c>
      <c r="D78" s="1237">
        <v>120</v>
      </c>
    </row>
    <row r="79" spans="2:4" s="24" customFormat="1" ht="27" customHeight="1" x14ac:dyDescent="0.2">
      <c r="B79" s="1235" t="s">
        <v>289</v>
      </c>
      <c r="C79" s="1236">
        <v>2660</v>
      </c>
      <c r="D79" s="1237">
        <v>2660</v>
      </c>
    </row>
    <row r="80" spans="2:4" s="24" customFormat="1" ht="27" customHeight="1" x14ac:dyDescent="0.2">
      <c r="B80" s="1235" t="s">
        <v>288</v>
      </c>
      <c r="C80" s="1236">
        <v>710665</v>
      </c>
      <c r="D80" s="1237">
        <v>609340</v>
      </c>
    </row>
    <row r="81" spans="2:4" s="24" customFormat="1" ht="27" customHeight="1" x14ac:dyDescent="0.2">
      <c r="B81" s="1235" t="s">
        <v>445</v>
      </c>
      <c r="C81" s="1236">
        <v>186656</v>
      </c>
      <c r="D81" s="1237"/>
    </row>
    <row r="82" spans="2:4" s="24" customFormat="1" ht="27" customHeight="1" x14ac:dyDescent="0.2">
      <c r="B82" s="1235" t="s">
        <v>328</v>
      </c>
      <c r="C82" s="1236">
        <v>2355</v>
      </c>
      <c r="D82" s="1237">
        <v>921</v>
      </c>
    </row>
    <row r="83" spans="2:4" s="24" customFormat="1" ht="27" customHeight="1" x14ac:dyDescent="0.2">
      <c r="B83" s="1235" t="s">
        <v>295</v>
      </c>
      <c r="C83" s="1236">
        <v>356</v>
      </c>
      <c r="D83" s="1237">
        <v>356</v>
      </c>
    </row>
    <row r="84" spans="2:4" s="24" customFormat="1" ht="27" customHeight="1" x14ac:dyDescent="0.2">
      <c r="B84" s="1235" t="s">
        <v>599</v>
      </c>
      <c r="C84" s="1236">
        <v>3896</v>
      </c>
      <c r="D84" s="1237"/>
    </row>
    <row r="85" spans="2:4" s="24" customFormat="1" ht="27" customHeight="1" x14ac:dyDescent="0.2">
      <c r="B85" s="1235" t="s">
        <v>548</v>
      </c>
      <c r="C85" s="1236">
        <v>8908</v>
      </c>
      <c r="D85" s="1237"/>
    </row>
    <row r="86" spans="2:4" s="24" customFormat="1" ht="40.5" customHeight="1" x14ac:dyDescent="0.2">
      <c r="B86" s="1235" t="s">
        <v>446</v>
      </c>
      <c r="C86" s="1240">
        <v>9442</v>
      </c>
      <c r="D86" s="1241">
        <v>9442</v>
      </c>
    </row>
    <row r="87" spans="2:4" s="24" customFormat="1" ht="40.5" customHeight="1" x14ac:dyDescent="0.2">
      <c r="B87" s="1235" t="s">
        <v>447</v>
      </c>
      <c r="C87" s="1240">
        <v>28137</v>
      </c>
      <c r="D87" s="1241"/>
    </row>
    <row r="88" spans="2:4" s="24" customFormat="1" ht="40.5" customHeight="1" x14ac:dyDescent="0.2">
      <c r="B88" s="1235" t="s">
        <v>366</v>
      </c>
      <c r="C88" s="1240">
        <v>382506</v>
      </c>
      <c r="D88" s="1241">
        <v>194685</v>
      </c>
    </row>
    <row r="89" spans="2:4" s="24" customFormat="1" ht="40.5" customHeight="1" x14ac:dyDescent="0.2">
      <c r="B89" s="1235" t="s">
        <v>508</v>
      </c>
      <c r="C89" s="1240">
        <v>13070</v>
      </c>
      <c r="D89" s="1241">
        <v>112</v>
      </c>
    </row>
    <row r="90" spans="2:4" s="24" customFormat="1" ht="40.5" customHeight="1" x14ac:dyDescent="0.2">
      <c r="B90" s="1235" t="s">
        <v>367</v>
      </c>
      <c r="C90" s="1236">
        <v>78655</v>
      </c>
      <c r="D90" s="1237">
        <v>77015</v>
      </c>
    </row>
    <row r="91" spans="2:4" s="24" customFormat="1" ht="40.5" customHeight="1" x14ac:dyDescent="0.2">
      <c r="B91" s="1235" t="s">
        <v>503</v>
      </c>
      <c r="C91" s="1240">
        <v>65710</v>
      </c>
      <c r="D91" s="1241">
        <v>65642</v>
      </c>
    </row>
    <row r="92" spans="2:4" s="24" customFormat="1" ht="27" customHeight="1" x14ac:dyDescent="0.2">
      <c r="B92" s="1235" t="s">
        <v>510</v>
      </c>
      <c r="C92" s="1236">
        <v>366397</v>
      </c>
      <c r="D92" s="1237">
        <v>10762</v>
      </c>
    </row>
    <row r="93" spans="2:4" s="24" customFormat="1" ht="27" customHeight="1" x14ac:dyDescent="0.2">
      <c r="B93" s="1235" t="s">
        <v>591</v>
      </c>
      <c r="C93" s="1236">
        <f>89718-6439</f>
        <v>83279</v>
      </c>
      <c r="D93" s="1237"/>
    </row>
    <row r="94" spans="2:4" s="24" customFormat="1" ht="27" customHeight="1" x14ac:dyDescent="0.2">
      <c r="B94" s="1235" t="s">
        <v>509</v>
      </c>
      <c r="C94" s="1236">
        <v>159691</v>
      </c>
      <c r="D94" s="1237"/>
    </row>
    <row r="95" spans="2:4" s="24" customFormat="1" ht="27" customHeight="1" x14ac:dyDescent="0.2">
      <c r="B95" s="1235" t="s">
        <v>592</v>
      </c>
      <c r="C95" s="1236">
        <v>42898</v>
      </c>
      <c r="D95" s="1237"/>
    </row>
    <row r="96" spans="2:4" s="24" customFormat="1" ht="27" customHeight="1" x14ac:dyDescent="0.2">
      <c r="B96" s="1235" t="s">
        <v>586</v>
      </c>
      <c r="C96" s="1236">
        <f>204794-6439</f>
        <v>198355</v>
      </c>
      <c r="D96" s="1237">
        <v>11911</v>
      </c>
    </row>
    <row r="97" spans="2:7" s="24" customFormat="1" ht="40.5" customHeight="1" x14ac:dyDescent="0.2">
      <c r="B97" s="1235" t="s">
        <v>694</v>
      </c>
      <c r="C97" s="1236">
        <f>39642+6439</f>
        <v>46081</v>
      </c>
      <c r="D97" s="1237"/>
    </row>
    <row r="98" spans="2:7" s="24" customFormat="1" ht="27" customHeight="1" x14ac:dyDescent="0.2">
      <c r="B98" s="1235" t="s">
        <v>587</v>
      </c>
      <c r="C98" s="1236">
        <v>4581</v>
      </c>
      <c r="D98" s="1237">
        <v>550</v>
      </c>
    </row>
    <row r="99" spans="2:7" s="24" customFormat="1" ht="27" customHeight="1" x14ac:dyDescent="0.2">
      <c r="B99" s="1235" t="s">
        <v>588</v>
      </c>
      <c r="C99" s="1236">
        <v>205194</v>
      </c>
      <c r="D99" s="1237">
        <v>3404</v>
      </c>
    </row>
    <row r="100" spans="2:7" s="24" customFormat="1" ht="40.5" customHeight="1" x14ac:dyDescent="0.2">
      <c r="B100" s="1235" t="s">
        <v>671</v>
      </c>
      <c r="C100" s="1236">
        <v>48004</v>
      </c>
      <c r="D100" s="1237"/>
    </row>
    <row r="101" spans="2:7" s="24" customFormat="1" ht="40.5" customHeight="1" x14ac:dyDescent="0.2">
      <c r="B101" s="1235" t="s">
        <v>589</v>
      </c>
      <c r="C101" s="1236">
        <v>4094</v>
      </c>
      <c r="D101" s="1237">
        <v>214</v>
      </c>
    </row>
    <row r="102" spans="2:7" s="24" customFormat="1" ht="27" customHeight="1" x14ac:dyDescent="0.2">
      <c r="B102" s="1235" t="s">
        <v>695</v>
      </c>
      <c r="C102" s="1236">
        <f>724377+6510</f>
        <v>730887</v>
      </c>
      <c r="D102" s="1237">
        <v>8782</v>
      </c>
    </row>
    <row r="103" spans="2:7" s="24" customFormat="1" ht="27" customHeight="1" x14ac:dyDescent="0.2">
      <c r="B103" s="1235" t="s">
        <v>696</v>
      </c>
      <c r="C103" s="1236">
        <f>189856-6510</f>
        <v>183346</v>
      </c>
      <c r="D103" s="1237"/>
    </row>
    <row r="104" spans="2:7" s="24" customFormat="1" ht="40.5" customHeight="1" thickBot="1" x14ac:dyDescent="0.25">
      <c r="B104" s="2170" t="s">
        <v>598</v>
      </c>
      <c r="C104" s="2171">
        <v>721</v>
      </c>
      <c r="D104" s="1239">
        <v>721</v>
      </c>
    </row>
    <row r="105" spans="2:7" ht="24" customHeight="1" thickBot="1" x14ac:dyDescent="0.3">
      <c r="B105" s="2172" t="s">
        <v>738</v>
      </c>
      <c r="C105" s="2173">
        <f>SUM(C36:C104)</f>
        <v>6222302</v>
      </c>
      <c r="D105" s="2174">
        <f>SUM(D36:D104)</f>
        <v>2323914</v>
      </c>
      <c r="E105" s="1260"/>
    </row>
    <row r="107" spans="2:7" x14ac:dyDescent="0.2">
      <c r="C107" s="1260"/>
    </row>
    <row r="108" spans="2:7" x14ac:dyDescent="0.2">
      <c r="C108" s="1260"/>
      <c r="D108" s="1260"/>
    </row>
    <row r="109" spans="2:7" x14ac:dyDescent="0.2">
      <c r="D109" s="1260"/>
    </row>
    <row r="111" spans="2:7" ht="15" x14ac:dyDescent="0.2">
      <c r="E111" s="134"/>
      <c r="F111" s="1261"/>
      <c r="G111" s="1262"/>
    </row>
    <row r="112" spans="2:7" x14ac:dyDescent="0.2">
      <c r="E112" s="1262"/>
      <c r="F112" s="1262"/>
      <c r="G112" s="1262"/>
    </row>
    <row r="113" spans="1:4" s="10" customFormat="1" ht="33.75" customHeight="1" x14ac:dyDescent="0.2">
      <c r="A113" s="31"/>
    </row>
    <row r="115" spans="1:4" s="6" customFormat="1" ht="36" customHeight="1" x14ac:dyDescent="0.2">
      <c r="A115" s="29"/>
    </row>
    <row r="116" spans="1:4" s="6" customFormat="1" ht="21.75" customHeight="1" x14ac:dyDescent="0.2">
      <c r="A116" s="29"/>
    </row>
    <row r="117" spans="1:4" s="6" customFormat="1" ht="36" customHeight="1" x14ac:dyDescent="0.2">
      <c r="A117" s="29"/>
    </row>
    <row r="118" spans="1:4" s="6" customFormat="1" ht="39" customHeight="1" x14ac:dyDescent="0.2">
      <c r="A118" s="29"/>
    </row>
    <row r="119" spans="1:4" s="6" customFormat="1" ht="39" customHeight="1" x14ac:dyDescent="0.2">
      <c r="A119" s="29"/>
    </row>
    <row r="120" spans="1:4" s="6" customFormat="1" ht="36" customHeight="1" x14ac:dyDescent="0.2">
      <c r="A120" s="29"/>
    </row>
    <row r="122" spans="1:4" x14ac:dyDescent="0.2">
      <c r="C122" s="1260"/>
      <c r="D122" s="1260"/>
    </row>
  </sheetData>
  <mergeCells count="3">
    <mergeCell ref="B1:D1"/>
    <mergeCell ref="B2:D2"/>
    <mergeCell ref="B3:D3"/>
  </mergeCells>
  <printOptions horizontalCentered="1" verticalCentered="1"/>
  <pageMargins left="0.35433070866141736" right="0.19685039370078741" top="0.98425196850393704" bottom="0.98425196850393704" header="0.51181102362204722" footer="0.51181102362204722"/>
  <pageSetup paperSize="9" scale="57" pageOrder="overThenDown" orientation="portrait" r:id="rId1"/>
  <headerFooter alignWithMargins="0">
    <oddHeader>&amp;R&amp;"Arial,Félkövér"&amp;12 &amp;14 21. melléklet a …../2022. (…….) önkormányzati rendelethez</oddHeader>
  </headerFooter>
  <rowBreaks count="2" manualBreakCount="2">
    <brk id="43" min="1" max="3" man="1"/>
    <brk id="82" min="1" max="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H31"/>
  <sheetViews>
    <sheetView zoomScale="75" zoomScaleNormal="75" workbookViewId="0">
      <selection activeCell="R13" sqref="R13"/>
    </sheetView>
  </sheetViews>
  <sheetFormatPr defaultColWidth="10.6640625" defaultRowHeight="15" customHeight="1" x14ac:dyDescent="0.2"/>
  <cols>
    <col min="1" max="1" width="9.33203125" style="24" customWidth="1"/>
    <col min="2" max="2" width="7.6640625" style="24" customWidth="1"/>
    <col min="3" max="3" width="100.33203125" style="24" customWidth="1"/>
    <col min="4" max="5" width="19.1640625" style="24" customWidth="1"/>
    <col min="6" max="6" width="17.6640625" style="24" customWidth="1"/>
    <col min="7" max="8" width="15.6640625" style="24" bestFit="1" customWidth="1"/>
    <col min="9" max="16384" width="10.6640625" style="24"/>
  </cols>
  <sheetData>
    <row r="1" spans="2:8" s="1263" customFormat="1" ht="24" customHeight="1" x14ac:dyDescent="0.25">
      <c r="B1" s="2484" t="s">
        <v>712</v>
      </c>
      <c r="C1" s="2484"/>
      <c r="D1" s="2484"/>
      <c r="E1" s="2484"/>
      <c r="F1" s="2484"/>
      <c r="G1" s="2484"/>
      <c r="H1" s="2484"/>
    </row>
    <row r="2" spans="2:8" s="1263" customFormat="1" ht="24" customHeight="1" x14ac:dyDescent="0.25">
      <c r="B2" s="2485" t="s">
        <v>1415</v>
      </c>
      <c r="C2" s="2485"/>
      <c r="D2" s="2485"/>
      <c r="E2" s="2485"/>
      <c r="F2" s="2485"/>
      <c r="G2" s="2485"/>
      <c r="H2" s="2485"/>
    </row>
    <row r="3" spans="2:8" s="1263" customFormat="1" ht="24" customHeight="1" x14ac:dyDescent="0.25">
      <c r="B3" s="2486" t="s">
        <v>739</v>
      </c>
      <c r="C3" s="2486"/>
      <c r="D3" s="2486"/>
      <c r="E3" s="2486"/>
      <c r="F3" s="2486"/>
      <c r="G3" s="2486"/>
      <c r="H3" s="2486"/>
    </row>
    <row r="4" spans="2:8" s="1265" customFormat="1" ht="18.95" customHeight="1" thickBot="1" x14ac:dyDescent="0.25">
      <c r="B4" s="1264"/>
      <c r="C4" s="1264"/>
      <c r="D4" s="1264"/>
      <c r="E4" s="1264"/>
      <c r="F4" s="1264"/>
      <c r="G4" s="1264"/>
      <c r="H4" s="13" t="s">
        <v>19</v>
      </c>
    </row>
    <row r="5" spans="2:8" ht="18.95" customHeight="1" x14ac:dyDescent="0.25">
      <c r="B5" s="2487" t="s">
        <v>33</v>
      </c>
      <c r="C5" s="2488"/>
      <c r="D5" s="1266" t="s">
        <v>741</v>
      </c>
      <c r="E5" s="1222" t="s">
        <v>741</v>
      </c>
      <c r="F5" s="1267" t="s">
        <v>742</v>
      </c>
      <c r="G5" s="1222" t="s">
        <v>743</v>
      </c>
      <c r="H5" s="1268" t="s">
        <v>1236</v>
      </c>
    </row>
    <row r="6" spans="2:8" ht="18.95" customHeight="1" thickBot="1" x14ac:dyDescent="0.3">
      <c r="B6" s="1269"/>
      <c r="C6" s="1270"/>
      <c r="D6" s="1271" t="s">
        <v>105</v>
      </c>
      <c r="E6" s="1225" t="s">
        <v>106</v>
      </c>
      <c r="F6" s="1272" t="s">
        <v>213</v>
      </c>
      <c r="G6" s="1225" t="s">
        <v>213</v>
      </c>
      <c r="H6" s="1226" t="s">
        <v>213</v>
      </c>
    </row>
    <row r="7" spans="2:8" ht="24.75" customHeight="1" x14ac:dyDescent="0.25">
      <c r="B7" s="1284"/>
      <c r="C7" s="1285" t="s">
        <v>36</v>
      </c>
      <c r="D7" s="1275"/>
      <c r="E7" s="1286"/>
      <c r="F7" s="1286"/>
      <c r="G7" s="1287"/>
      <c r="H7" s="1288"/>
    </row>
    <row r="8" spans="2:8" ht="24.75" customHeight="1" x14ac:dyDescent="0.25">
      <c r="B8" s="1289"/>
      <c r="C8" s="1813" t="s">
        <v>354</v>
      </c>
      <c r="D8" s="1290">
        <v>9337</v>
      </c>
      <c r="E8" s="1291">
        <v>0</v>
      </c>
      <c r="F8" s="1291">
        <v>0</v>
      </c>
      <c r="G8" s="1292">
        <v>60000</v>
      </c>
      <c r="H8" s="1259">
        <v>60000</v>
      </c>
    </row>
    <row r="9" spans="2:8" ht="24.75" customHeight="1" thickBot="1" x14ac:dyDescent="0.3">
      <c r="B9" s="1280"/>
      <c r="C9" s="1815"/>
      <c r="D9" s="1293">
        <f>SUM(D8)</f>
        <v>9337</v>
      </c>
      <c r="E9" s="1294">
        <f>SUM(E8)</f>
        <v>0</v>
      </c>
      <c r="F9" s="1295">
        <f>SUM(F8)</f>
        <v>0</v>
      </c>
      <c r="G9" s="1295">
        <f>SUM(G8)</f>
        <v>60000</v>
      </c>
      <c r="H9" s="1296">
        <f>SUM(H8)</f>
        <v>60000</v>
      </c>
    </row>
    <row r="10" spans="2:8" ht="24.75" customHeight="1" x14ac:dyDescent="0.25">
      <c r="B10" s="1273"/>
      <c r="C10" s="1274" t="s">
        <v>196</v>
      </c>
      <c r="D10" s="1301"/>
      <c r="E10" s="1286"/>
      <c r="F10" s="1276"/>
      <c r="G10" s="1287"/>
      <c r="H10" s="1288"/>
    </row>
    <row r="11" spans="2:8" ht="24.75" customHeight="1" x14ac:dyDescent="0.25">
      <c r="B11" s="1038"/>
      <c r="C11" s="1814" t="s">
        <v>744</v>
      </c>
      <c r="D11" s="1277">
        <v>11420</v>
      </c>
      <c r="E11" s="1297">
        <v>10936</v>
      </c>
      <c r="F11" s="1278">
        <v>10000</v>
      </c>
      <c r="G11" s="1297">
        <v>10000</v>
      </c>
      <c r="H11" s="1302">
        <v>10000</v>
      </c>
    </row>
    <row r="12" spans="2:8" ht="24.75" customHeight="1" thickBot="1" x14ac:dyDescent="0.3">
      <c r="B12" s="1303"/>
      <c r="C12" s="1304"/>
      <c r="D12" s="1305">
        <f>SUM(D11)</f>
        <v>11420</v>
      </c>
      <c r="E12" s="1306">
        <f>SUM(E11)</f>
        <v>10936</v>
      </c>
      <c r="F12" s="1307">
        <f>SUM(F11)</f>
        <v>10000</v>
      </c>
      <c r="G12" s="1306">
        <f>SUM(G11)</f>
        <v>10000</v>
      </c>
      <c r="H12" s="1308">
        <f>SUM(H11)</f>
        <v>10000</v>
      </c>
    </row>
    <row r="13" spans="2:8" ht="24.75" customHeight="1" x14ac:dyDescent="0.25">
      <c r="B13" s="1284"/>
      <c r="C13" s="1285" t="s">
        <v>200</v>
      </c>
      <c r="D13" s="1275"/>
      <c r="E13" s="1286"/>
      <c r="F13" s="1286"/>
      <c r="G13" s="1287"/>
      <c r="H13" s="1288"/>
    </row>
    <row r="14" spans="2:8" ht="24.75" customHeight="1" x14ac:dyDescent="0.25">
      <c r="B14" s="1289"/>
      <c r="C14" s="1814" t="s">
        <v>1237</v>
      </c>
      <c r="D14" s="1290">
        <v>1921</v>
      </c>
      <c r="E14" s="1292"/>
      <c r="F14" s="1310">
        <v>34000</v>
      </c>
      <c r="G14" s="1292">
        <v>35000</v>
      </c>
      <c r="H14" s="1259">
        <v>30000</v>
      </c>
    </row>
    <row r="15" spans="2:8" ht="24.75" customHeight="1" thickBot="1" x14ac:dyDescent="0.3">
      <c r="B15" s="1280"/>
      <c r="C15" s="1281" t="s">
        <v>745</v>
      </c>
      <c r="D15" s="1282">
        <f>SUM(D14:D14)</f>
        <v>1921</v>
      </c>
      <c r="E15" s="1298">
        <f>SUM(E14:E14)</f>
        <v>0</v>
      </c>
      <c r="F15" s="1299">
        <f>SUM(F14:F14)</f>
        <v>34000</v>
      </c>
      <c r="G15" s="1298">
        <f>SUM(G14:G14)</f>
        <v>35000</v>
      </c>
      <c r="H15" s="1300">
        <f>SUM(H14:H14)</f>
        <v>30000</v>
      </c>
    </row>
    <row r="16" spans="2:8" ht="24.75" customHeight="1" x14ac:dyDescent="0.25">
      <c r="B16" s="1284"/>
      <c r="C16" s="1285" t="s">
        <v>38</v>
      </c>
      <c r="D16" s="1275"/>
      <c r="E16" s="1286"/>
      <c r="F16" s="1286"/>
      <c r="G16" s="1287"/>
      <c r="H16" s="1288"/>
    </row>
    <row r="17" spans="2:8" ht="24.75" customHeight="1" x14ac:dyDescent="0.25">
      <c r="B17" s="1289"/>
      <c r="C17" s="1309" t="s">
        <v>1238</v>
      </c>
      <c r="D17" s="1290"/>
      <c r="E17" s="1292"/>
      <c r="F17" s="1310">
        <v>60000</v>
      </c>
      <c r="G17" s="1292">
        <v>60000</v>
      </c>
      <c r="H17" s="1259">
        <v>60000</v>
      </c>
    </row>
    <row r="18" spans="2:8" ht="24.75" customHeight="1" thickBot="1" x14ac:dyDescent="0.3">
      <c r="B18" s="1280"/>
      <c r="C18" s="1281"/>
      <c r="D18" s="1282">
        <f>SUM(D17)</f>
        <v>0</v>
      </c>
      <c r="E18" s="1298">
        <f>SUM(E17)</f>
        <v>0</v>
      </c>
      <c r="F18" s="1298">
        <f>SUM(F17)</f>
        <v>60000</v>
      </c>
      <c r="G18" s="1298">
        <f>SUM(G17)</f>
        <v>60000</v>
      </c>
      <c r="H18" s="1283">
        <f>SUM(H17)</f>
        <v>60000</v>
      </c>
    </row>
    <row r="19" spans="2:8" ht="24.75" customHeight="1" x14ac:dyDescent="0.25">
      <c r="B19" s="1284"/>
      <c r="C19" s="1311" t="s">
        <v>60</v>
      </c>
      <c r="D19" s="1301"/>
      <c r="E19" s="1312"/>
      <c r="F19" s="1313"/>
      <c r="G19" s="1278"/>
      <c r="H19" s="1279"/>
    </row>
    <row r="20" spans="2:8" ht="24.75" customHeight="1" x14ac:dyDescent="0.25">
      <c r="B20" s="1038"/>
      <c r="C20" s="1314" t="s">
        <v>60</v>
      </c>
      <c r="D20" s="1315"/>
      <c r="E20" s="1316">
        <v>1488</v>
      </c>
      <c r="F20" s="1317">
        <v>10000</v>
      </c>
      <c r="G20" s="1316">
        <v>10000</v>
      </c>
      <c r="H20" s="1318">
        <v>10000</v>
      </c>
    </row>
    <row r="21" spans="2:8" ht="24.75" customHeight="1" thickBot="1" x14ac:dyDescent="0.3">
      <c r="B21" s="1280"/>
      <c r="C21" s="1319"/>
      <c r="D21" s="1282">
        <f>SUM(D20)</f>
        <v>0</v>
      </c>
      <c r="E21" s="1298">
        <f>SUM(E20)</f>
        <v>1488</v>
      </c>
      <c r="F21" s="1299">
        <f>SUM(F20)</f>
        <v>10000</v>
      </c>
      <c r="G21" s="1298">
        <f>SUM(G20)</f>
        <v>10000</v>
      </c>
      <c r="H21" s="1300">
        <f>SUM(H20)</f>
        <v>10000</v>
      </c>
    </row>
    <row r="22" spans="2:8" ht="24.75" customHeight="1" thickBot="1" x14ac:dyDescent="0.3">
      <c r="B22" s="1320"/>
      <c r="C22" s="1321" t="s">
        <v>746</v>
      </c>
      <c r="D22" s="1322">
        <f>+D9+D12+D15+D21+D18</f>
        <v>22678</v>
      </c>
      <c r="E22" s="1322">
        <f t="shared" ref="E22:H22" si="0">+E9+E12+E15+E21+E18</f>
        <v>12424</v>
      </c>
      <c r="F22" s="1322">
        <f t="shared" si="0"/>
        <v>114000</v>
      </c>
      <c r="G22" s="1322">
        <f t="shared" si="0"/>
        <v>175000</v>
      </c>
      <c r="H22" s="1323">
        <f t="shared" si="0"/>
        <v>170000</v>
      </c>
    </row>
    <row r="23" spans="2:8" ht="24.75" customHeight="1" x14ac:dyDescent="0.25">
      <c r="B23" s="1324"/>
      <c r="C23" s="1274"/>
      <c r="D23" s="1325"/>
      <c r="E23" s="1325"/>
      <c r="F23" s="1325"/>
      <c r="G23" s="1325"/>
      <c r="H23" s="1325"/>
    </row>
    <row r="24" spans="2:8" ht="21.75" customHeight="1" x14ac:dyDescent="0.25">
      <c r="C24" s="1326" t="s">
        <v>747</v>
      </c>
    </row>
    <row r="25" spans="2:8" s="1327" customFormat="1" ht="18.95" customHeight="1" x14ac:dyDescent="0.25">
      <c r="C25" s="964" t="s">
        <v>748</v>
      </c>
    </row>
    <row r="26" spans="2:8" s="1327" customFormat="1" ht="18.95" customHeight="1" x14ac:dyDescent="0.25">
      <c r="C26" s="964" t="s">
        <v>749</v>
      </c>
    </row>
    <row r="27" spans="2:8" s="1327" customFormat="1" ht="18.95" customHeight="1" x14ac:dyDescent="0.25">
      <c r="C27" s="1327" t="s">
        <v>750</v>
      </c>
    </row>
    <row r="28" spans="2:8" ht="18.95" customHeight="1" x14ac:dyDescent="0.2"/>
    <row r="29" spans="2:8" ht="18.95" customHeight="1" x14ac:dyDescent="0.2"/>
    <row r="30" spans="2:8" ht="18.95" customHeight="1" x14ac:dyDescent="0.2"/>
    <row r="31" spans="2:8" ht="18.95" customHeight="1" x14ac:dyDescent="0.2"/>
  </sheetData>
  <mergeCells count="4">
    <mergeCell ref="B1:H1"/>
    <mergeCell ref="B2:H2"/>
    <mergeCell ref="B3:H3"/>
    <mergeCell ref="B5:C5"/>
  </mergeCells>
  <printOptions horizontalCentered="1" verticalCentered="1"/>
  <pageMargins left="0.19685039370078741" right="0.19685039370078741" top="0.19685039370078741" bottom="0.19685039370078741" header="0.51181102362204722" footer="0.39370078740157483"/>
  <pageSetup paperSize="9" scale="60" orientation="portrait" r:id="rId1"/>
  <headerFooter alignWithMargins="0">
    <oddHeader xml:space="preserve">&amp;C
&amp;R&amp;"Arial CE,Normál"&amp;18 &amp;"Arial CE,Félkövér"&amp;14 22. melléklet a …../2022. (…….) önkormányzati rendelethez&amp;"Arial CE,Normál"&amp;18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4:G139"/>
  <sheetViews>
    <sheetView zoomScale="85" zoomScaleNormal="85" zoomScaleSheetLayoutView="80" workbookViewId="0">
      <selection activeCell="G139" sqref="G139"/>
    </sheetView>
  </sheetViews>
  <sheetFormatPr defaultColWidth="10.6640625" defaultRowHeight="12.75" x14ac:dyDescent="0.2"/>
  <cols>
    <col min="1" max="1" width="4.6640625" style="1328" customWidth="1"/>
    <col min="2" max="2" width="9.33203125" style="1405" customWidth="1"/>
    <col min="3" max="3" width="10.6640625" style="1328" customWidth="1"/>
    <col min="4" max="4" width="57.33203125" style="1328" customWidth="1"/>
    <col min="5" max="5" width="27.33203125" style="1328" customWidth="1"/>
    <col min="6" max="7" width="30.6640625" style="1328" customWidth="1"/>
    <col min="8" max="8" width="10.6640625" style="1328"/>
    <col min="9" max="9" width="12.33203125" style="1328" bestFit="1" customWidth="1"/>
    <col min="10" max="16384" width="10.6640625" style="1328"/>
  </cols>
  <sheetData>
    <row r="4" spans="2:7" ht="17.25" customHeight="1" x14ac:dyDescent="0.25">
      <c r="B4" s="2491" t="s">
        <v>1234</v>
      </c>
      <c r="C4" s="2491"/>
      <c r="D4" s="2491"/>
      <c r="E4" s="2491"/>
      <c r="F4" s="2491"/>
      <c r="G4" s="2491"/>
    </row>
    <row r="5" spans="2:7" s="1329" customFormat="1" ht="18.75" x14ac:dyDescent="0.3">
      <c r="B5" s="2492" t="s">
        <v>751</v>
      </c>
      <c r="C5" s="2492"/>
      <c r="D5" s="2492"/>
      <c r="E5" s="2492"/>
      <c r="F5" s="2493"/>
      <c r="G5" s="2493"/>
    </row>
    <row r="6" spans="2:7" s="1329" customFormat="1" ht="16.5" thickBot="1" x14ac:dyDescent="0.3">
      <c r="B6" s="1330"/>
      <c r="C6" s="1330"/>
      <c r="D6" s="1330"/>
      <c r="E6" s="1330"/>
      <c r="F6" s="13"/>
      <c r="G6" s="13" t="s">
        <v>19</v>
      </c>
    </row>
    <row r="7" spans="2:7" s="1329" customFormat="1" ht="20.25" customHeight="1" x14ac:dyDescent="0.25">
      <c r="B7" s="1331"/>
      <c r="C7" s="2494" t="s">
        <v>33</v>
      </c>
      <c r="D7" s="2495"/>
      <c r="E7" s="1332"/>
      <c r="F7" s="1333" t="s">
        <v>753</v>
      </c>
      <c r="G7" s="1333" t="s">
        <v>1232</v>
      </c>
    </row>
    <row r="8" spans="2:7" s="1329" customFormat="1" ht="16.5" customHeight="1" x14ac:dyDescent="0.25">
      <c r="B8" s="1334"/>
      <c r="C8" s="1334"/>
      <c r="D8" s="1335"/>
      <c r="E8" s="1336"/>
      <c r="F8" s="1337" t="s">
        <v>754</v>
      </c>
      <c r="G8" s="1337" t="s">
        <v>754</v>
      </c>
    </row>
    <row r="9" spans="2:7" s="1329" customFormat="1" ht="16.5" customHeight="1" thickBot="1" x14ac:dyDescent="0.3">
      <c r="B9" s="1338"/>
      <c r="C9" s="1338"/>
      <c r="D9" s="1339"/>
      <c r="E9" s="1340"/>
      <c r="F9" s="1341" t="s">
        <v>755</v>
      </c>
      <c r="G9" s="1341" t="s">
        <v>1233</v>
      </c>
    </row>
    <row r="10" spans="2:7" s="1329" customFormat="1" ht="16.5" customHeight="1" x14ac:dyDescent="0.25">
      <c r="B10" s="1334"/>
      <c r="C10" s="1334"/>
      <c r="D10" s="1335"/>
      <c r="E10" s="1336"/>
      <c r="F10" s="1342"/>
      <c r="G10" s="1342"/>
    </row>
    <row r="11" spans="2:7" s="1329" customFormat="1" ht="14.25" customHeight="1" x14ac:dyDescent="0.2">
      <c r="B11" s="1343"/>
      <c r="C11" s="1344" t="s">
        <v>756</v>
      </c>
      <c r="D11" s="1345"/>
      <c r="E11" s="1346" t="s">
        <v>757</v>
      </c>
      <c r="F11" s="1347">
        <f>11817+1</f>
        <v>11818</v>
      </c>
      <c r="G11" s="1347">
        <v>16751</v>
      </c>
    </row>
    <row r="12" spans="2:7" s="1329" customFormat="1" ht="15" x14ac:dyDescent="0.2">
      <c r="B12" s="1343"/>
      <c r="C12" s="1344"/>
      <c r="D12" s="1345"/>
      <c r="E12" s="1346" t="s">
        <v>758</v>
      </c>
      <c r="F12" s="1347">
        <v>658</v>
      </c>
      <c r="G12" s="1347">
        <v>349</v>
      </c>
    </row>
    <row r="13" spans="2:7" s="1329" customFormat="1" ht="16.5" customHeight="1" x14ac:dyDescent="0.25">
      <c r="B13" s="1348" t="s">
        <v>759</v>
      </c>
      <c r="C13" s="1349" t="s">
        <v>756</v>
      </c>
      <c r="D13" s="1350"/>
      <c r="E13" s="1351" t="s">
        <v>760</v>
      </c>
      <c r="F13" s="1352">
        <f>SUM(F11:F12)</f>
        <v>12476</v>
      </c>
      <c r="G13" s="1352">
        <f>SUM(G11:G12)</f>
        <v>17100</v>
      </c>
    </row>
    <row r="14" spans="2:7" s="1329" customFormat="1" ht="15.6" customHeight="1" x14ac:dyDescent="0.25">
      <c r="B14" s="1353"/>
      <c r="C14" s="1354"/>
      <c r="D14" s="1355"/>
      <c r="E14" s="1336"/>
      <c r="F14" s="1356"/>
      <c r="G14" s="1356"/>
    </row>
    <row r="15" spans="2:7" s="1329" customFormat="1" ht="15" customHeight="1" x14ac:dyDescent="0.2">
      <c r="B15" s="1343"/>
      <c r="C15" s="1344" t="s">
        <v>761</v>
      </c>
      <c r="D15" s="1345"/>
      <c r="E15" s="1346" t="s">
        <v>757</v>
      </c>
      <c r="F15" s="1347">
        <v>0</v>
      </c>
      <c r="G15" s="1347">
        <v>557</v>
      </c>
    </row>
    <row r="16" spans="2:7" s="1329" customFormat="1" ht="15" x14ac:dyDescent="0.2">
      <c r="B16" s="1343"/>
      <c r="C16" s="1344"/>
      <c r="D16" s="1345"/>
      <c r="E16" s="1346" t="s">
        <v>758</v>
      </c>
      <c r="F16" s="1347">
        <v>787</v>
      </c>
      <c r="G16" s="1347">
        <v>448</v>
      </c>
    </row>
    <row r="17" spans="2:7" s="1329" customFormat="1" ht="16.5" customHeight="1" x14ac:dyDescent="0.25">
      <c r="B17" s="1348" t="s">
        <v>762</v>
      </c>
      <c r="C17" s="1349" t="s">
        <v>761</v>
      </c>
      <c r="D17" s="1350"/>
      <c r="E17" s="1351" t="s">
        <v>760</v>
      </c>
      <c r="F17" s="1352">
        <f>SUM(F15:F16)</f>
        <v>787</v>
      </c>
      <c r="G17" s="1352">
        <f>SUM(G15:G16)</f>
        <v>1005</v>
      </c>
    </row>
    <row r="18" spans="2:7" s="1329" customFormat="1" ht="15.6" customHeight="1" x14ac:dyDescent="0.25">
      <c r="B18" s="1353"/>
      <c r="C18" s="1354"/>
      <c r="D18" s="1355"/>
      <c r="E18" s="1336"/>
      <c r="F18" s="1356"/>
      <c r="G18" s="1356"/>
    </row>
    <row r="19" spans="2:7" s="1329" customFormat="1" ht="15" x14ac:dyDescent="0.2">
      <c r="B19" s="1343"/>
      <c r="C19" s="1357" t="s">
        <v>763</v>
      </c>
      <c r="D19" s="1345"/>
      <c r="E19" s="1346" t="s">
        <v>757</v>
      </c>
      <c r="F19" s="1347">
        <f>+F11+F15</f>
        <v>11818</v>
      </c>
      <c r="G19" s="1347">
        <f>+G11+G15</f>
        <v>17308</v>
      </c>
    </row>
    <row r="20" spans="2:7" s="1329" customFormat="1" ht="15" x14ac:dyDescent="0.2">
      <c r="B20" s="1343"/>
      <c r="C20" s="1344"/>
      <c r="D20" s="1345"/>
      <c r="E20" s="1346" t="s">
        <v>758</v>
      </c>
      <c r="F20" s="1347">
        <f>+F12+F16</f>
        <v>1445</v>
      </c>
      <c r="G20" s="1347">
        <f>+G12+G16</f>
        <v>797</v>
      </c>
    </row>
    <row r="21" spans="2:7" s="1329" customFormat="1" ht="16.5" customHeight="1" thickBot="1" x14ac:dyDescent="0.3">
      <c r="B21" s="1358" t="s">
        <v>764</v>
      </c>
      <c r="C21" s="1359" t="s">
        <v>765</v>
      </c>
      <c r="D21" s="1360"/>
      <c r="E21" s="1361" t="s">
        <v>760</v>
      </c>
      <c r="F21" s="1362">
        <f>SUM(F19:F20)</f>
        <v>13263</v>
      </c>
      <c r="G21" s="1362">
        <f>SUM(G19:G20)</f>
        <v>18105</v>
      </c>
    </row>
    <row r="22" spans="2:7" s="1329" customFormat="1" ht="15.6" customHeight="1" x14ac:dyDescent="0.25">
      <c r="B22" s="1353"/>
      <c r="C22" s="1354"/>
      <c r="D22" s="1355"/>
      <c r="E22" s="1354"/>
      <c r="F22" s="1363"/>
      <c r="G22" s="1363"/>
    </row>
    <row r="23" spans="2:7" s="1329" customFormat="1" ht="14.25" customHeight="1" x14ac:dyDescent="0.2">
      <c r="B23" s="1343"/>
      <c r="C23" s="1344" t="s">
        <v>766</v>
      </c>
      <c r="D23" s="1345"/>
      <c r="E23" s="1344" t="s">
        <v>757</v>
      </c>
      <c r="F23" s="1364">
        <v>5610950</v>
      </c>
      <c r="G23" s="1364">
        <v>5632473</v>
      </c>
    </row>
    <row r="24" spans="2:7" s="1329" customFormat="1" ht="15" x14ac:dyDescent="0.2">
      <c r="B24" s="1343"/>
      <c r="C24" s="1344"/>
      <c r="D24" s="1345"/>
      <c r="E24" s="1344" t="s">
        <v>758</v>
      </c>
      <c r="F24" s="1364">
        <f>67199635</f>
        <v>67199635</v>
      </c>
      <c r="G24" s="1364">
        <v>70360207</v>
      </c>
    </row>
    <row r="25" spans="2:7" s="1329" customFormat="1" ht="16.5" customHeight="1" x14ac:dyDescent="0.25">
      <c r="B25" s="1348" t="s">
        <v>767</v>
      </c>
      <c r="C25" s="1349" t="s">
        <v>768</v>
      </c>
      <c r="D25" s="1350"/>
      <c r="E25" s="1349" t="s">
        <v>760</v>
      </c>
      <c r="F25" s="1365">
        <f>SUM(F23:F24)</f>
        <v>72810585</v>
      </c>
      <c r="G25" s="1365">
        <f>SUM(G23:G24)</f>
        <v>75992680</v>
      </c>
    </row>
    <row r="26" spans="2:7" s="1329" customFormat="1" ht="15.6" customHeight="1" x14ac:dyDescent="0.25">
      <c r="B26" s="1353"/>
      <c r="C26" s="1354"/>
      <c r="D26" s="1355"/>
      <c r="E26" s="1354"/>
      <c r="F26" s="1366"/>
      <c r="G26" s="1366"/>
    </row>
    <row r="27" spans="2:7" s="1329" customFormat="1" ht="15" customHeight="1" x14ac:dyDescent="0.2">
      <c r="B27" s="1343"/>
      <c r="C27" s="1344" t="s">
        <v>769</v>
      </c>
      <c r="D27" s="1345"/>
      <c r="E27" s="1344" t="s">
        <v>757</v>
      </c>
      <c r="F27" s="1364">
        <v>435864</v>
      </c>
      <c r="G27" s="1364">
        <f>435844</f>
        <v>435844</v>
      </c>
    </row>
    <row r="28" spans="2:7" s="1329" customFormat="1" ht="15" x14ac:dyDescent="0.2">
      <c r="B28" s="1343"/>
      <c r="C28" s="1344"/>
      <c r="D28" s="1345"/>
      <c r="E28" s="1344" t="s">
        <v>758</v>
      </c>
      <c r="F28" s="1364">
        <v>1597726</v>
      </c>
      <c r="G28" s="1364">
        <v>1625990</v>
      </c>
    </row>
    <row r="29" spans="2:7" s="1329" customFormat="1" ht="17.25" customHeight="1" x14ac:dyDescent="0.25">
      <c r="B29" s="1348" t="s">
        <v>770</v>
      </c>
      <c r="C29" s="1349" t="s">
        <v>769</v>
      </c>
      <c r="D29" s="1350"/>
      <c r="E29" s="1349" t="s">
        <v>760</v>
      </c>
      <c r="F29" s="1365">
        <f>SUM(F27:F28)</f>
        <v>2033590</v>
      </c>
      <c r="G29" s="1365">
        <f>SUM(G27:G28)</f>
        <v>2061834</v>
      </c>
    </row>
    <row r="30" spans="2:7" s="1329" customFormat="1" ht="15.6" customHeight="1" x14ac:dyDescent="0.25">
      <c r="B30" s="1353"/>
      <c r="C30" s="1354"/>
      <c r="D30" s="1355"/>
      <c r="E30" s="1354"/>
      <c r="F30" s="1366"/>
      <c r="G30" s="1366"/>
    </row>
    <row r="31" spans="2:7" s="1329" customFormat="1" ht="15" x14ac:dyDescent="0.2">
      <c r="B31" s="1343"/>
      <c r="C31" s="1344" t="s">
        <v>771</v>
      </c>
      <c r="D31" s="1345"/>
      <c r="E31" s="1344" t="s">
        <v>757</v>
      </c>
      <c r="F31" s="1364">
        <v>0</v>
      </c>
      <c r="G31" s="1364">
        <v>0</v>
      </c>
    </row>
    <row r="32" spans="2:7" s="1329" customFormat="1" ht="15" x14ac:dyDescent="0.2">
      <c r="B32" s="1343"/>
      <c r="C32" s="1344"/>
      <c r="D32" s="1345"/>
      <c r="E32" s="1344" t="s">
        <v>758</v>
      </c>
      <c r="F32" s="1364"/>
      <c r="G32" s="1364"/>
    </row>
    <row r="33" spans="2:7" s="1329" customFormat="1" ht="16.5" customHeight="1" x14ac:dyDescent="0.25">
      <c r="B33" s="1348" t="s">
        <v>772</v>
      </c>
      <c r="C33" s="1349" t="s">
        <v>771</v>
      </c>
      <c r="D33" s="1350"/>
      <c r="E33" s="1349" t="s">
        <v>760</v>
      </c>
      <c r="F33" s="1365">
        <f>SUM(F31:F32)</f>
        <v>0</v>
      </c>
      <c r="G33" s="1365">
        <f>SUM(G31:G32)</f>
        <v>0</v>
      </c>
    </row>
    <row r="34" spans="2:7" s="1329" customFormat="1" ht="15.6" customHeight="1" x14ac:dyDescent="0.25">
      <c r="B34" s="1353"/>
      <c r="C34" s="1354"/>
      <c r="D34" s="1355"/>
      <c r="E34" s="1354"/>
      <c r="F34" s="1366"/>
      <c r="G34" s="1366"/>
    </row>
    <row r="35" spans="2:7" s="1329" customFormat="1" ht="15" x14ac:dyDescent="0.2">
      <c r="B35" s="1343"/>
      <c r="C35" s="1344" t="s">
        <v>773</v>
      </c>
      <c r="D35" s="1345"/>
      <c r="E35" s="1344" t="s">
        <v>757</v>
      </c>
      <c r="F35" s="1364">
        <v>13457</v>
      </c>
      <c r="G35" s="1364">
        <f>+-1+10444</f>
        <v>10443</v>
      </c>
    </row>
    <row r="36" spans="2:7" s="1329" customFormat="1" ht="15" x14ac:dyDescent="0.2">
      <c r="B36" s="1343"/>
      <c r="C36" s="1344"/>
      <c r="D36" s="1345"/>
      <c r="E36" s="1344" t="s">
        <v>758</v>
      </c>
      <c r="F36" s="1364">
        <f>4230083</f>
        <v>4230083</v>
      </c>
      <c r="G36" s="1364">
        <v>1713278</v>
      </c>
    </row>
    <row r="37" spans="2:7" s="1329" customFormat="1" ht="16.5" customHeight="1" x14ac:dyDescent="0.25">
      <c r="B37" s="1348" t="s">
        <v>774</v>
      </c>
      <c r="C37" s="1349" t="s">
        <v>200</v>
      </c>
      <c r="D37" s="1350"/>
      <c r="E37" s="1349" t="s">
        <v>760</v>
      </c>
      <c r="F37" s="1365">
        <f>SUM(F35:F36)</f>
        <v>4243540</v>
      </c>
      <c r="G37" s="1365">
        <f>SUM(G35:G36)</f>
        <v>1723721</v>
      </c>
    </row>
    <row r="38" spans="2:7" s="1329" customFormat="1" ht="15.6" customHeight="1" x14ac:dyDescent="0.25">
      <c r="B38" s="1353"/>
      <c r="C38" s="1354"/>
      <c r="D38" s="1355"/>
      <c r="E38" s="1354"/>
      <c r="F38" s="1366"/>
      <c r="G38" s="1366"/>
    </row>
    <row r="39" spans="2:7" s="1329" customFormat="1" ht="15" customHeight="1" x14ac:dyDescent="0.2">
      <c r="B39" s="1343"/>
      <c r="C39" s="1357" t="s">
        <v>775</v>
      </c>
      <c r="D39" s="1345"/>
      <c r="E39" s="1344" t="s">
        <v>757</v>
      </c>
      <c r="F39" s="1364">
        <f>F23+F27+F35+F31</f>
        <v>6060271</v>
      </c>
      <c r="G39" s="1364">
        <v>6078761</v>
      </c>
    </row>
    <row r="40" spans="2:7" s="1329" customFormat="1" ht="15" x14ac:dyDescent="0.2">
      <c r="B40" s="1343"/>
      <c r="C40" s="1344"/>
      <c r="D40" s="1345"/>
      <c r="E40" s="1344" t="s">
        <v>758</v>
      </c>
      <c r="F40" s="1364">
        <f>F24+F28+F36+F32</f>
        <v>73027444</v>
      </c>
      <c r="G40" s="1364">
        <v>73699474</v>
      </c>
    </row>
    <row r="41" spans="2:7" s="1329" customFormat="1" ht="16.5" customHeight="1" thickBot="1" x14ac:dyDescent="0.3">
      <c r="B41" s="1358" t="s">
        <v>776</v>
      </c>
      <c r="C41" s="1359" t="s">
        <v>775</v>
      </c>
      <c r="D41" s="1360"/>
      <c r="E41" s="1359" t="s">
        <v>760</v>
      </c>
      <c r="F41" s="1367">
        <f>SUM(F39:F40)</f>
        <v>79087715</v>
      </c>
      <c r="G41" s="1367">
        <f>SUM(G39:G40)</f>
        <v>79778235</v>
      </c>
    </row>
    <row r="42" spans="2:7" s="1329" customFormat="1" ht="15.6" customHeight="1" x14ac:dyDescent="0.25">
      <c r="B42" s="1353"/>
      <c r="C42" s="1354"/>
      <c r="D42" s="1355"/>
      <c r="E42" s="1336"/>
      <c r="F42" s="1368"/>
      <c r="G42" s="1368"/>
    </row>
    <row r="43" spans="2:7" s="1329" customFormat="1" ht="15" customHeight="1" x14ac:dyDescent="0.2">
      <c r="B43" s="1343"/>
      <c r="C43" s="1344" t="s">
        <v>777</v>
      </c>
      <c r="D43" s="1345"/>
      <c r="E43" s="1346" t="s">
        <v>757</v>
      </c>
      <c r="F43" s="1347">
        <v>0</v>
      </c>
      <c r="G43" s="1347">
        <v>0</v>
      </c>
    </row>
    <row r="44" spans="2:7" s="1329" customFormat="1" ht="15" x14ac:dyDescent="0.2">
      <c r="B44" s="1343"/>
      <c r="C44" s="1344"/>
      <c r="D44" s="1345"/>
      <c r="E44" s="1346" t="s">
        <v>758</v>
      </c>
      <c r="F44" s="1347">
        <v>6465367</v>
      </c>
      <c r="G44" s="1347">
        <v>6452277</v>
      </c>
    </row>
    <row r="45" spans="2:7" s="1329" customFormat="1" ht="16.5" customHeight="1" x14ac:dyDescent="0.25">
      <c r="B45" s="1348" t="s">
        <v>778</v>
      </c>
      <c r="C45" s="1349" t="s">
        <v>779</v>
      </c>
      <c r="D45" s="1350"/>
      <c r="E45" s="1351" t="s">
        <v>760</v>
      </c>
      <c r="F45" s="1352">
        <f>SUM(F43:F44)</f>
        <v>6465367</v>
      </c>
      <c r="G45" s="1352">
        <f>SUM(G43:G44)</f>
        <v>6452277</v>
      </c>
    </row>
    <row r="46" spans="2:7" s="1329" customFormat="1" ht="15.6" customHeight="1" x14ac:dyDescent="0.25">
      <c r="B46" s="1353"/>
      <c r="C46" s="1354"/>
      <c r="D46" s="1355"/>
      <c r="E46" s="1336"/>
      <c r="F46" s="1356"/>
      <c r="G46" s="1356"/>
    </row>
    <row r="47" spans="2:7" s="1329" customFormat="1" ht="15.75" customHeight="1" x14ac:dyDescent="0.2">
      <c r="B47" s="1343"/>
      <c r="C47" s="1344" t="s">
        <v>780</v>
      </c>
      <c r="D47" s="1345"/>
      <c r="E47" s="1346" t="s">
        <v>757</v>
      </c>
      <c r="F47" s="1347">
        <v>0</v>
      </c>
      <c r="G47" s="1347">
        <v>0</v>
      </c>
    </row>
    <row r="48" spans="2:7" s="1329" customFormat="1" ht="15" x14ac:dyDescent="0.2">
      <c r="B48" s="1343"/>
      <c r="C48" s="1344"/>
      <c r="D48" s="1345"/>
      <c r="E48" s="1346" t="s">
        <v>758</v>
      </c>
      <c r="F48" s="1347">
        <v>0</v>
      </c>
      <c r="G48" s="1347">
        <v>0</v>
      </c>
    </row>
    <row r="49" spans="2:7" s="1329" customFormat="1" ht="16.5" customHeight="1" x14ac:dyDescent="0.25">
      <c r="B49" s="1348" t="s">
        <v>781</v>
      </c>
      <c r="C49" s="1349" t="s">
        <v>780</v>
      </c>
      <c r="D49" s="1350"/>
      <c r="E49" s="1351" t="s">
        <v>760</v>
      </c>
      <c r="F49" s="1365">
        <f>SUM(F48:F48)</f>
        <v>0</v>
      </c>
      <c r="G49" s="1365">
        <f>SUM(G48:G48)</f>
        <v>0</v>
      </c>
    </row>
    <row r="50" spans="2:7" s="1329" customFormat="1" ht="15.6" customHeight="1" x14ac:dyDescent="0.25">
      <c r="B50" s="1353"/>
      <c r="C50" s="1354"/>
      <c r="D50" s="1355"/>
      <c r="E50" s="1336"/>
      <c r="F50" s="1366"/>
      <c r="G50" s="1366"/>
    </row>
    <row r="51" spans="2:7" s="1329" customFormat="1" ht="15.75" customHeight="1" x14ac:dyDescent="0.2">
      <c r="B51" s="1343"/>
      <c r="C51" s="1357" t="s">
        <v>782</v>
      </c>
      <c r="D51" s="1345"/>
      <c r="E51" s="1346" t="s">
        <v>757</v>
      </c>
      <c r="F51" s="1364">
        <f>F43+F47</f>
        <v>0</v>
      </c>
      <c r="G51" s="1364">
        <f>G43+G47</f>
        <v>0</v>
      </c>
    </row>
    <row r="52" spans="2:7" s="1329" customFormat="1" ht="15.75" x14ac:dyDescent="0.25">
      <c r="B52" s="1343"/>
      <c r="C52" s="1354"/>
      <c r="D52" s="1345"/>
      <c r="E52" s="1346" t="s">
        <v>758</v>
      </c>
      <c r="F52" s="1364">
        <f>F44+F48</f>
        <v>6465367</v>
      </c>
      <c r="G52" s="1364">
        <f>G44+G48</f>
        <v>6452277</v>
      </c>
    </row>
    <row r="53" spans="2:7" s="1329" customFormat="1" ht="16.5" customHeight="1" thickBot="1" x14ac:dyDescent="0.3">
      <c r="B53" s="1358" t="s">
        <v>783</v>
      </c>
      <c r="C53" s="1359" t="s">
        <v>782</v>
      </c>
      <c r="D53" s="1360"/>
      <c r="E53" s="1361" t="s">
        <v>760</v>
      </c>
      <c r="F53" s="1367">
        <f>SUM(F51:F52)</f>
        <v>6465367</v>
      </c>
      <c r="G53" s="1367">
        <f>SUM(G51:G52)</f>
        <v>6452277</v>
      </c>
    </row>
    <row r="54" spans="2:7" s="1329" customFormat="1" ht="15.6" customHeight="1" x14ac:dyDescent="0.25">
      <c r="B54" s="1353"/>
      <c r="C54" s="1354"/>
      <c r="D54" s="1355"/>
      <c r="E54" s="1336"/>
      <c r="F54" s="1356"/>
      <c r="G54" s="1356"/>
    </row>
    <row r="55" spans="2:7" s="1329" customFormat="1" ht="16.5" customHeight="1" x14ac:dyDescent="0.2">
      <c r="B55" s="1343"/>
      <c r="C55" s="1344" t="s">
        <v>784</v>
      </c>
      <c r="D55" s="1345"/>
      <c r="E55" s="1346" t="s">
        <v>757</v>
      </c>
      <c r="F55" s="1347">
        <v>0</v>
      </c>
      <c r="G55" s="1347">
        <v>0</v>
      </c>
    </row>
    <row r="56" spans="2:7" s="1329" customFormat="1" ht="15" x14ac:dyDescent="0.2">
      <c r="B56" s="1343"/>
      <c r="C56" s="1344"/>
      <c r="D56" s="1345"/>
      <c r="E56" s="1346" t="s">
        <v>758</v>
      </c>
      <c r="F56" s="1347">
        <v>884677</v>
      </c>
      <c r="G56" s="1347">
        <v>880596</v>
      </c>
    </row>
    <row r="57" spans="2:7" s="1329" customFormat="1" ht="38.25" customHeight="1" thickBot="1" x14ac:dyDescent="0.3">
      <c r="B57" s="1369" t="s">
        <v>785</v>
      </c>
      <c r="C57" s="2496" t="s">
        <v>786</v>
      </c>
      <c r="D57" s="2497"/>
      <c r="E57" s="1370" t="s">
        <v>760</v>
      </c>
      <c r="F57" s="1371">
        <f>SUM(F55:F56)</f>
        <v>884677</v>
      </c>
      <c r="G57" s="1371">
        <f>SUM(G55:G56)</f>
        <v>880596</v>
      </c>
    </row>
    <row r="58" spans="2:7" s="1329" customFormat="1" ht="15.6" customHeight="1" x14ac:dyDescent="0.25">
      <c r="B58" s="1372"/>
      <c r="C58" s="1373"/>
      <c r="D58" s="1374"/>
      <c r="E58" s="1332"/>
      <c r="F58" s="1363"/>
      <c r="G58" s="1363"/>
    </row>
    <row r="59" spans="2:7" s="1329" customFormat="1" ht="15" customHeight="1" x14ac:dyDescent="0.25">
      <c r="B59" s="1343"/>
      <c r="C59" s="2498" t="s">
        <v>787</v>
      </c>
      <c r="D59" s="2499"/>
      <c r="E59" s="1346" t="s">
        <v>757</v>
      </c>
      <c r="F59" s="1364">
        <f>+F19+F39+F51+F55</f>
        <v>6072089</v>
      </c>
      <c r="G59" s="1364">
        <f>+G19+G39+G51+G55</f>
        <v>6096069</v>
      </c>
    </row>
    <row r="60" spans="2:7" s="1329" customFormat="1" ht="15.75" thickBot="1" x14ac:dyDescent="0.25">
      <c r="B60" s="1375"/>
      <c r="C60" s="1376"/>
      <c r="D60" s="1377"/>
      <c r="E60" s="1378" t="s">
        <v>758</v>
      </c>
      <c r="F60" s="1379">
        <f>+F20+F40+F52+F56</f>
        <v>80378933</v>
      </c>
      <c r="G60" s="1379">
        <f>+G20+G40+G52+G56</f>
        <v>81033144</v>
      </c>
    </row>
    <row r="61" spans="2:7" s="1329" customFormat="1" ht="39.75" customHeight="1" thickBot="1" x14ac:dyDescent="0.3">
      <c r="B61" s="1380" t="s">
        <v>788</v>
      </c>
      <c r="C61" s="2500" t="s">
        <v>787</v>
      </c>
      <c r="D61" s="2499"/>
      <c r="E61" s="1381" t="s">
        <v>760</v>
      </c>
      <c r="F61" s="1382">
        <f>SUM(F59:F60)</f>
        <v>86451022</v>
      </c>
      <c r="G61" s="1382">
        <f>SUM(G59:G60)</f>
        <v>87129213</v>
      </c>
    </row>
    <row r="62" spans="2:7" s="1329" customFormat="1" ht="16.5" customHeight="1" x14ac:dyDescent="0.25">
      <c r="B62" s="1331"/>
      <c r="C62" s="1331"/>
      <c r="D62" s="1383"/>
      <c r="E62" s="1332"/>
      <c r="F62" s="1333"/>
      <c r="G62" s="1333"/>
    </row>
    <row r="63" spans="2:7" s="1329" customFormat="1" ht="15" customHeight="1" x14ac:dyDescent="0.2">
      <c r="B63" s="1343"/>
      <c r="C63" s="1344" t="s">
        <v>789</v>
      </c>
      <c r="D63" s="1345"/>
      <c r="E63" s="1346" t="s">
        <v>757</v>
      </c>
      <c r="F63" s="1364">
        <v>28547</v>
      </c>
      <c r="G63" s="1364">
        <v>26934</v>
      </c>
    </row>
    <row r="64" spans="2:7" s="1329" customFormat="1" ht="15" x14ac:dyDescent="0.2">
      <c r="B64" s="1384"/>
      <c r="C64" s="1344"/>
      <c r="D64" s="1345"/>
      <c r="E64" s="1346" t="s">
        <v>758</v>
      </c>
      <c r="F64" s="1364">
        <v>0</v>
      </c>
      <c r="G64" s="1364">
        <v>0</v>
      </c>
    </row>
    <row r="65" spans="2:7" s="1329" customFormat="1" ht="16.5" customHeight="1" thickBot="1" x14ac:dyDescent="0.3">
      <c r="B65" s="1385" t="s">
        <v>790</v>
      </c>
      <c r="C65" s="1359" t="s">
        <v>789</v>
      </c>
      <c r="D65" s="1360"/>
      <c r="E65" s="1361" t="s">
        <v>760</v>
      </c>
      <c r="F65" s="1367">
        <f>SUM(F63:F64)</f>
        <v>28547</v>
      </c>
      <c r="G65" s="1367">
        <f>SUM(G63:G64)</f>
        <v>26934</v>
      </c>
    </row>
    <row r="66" spans="2:7" s="1329" customFormat="1" ht="11.1" customHeight="1" x14ac:dyDescent="0.2">
      <c r="B66" s="1343"/>
      <c r="C66" s="1344"/>
      <c r="D66" s="1345"/>
      <c r="E66" s="1346"/>
      <c r="F66" s="1347"/>
      <c r="G66" s="1347"/>
    </row>
    <row r="67" spans="2:7" s="1329" customFormat="1" ht="15" x14ac:dyDescent="0.2">
      <c r="B67" s="1343"/>
      <c r="C67" s="1344" t="s">
        <v>791</v>
      </c>
      <c r="D67" s="1345"/>
      <c r="E67" s="1346" t="s">
        <v>757</v>
      </c>
      <c r="F67" s="1347">
        <v>0</v>
      </c>
      <c r="G67" s="1347">
        <v>0</v>
      </c>
    </row>
    <row r="68" spans="2:7" s="1329" customFormat="1" ht="15" x14ac:dyDescent="0.2">
      <c r="B68" s="1343"/>
      <c r="C68" s="1344"/>
      <c r="D68" s="1345"/>
      <c r="E68" s="1346" t="s">
        <v>758</v>
      </c>
      <c r="F68" s="1347">
        <v>0</v>
      </c>
      <c r="G68" s="1347">
        <v>0</v>
      </c>
    </row>
    <row r="69" spans="2:7" s="1329" customFormat="1" ht="16.5" customHeight="1" thickBot="1" x14ac:dyDescent="0.3">
      <c r="B69" s="1358" t="s">
        <v>792</v>
      </c>
      <c r="C69" s="1359" t="s">
        <v>793</v>
      </c>
      <c r="D69" s="1360"/>
      <c r="E69" s="1361" t="s">
        <v>760</v>
      </c>
      <c r="F69" s="1362">
        <f>SUM(F67:F68)</f>
        <v>0</v>
      </c>
      <c r="G69" s="1362">
        <f>SUM(G67:G68)</f>
        <v>0</v>
      </c>
    </row>
    <row r="70" spans="2:7" s="1329" customFormat="1" ht="15.6" customHeight="1" x14ac:dyDescent="0.25">
      <c r="B70" s="1353"/>
      <c r="C70" s="1354"/>
      <c r="D70" s="1355"/>
      <c r="E70" s="1336"/>
      <c r="F70" s="1356"/>
      <c r="G70" s="1356"/>
    </row>
    <row r="71" spans="2:7" s="1329" customFormat="1" ht="15" x14ac:dyDescent="0.2">
      <c r="B71" s="1343"/>
      <c r="C71" s="1344" t="s">
        <v>794</v>
      </c>
      <c r="D71" s="1345"/>
      <c r="E71" s="1346" t="s">
        <v>757</v>
      </c>
      <c r="F71" s="1347">
        <f>+F63+F67</f>
        <v>28547</v>
      </c>
      <c r="G71" s="1347">
        <f>+G63+G67</f>
        <v>26934</v>
      </c>
    </row>
    <row r="72" spans="2:7" s="1329" customFormat="1" ht="15.75" thickBot="1" x14ac:dyDescent="0.25">
      <c r="B72" s="1343"/>
      <c r="C72" s="1344" t="s">
        <v>93</v>
      </c>
      <c r="D72" s="1345"/>
      <c r="E72" s="1346" t="s">
        <v>758</v>
      </c>
      <c r="F72" s="1347">
        <f>+F64+F68</f>
        <v>0</v>
      </c>
      <c r="G72" s="1347">
        <f>+G64+G68</f>
        <v>0</v>
      </c>
    </row>
    <row r="73" spans="2:7" s="1329" customFormat="1" ht="36.75" customHeight="1" thickBot="1" x14ac:dyDescent="0.3">
      <c r="B73" s="1386" t="s">
        <v>795</v>
      </c>
      <c r="C73" s="2489" t="s">
        <v>796</v>
      </c>
      <c r="D73" s="2490"/>
      <c r="E73" s="1387" t="s">
        <v>760</v>
      </c>
      <c r="F73" s="1388">
        <f>SUM(F71:F72)</f>
        <v>28547</v>
      </c>
      <c r="G73" s="1388">
        <f>SUM(G71:G72)</f>
        <v>26934</v>
      </c>
    </row>
    <row r="74" spans="2:7" s="1394" customFormat="1" ht="30" customHeight="1" x14ac:dyDescent="0.25">
      <c r="B74" s="1389"/>
      <c r="C74" s="1390"/>
      <c r="D74" s="1391"/>
      <c r="E74" s="1392"/>
      <c r="F74" s="1393"/>
      <c r="G74" s="1393"/>
    </row>
    <row r="75" spans="2:7" s="1394" customFormat="1" ht="30" customHeight="1" thickBot="1" x14ac:dyDescent="0.3">
      <c r="B75" s="1389"/>
      <c r="C75" s="1390"/>
      <c r="D75" s="1391"/>
      <c r="E75" s="1392"/>
      <c r="F75" s="1393"/>
      <c r="G75" s="1393"/>
    </row>
    <row r="76" spans="2:7" s="1329" customFormat="1" ht="20.25" customHeight="1" x14ac:dyDescent="0.25">
      <c r="B76" s="1331"/>
      <c r="C76" s="2494" t="s">
        <v>33</v>
      </c>
      <c r="D76" s="2495"/>
      <c r="E76" s="1395"/>
      <c r="F76" s="1333" t="s">
        <v>753</v>
      </c>
      <c r="G76" s="1333" t="s">
        <v>1232</v>
      </c>
    </row>
    <row r="77" spans="2:7" s="1329" customFormat="1" ht="16.5" customHeight="1" x14ac:dyDescent="0.25">
      <c r="B77" s="1334"/>
      <c r="C77" s="1334"/>
      <c r="D77" s="1335"/>
      <c r="E77" s="1396"/>
      <c r="F77" s="1337" t="s">
        <v>754</v>
      </c>
      <c r="G77" s="1337" t="s">
        <v>754</v>
      </c>
    </row>
    <row r="78" spans="2:7" s="1329" customFormat="1" ht="16.5" customHeight="1" thickBot="1" x14ac:dyDescent="0.3">
      <c r="B78" s="1338"/>
      <c r="C78" s="1338"/>
      <c r="D78" s="1339"/>
      <c r="E78" s="1397"/>
      <c r="F78" s="1341" t="s">
        <v>755</v>
      </c>
      <c r="G78" s="1341" t="s">
        <v>1233</v>
      </c>
    </row>
    <row r="79" spans="2:7" s="1329" customFormat="1" ht="15.6" customHeight="1" x14ac:dyDescent="0.25">
      <c r="B79" s="1353"/>
      <c r="C79" s="1354"/>
      <c r="D79" s="1355"/>
      <c r="E79" s="1396"/>
      <c r="F79" s="1356"/>
      <c r="G79" s="1356"/>
    </row>
    <row r="80" spans="2:7" s="1329" customFormat="1" ht="15" x14ac:dyDescent="0.2">
      <c r="B80" s="1343"/>
      <c r="C80" s="1344" t="s">
        <v>797</v>
      </c>
      <c r="D80" s="1345"/>
      <c r="E80" s="1394" t="s">
        <v>757</v>
      </c>
      <c r="F80" s="1347">
        <v>0</v>
      </c>
      <c r="G80" s="1347">
        <v>0</v>
      </c>
    </row>
    <row r="81" spans="2:7" s="1329" customFormat="1" ht="15" x14ac:dyDescent="0.2">
      <c r="B81" s="1343"/>
      <c r="C81" s="1344"/>
      <c r="D81" s="1345"/>
      <c r="E81" s="1394" t="s">
        <v>758</v>
      </c>
      <c r="F81" s="1347">
        <v>0</v>
      </c>
      <c r="G81" s="1347">
        <v>0</v>
      </c>
    </row>
    <row r="82" spans="2:7" s="1329" customFormat="1" ht="15.6" customHeight="1" x14ac:dyDescent="0.25">
      <c r="B82" s="1348" t="s">
        <v>798</v>
      </c>
      <c r="C82" s="1349" t="s">
        <v>797</v>
      </c>
      <c r="D82" s="1350"/>
      <c r="E82" s="1398" t="s">
        <v>760</v>
      </c>
      <c r="F82" s="1352">
        <f>SUM(F80:F81)</f>
        <v>0</v>
      </c>
      <c r="G82" s="1352">
        <f>SUM(G80:G81)</f>
        <v>0</v>
      </c>
    </row>
    <row r="83" spans="2:7" s="1329" customFormat="1" ht="11.1" customHeight="1" x14ac:dyDescent="0.2">
      <c r="B83" s="1343"/>
      <c r="C83" s="1344"/>
      <c r="D83" s="1345"/>
      <c r="E83" s="1394"/>
      <c r="F83" s="1347"/>
      <c r="G83" s="1347"/>
    </row>
    <row r="84" spans="2:7" s="1329" customFormat="1" ht="15" x14ac:dyDescent="0.2">
      <c r="B84" s="1343"/>
      <c r="C84" s="1344" t="s">
        <v>799</v>
      </c>
      <c r="D84" s="1345"/>
      <c r="E84" s="1394" t="s">
        <v>757</v>
      </c>
      <c r="F84" s="1347">
        <v>894</v>
      </c>
      <c r="G84" s="1347">
        <v>788</v>
      </c>
    </row>
    <row r="85" spans="2:7" s="1329" customFormat="1" ht="15" x14ac:dyDescent="0.2">
      <c r="B85" s="1343"/>
      <c r="C85" s="1399"/>
      <c r="D85" s="1345"/>
      <c r="E85" s="1394" t="s">
        <v>758</v>
      </c>
      <c r="F85" s="1347">
        <v>86</v>
      </c>
      <c r="G85" s="1347">
        <v>13</v>
      </c>
    </row>
    <row r="86" spans="2:7" s="1329" customFormat="1" ht="15.6" customHeight="1" x14ac:dyDescent="0.25">
      <c r="B86" s="1348" t="s">
        <v>800</v>
      </c>
      <c r="C86" s="1400" t="s">
        <v>799</v>
      </c>
      <c r="D86" s="1350"/>
      <c r="E86" s="1398" t="s">
        <v>760</v>
      </c>
      <c r="F86" s="1352">
        <f>SUM(F84:F85)</f>
        <v>980</v>
      </c>
      <c r="G86" s="1352">
        <f>SUM(G84:G85)</f>
        <v>801</v>
      </c>
    </row>
    <row r="87" spans="2:7" s="1329" customFormat="1" ht="11.1" customHeight="1" x14ac:dyDescent="0.2">
      <c r="B87" s="1343"/>
      <c r="C87" s="1344"/>
      <c r="D87" s="1345"/>
      <c r="E87" s="1394"/>
      <c r="F87" s="1347"/>
      <c r="G87" s="1347"/>
    </row>
    <row r="88" spans="2:7" s="1329" customFormat="1" ht="15" x14ac:dyDescent="0.2">
      <c r="B88" s="1343"/>
      <c r="C88" s="1344" t="s">
        <v>801</v>
      </c>
      <c r="D88" s="1345"/>
      <c r="E88" s="1394" t="s">
        <v>757</v>
      </c>
      <c r="F88" s="1347">
        <f>479929+1</f>
        <v>479930</v>
      </c>
      <c r="G88" s="1347">
        <v>448966</v>
      </c>
    </row>
    <row r="89" spans="2:7" s="1329" customFormat="1" ht="15" x14ac:dyDescent="0.2">
      <c r="B89" s="1343"/>
      <c r="C89" s="1344"/>
      <c r="D89" s="1345"/>
      <c r="E89" s="1394" t="s">
        <v>758</v>
      </c>
      <c r="F89" s="1347">
        <v>9075400</v>
      </c>
      <c r="G89" s="1347">
        <v>9127975</v>
      </c>
    </row>
    <row r="90" spans="2:7" s="1329" customFormat="1" ht="15.6" customHeight="1" x14ac:dyDescent="0.25">
      <c r="B90" s="1348" t="s">
        <v>802</v>
      </c>
      <c r="C90" s="1400" t="s">
        <v>801</v>
      </c>
      <c r="D90" s="1350"/>
      <c r="E90" s="1398" t="s">
        <v>760</v>
      </c>
      <c r="F90" s="1352">
        <f>SUM(F88:F89)</f>
        <v>9555330</v>
      </c>
      <c r="G90" s="1352">
        <f>SUM(G88:G89)</f>
        <v>9576941</v>
      </c>
    </row>
    <row r="91" spans="2:7" s="1329" customFormat="1" ht="11.1" customHeight="1" x14ac:dyDescent="0.2">
      <c r="B91" s="1343"/>
      <c r="C91" s="1344"/>
      <c r="D91" s="1345"/>
      <c r="E91" s="1394"/>
      <c r="F91" s="1347"/>
      <c r="G91" s="1347"/>
    </row>
    <row r="92" spans="2:7" s="1329" customFormat="1" ht="15" x14ac:dyDescent="0.2">
      <c r="B92" s="1343"/>
      <c r="C92" s="1344" t="s">
        <v>803</v>
      </c>
      <c r="D92" s="1345"/>
      <c r="E92" s="1394" t="s">
        <v>757</v>
      </c>
      <c r="F92" s="1347">
        <v>0</v>
      </c>
      <c r="G92" s="1347">
        <v>0</v>
      </c>
    </row>
    <row r="93" spans="2:7" s="1329" customFormat="1" ht="15" x14ac:dyDescent="0.2">
      <c r="B93" s="1343"/>
      <c r="C93" s="1344"/>
      <c r="D93" s="1345"/>
      <c r="E93" s="1394" t="s">
        <v>758</v>
      </c>
      <c r="F93" s="1347">
        <v>43641</v>
      </c>
      <c r="G93" s="1347">
        <v>38996</v>
      </c>
    </row>
    <row r="94" spans="2:7" s="1329" customFormat="1" ht="15.6" customHeight="1" x14ac:dyDescent="0.25">
      <c r="B94" s="1348" t="s">
        <v>804</v>
      </c>
      <c r="C94" s="1400" t="s">
        <v>803</v>
      </c>
      <c r="D94" s="1350"/>
      <c r="E94" s="1398" t="s">
        <v>760</v>
      </c>
      <c r="F94" s="1352">
        <f>SUM(F92:F93)</f>
        <v>43641</v>
      </c>
      <c r="G94" s="1352">
        <f>SUM(G92:G93)</f>
        <v>38996</v>
      </c>
    </row>
    <row r="95" spans="2:7" s="1329" customFormat="1" ht="11.1" customHeight="1" x14ac:dyDescent="0.2">
      <c r="B95" s="1343"/>
      <c r="C95" s="1344"/>
      <c r="D95" s="1345"/>
      <c r="E95" s="1394"/>
      <c r="F95" s="1347"/>
      <c r="G95" s="1347"/>
    </row>
    <row r="96" spans="2:7" s="1329" customFormat="1" ht="11.1" customHeight="1" x14ac:dyDescent="0.2">
      <c r="B96" s="1343"/>
      <c r="C96" s="1344"/>
      <c r="D96" s="1345"/>
      <c r="E96" s="1394"/>
      <c r="F96" s="1347"/>
      <c r="G96" s="1347"/>
    </row>
    <row r="97" spans="2:7" s="1329" customFormat="1" ht="15" x14ac:dyDescent="0.2">
      <c r="B97" s="1343"/>
      <c r="C97" s="1344" t="s">
        <v>805</v>
      </c>
      <c r="D97" s="1345"/>
      <c r="E97" s="1394" t="s">
        <v>757</v>
      </c>
      <c r="F97" s="1347">
        <f>+F80+F84+F88+F92</f>
        <v>480824</v>
      </c>
      <c r="G97" s="1347">
        <f>+G80+G84+G88+G92</f>
        <v>449754</v>
      </c>
    </row>
    <row r="98" spans="2:7" s="1329" customFormat="1" ht="15.75" thickBot="1" x14ac:dyDescent="0.25">
      <c r="B98" s="1343"/>
      <c r="C98" s="1344"/>
      <c r="D98" s="1345"/>
      <c r="E98" s="1394" t="s">
        <v>758</v>
      </c>
      <c r="F98" s="1347">
        <f>F81+F85+F89+F93</f>
        <v>9119127</v>
      </c>
      <c r="G98" s="1347">
        <f>G81+G85+G89+G93</f>
        <v>9166984</v>
      </c>
    </row>
    <row r="99" spans="2:7" s="1329" customFormat="1" ht="30" customHeight="1" thickBot="1" x14ac:dyDescent="0.3">
      <c r="B99" s="1386" t="s">
        <v>806</v>
      </c>
      <c r="C99" s="2489" t="s">
        <v>805</v>
      </c>
      <c r="D99" s="2490"/>
      <c r="E99" s="1401" t="s">
        <v>760</v>
      </c>
      <c r="F99" s="1388">
        <f>SUM(F97:F98)</f>
        <v>9599951</v>
      </c>
      <c r="G99" s="1388">
        <f>SUM(G97:G98)</f>
        <v>9616738</v>
      </c>
    </row>
    <row r="100" spans="2:7" s="1329" customFormat="1" ht="15.6" customHeight="1" x14ac:dyDescent="0.25">
      <c r="B100" s="1353"/>
      <c r="C100" s="1354"/>
      <c r="D100" s="1355"/>
      <c r="E100" s="1396"/>
      <c r="F100" s="1356"/>
      <c r="G100" s="1356"/>
    </row>
    <row r="101" spans="2:7" s="1329" customFormat="1" ht="15" x14ac:dyDescent="0.2">
      <c r="B101" s="1343"/>
      <c r="C101" s="1344" t="s">
        <v>807</v>
      </c>
      <c r="D101" s="1345"/>
      <c r="E101" s="1394" t="s">
        <v>757</v>
      </c>
      <c r="F101" s="1347">
        <v>14861</v>
      </c>
      <c r="G101" s="1347">
        <v>14530</v>
      </c>
    </row>
    <row r="102" spans="2:7" s="1329" customFormat="1" ht="15" x14ac:dyDescent="0.2">
      <c r="B102" s="1343"/>
      <c r="C102" s="1344"/>
      <c r="D102" s="1345"/>
      <c r="E102" s="1394" t="s">
        <v>758</v>
      </c>
      <c r="F102" s="1347">
        <v>1575258</v>
      </c>
      <c r="G102" s="1347">
        <v>1720935</v>
      </c>
    </row>
    <row r="103" spans="2:7" s="1329" customFormat="1" ht="15.6" customHeight="1" x14ac:dyDescent="0.25">
      <c r="B103" s="1348" t="s">
        <v>808</v>
      </c>
      <c r="C103" s="1400" t="s">
        <v>807</v>
      </c>
      <c r="D103" s="1350"/>
      <c r="E103" s="1398" t="s">
        <v>760</v>
      </c>
      <c r="F103" s="1352">
        <f>SUM(F101:F102)</f>
        <v>1590119</v>
      </c>
      <c r="G103" s="1352">
        <f>SUM(G101:G102)</f>
        <v>1735465</v>
      </c>
    </row>
    <row r="104" spans="2:7" s="1329" customFormat="1" ht="12" customHeight="1" x14ac:dyDescent="0.2">
      <c r="B104" s="1343"/>
      <c r="C104" s="1344"/>
      <c r="D104" s="1345"/>
      <c r="E104" s="1394"/>
      <c r="F104" s="1347"/>
      <c r="G104" s="1347"/>
    </row>
    <row r="105" spans="2:7" s="1329" customFormat="1" ht="15" x14ac:dyDescent="0.2">
      <c r="B105" s="1343"/>
      <c r="C105" s="1344" t="s">
        <v>809</v>
      </c>
      <c r="D105" s="1345"/>
      <c r="E105" s="1394" t="s">
        <v>757</v>
      </c>
      <c r="F105" s="1347">
        <v>11144</v>
      </c>
      <c r="G105" s="1347">
        <v>5159</v>
      </c>
    </row>
    <row r="106" spans="2:7" s="1329" customFormat="1" ht="15" x14ac:dyDescent="0.2">
      <c r="B106" s="1343"/>
      <c r="C106" s="1399"/>
      <c r="D106" s="1345"/>
      <c r="E106" s="1394" t="s">
        <v>758</v>
      </c>
      <c r="F106" s="1347">
        <v>4944355</v>
      </c>
      <c r="G106" s="1347">
        <v>4913099</v>
      </c>
    </row>
    <row r="107" spans="2:7" s="1329" customFormat="1" ht="36.75" customHeight="1" x14ac:dyDescent="0.25">
      <c r="B107" s="1348" t="s">
        <v>810</v>
      </c>
      <c r="C107" s="2501" t="s">
        <v>809</v>
      </c>
      <c r="D107" s="2502"/>
      <c r="E107" s="1398" t="s">
        <v>760</v>
      </c>
      <c r="F107" s="1352">
        <f>SUM(F105:F106)</f>
        <v>4955499</v>
      </c>
      <c r="G107" s="1352">
        <f>SUM(G105:G106)</f>
        <v>4918258</v>
      </c>
    </row>
    <row r="108" spans="2:7" s="1329" customFormat="1" ht="12" customHeight="1" x14ac:dyDescent="0.2">
      <c r="B108" s="1343"/>
      <c r="C108" s="1344"/>
      <c r="D108" s="1345"/>
      <c r="E108" s="1394"/>
      <c r="F108" s="1347"/>
      <c r="G108" s="1347"/>
    </row>
    <row r="109" spans="2:7" s="1329" customFormat="1" ht="15" x14ac:dyDescent="0.2">
      <c r="B109" s="1343"/>
      <c r="C109" s="1344" t="s">
        <v>811</v>
      </c>
      <c r="D109" s="1345"/>
      <c r="E109" s="1394" t="s">
        <v>757</v>
      </c>
      <c r="F109" s="1347">
        <v>24861</v>
      </c>
      <c r="G109" s="1347">
        <v>52033</v>
      </c>
    </row>
    <row r="110" spans="2:7" s="1329" customFormat="1" ht="15" x14ac:dyDescent="0.2">
      <c r="B110" s="1343"/>
      <c r="C110" s="1344"/>
      <c r="D110" s="1345"/>
      <c r="E110" s="1394" t="s">
        <v>758</v>
      </c>
      <c r="F110" s="1347">
        <v>216630</v>
      </c>
      <c r="G110" s="1347">
        <v>444188</v>
      </c>
    </row>
    <row r="111" spans="2:7" s="1329" customFormat="1" ht="15.6" customHeight="1" x14ac:dyDescent="0.25">
      <c r="B111" s="1348" t="s">
        <v>812</v>
      </c>
      <c r="C111" s="1400" t="s">
        <v>811</v>
      </c>
      <c r="D111" s="1350"/>
      <c r="E111" s="1398" t="s">
        <v>760</v>
      </c>
      <c r="F111" s="1352">
        <f>SUM(F109:F110)</f>
        <v>241491</v>
      </c>
      <c r="G111" s="1352">
        <f>SUM(G109:G110)</f>
        <v>496221</v>
      </c>
    </row>
    <row r="112" spans="2:7" s="1329" customFormat="1" ht="12" customHeight="1" x14ac:dyDescent="0.25">
      <c r="B112" s="1353"/>
      <c r="C112" s="1402"/>
      <c r="D112" s="1355"/>
      <c r="E112" s="1396"/>
      <c r="F112" s="1356"/>
      <c r="G112" s="1356"/>
    </row>
    <row r="113" spans="2:7" s="1329" customFormat="1" ht="15" x14ac:dyDescent="0.2">
      <c r="B113" s="1343"/>
      <c r="C113" s="1344" t="s">
        <v>813</v>
      </c>
      <c r="D113" s="1345"/>
      <c r="E113" s="1394" t="s">
        <v>757</v>
      </c>
      <c r="F113" s="1347">
        <f>+F101+F105+F109</f>
        <v>50866</v>
      </c>
      <c r="G113" s="1347">
        <f>+G101+G105+G109</f>
        <v>71722</v>
      </c>
    </row>
    <row r="114" spans="2:7" s="1329" customFormat="1" ht="15.75" thickBot="1" x14ac:dyDescent="0.25">
      <c r="B114" s="1343"/>
      <c r="C114" s="1344"/>
      <c r="D114" s="1345"/>
      <c r="E114" s="1394" t="s">
        <v>758</v>
      </c>
      <c r="F114" s="1347">
        <f>+F102+F106+F110</f>
        <v>6736243</v>
      </c>
      <c r="G114" s="1347">
        <f>+G102+G106+G110</f>
        <v>7078222</v>
      </c>
    </row>
    <row r="115" spans="2:7" s="1329" customFormat="1" ht="30" customHeight="1" thickBot="1" x14ac:dyDescent="0.3">
      <c r="B115" s="1386" t="s">
        <v>814</v>
      </c>
      <c r="C115" s="2489" t="s">
        <v>813</v>
      </c>
      <c r="D115" s="2490"/>
      <c r="E115" s="1401" t="s">
        <v>760</v>
      </c>
      <c r="F115" s="1388">
        <f>SUM(F113:F114)</f>
        <v>6787109</v>
      </c>
      <c r="G115" s="1388">
        <f>SUM(G113:G114)</f>
        <v>7149944</v>
      </c>
    </row>
    <row r="116" spans="2:7" s="1329" customFormat="1" ht="12" customHeight="1" x14ac:dyDescent="0.25">
      <c r="B116" s="1380"/>
      <c r="C116" s="1403"/>
      <c r="D116" s="1404"/>
      <c r="E116" s="1392"/>
      <c r="F116" s="1382"/>
      <c r="G116" s="1382"/>
    </row>
    <row r="117" spans="2:7" s="1329" customFormat="1" ht="15" x14ac:dyDescent="0.2">
      <c r="B117" s="1343"/>
      <c r="C117" s="1344" t="s">
        <v>815</v>
      </c>
      <c r="D117" s="1345"/>
      <c r="E117" s="1394" t="s">
        <v>757</v>
      </c>
      <c r="F117" s="1347">
        <v>59508</v>
      </c>
      <c r="G117" s="1347">
        <v>62913</v>
      </c>
    </row>
    <row r="118" spans="2:7" s="1329" customFormat="1" ht="15.75" thickBot="1" x14ac:dyDescent="0.25">
      <c r="B118" s="1343"/>
      <c r="C118" s="1344"/>
      <c r="D118" s="1345"/>
      <c r="E118" s="1394" t="s">
        <v>758</v>
      </c>
      <c r="F118" s="1347">
        <f>-191824-1</f>
        <v>-191825</v>
      </c>
      <c r="G118" s="1347">
        <v>16201</v>
      </c>
    </row>
    <row r="119" spans="2:7" s="1329" customFormat="1" ht="30" customHeight="1" thickBot="1" x14ac:dyDescent="0.3">
      <c r="B119" s="1386" t="s">
        <v>816</v>
      </c>
      <c r="C119" s="2489" t="s">
        <v>815</v>
      </c>
      <c r="D119" s="2490"/>
      <c r="E119" s="1401" t="s">
        <v>760</v>
      </c>
      <c r="F119" s="1388">
        <f>SUM(F117:F118)</f>
        <v>-132317</v>
      </c>
      <c r="G119" s="1388">
        <f>SUM(G117:G118)</f>
        <v>79114</v>
      </c>
    </row>
    <row r="120" spans="2:7" s="1329" customFormat="1" ht="15.6" customHeight="1" x14ac:dyDescent="0.25">
      <c r="B120" s="1353"/>
      <c r="C120" s="1354"/>
      <c r="D120" s="1355"/>
      <c r="E120" s="1396"/>
      <c r="F120" s="1356"/>
      <c r="G120" s="1356"/>
    </row>
    <row r="121" spans="2:7" s="1329" customFormat="1" ht="19.5" customHeight="1" x14ac:dyDescent="0.2">
      <c r="B121" s="1343"/>
      <c r="C121" s="2498" t="s">
        <v>817</v>
      </c>
      <c r="D121" s="2503"/>
      <c r="E121" s="1394" t="s">
        <v>757</v>
      </c>
      <c r="F121" s="1347">
        <v>12190</v>
      </c>
      <c r="G121" s="1347">
        <v>13151</v>
      </c>
    </row>
    <row r="122" spans="2:7" s="1329" customFormat="1" ht="15" x14ac:dyDescent="0.2">
      <c r="B122" s="1343"/>
      <c r="C122" s="1344" t="s">
        <v>818</v>
      </c>
      <c r="D122" s="1345"/>
      <c r="E122" s="1394" t="s">
        <v>758</v>
      </c>
      <c r="F122" s="1347">
        <v>355640</v>
      </c>
      <c r="G122" s="1347">
        <v>458533</v>
      </c>
    </row>
    <row r="123" spans="2:7" s="1329" customFormat="1" ht="31.5" customHeight="1" x14ac:dyDescent="0.25">
      <c r="B123" s="1348" t="s">
        <v>819</v>
      </c>
      <c r="C123" s="2501" t="s">
        <v>820</v>
      </c>
      <c r="D123" s="2504"/>
      <c r="E123" s="1398" t="s">
        <v>760</v>
      </c>
      <c r="F123" s="1352">
        <f>SUM(F121:F122)</f>
        <v>367830</v>
      </c>
      <c r="G123" s="1352">
        <f>SUM(G121:G122)</f>
        <v>471684</v>
      </c>
    </row>
    <row r="124" spans="2:7" s="1329" customFormat="1" ht="11.1" customHeight="1" x14ac:dyDescent="0.2">
      <c r="B124" s="1343"/>
      <c r="C124" s="1344"/>
      <c r="D124" s="1345"/>
      <c r="E124" s="1394"/>
      <c r="F124" s="1347"/>
      <c r="G124" s="1347"/>
    </row>
    <row r="125" spans="2:7" s="1329" customFormat="1" ht="15" x14ac:dyDescent="0.2">
      <c r="B125" s="1343"/>
      <c r="C125" s="1344" t="s">
        <v>821</v>
      </c>
      <c r="D125" s="1345"/>
      <c r="E125" s="1394" t="s">
        <v>757</v>
      </c>
      <c r="F125" s="1347">
        <v>2880</v>
      </c>
      <c r="G125" s="1347">
        <v>7553</v>
      </c>
    </row>
    <row r="126" spans="2:7" s="1329" customFormat="1" ht="15" x14ac:dyDescent="0.2">
      <c r="B126" s="1343"/>
      <c r="C126" s="1399"/>
      <c r="D126" s="1345"/>
      <c r="E126" s="1394" t="s">
        <v>758</v>
      </c>
      <c r="F126" s="1347">
        <v>13068</v>
      </c>
      <c r="G126" s="1347">
        <v>1323</v>
      </c>
    </row>
    <row r="127" spans="2:7" s="1329" customFormat="1" ht="34.5" customHeight="1" x14ac:dyDescent="0.25">
      <c r="B127" s="1348" t="s">
        <v>822</v>
      </c>
      <c r="C127" s="2501" t="s">
        <v>821</v>
      </c>
      <c r="D127" s="2505"/>
      <c r="E127" s="1398" t="s">
        <v>760</v>
      </c>
      <c r="F127" s="1352">
        <f>SUM(F125:F126)</f>
        <v>15948</v>
      </c>
      <c r="G127" s="1352">
        <f>SUM(G125:G126)</f>
        <v>8876</v>
      </c>
    </row>
    <row r="128" spans="2:7" s="1329" customFormat="1" ht="11.1" customHeight="1" x14ac:dyDescent="0.2">
      <c r="B128" s="1343"/>
      <c r="C128" s="1344"/>
      <c r="D128" s="1345"/>
      <c r="E128" s="1394"/>
      <c r="F128" s="1347"/>
      <c r="G128" s="1347"/>
    </row>
    <row r="129" spans="2:7" s="1329" customFormat="1" ht="15" x14ac:dyDescent="0.2">
      <c r="B129" s="1343"/>
      <c r="C129" s="1344" t="s">
        <v>823</v>
      </c>
      <c r="D129" s="1345"/>
      <c r="E129" s="1394" t="s">
        <v>757</v>
      </c>
      <c r="F129" s="1347">
        <v>0</v>
      </c>
      <c r="G129" s="1347">
        <v>0</v>
      </c>
    </row>
    <row r="130" spans="2:7" s="1329" customFormat="1" ht="15" x14ac:dyDescent="0.2">
      <c r="B130" s="1343"/>
      <c r="C130" s="1344"/>
      <c r="D130" s="1345"/>
      <c r="E130" s="1394" t="s">
        <v>758</v>
      </c>
      <c r="F130" s="1347">
        <v>0</v>
      </c>
      <c r="G130" s="1347">
        <v>0</v>
      </c>
    </row>
    <row r="131" spans="2:7" s="1329" customFormat="1" ht="15.6" customHeight="1" x14ac:dyDescent="0.25">
      <c r="B131" s="1348" t="s">
        <v>824</v>
      </c>
      <c r="C131" s="1400" t="s">
        <v>823</v>
      </c>
      <c r="D131" s="1350"/>
      <c r="E131" s="1398" t="s">
        <v>760</v>
      </c>
      <c r="F131" s="1352">
        <f>SUM(F129:F130)</f>
        <v>0</v>
      </c>
      <c r="G131" s="1352">
        <f>SUM(G129:G130)</f>
        <v>0</v>
      </c>
    </row>
    <row r="132" spans="2:7" s="1329" customFormat="1" ht="15" x14ac:dyDescent="0.2">
      <c r="B132" s="1343"/>
      <c r="C132" s="1344"/>
      <c r="D132" s="1345"/>
      <c r="E132" s="1394"/>
      <c r="F132" s="1347"/>
      <c r="G132" s="1347"/>
    </row>
    <row r="133" spans="2:7" s="1329" customFormat="1" ht="15" x14ac:dyDescent="0.2">
      <c r="B133" s="1343"/>
      <c r="C133" s="1344" t="s">
        <v>825</v>
      </c>
      <c r="D133" s="1345"/>
      <c r="E133" s="1394" t="s">
        <v>757</v>
      </c>
      <c r="F133" s="1347">
        <f>+F121+F125+F129</f>
        <v>15070</v>
      </c>
      <c r="G133" s="1347">
        <f>+G121+G125+G129</f>
        <v>20704</v>
      </c>
    </row>
    <row r="134" spans="2:7" s="1329" customFormat="1" ht="15.75" thickBot="1" x14ac:dyDescent="0.25">
      <c r="B134" s="1343"/>
      <c r="C134" s="1344"/>
      <c r="D134" s="1345"/>
      <c r="E134" s="1394" t="s">
        <v>758</v>
      </c>
      <c r="F134" s="1347">
        <f>+F122+F126+F130</f>
        <v>368708</v>
      </c>
      <c r="G134" s="1347">
        <f>+G122+G126+G130</f>
        <v>459856</v>
      </c>
    </row>
    <row r="135" spans="2:7" s="1329" customFormat="1" ht="30" customHeight="1" thickBot="1" x14ac:dyDescent="0.3">
      <c r="B135" s="1386" t="s">
        <v>826</v>
      </c>
      <c r="C135" s="2489" t="s">
        <v>825</v>
      </c>
      <c r="D135" s="2490"/>
      <c r="E135" s="1401" t="s">
        <v>760</v>
      </c>
      <c r="F135" s="1388">
        <f>SUM(F133:F134)</f>
        <v>383778</v>
      </c>
      <c r="G135" s="1388">
        <f>SUM(G133:G134)</f>
        <v>480560</v>
      </c>
    </row>
    <row r="136" spans="2:7" s="1329" customFormat="1" ht="15" x14ac:dyDescent="0.2">
      <c r="B136" s="1343"/>
      <c r="C136" s="1344"/>
      <c r="D136" s="1345"/>
      <c r="E136" s="1394"/>
      <c r="F136" s="1347"/>
      <c r="G136" s="1347"/>
    </row>
    <row r="137" spans="2:7" s="1329" customFormat="1" ht="15.75" x14ac:dyDescent="0.25">
      <c r="B137" s="1343"/>
      <c r="C137" s="1354" t="s">
        <v>751</v>
      </c>
      <c r="D137" s="1345"/>
      <c r="E137" s="1394" t="s">
        <v>757</v>
      </c>
      <c r="F137" s="1347">
        <f>+F59+F71+F97+F113+F117+F133</f>
        <v>6706904</v>
      </c>
      <c r="G137" s="1347">
        <f>+G59+G71+G97+G113+G117+G133</f>
        <v>6728096</v>
      </c>
    </row>
    <row r="138" spans="2:7" s="1329" customFormat="1" ht="15.75" thickBot="1" x14ac:dyDescent="0.25">
      <c r="B138" s="1343"/>
      <c r="C138" s="1344"/>
      <c r="D138" s="1345"/>
      <c r="E138" s="1394" t="s">
        <v>758</v>
      </c>
      <c r="F138" s="1347">
        <f>+F60+F72+F98+F114+F118+F134</f>
        <v>96411186</v>
      </c>
      <c r="G138" s="1347">
        <f>+G60+G72+G98+G114+G118+G134</f>
        <v>97754407</v>
      </c>
    </row>
    <row r="139" spans="2:7" s="1329" customFormat="1" ht="30" customHeight="1" thickBot="1" x14ac:dyDescent="0.3">
      <c r="B139" s="1386"/>
      <c r="C139" s="2489" t="s">
        <v>827</v>
      </c>
      <c r="D139" s="2490"/>
      <c r="E139" s="1401" t="s">
        <v>760</v>
      </c>
      <c r="F139" s="1388">
        <f>SUM(F137:F138)</f>
        <v>103118090</v>
      </c>
      <c r="G139" s="1388">
        <f>SUM(G137:G138)</f>
        <v>104482503</v>
      </c>
    </row>
  </sheetData>
  <mergeCells count="17">
    <mergeCell ref="C121:D121"/>
    <mergeCell ref="C123:D123"/>
    <mergeCell ref="C127:D127"/>
    <mergeCell ref="C135:D135"/>
    <mergeCell ref="C139:D139"/>
    <mergeCell ref="C119:D119"/>
    <mergeCell ref="B4:G4"/>
    <mergeCell ref="B5:G5"/>
    <mergeCell ref="C7:D7"/>
    <mergeCell ref="C57:D57"/>
    <mergeCell ref="C59:D59"/>
    <mergeCell ref="C61:D61"/>
    <mergeCell ref="C73:D73"/>
    <mergeCell ref="C76:D76"/>
    <mergeCell ref="C99:D99"/>
    <mergeCell ref="C107:D107"/>
    <mergeCell ref="C115:D115"/>
  </mergeCells>
  <printOptions horizontalCentered="1" verticalCentered="1"/>
  <pageMargins left="0.19685039370078741" right="0.19685039370078741" top="0.27559055118110237" bottom="0.23622047244094491" header="0.27559055118110237" footer="0.23622047244094491"/>
  <pageSetup paperSize="9" scale="65" orientation="portrait" r:id="rId1"/>
  <headerFooter alignWithMargins="0">
    <oddHeader xml:space="preserve">&amp;R&amp;"Arial CE,Félkövér"&amp;11 &amp;12 23. melléklet a …../2022. (…….) önkormányzati rendelethez </oddHeader>
  </headerFooter>
  <rowBreaks count="1" manualBreakCount="1">
    <brk id="74" min="1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88"/>
  <sheetViews>
    <sheetView zoomScale="85" zoomScaleNormal="85" zoomScaleSheetLayoutView="75" workbookViewId="0">
      <selection activeCell="G78" sqref="G78"/>
    </sheetView>
  </sheetViews>
  <sheetFormatPr defaultColWidth="10.6640625" defaultRowHeight="14.25" x14ac:dyDescent="0.2"/>
  <cols>
    <col min="1" max="1" width="10.6640625" style="1407"/>
    <col min="2" max="2" width="7.6640625" style="1406" customWidth="1"/>
    <col min="3" max="3" width="10.6640625" style="1407" customWidth="1"/>
    <col min="4" max="4" width="69.83203125" style="1407" customWidth="1"/>
    <col min="5" max="5" width="30.33203125" style="1407" customWidth="1"/>
    <col min="6" max="7" width="21.5" style="1407" customWidth="1"/>
    <col min="8" max="16384" width="10.6640625" style="1407"/>
  </cols>
  <sheetData>
    <row r="1" spans="2:8" ht="15.75" x14ac:dyDescent="0.25">
      <c r="F1" s="1408"/>
      <c r="G1" s="1408"/>
      <c r="H1" s="1408"/>
    </row>
    <row r="2" spans="2:8" ht="17.25" customHeight="1" x14ac:dyDescent="0.25">
      <c r="B2" s="2491" t="s">
        <v>1234</v>
      </c>
      <c r="C2" s="2491"/>
      <c r="D2" s="2491"/>
      <c r="E2" s="2491"/>
      <c r="F2" s="2491"/>
      <c r="G2" s="2491"/>
    </row>
    <row r="3" spans="2:8" ht="20.25" customHeight="1" x14ac:dyDescent="0.25">
      <c r="B3" s="2510" t="s">
        <v>828</v>
      </c>
      <c r="C3" s="2510"/>
      <c r="D3" s="2510"/>
      <c r="E3" s="2510"/>
      <c r="F3" s="2510"/>
      <c r="G3" s="2510"/>
    </row>
    <row r="4" spans="2:8" ht="15.75" thickBot="1" x14ac:dyDescent="0.3">
      <c r="B4" s="1409"/>
      <c r="C4" s="1409"/>
      <c r="D4" s="1409"/>
      <c r="E4" s="1409"/>
      <c r="F4" s="1410"/>
      <c r="G4" s="1410" t="s">
        <v>19</v>
      </c>
    </row>
    <row r="5" spans="2:8" ht="20.25" customHeight="1" x14ac:dyDescent="0.25">
      <c r="B5" s="1411"/>
      <c r="C5" s="2511" t="s">
        <v>33</v>
      </c>
      <c r="D5" s="2512"/>
      <c r="E5" s="1412"/>
      <c r="F5" s="1413" t="s">
        <v>753</v>
      </c>
      <c r="G5" s="1413" t="s">
        <v>1232</v>
      </c>
    </row>
    <row r="6" spans="2:8" ht="19.5" customHeight="1" x14ac:dyDescent="0.25">
      <c r="B6" s="1414"/>
      <c r="C6" s="1414"/>
      <c r="D6" s="1415"/>
      <c r="E6" s="1416"/>
      <c r="F6" s="1417" t="s">
        <v>754</v>
      </c>
      <c r="G6" s="1417" t="s">
        <v>754</v>
      </c>
    </row>
    <row r="7" spans="2:8" ht="16.5" customHeight="1" thickBot="1" x14ac:dyDescent="0.3">
      <c r="B7" s="1418"/>
      <c r="C7" s="1418"/>
      <c r="D7" s="1419"/>
      <c r="E7" s="1420"/>
      <c r="F7" s="1421" t="s">
        <v>755</v>
      </c>
      <c r="G7" s="1421" t="s">
        <v>1233</v>
      </c>
    </row>
    <row r="8" spans="2:8" ht="20.25" customHeight="1" x14ac:dyDescent="0.25">
      <c r="B8" s="1422"/>
      <c r="C8" s="1423"/>
      <c r="D8" s="1424"/>
      <c r="E8" s="1416"/>
      <c r="F8" s="1425"/>
      <c r="G8" s="1425"/>
    </row>
    <row r="9" spans="2:8" x14ac:dyDescent="0.2">
      <c r="B9" s="1426"/>
      <c r="C9" s="1427" t="s">
        <v>829</v>
      </c>
      <c r="D9" s="1428"/>
      <c r="E9" s="1429" t="s">
        <v>757</v>
      </c>
      <c r="F9" s="1430">
        <v>11929473</v>
      </c>
      <c r="G9" s="1430">
        <v>11929473</v>
      </c>
    </row>
    <row r="10" spans="2:8" x14ac:dyDescent="0.2">
      <c r="B10" s="1426"/>
      <c r="C10" s="1427"/>
      <c r="D10" s="1428"/>
      <c r="E10" s="1429" t="s">
        <v>758</v>
      </c>
      <c r="F10" s="1430">
        <v>86560778</v>
      </c>
      <c r="G10" s="1430">
        <v>86560778</v>
      </c>
    </row>
    <row r="11" spans="2:8" ht="19.5" customHeight="1" x14ac:dyDescent="0.25">
      <c r="B11" s="1431" t="s">
        <v>830</v>
      </c>
      <c r="C11" s="1432" t="s">
        <v>829</v>
      </c>
      <c r="D11" s="1433"/>
      <c r="E11" s="1434" t="s">
        <v>760</v>
      </c>
      <c r="F11" s="1435">
        <f>SUM(F9:F10)</f>
        <v>98490251</v>
      </c>
      <c r="G11" s="1435">
        <f>SUM(G9:G10)</f>
        <v>98490251</v>
      </c>
    </row>
    <row r="12" spans="2:8" ht="15.75" customHeight="1" x14ac:dyDescent="0.2">
      <c r="B12" s="1426"/>
      <c r="C12" s="1427"/>
      <c r="D12" s="1428"/>
      <c r="E12" s="1429"/>
      <c r="F12" s="1430"/>
      <c r="G12" s="1430"/>
    </row>
    <row r="13" spans="2:8" x14ac:dyDescent="0.2">
      <c r="B13" s="1426"/>
      <c r="C13" s="1427" t="s">
        <v>831</v>
      </c>
      <c r="D13" s="1428"/>
      <c r="E13" s="1429" t="s">
        <v>757</v>
      </c>
      <c r="F13" s="1430">
        <v>-2468422</v>
      </c>
      <c r="G13" s="1430">
        <v>-2468422</v>
      </c>
    </row>
    <row r="14" spans="2:8" x14ac:dyDescent="0.2">
      <c r="B14" s="1426"/>
      <c r="C14" s="1436"/>
      <c r="D14" s="1428"/>
      <c r="E14" s="1429" t="s">
        <v>758</v>
      </c>
      <c r="F14" s="1430">
        <v>208310</v>
      </c>
      <c r="G14" s="1430">
        <v>218089</v>
      </c>
    </row>
    <row r="15" spans="2:8" ht="20.25" customHeight="1" x14ac:dyDescent="0.25">
      <c r="B15" s="1431" t="s">
        <v>832</v>
      </c>
      <c r="C15" s="1432" t="s">
        <v>831</v>
      </c>
      <c r="D15" s="1433"/>
      <c r="E15" s="1434" t="s">
        <v>760</v>
      </c>
      <c r="F15" s="1435">
        <f>SUM(F13:F14)</f>
        <v>-2260112</v>
      </c>
      <c r="G15" s="1435">
        <f>SUM(G13:G14)</f>
        <v>-2250333</v>
      </c>
    </row>
    <row r="16" spans="2:8" x14ac:dyDescent="0.2">
      <c r="B16" s="1426"/>
      <c r="C16" s="1427"/>
      <c r="D16" s="1428"/>
      <c r="E16" s="1429"/>
      <c r="F16" s="1430"/>
      <c r="G16" s="1430"/>
    </row>
    <row r="17" spans="2:7" ht="15" customHeight="1" x14ac:dyDescent="0.2">
      <c r="B17" s="1426"/>
      <c r="C17" s="1427" t="s">
        <v>833</v>
      </c>
      <c r="D17" s="1428"/>
      <c r="E17" s="1429" t="s">
        <v>757</v>
      </c>
      <c r="F17" s="1430">
        <v>150025</v>
      </c>
      <c r="G17" s="1430">
        <v>150025</v>
      </c>
    </row>
    <row r="18" spans="2:7" ht="15.75" customHeight="1" x14ac:dyDescent="0.2">
      <c r="B18" s="1426"/>
      <c r="C18" s="1427"/>
      <c r="D18" s="1428"/>
      <c r="E18" s="1429" t="s">
        <v>758</v>
      </c>
      <c r="F18" s="1430">
        <v>771117</v>
      </c>
      <c r="G18" s="1430">
        <v>771117</v>
      </c>
    </row>
    <row r="19" spans="2:7" ht="18.75" customHeight="1" x14ac:dyDescent="0.25">
      <c r="B19" s="1431" t="s">
        <v>834</v>
      </c>
      <c r="C19" s="1432" t="s">
        <v>833</v>
      </c>
      <c r="D19" s="1433"/>
      <c r="E19" s="1434" t="s">
        <v>760</v>
      </c>
      <c r="F19" s="1435">
        <f>SUM(F17:F18)</f>
        <v>921142</v>
      </c>
      <c r="G19" s="1435">
        <f>SUM(G17:G18)</f>
        <v>921142</v>
      </c>
    </row>
    <row r="20" spans="2:7" x14ac:dyDescent="0.2">
      <c r="B20" s="1426"/>
      <c r="C20" s="1427"/>
      <c r="D20" s="1428"/>
      <c r="E20" s="1429"/>
      <c r="F20" s="1430"/>
      <c r="G20" s="1430"/>
    </row>
    <row r="21" spans="2:7" x14ac:dyDescent="0.2">
      <c r="B21" s="1426"/>
      <c r="C21" s="1427" t="s">
        <v>835</v>
      </c>
      <c r="D21" s="1428"/>
      <c r="E21" s="1429" t="s">
        <v>757</v>
      </c>
      <c r="F21" s="1430">
        <v>-4127386</v>
      </c>
      <c r="G21" s="1430">
        <v>-3627448</v>
      </c>
    </row>
    <row r="22" spans="2:7" x14ac:dyDescent="0.2">
      <c r="B22" s="1426"/>
      <c r="C22" s="1427"/>
      <c r="D22" s="1428"/>
      <c r="E22" s="1429" t="s">
        <v>758</v>
      </c>
      <c r="F22" s="1430">
        <f>-16204351+1</f>
        <v>-16204350</v>
      </c>
      <c r="G22" s="1430">
        <v>-18237672</v>
      </c>
    </row>
    <row r="23" spans="2:7" ht="18.75" customHeight="1" x14ac:dyDescent="0.25">
      <c r="B23" s="1431" t="s">
        <v>836</v>
      </c>
      <c r="C23" s="1432" t="s">
        <v>835</v>
      </c>
      <c r="D23" s="1433"/>
      <c r="E23" s="1434" t="s">
        <v>760</v>
      </c>
      <c r="F23" s="1435">
        <f>SUM(F21:F22)</f>
        <v>-20331736</v>
      </c>
      <c r="G23" s="1435">
        <f>SUM(G21:G22)</f>
        <v>-21865120</v>
      </c>
    </row>
    <row r="24" spans="2:7" x14ac:dyDescent="0.2">
      <c r="B24" s="1426"/>
      <c r="C24" s="1427"/>
      <c r="D24" s="1428"/>
      <c r="E24" s="1429"/>
      <c r="F24" s="1430"/>
      <c r="G24" s="1430"/>
    </row>
    <row r="25" spans="2:7" ht="15" customHeight="1" x14ac:dyDescent="0.2">
      <c r="B25" s="1426"/>
      <c r="C25" s="1427" t="s">
        <v>837</v>
      </c>
      <c r="D25" s="1428"/>
      <c r="E25" s="1429" t="s">
        <v>757</v>
      </c>
      <c r="F25" s="1430">
        <v>0</v>
      </c>
      <c r="G25" s="1430">
        <v>0</v>
      </c>
    </row>
    <row r="26" spans="2:7" ht="10.5" customHeight="1" x14ac:dyDescent="0.2">
      <c r="B26" s="1426"/>
      <c r="C26" s="1427"/>
      <c r="D26" s="1428"/>
      <c r="E26" s="1429" t="s">
        <v>758</v>
      </c>
      <c r="F26" s="1430">
        <v>0</v>
      </c>
      <c r="G26" s="1430">
        <v>0</v>
      </c>
    </row>
    <row r="27" spans="2:7" ht="19.5" customHeight="1" x14ac:dyDescent="0.25">
      <c r="B27" s="1431" t="s">
        <v>838</v>
      </c>
      <c r="C27" s="1432" t="s">
        <v>837</v>
      </c>
      <c r="D27" s="1433"/>
      <c r="E27" s="1434" t="s">
        <v>760</v>
      </c>
      <c r="F27" s="1435">
        <f>SUM(F25:F26)</f>
        <v>0</v>
      </c>
      <c r="G27" s="1435">
        <f>SUM(G25:G26)</f>
        <v>0</v>
      </c>
    </row>
    <row r="28" spans="2:7" x14ac:dyDescent="0.2">
      <c r="B28" s="1426"/>
      <c r="C28" s="1427"/>
      <c r="D28" s="1428"/>
      <c r="E28" s="1429"/>
      <c r="F28" s="1430"/>
      <c r="G28" s="1430"/>
    </row>
    <row r="29" spans="2:7" x14ac:dyDescent="0.2">
      <c r="B29" s="1426"/>
      <c r="C29" s="1427" t="s">
        <v>839</v>
      </c>
      <c r="D29" s="1428"/>
      <c r="E29" s="1429" t="s">
        <v>757</v>
      </c>
      <c r="F29" s="1430">
        <v>499938</v>
      </c>
      <c r="G29" s="1430">
        <v>-208922</v>
      </c>
    </row>
    <row r="30" spans="2:7" x14ac:dyDescent="0.2">
      <c r="B30" s="1426"/>
      <c r="C30" s="1427"/>
      <c r="D30" s="1428"/>
      <c r="E30" s="1429" t="s">
        <v>758</v>
      </c>
      <c r="F30" s="1430">
        <v>-2033321</v>
      </c>
      <c r="G30" s="1430">
        <v>252860</v>
      </c>
    </row>
    <row r="31" spans="2:7" ht="20.25" customHeight="1" x14ac:dyDescent="0.25">
      <c r="B31" s="1431" t="s">
        <v>840</v>
      </c>
      <c r="C31" s="1432" t="s">
        <v>839</v>
      </c>
      <c r="D31" s="1433"/>
      <c r="E31" s="1434" t="s">
        <v>760</v>
      </c>
      <c r="F31" s="1435">
        <f>SUM(F29:F30)</f>
        <v>-1533383</v>
      </c>
      <c r="G31" s="1435">
        <f>SUM(G29:G30)</f>
        <v>43938</v>
      </c>
    </row>
    <row r="32" spans="2:7" ht="15" customHeight="1" x14ac:dyDescent="0.25">
      <c r="B32" s="1422"/>
      <c r="C32" s="1437"/>
      <c r="D32" s="1424"/>
      <c r="E32" s="1416"/>
      <c r="F32" s="1425"/>
      <c r="G32" s="1425"/>
    </row>
    <row r="33" spans="2:7" x14ac:dyDescent="0.2">
      <c r="B33" s="1426"/>
      <c r="C33" s="1427" t="s">
        <v>841</v>
      </c>
      <c r="D33" s="1428"/>
      <c r="E33" s="1429" t="s">
        <v>757</v>
      </c>
      <c r="F33" s="1430">
        <f>+F9+F13+F17+F21+F25+F29</f>
        <v>5983628</v>
      </c>
      <c r="G33" s="1430">
        <f>+G9+G13+G17+G21+G25+G29</f>
        <v>5774706</v>
      </c>
    </row>
    <row r="34" spans="2:7" ht="15" thickBot="1" x14ac:dyDescent="0.25">
      <c r="B34" s="1426"/>
      <c r="C34" s="1427"/>
      <c r="D34" s="1428"/>
      <c r="E34" s="1429" t="s">
        <v>758</v>
      </c>
      <c r="F34" s="1430">
        <f>+F10+F14+F18+F22+F26+F30</f>
        <v>69302534</v>
      </c>
      <c r="G34" s="1430">
        <f>+G10+G14+G18+G22+G26+G30</f>
        <v>69565172</v>
      </c>
    </row>
    <row r="35" spans="2:7" ht="24" customHeight="1" thickBot="1" x14ac:dyDescent="0.3">
      <c r="B35" s="1438" t="s">
        <v>842</v>
      </c>
      <c r="C35" s="2508" t="s">
        <v>843</v>
      </c>
      <c r="D35" s="2509"/>
      <c r="E35" s="1439" t="s">
        <v>760</v>
      </c>
      <c r="F35" s="1440">
        <f>SUM(F33:F34)</f>
        <v>75286162</v>
      </c>
      <c r="G35" s="1440">
        <f>SUM(G33:G34)</f>
        <v>75339878</v>
      </c>
    </row>
    <row r="36" spans="2:7" ht="15" x14ac:dyDescent="0.25">
      <c r="B36" s="1422"/>
      <c r="C36" s="1423"/>
      <c r="D36" s="1424"/>
      <c r="E36" s="1416"/>
      <c r="F36" s="1425"/>
      <c r="G36" s="1425"/>
    </row>
    <row r="37" spans="2:7" ht="12" customHeight="1" x14ac:dyDescent="0.2">
      <c r="B37" s="1426"/>
      <c r="C37" s="1427" t="s">
        <v>844</v>
      </c>
      <c r="D37" s="1428"/>
      <c r="E37" s="1429" t="s">
        <v>757</v>
      </c>
      <c r="F37" s="1430">
        <v>52863</v>
      </c>
      <c r="G37" s="1430">
        <v>85013</v>
      </c>
    </row>
    <row r="38" spans="2:7" ht="12" customHeight="1" x14ac:dyDescent="0.2">
      <c r="B38" s="1426"/>
      <c r="C38" s="1427"/>
      <c r="D38" s="1428"/>
      <c r="E38" s="1429" t="s">
        <v>758</v>
      </c>
      <c r="F38" s="1430">
        <v>404937</v>
      </c>
      <c r="G38" s="1430">
        <v>150395</v>
      </c>
    </row>
    <row r="39" spans="2:7" ht="21" customHeight="1" x14ac:dyDescent="0.25">
      <c r="B39" s="1431" t="s">
        <v>845</v>
      </c>
      <c r="C39" s="1432" t="s">
        <v>844</v>
      </c>
      <c r="D39" s="1433"/>
      <c r="E39" s="1434" t="s">
        <v>760</v>
      </c>
      <c r="F39" s="1435">
        <f>SUM(F37:F38)</f>
        <v>457800</v>
      </c>
      <c r="G39" s="1435">
        <f>SUM(G37:G38)</f>
        <v>235408</v>
      </c>
    </row>
    <row r="40" spans="2:7" ht="12.75" customHeight="1" x14ac:dyDescent="0.2">
      <c r="B40" s="1426"/>
      <c r="C40" s="1427"/>
      <c r="D40" s="1428"/>
      <c r="E40" s="1429"/>
      <c r="F40" s="1430"/>
      <c r="G40" s="1430"/>
    </row>
    <row r="41" spans="2:7" x14ac:dyDescent="0.2">
      <c r="B41" s="1426"/>
      <c r="C41" s="1427" t="s">
        <v>846</v>
      </c>
      <c r="D41" s="1428"/>
      <c r="E41" s="1429" t="s">
        <v>757</v>
      </c>
      <c r="F41" s="1430">
        <v>3400</v>
      </c>
      <c r="G41" s="1430">
        <v>28751</v>
      </c>
    </row>
    <row r="42" spans="2:7" x14ac:dyDescent="0.2">
      <c r="B42" s="1426"/>
      <c r="C42" s="1436"/>
      <c r="D42" s="1428"/>
      <c r="E42" s="1429" t="s">
        <v>758</v>
      </c>
      <c r="F42" s="1430">
        <v>1778738</v>
      </c>
      <c r="G42" s="1430">
        <v>1704965</v>
      </c>
    </row>
    <row r="43" spans="2:7" ht="16.5" customHeight="1" x14ac:dyDescent="0.25">
      <c r="B43" s="1431" t="s">
        <v>847</v>
      </c>
      <c r="C43" s="1432" t="s">
        <v>846</v>
      </c>
      <c r="D43" s="1433"/>
      <c r="E43" s="1434" t="s">
        <v>760</v>
      </c>
      <c r="F43" s="1435">
        <f>SUM(F41:F42)</f>
        <v>1782138</v>
      </c>
      <c r="G43" s="1435">
        <f>SUM(G41:G42)</f>
        <v>1733716</v>
      </c>
    </row>
    <row r="44" spans="2:7" x14ac:dyDescent="0.2">
      <c r="B44" s="1426"/>
      <c r="C44" s="1427"/>
      <c r="D44" s="1428"/>
      <c r="E44" s="1429"/>
      <c r="F44" s="1430"/>
      <c r="G44" s="1430"/>
    </row>
    <row r="45" spans="2:7" ht="15" customHeight="1" x14ac:dyDescent="0.2">
      <c r="B45" s="1426"/>
      <c r="C45" s="1427" t="s">
        <v>848</v>
      </c>
      <c r="D45" s="1428"/>
      <c r="E45" s="1429" t="s">
        <v>757</v>
      </c>
      <c r="F45" s="1430">
        <v>11499</v>
      </c>
      <c r="G45" s="1430">
        <v>15669</v>
      </c>
    </row>
    <row r="46" spans="2:7" ht="12.75" customHeight="1" x14ac:dyDescent="0.2">
      <c r="B46" s="1426"/>
      <c r="C46" s="1427"/>
      <c r="D46" s="1428"/>
      <c r="E46" s="1429" t="s">
        <v>758</v>
      </c>
      <c r="F46" s="1430">
        <v>651498</v>
      </c>
      <c r="G46" s="1430">
        <v>628529</v>
      </c>
    </row>
    <row r="47" spans="2:7" ht="17.25" customHeight="1" x14ac:dyDescent="0.25">
      <c r="B47" s="1431" t="s">
        <v>849</v>
      </c>
      <c r="C47" s="1432" t="s">
        <v>848</v>
      </c>
      <c r="D47" s="1433"/>
      <c r="E47" s="1434" t="s">
        <v>760</v>
      </c>
      <c r="F47" s="1435">
        <f>SUM(F45:F46)</f>
        <v>662997</v>
      </c>
      <c r="G47" s="1435">
        <f>SUM(G45:G46)</f>
        <v>644198</v>
      </c>
    </row>
    <row r="48" spans="2:7" ht="15" x14ac:dyDescent="0.25">
      <c r="B48" s="1422"/>
      <c r="C48" s="1437"/>
      <c r="D48" s="1424"/>
      <c r="E48" s="1416"/>
      <c r="F48" s="1425"/>
      <c r="G48" s="1425"/>
    </row>
    <row r="49" spans="2:10" x14ac:dyDescent="0.2">
      <c r="B49" s="1426"/>
      <c r="C49" s="1427" t="s">
        <v>850</v>
      </c>
      <c r="D49" s="1428"/>
      <c r="E49" s="1429" t="s">
        <v>757</v>
      </c>
      <c r="F49" s="1430">
        <f>+F37+F41+F45</f>
        <v>67762</v>
      </c>
      <c r="G49" s="1430">
        <f>+G37+G41+G45</f>
        <v>129433</v>
      </c>
    </row>
    <row r="50" spans="2:10" ht="15" thickBot="1" x14ac:dyDescent="0.25">
      <c r="B50" s="1426"/>
      <c r="C50" s="1427"/>
      <c r="D50" s="1428"/>
      <c r="E50" s="1429" t="s">
        <v>758</v>
      </c>
      <c r="F50" s="1430">
        <f>+F38+F42+F46</f>
        <v>2835173</v>
      </c>
      <c r="G50" s="1430">
        <f>+G38+G42+G46</f>
        <v>2483889</v>
      </c>
    </row>
    <row r="51" spans="2:10" ht="21.75" customHeight="1" thickBot="1" x14ac:dyDescent="0.3">
      <c r="B51" s="1438" t="s">
        <v>851</v>
      </c>
      <c r="C51" s="2508" t="s">
        <v>850</v>
      </c>
      <c r="D51" s="2509"/>
      <c r="E51" s="1439" t="s">
        <v>760</v>
      </c>
      <c r="F51" s="1440">
        <f>SUM(F49:F50)</f>
        <v>2902935</v>
      </c>
      <c r="G51" s="1440">
        <f>SUM(G49:G50)</f>
        <v>2613322</v>
      </c>
      <c r="H51" s="1429"/>
      <c r="I51" s="1429"/>
      <c r="J51" s="1429"/>
    </row>
    <row r="52" spans="2:10" ht="12.75" customHeight="1" x14ac:dyDescent="0.25">
      <c r="B52" s="1441"/>
      <c r="C52" s="1442"/>
      <c r="D52" s="1443"/>
      <c r="E52" s="1444"/>
      <c r="F52" s="1445"/>
      <c r="G52" s="1445"/>
      <c r="H52" s="1429"/>
      <c r="I52" s="1429"/>
      <c r="J52" s="1429"/>
    </row>
    <row r="53" spans="2:10" ht="12.75" customHeight="1" x14ac:dyDescent="0.25">
      <c r="B53" s="1441"/>
      <c r="C53" s="1442"/>
      <c r="D53" s="1443"/>
      <c r="E53" s="1444"/>
      <c r="F53" s="1445"/>
      <c r="G53" s="1445"/>
      <c r="H53" s="1429"/>
      <c r="I53" s="1429"/>
      <c r="J53" s="1429"/>
    </row>
    <row r="54" spans="2:10" ht="12" customHeight="1" x14ac:dyDescent="0.2">
      <c r="B54" s="1426"/>
      <c r="C54" s="1427" t="s">
        <v>852</v>
      </c>
      <c r="D54" s="1428"/>
      <c r="E54" s="1429" t="s">
        <v>757</v>
      </c>
      <c r="F54" s="1430">
        <v>0</v>
      </c>
      <c r="G54" s="1430">
        <v>0</v>
      </c>
      <c r="H54" s="1429"/>
      <c r="I54" s="1429"/>
      <c r="J54" s="1429"/>
    </row>
    <row r="55" spans="2:10" ht="12" customHeight="1" thickBot="1" x14ac:dyDescent="0.25">
      <c r="B55" s="1426"/>
      <c r="C55" s="1427"/>
      <c r="D55" s="1428"/>
      <c r="E55" s="1429" t="s">
        <v>758</v>
      </c>
      <c r="F55" s="1430">
        <v>0</v>
      </c>
      <c r="G55" s="1430">
        <v>0</v>
      </c>
      <c r="H55" s="1429"/>
      <c r="I55" s="1429"/>
      <c r="J55" s="1429"/>
    </row>
    <row r="56" spans="2:10" ht="35.25" customHeight="1" thickBot="1" x14ac:dyDescent="0.3">
      <c r="B56" s="1438" t="s">
        <v>853</v>
      </c>
      <c r="C56" s="2508" t="s">
        <v>852</v>
      </c>
      <c r="D56" s="2509"/>
      <c r="E56" s="1439" t="s">
        <v>760</v>
      </c>
      <c r="F56" s="1440">
        <f>SUM(F54:F55)</f>
        <v>0</v>
      </c>
      <c r="G56" s="1440">
        <f>SUM(G54:G55)</f>
        <v>0</v>
      </c>
      <c r="H56" s="1429"/>
      <c r="I56" s="1429"/>
      <c r="J56" s="1429"/>
    </row>
    <row r="57" spans="2:10" ht="12" customHeight="1" x14ac:dyDescent="0.25">
      <c r="B57" s="1422"/>
      <c r="C57" s="1423"/>
      <c r="D57" s="1424"/>
      <c r="E57" s="1416"/>
      <c r="F57" s="1425"/>
      <c r="G57" s="1425"/>
    </row>
    <row r="58" spans="2:10" ht="15" customHeight="1" x14ac:dyDescent="0.2">
      <c r="B58" s="1426"/>
      <c r="C58" s="1427" t="s">
        <v>854</v>
      </c>
      <c r="D58" s="1428"/>
      <c r="E58" s="1429" t="s">
        <v>757</v>
      </c>
      <c r="F58" s="1430">
        <f>75981+1</f>
        <v>75982</v>
      </c>
      <c r="G58" s="1430">
        <v>21996</v>
      </c>
      <c r="H58" s="1429"/>
      <c r="I58" s="1429"/>
    </row>
    <row r="59" spans="2:10" ht="12.75" customHeight="1" x14ac:dyDescent="0.2">
      <c r="B59" s="1426"/>
      <c r="C59" s="1427"/>
      <c r="D59" s="1428"/>
      <c r="E59" s="1429" t="s">
        <v>758</v>
      </c>
      <c r="F59" s="1430">
        <v>5047779</v>
      </c>
      <c r="G59" s="1430">
        <v>5170422</v>
      </c>
    </row>
    <row r="60" spans="2:10" ht="30.75" customHeight="1" x14ac:dyDescent="0.25">
      <c r="B60" s="1431" t="s">
        <v>855</v>
      </c>
      <c r="C60" s="2506" t="s">
        <v>856</v>
      </c>
      <c r="D60" s="2507"/>
      <c r="E60" s="1434" t="s">
        <v>760</v>
      </c>
      <c r="F60" s="1435">
        <f>SUM(F58:F59)</f>
        <v>5123761</v>
      </c>
      <c r="G60" s="1435">
        <f>SUM(G58:G59)</f>
        <v>5192418</v>
      </c>
    </row>
    <row r="61" spans="2:10" x14ac:dyDescent="0.2">
      <c r="B61" s="1426"/>
      <c r="C61" s="1427"/>
      <c r="D61" s="1428"/>
      <c r="E61" s="1429"/>
      <c r="F61" s="1430"/>
      <c r="G61" s="1430"/>
    </row>
    <row r="62" spans="2:10" x14ac:dyDescent="0.2">
      <c r="B62" s="1426"/>
      <c r="C62" s="1427" t="s">
        <v>857</v>
      </c>
      <c r="D62" s="1428"/>
      <c r="E62" s="1429" t="s">
        <v>757</v>
      </c>
      <c r="F62" s="1430">
        <v>575748</v>
      </c>
      <c r="G62" s="1430">
        <v>798262</v>
      </c>
    </row>
    <row r="63" spans="2:10" x14ac:dyDescent="0.2">
      <c r="B63" s="1426"/>
      <c r="C63" s="1436"/>
      <c r="D63" s="1428"/>
      <c r="E63" s="1429" t="s">
        <v>758</v>
      </c>
      <c r="F63" s="1430">
        <v>92331</v>
      </c>
      <c r="G63" s="1430">
        <v>59109</v>
      </c>
    </row>
    <row r="64" spans="2:10" ht="19.5" customHeight="1" x14ac:dyDescent="0.25">
      <c r="B64" s="1431" t="s">
        <v>858</v>
      </c>
      <c r="C64" s="1432" t="s">
        <v>857</v>
      </c>
      <c r="D64" s="1433"/>
      <c r="E64" s="1434" t="s">
        <v>760</v>
      </c>
      <c r="F64" s="1435">
        <f>SUM(F62:F63)</f>
        <v>668079</v>
      </c>
      <c r="G64" s="1435">
        <f>SUM(G62:G63)</f>
        <v>857371</v>
      </c>
    </row>
    <row r="65" spans="2:7" ht="12.75" customHeight="1" x14ac:dyDescent="0.2">
      <c r="B65" s="1426"/>
      <c r="C65" s="1427"/>
      <c r="D65" s="1428"/>
      <c r="E65" s="1429"/>
      <c r="F65" s="1430"/>
      <c r="G65" s="1430"/>
    </row>
    <row r="66" spans="2:7" x14ac:dyDescent="0.2">
      <c r="B66" s="1426"/>
      <c r="C66" s="1427" t="s">
        <v>859</v>
      </c>
      <c r="D66" s="1428"/>
      <c r="E66" s="1429" t="s">
        <v>757</v>
      </c>
      <c r="F66" s="1430">
        <v>3782</v>
      </c>
      <c r="G66" s="1430">
        <v>3699</v>
      </c>
    </row>
    <row r="67" spans="2:7" x14ac:dyDescent="0.2">
      <c r="B67" s="1426"/>
      <c r="C67" s="1427"/>
      <c r="D67" s="1428"/>
      <c r="E67" s="1429" t="s">
        <v>758</v>
      </c>
      <c r="F67" s="1430">
        <v>19133371</v>
      </c>
      <c r="G67" s="1430">
        <v>20475815</v>
      </c>
    </row>
    <row r="68" spans="2:7" ht="16.5" customHeight="1" x14ac:dyDescent="0.25">
      <c r="B68" s="1431" t="s">
        <v>860</v>
      </c>
      <c r="C68" s="1432" t="s">
        <v>859</v>
      </c>
      <c r="D68" s="1433"/>
      <c r="E68" s="1434" t="s">
        <v>760</v>
      </c>
      <c r="F68" s="1435">
        <f>SUM(F66:F67)</f>
        <v>19137153</v>
      </c>
      <c r="G68" s="1435">
        <f>SUM(G66:G67)</f>
        <v>20479514</v>
      </c>
    </row>
    <row r="69" spans="2:7" x14ac:dyDescent="0.2">
      <c r="B69" s="1426"/>
      <c r="C69" s="1427"/>
      <c r="D69" s="1428"/>
      <c r="E69" s="1429"/>
      <c r="F69" s="1430"/>
      <c r="G69" s="1430"/>
    </row>
    <row r="70" spans="2:7" ht="15" customHeight="1" x14ac:dyDescent="0.2">
      <c r="B70" s="1426"/>
      <c r="C70" s="1427" t="s">
        <v>861</v>
      </c>
      <c r="D70" s="1428"/>
      <c r="E70" s="1429" t="s">
        <v>757</v>
      </c>
      <c r="F70" s="1430">
        <f>+F58+F62+F66</f>
        <v>655512</v>
      </c>
      <c r="G70" s="1430">
        <f>+G58+G62+G66</f>
        <v>823957</v>
      </c>
    </row>
    <row r="71" spans="2:7" ht="15" thickBot="1" x14ac:dyDescent="0.25">
      <c r="B71" s="1426"/>
      <c r="C71" s="1427"/>
      <c r="D71" s="1428"/>
      <c r="E71" s="1429" t="s">
        <v>758</v>
      </c>
      <c r="F71" s="1430">
        <f>+F59+F63+F67</f>
        <v>24273481</v>
      </c>
      <c r="G71" s="1430">
        <f>+G59+G63+G67</f>
        <v>25705346</v>
      </c>
    </row>
    <row r="72" spans="2:7" ht="24.75" customHeight="1" thickBot="1" x14ac:dyDescent="0.3">
      <c r="B72" s="1438" t="s">
        <v>862</v>
      </c>
      <c r="C72" s="2508" t="s">
        <v>861</v>
      </c>
      <c r="D72" s="2509"/>
      <c r="E72" s="1439" t="s">
        <v>760</v>
      </c>
      <c r="F72" s="1440">
        <f>SUM(F70:F71)</f>
        <v>24928993</v>
      </c>
      <c r="G72" s="1440">
        <f>SUM(G70:G71)</f>
        <v>26529303</v>
      </c>
    </row>
    <row r="73" spans="2:7" x14ac:dyDescent="0.2">
      <c r="B73" s="1426"/>
      <c r="C73" s="1427"/>
      <c r="D73" s="1428"/>
      <c r="E73" s="1429"/>
      <c r="F73" s="1430"/>
      <c r="G73" s="1430"/>
    </row>
    <row r="74" spans="2:7" ht="15" x14ac:dyDescent="0.25">
      <c r="B74" s="1426"/>
      <c r="C74" s="1423" t="s">
        <v>828</v>
      </c>
      <c r="D74" s="1428"/>
      <c r="E74" s="1429" t="s">
        <v>757</v>
      </c>
      <c r="F74" s="1430">
        <f>+F33+F49+F54+F70</f>
        <v>6706902</v>
      </c>
      <c r="G74" s="1430">
        <f>+G33+G49+G54+G70</f>
        <v>6728096</v>
      </c>
    </row>
    <row r="75" spans="2:7" ht="15" thickBot="1" x14ac:dyDescent="0.25">
      <c r="B75" s="1426"/>
      <c r="C75" s="1427"/>
      <c r="D75" s="1428"/>
      <c r="E75" s="1429" t="s">
        <v>758</v>
      </c>
      <c r="F75" s="1430">
        <f>+F34+F50+F55+F71</f>
        <v>96411188</v>
      </c>
      <c r="G75" s="1430">
        <f>+G34+G50+G55+G71</f>
        <v>97754407</v>
      </c>
    </row>
    <row r="76" spans="2:7" ht="24.75" customHeight="1" thickBot="1" x14ac:dyDescent="0.3">
      <c r="B76" s="1438"/>
      <c r="C76" s="2508" t="s">
        <v>863</v>
      </c>
      <c r="D76" s="2509"/>
      <c r="E76" s="1439" t="s">
        <v>760</v>
      </c>
      <c r="F76" s="1440">
        <f>SUM(F74:F75)</f>
        <v>103118090</v>
      </c>
      <c r="G76" s="1440">
        <f>SUM(G74:G75)</f>
        <v>104482503</v>
      </c>
    </row>
    <row r="77" spans="2:7" ht="12.75" customHeight="1" x14ac:dyDescent="0.2"/>
    <row r="78" spans="2:7" x14ac:dyDescent="0.2">
      <c r="F78" s="1446">
        <f>+'23 eszközök'!F139</f>
        <v>103118090</v>
      </c>
      <c r="G78" s="1446">
        <f>+'23 eszközök'!G139</f>
        <v>104482503</v>
      </c>
    </row>
    <row r="79" spans="2:7" x14ac:dyDescent="0.2">
      <c r="F79" s="1446">
        <f>+F76-F78</f>
        <v>0</v>
      </c>
      <c r="G79" s="1446">
        <f>+G76-G78</f>
        <v>0</v>
      </c>
    </row>
    <row r="82" spans="8:8" ht="15" customHeight="1" x14ac:dyDescent="0.2"/>
    <row r="83" spans="8:8" ht="12" customHeight="1" x14ac:dyDescent="0.2"/>
    <row r="84" spans="8:8" x14ac:dyDescent="0.2">
      <c r="H84" s="1446"/>
    </row>
    <row r="85" spans="8:8" x14ac:dyDescent="0.2">
      <c r="H85" s="1446"/>
    </row>
    <row r="86" spans="8:8" x14ac:dyDescent="0.2">
      <c r="H86" s="1446"/>
    </row>
    <row r="88" spans="8:8" ht="21" customHeight="1" x14ac:dyDescent="0.2"/>
  </sheetData>
  <mergeCells count="9">
    <mergeCell ref="C60:D60"/>
    <mergeCell ref="C72:D72"/>
    <mergeCell ref="C76:D76"/>
    <mergeCell ref="B2:G2"/>
    <mergeCell ref="B3:G3"/>
    <mergeCell ref="C5:D5"/>
    <mergeCell ref="C35:D35"/>
    <mergeCell ref="C51:D51"/>
    <mergeCell ref="C56:D56"/>
  </mergeCells>
  <printOptions horizontalCentered="1" verticalCentered="1"/>
  <pageMargins left="0.19685039370078741" right="0.19685039370078741" top="0.39370078740157483" bottom="0.35433070866141736" header="0.15748031496062992" footer="0.31496062992125984"/>
  <pageSetup paperSize="9" scale="65" orientation="portrait" r:id="rId1"/>
  <headerFooter alignWithMargins="0">
    <oddHeader>&amp;R&amp;"Arial CE,Félkövér"&amp;13 24. melléklet a …../2022. (…….) önkormányzati rendelethez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3:L218"/>
  <sheetViews>
    <sheetView zoomScale="75" zoomScaleNormal="75" workbookViewId="0">
      <selection activeCell="R13" sqref="R13"/>
    </sheetView>
  </sheetViews>
  <sheetFormatPr defaultColWidth="12" defaultRowHeight="15" x14ac:dyDescent="0.2"/>
  <cols>
    <col min="1" max="1" width="5.33203125" style="1447" customWidth="1"/>
    <col min="2" max="2" width="44" style="1447" customWidth="1"/>
    <col min="3" max="3" width="13.1640625" style="1472" customWidth="1"/>
    <col min="4" max="4" width="63.5" style="1447" customWidth="1"/>
    <col min="5" max="5" width="13.1640625" style="1472" customWidth="1"/>
    <col min="6" max="6" width="15.6640625" style="1447" customWidth="1"/>
    <col min="7" max="8" width="12" style="1447"/>
    <col min="9" max="9" width="12" style="1447" customWidth="1"/>
    <col min="10" max="16384" width="12" style="1447"/>
  </cols>
  <sheetData>
    <row r="3" spans="2:6" ht="18.75" customHeight="1" x14ac:dyDescent="0.3">
      <c r="B3" s="2514" t="s">
        <v>712</v>
      </c>
      <c r="C3" s="2514"/>
      <c r="D3" s="2514"/>
      <c r="E3" s="2514"/>
      <c r="F3" s="2514"/>
    </row>
    <row r="4" spans="2:6" ht="24" customHeight="1" x14ac:dyDescent="0.25">
      <c r="B4" s="2515" t="s">
        <v>1414</v>
      </c>
      <c r="C4" s="2515"/>
      <c r="D4" s="2515"/>
      <c r="E4" s="2515"/>
      <c r="F4" s="2515"/>
    </row>
    <row r="5" spans="2:6" s="1448" customFormat="1" ht="24" customHeight="1" x14ac:dyDescent="0.25">
      <c r="B5" s="2516" t="s">
        <v>864</v>
      </c>
      <c r="C5" s="2516"/>
      <c r="D5" s="2516"/>
      <c r="E5" s="2516"/>
      <c r="F5" s="2516"/>
    </row>
    <row r="6" spans="2:6" ht="16.5" x14ac:dyDescent="0.25">
      <c r="B6" s="2516" t="s">
        <v>865</v>
      </c>
      <c r="C6" s="2516"/>
      <c r="D6" s="2516"/>
      <c r="E6" s="2516"/>
      <c r="F6" s="2516"/>
    </row>
    <row r="7" spans="2:6" ht="16.5" x14ac:dyDescent="0.25">
      <c r="B7" s="2516" t="s">
        <v>866</v>
      </c>
      <c r="C7" s="2516"/>
      <c r="D7" s="2516"/>
      <c r="E7" s="2516"/>
      <c r="F7" s="2516"/>
    </row>
    <row r="8" spans="2:6" ht="17.25" thickBot="1" x14ac:dyDescent="0.3">
      <c r="B8" s="2513" t="s">
        <v>867</v>
      </c>
      <c r="C8" s="2513"/>
      <c r="D8" s="2513"/>
      <c r="E8" s="2513"/>
      <c r="F8" s="2513"/>
    </row>
    <row r="9" spans="2:6" ht="42" customHeight="1" thickBot="1" x14ac:dyDescent="0.3">
      <c r="B9" s="1449" t="s">
        <v>868</v>
      </c>
      <c r="C9" s="1450" t="s">
        <v>869</v>
      </c>
      <c r="D9" s="1451" t="s">
        <v>870</v>
      </c>
      <c r="E9" s="1452" t="s">
        <v>871</v>
      </c>
      <c r="F9" s="1453" t="s">
        <v>872</v>
      </c>
    </row>
    <row r="10" spans="2:6" ht="24.75" customHeight="1" x14ac:dyDescent="0.25">
      <c r="B10" s="1454" t="s">
        <v>873</v>
      </c>
      <c r="C10" s="1455"/>
      <c r="D10" s="1456"/>
      <c r="E10" s="1457"/>
      <c r="F10" s="1458"/>
    </row>
    <row r="11" spans="2:6" x14ac:dyDescent="0.2">
      <c r="B11" s="1459" t="s">
        <v>874</v>
      </c>
      <c r="C11" s="1460">
        <v>50846</v>
      </c>
      <c r="D11" s="1461" t="s">
        <v>875</v>
      </c>
      <c r="E11" s="1462">
        <v>28873</v>
      </c>
      <c r="F11" s="1458"/>
    </row>
    <row r="12" spans="2:6" x14ac:dyDescent="0.2">
      <c r="B12" s="1459"/>
      <c r="C12" s="1460"/>
      <c r="D12" s="1461" t="s">
        <v>876</v>
      </c>
      <c r="E12" s="1462">
        <v>14078</v>
      </c>
      <c r="F12" s="1458"/>
    </row>
    <row r="13" spans="2:6" x14ac:dyDescent="0.2">
      <c r="B13" s="1459"/>
      <c r="C13" s="1460"/>
      <c r="D13" s="1461" t="s">
        <v>877</v>
      </c>
      <c r="E13" s="1462">
        <v>4524</v>
      </c>
      <c r="F13" s="1458"/>
    </row>
    <row r="14" spans="2:6" x14ac:dyDescent="0.2">
      <c r="B14" s="1459"/>
      <c r="C14" s="1463"/>
      <c r="D14" s="1461" t="s">
        <v>878</v>
      </c>
      <c r="E14" s="1462">
        <v>1135</v>
      </c>
      <c r="F14" s="1458"/>
    </row>
    <row r="15" spans="2:6" x14ac:dyDescent="0.2">
      <c r="B15" s="1459"/>
      <c r="C15" s="1463"/>
      <c r="D15" s="1461" t="s">
        <v>879</v>
      </c>
      <c r="E15" s="1462">
        <v>1500</v>
      </c>
      <c r="F15" s="1458"/>
    </row>
    <row r="16" spans="2:6" x14ac:dyDescent="0.2">
      <c r="B16" s="1459"/>
      <c r="C16" s="1460"/>
      <c r="D16" s="1461" t="s">
        <v>880</v>
      </c>
      <c r="E16" s="1462">
        <v>736</v>
      </c>
      <c r="F16" s="1458"/>
    </row>
    <row r="17" spans="2:9" s="1448" customFormat="1" ht="23.25" customHeight="1" thickBot="1" x14ac:dyDescent="0.3">
      <c r="B17" s="1464"/>
      <c r="C17" s="1465">
        <f>SUM(C11:C16)</f>
        <v>50846</v>
      </c>
      <c r="D17" s="1466"/>
      <c r="E17" s="1467">
        <f>SUM(E11:E16)</f>
        <v>50846</v>
      </c>
      <c r="F17" s="1468">
        <f>C17-E17</f>
        <v>0</v>
      </c>
    </row>
    <row r="18" spans="2:9" s="1448" customFormat="1" ht="19.5" customHeight="1" x14ac:dyDescent="0.25">
      <c r="B18" s="1454" t="s">
        <v>881</v>
      </c>
      <c r="C18" s="1463"/>
      <c r="D18" s="1456"/>
      <c r="E18" s="1457"/>
      <c r="F18" s="1469"/>
      <c r="I18" s="1447"/>
    </row>
    <row r="19" spans="2:9" x14ac:dyDescent="0.2">
      <c r="B19" s="1459" t="s">
        <v>882</v>
      </c>
      <c r="C19" s="1460">
        <v>488825</v>
      </c>
      <c r="D19" s="1461" t="s">
        <v>883</v>
      </c>
      <c r="E19" s="1462">
        <v>32035</v>
      </c>
      <c r="F19" s="1458"/>
    </row>
    <row r="20" spans="2:9" x14ac:dyDescent="0.2">
      <c r="B20" s="1459" t="s">
        <v>59</v>
      </c>
      <c r="C20" s="1463"/>
      <c r="D20" s="1461" t="s">
        <v>884</v>
      </c>
      <c r="E20" s="1462">
        <v>4070</v>
      </c>
      <c r="F20" s="1458"/>
      <c r="I20" s="1447" t="s">
        <v>59</v>
      </c>
    </row>
    <row r="21" spans="2:9" x14ac:dyDescent="0.2">
      <c r="B21" s="1459" t="s">
        <v>59</v>
      </c>
      <c r="C21" s="1463" t="s">
        <v>59</v>
      </c>
      <c r="D21" s="1461" t="s">
        <v>885</v>
      </c>
      <c r="E21" s="1462">
        <v>47933</v>
      </c>
      <c r="F21" s="1458"/>
    </row>
    <row r="22" spans="2:9" x14ac:dyDescent="0.2">
      <c r="B22" s="1459"/>
      <c r="C22" s="1460"/>
      <c r="D22" s="1461" t="s">
        <v>886</v>
      </c>
      <c r="E22" s="1462">
        <v>1982</v>
      </c>
      <c r="F22" s="1458"/>
    </row>
    <row r="23" spans="2:9" x14ac:dyDescent="0.2">
      <c r="B23" s="1459"/>
      <c r="C23" s="1460"/>
      <c r="D23" s="1461" t="s">
        <v>887</v>
      </c>
      <c r="E23" s="1462">
        <v>6481</v>
      </c>
      <c r="F23" s="1458"/>
    </row>
    <row r="24" spans="2:9" x14ac:dyDescent="0.2">
      <c r="B24" s="1459"/>
      <c r="C24" s="1463"/>
      <c r="D24" s="1461" t="s">
        <v>888</v>
      </c>
      <c r="E24" s="1462">
        <v>6222</v>
      </c>
      <c r="F24" s="1458"/>
    </row>
    <row r="25" spans="2:9" x14ac:dyDescent="0.2">
      <c r="B25" s="1459"/>
      <c r="C25" s="1460"/>
      <c r="D25" s="1461" t="s">
        <v>889</v>
      </c>
      <c r="E25" s="1462">
        <v>9089</v>
      </c>
      <c r="F25" s="1458"/>
    </row>
    <row r="26" spans="2:9" x14ac:dyDescent="0.2">
      <c r="B26" s="1459"/>
      <c r="C26" s="1463"/>
      <c r="D26" s="1461" t="s">
        <v>890</v>
      </c>
      <c r="E26" s="1462">
        <v>538</v>
      </c>
      <c r="F26" s="1458"/>
    </row>
    <row r="27" spans="2:9" x14ac:dyDescent="0.2">
      <c r="B27" s="1459"/>
      <c r="C27" s="1463"/>
      <c r="D27" s="1461" t="s">
        <v>891</v>
      </c>
      <c r="E27" s="1462">
        <v>729</v>
      </c>
      <c r="F27" s="1458"/>
    </row>
    <row r="28" spans="2:9" x14ac:dyDescent="0.2">
      <c r="B28" s="1459"/>
      <c r="C28" s="1463"/>
      <c r="D28" s="1461" t="s">
        <v>892</v>
      </c>
      <c r="E28" s="1462">
        <f>450+21863</f>
        <v>22313</v>
      </c>
      <c r="F28" s="1458"/>
    </row>
    <row r="29" spans="2:9" x14ac:dyDescent="0.2">
      <c r="B29" s="1459"/>
      <c r="C29" s="1463"/>
      <c r="D29" s="1461" t="s">
        <v>893</v>
      </c>
      <c r="E29" s="1462">
        <v>22728</v>
      </c>
      <c r="F29" s="1458"/>
    </row>
    <row r="30" spans="2:9" x14ac:dyDescent="0.2">
      <c r="B30" s="1459"/>
      <c r="C30" s="1463"/>
      <c r="D30" s="1461" t="s">
        <v>894</v>
      </c>
      <c r="E30" s="1462">
        <v>17603</v>
      </c>
      <c r="F30" s="1458"/>
    </row>
    <row r="31" spans="2:9" x14ac:dyDescent="0.2">
      <c r="B31" s="1459"/>
      <c r="C31" s="1460"/>
      <c r="D31" s="1461" t="s">
        <v>895</v>
      </c>
      <c r="E31" s="1462">
        <v>1126</v>
      </c>
      <c r="F31" s="1458"/>
    </row>
    <row r="32" spans="2:9" x14ac:dyDescent="0.2">
      <c r="B32" s="1459"/>
      <c r="C32" s="1460"/>
      <c r="D32" s="1461" t="s">
        <v>896</v>
      </c>
      <c r="E32" s="1462">
        <v>10907</v>
      </c>
      <c r="F32" s="1458"/>
    </row>
    <row r="33" spans="2:7" x14ac:dyDescent="0.2">
      <c r="B33" s="1459"/>
      <c r="C33" s="1463"/>
      <c r="D33" s="1461" t="s">
        <v>897</v>
      </c>
      <c r="E33" s="1462">
        <v>30809</v>
      </c>
      <c r="F33" s="1458"/>
    </row>
    <row r="34" spans="2:7" s="1448" customFormat="1" ht="24.75" customHeight="1" thickBot="1" x14ac:dyDescent="0.3">
      <c r="B34" s="1464"/>
      <c r="C34" s="1465">
        <f>SUM(C19:C31)</f>
        <v>488825</v>
      </c>
      <c r="D34" s="1466"/>
      <c r="E34" s="1467">
        <f>SUM(E19:E33)</f>
        <v>214565</v>
      </c>
      <c r="F34" s="1468">
        <f>C34-E34</f>
        <v>274260</v>
      </c>
      <c r="G34" s="1448" t="s">
        <v>59</v>
      </c>
    </row>
    <row r="35" spans="2:7" ht="18.75" customHeight="1" x14ac:dyDescent="0.25">
      <c r="B35" s="1454" t="s">
        <v>898</v>
      </c>
      <c r="C35" s="1470"/>
      <c r="D35" s="1461"/>
      <c r="E35" s="1462"/>
      <c r="F35" s="1471"/>
    </row>
    <row r="36" spans="2:7" x14ac:dyDescent="0.2">
      <c r="B36" s="1459" t="s">
        <v>899</v>
      </c>
      <c r="C36" s="1460">
        <v>493187</v>
      </c>
      <c r="D36" s="1461" t="s">
        <v>900</v>
      </c>
      <c r="E36" s="1462">
        <v>9851</v>
      </c>
      <c r="F36" s="1458"/>
      <c r="G36" s="1447" t="s">
        <v>59</v>
      </c>
    </row>
    <row r="37" spans="2:7" x14ac:dyDescent="0.2">
      <c r="B37" s="1459" t="s">
        <v>901</v>
      </c>
      <c r="C37" s="1460">
        <v>-28127</v>
      </c>
      <c r="D37" s="1461" t="s">
        <v>902</v>
      </c>
      <c r="E37" s="1462">
        <v>19307</v>
      </c>
      <c r="F37" s="1458"/>
    </row>
    <row r="38" spans="2:7" x14ac:dyDescent="0.2">
      <c r="B38" s="1459" t="s">
        <v>59</v>
      </c>
      <c r="C38" s="1463" t="s">
        <v>59</v>
      </c>
      <c r="D38" s="1461" t="s">
        <v>903</v>
      </c>
      <c r="E38" s="1462">
        <v>15266</v>
      </c>
      <c r="F38" s="1458"/>
      <c r="G38" s="1447" t="s">
        <v>59</v>
      </c>
    </row>
    <row r="39" spans="2:7" x14ac:dyDescent="0.2">
      <c r="B39" s="1459"/>
      <c r="C39" s="1463"/>
      <c r="D39" s="1461" t="s">
        <v>904</v>
      </c>
      <c r="E39" s="1462">
        <v>30965</v>
      </c>
      <c r="F39" s="1458"/>
      <c r="G39" s="1472" t="s">
        <v>59</v>
      </c>
    </row>
    <row r="40" spans="2:7" x14ac:dyDescent="0.2">
      <c r="B40" s="1459"/>
      <c r="C40" s="1463"/>
      <c r="D40" s="1461" t="s">
        <v>888</v>
      </c>
      <c r="E40" s="1462">
        <v>113</v>
      </c>
      <c r="F40" s="1458"/>
    </row>
    <row r="41" spans="2:7" x14ac:dyDescent="0.2">
      <c r="B41" s="1459"/>
      <c r="C41" s="1463"/>
      <c r="D41" s="1461" t="s">
        <v>905</v>
      </c>
      <c r="E41" s="1462">
        <f>18500+69022</f>
        <v>87522</v>
      </c>
      <c r="F41" s="1458"/>
    </row>
    <row r="42" spans="2:7" x14ac:dyDescent="0.2">
      <c r="B42" s="1459"/>
      <c r="C42" s="1463"/>
      <c r="D42" s="1461" t="s">
        <v>906</v>
      </c>
      <c r="E42" s="1462">
        <f>26681+18717</f>
        <v>45398</v>
      </c>
      <c r="F42" s="1458"/>
    </row>
    <row r="43" spans="2:7" x14ac:dyDescent="0.2">
      <c r="B43" s="1459"/>
      <c r="C43" s="1463"/>
      <c r="D43" s="1461" t="s">
        <v>892</v>
      </c>
      <c r="E43" s="1462">
        <f>200+41364+3500</f>
        <v>45064</v>
      </c>
      <c r="F43" s="1458"/>
    </row>
    <row r="44" spans="2:7" x14ac:dyDescent="0.2">
      <c r="B44" s="1459"/>
      <c r="C44" s="1463"/>
      <c r="D44" s="1461" t="s">
        <v>893</v>
      </c>
      <c r="E44" s="1462">
        <v>44264</v>
      </c>
      <c r="F44" s="1458"/>
    </row>
    <row r="45" spans="2:7" x14ac:dyDescent="0.2">
      <c r="B45" s="1459"/>
      <c r="C45" s="1463"/>
      <c r="D45" s="1461" t="s">
        <v>907</v>
      </c>
      <c r="E45" s="1462">
        <f>24875+383+1163</f>
        <v>26421</v>
      </c>
      <c r="F45" s="1458"/>
    </row>
    <row r="46" spans="2:7" x14ac:dyDescent="0.2">
      <c r="B46" s="1459"/>
      <c r="C46" s="1463"/>
      <c r="D46" s="1461" t="s">
        <v>908</v>
      </c>
      <c r="E46" s="1462">
        <v>960</v>
      </c>
      <c r="F46" s="1458"/>
    </row>
    <row r="47" spans="2:7" x14ac:dyDescent="0.2">
      <c r="B47" s="1459"/>
      <c r="C47" s="1463"/>
      <c r="D47" s="1461" t="s">
        <v>909</v>
      </c>
      <c r="E47" s="1462">
        <v>4527</v>
      </c>
      <c r="F47" s="1458"/>
    </row>
    <row r="48" spans="2:7" s="1448" customFormat="1" ht="21.75" customHeight="1" thickBot="1" x14ac:dyDescent="0.3">
      <c r="B48" s="1464"/>
      <c r="C48" s="1465">
        <f>SUM(C36:C47)</f>
        <v>465060</v>
      </c>
      <c r="D48" s="1466"/>
      <c r="E48" s="1467">
        <f>SUM(E36:E47)</f>
        <v>329658</v>
      </c>
      <c r="F48" s="1468">
        <f>F34+C48-E48</f>
        <v>409662</v>
      </c>
      <c r="G48" s="1473" t="s">
        <v>59</v>
      </c>
    </row>
    <row r="49" spans="2:7" ht="15.95" customHeight="1" x14ac:dyDescent="0.25">
      <c r="B49" s="1454" t="s">
        <v>910</v>
      </c>
      <c r="C49" s="1462"/>
      <c r="D49" s="1474" t="s">
        <v>911</v>
      </c>
      <c r="E49" s="1462">
        <v>133269</v>
      </c>
      <c r="F49" s="1458"/>
      <c r="G49" s="1447" t="s">
        <v>59</v>
      </c>
    </row>
    <row r="50" spans="2:7" ht="15.95" customHeight="1" x14ac:dyDescent="0.2">
      <c r="B50" s="1459" t="s">
        <v>899</v>
      </c>
      <c r="C50" s="1460">
        <v>193170</v>
      </c>
      <c r="D50" s="1461" t="s">
        <v>912</v>
      </c>
      <c r="E50" s="1462">
        <v>525</v>
      </c>
      <c r="F50" s="1458"/>
      <c r="G50" s="1472" t="s">
        <v>59</v>
      </c>
    </row>
    <row r="51" spans="2:7" ht="15.95" customHeight="1" x14ac:dyDescent="0.2">
      <c r="B51" s="1459" t="s">
        <v>901</v>
      </c>
      <c r="C51" s="1460">
        <v>-4770</v>
      </c>
      <c r="D51" s="1461" t="s">
        <v>913</v>
      </c>
      <c r="E51" s="1462">
        <v>140734</v>
      </c>
      <c r="F51" s="1458"/>
    </row>
    <row r="52" spans="2:7" ht="15.95" customHeight="1" x14ac:dyDescent="0.2">
      <c r="B52" s="1459"/>
      <c r="C52" s="1463"/>
      <c r="D52" s="1461" t="s">
        <v>914</v>
      </c>
      <c r="E52" s="1462">
        <v>406</v>
      </c>
      <c r="F52" s="1458"/>
    </row>
    <row r="53" spans="2:7" ht="15.95" customHeight="1" x14ac:dyDescent="0.2">
      <c r="B53" s="1459" t="s">
        <v>915</v>
      </c>
      <c r="C53" s="1460">
        <v>5312</v>
      </c>
      <c r="D53" s="1461" t="s">
        <v>916</v>
      </c>
      <c r="E53" s="1462">
        <v>375</v>
      </c>
      <c r="F53" s="1458"/>
    </row>
    <row r="54" spans="2:7" ht="15.95" customHeight="1" x14ac:dyDescent="0.2">
      <c r="B54" s="1459"/>
      <c r="C54" s="1463"/>
      <c r="D54" s="1461" t="s">
        <v>917</v>
      </c>
      <c r="E54" s="1462">
        <f>10759+332</f>
        <v>11091</v>
      </c>
      <c r="F54" s="1458"/>
    </row>
    <row r="55" spans="2:7" ht="15.95" customHeight="1" x14ac:dyDescent="0.2">
      <c r="B55" s="1459"/>
      <c r="C55" s="1463"/>
      <c r="D55" s="1461" t="s">
        <v>918</v>
      </c>
      <c r="E55" s="1462">
        <v>4187</v>
      </c>
      <c r="F55" s="1458"/>
    </row>
    <row r="56" spans="2:7" ht="15.95" customHeight="1" x14ac:dyDescent="0.2">
      <c r="B56" s="1459"/>
      <c r="C56" s="1463"/>
      <c r="D56" s="1461" t="s">
        <v>919</v>
      </c>
      <c r="E56" s="1462">
        <v>128635</v>
      </c>
      <c r="F56" s="1458"/>
    </row>
    <row r="57" spans="2:7" ht="20.100000000000001" customHeight="1" thickBot="1" x14ac:dyDescent="0.3">
      <c r="B57" s="1464"/>
      <c r="C57" s="1465">
        <f>SUM(C50:C56)</f>
        <v>193712</v>
      </c>
      <c r="D57" s="1466"/>
      <c r="E57" s="1467">
        <f>SUM(E49:E56)</f>
        <v>419222</v>
      </c>
      <c r="F57" s="1468">
        <f>F48+C57-E57</f>
        <v>184152</v>
      </c>
    </row>
    <row r="58" spans="2:7" ht="15.95" customHeight="1" x14ac:dyDescent="0.25">
      <c r="B58" s="1454" t="s">
        <v>920</v>
      </c>
      <c r="C58" s="1462"/>
      <c r="D58" s="1474" t="s">
        <v>921</v>
      </c>
      <c r="E58" s="1462">
        <v>4152</v>
      </c>
      <c r="F58" s="1471" t="s">
        <v>59</v>
      </c>
    </row>
    <row r="59" spans="2:7" ht="15.95" customHeight="1" x14ac:dyDescent="0.2">
      <c r="B59" s="1459" t="s">
        <v>899</v>
      </c>
      <c r="C59" s="1475">
        <v>200124</v>
      </c>
      <c r="D59" s="1461" t="s">
        <v>922</v>
      </c>
      <c r="E59" s="1462">
        <v>1408</v>
      </c>
      <c r="F59" s="1458"/>
    </row>
    <row r="60" spans="2:7" ht="15.95" customHeight="1" x14ac:dyDescent="0.2">
      <c r="B60" s="1459" t="s">
        <v>901</v>
      </c>
      <c r="C60" s="1475">
        <v>-345</v>
      </c>
      <c r="D60" s="1461" t="s">
        <v>913</v>
      </c>
      <c r="E60" s="1462">
        <v>65692</v>
      </c>
      <c r="F60" s="1458"/>
    </row>
    <row r="61" spans="2:7" ht="15.95" customHeight="1" x14ac:dyDescent="0.2">
      <c r="B61" s="1459" t="s">
        <v>59</v>
      </c>
      <c r="C61" s="1475"/>
      <c r="D61" s="1461" t="s">
        <v>923</v>
      </c>
      <c r="E61" s="1462">
        <v>14958</v>
      </c>
      <c r="F61" s="1458"/>
    </row>
    <row r="62" spans="2:7" ht="15.95" customHeight="1" x14ac:dyDescent="0.2">
      <c r="B62" s="1476" t="s">
        <v>915</v>
      </c>
      <c r="C62" s="1475">
        <v>5731</v>
      </c>
      <c r="D62" s="1461" t="s">
        <v>924</v>
      </c>
      <c r="E62" s="1462">
        <v>12874</v>
      </c>
      <c r="F62" s="1458"/>
    </row>
    <row r="63" spans="2:7" ht="15.95" customHeight="1" x14ac:dyDescent="0.2">
      <c r="B63" s="1459" t="s">
        <v>59</v>
      </c>
      <c r="C63" s="1475"/>
      <c r="D63" s="1461" t="s">
        <v>925</v>
      </c>
      <c r="E63" s="1462">
        <v>20264</v>
      </c>
      <c r="F63" s="1458"/>
    </row>
    <row r="64" spans="2:7" ht="15.95" customHeight="1" x14ac:dyDescent="0.2">
      <c r="B64" s="1459"/>
      <c r="C64" s="1475"/>
      <c r="D64" s="1461" t="s">
        <v>926</v>
      </c>
      <c r="E64" s="1462">
        <v>66482</v>
      </c>
      <c r="F64" s="1458"/>
    </row>
    <row r="65" spans="2:7" ht="20.100000000000001" customHeight="1" thickBot="1" x14ac:dyDescent="0.3">
      <c r="B65" s="1464"/>
      <c r="C65" s="1477">
        <f>SUM(C58:C64)</f>
        <v>205510</v>
      </c>
      <c r="D65" s="1466"/>
      <c r="E65" s="1467">
        <f>SUM(E58:E64)</f>
        <v>185830</v>
      </c>
      <c r="F65" s="1468">
        <f>F57+C65-E65</f>
        <v>203832</v>
      </c>
    </row>
    <row r="66" spans="2:7" ht="15.95" customHeight="1" x14ac:dyDescent="0.25">
      <c r="B66" s="1454" t="s">
        <v>927</v>
      </c>
      <c r="C66" s="1478"/>
      <c r="D66" s="1474" t="s">
        <v>926</v>
      </c>
      <c r="E66" s="1462">
        <f>44950+117070</f>
        <v>162020</v>
      </c>
      <c r="F66" s="1458"/>
    </row>
    <row r="67" spans="2:7" ht="15.95" customHeight="1" x14ac:dyDescent="0.2">
      <c r="B67" s="1459" t="s">
        <v>928</v>
      </c>
      <c r="C67" s="1475">
        <v>141152</v>
      </c>
      <c r="D67" s="1461" t="s">
        <v>913</v>
      </c>
      <c r="E67" s="1462">
        <v>66926</v>
      </c>
      <c r="F67" s="1458"/>
    </row>
    <row r="68" spans="2:7" ht="15.95" customHeight="1" x14ac:dyDescent="0.2">
      <c r="B68" s="1459" t="s">
        <v>929</v>
      </c>
      <c r="C68" s="1475">
        <v>93279</v>
      </c>
      <c r="D68" s="1461" t="s">
        <v>930</v>
      </c>
      <c r="E68" s="1462">
        <v>17229</v>
      </c>
      <c r="F68" s="1458"/>
    </row>
    <row r="69" spans="2:7" ht="15.95" customHeight="1" x14ac:dyDescent="0.2">
      <c r="B69" s="1459"/>
      <c r="C69" s="1475"/>
      <c r="D69" s="1461" t="s">
        <v>931</v>
      </c>
      <c r="E69" s="1462">
        <f>4000+842+8600+169+10926</f>
        <v>24537</v>
      </c>
      <c r="F69" s="1458"/>
    </row>
    <row r="70" spans="2:7" ht="20.100000000000001" customHeight="1" thickBot="1" x14ac:dyDescent="0.3">
      <c r="B70" s="1464"/>
      <c r="C70" s="1477">
        <f>SUM(C67:C69)</f>
        <v>234431</v>
      </c>
      <c r="D70" s="1466"/>
      <c r="E70" s="1467">
        <f>SUM(E66:E69)</f>
        <v>270712</v>
      </c>
      <c r="F70" s="1468">
        <f>F65+C70-E70</f>
        <v>167551</v>
      </c>
    </row>
    <row r="71" spans="2:7" s="1448" customFormat="1" ht="37.5" customHeight="1" thickBot="1" x14ac:dyDescent="0.3">
      <c r="B71" s="1449" t="s">
        <v>868</v>
      </c>
      <c r="C71" s="1450" t="s">
        <v>869</v>
      </c>
      <c r="D71" s="1451" t="s">
        <v>870</v>
      </c>
      <c r="E71" s="1452" t="s">
        <v>871</v>
      </c>
      <c r="F71" s="1453" t="s">
        <v>872</v>
      </c>
      <c r="G71" s="1473"/>
    </row>
    <row r="72" spans="2:7" ht="15.95" customHeight="1" x14ac:dyDescent="0.25">
      <c r="B72" s="1479" t="s">
        <v>932</v>
      </c>
      <c r="C72" s="1480"/>
      <c r="D72" s="1481" t="s">
        <v>926</v>
      </c>
      <c r="E72" s="1482">
        <v>139680</v>
      </c>
      <c r="F72" s="1483"/>
    </row>
    <row r="73" spans="2:7" ht="15.95" customHeight="1" x14ac:dyDescent="0.2">
      <c r="B73" s="1459" t="s">
        <v>928</v>
      </c>
      <c r="C73" s="1475">
        <v>133061</v>
      </c>
      <c r="D73" s="1461" t="s">
        <v>933</v>
      </c>
      <c r="E73" s="1462">
        <v>1612</v>
      </c>
      <c r="F73" s="1458"/>
    </row>
    <row r="74" spans="2:7" ht="15.95" customHeight="1" x14ac:dyDescent="0.2">
      <c r="B74" s="1459"/>
      <c r="C74" s="1475"/>
      <c r="D74" s="1461" t="s">
        <v>913</v>
      </c>
      <c r="E74" s="1462">
        <f>14300+69001</f>
        <v>83301</v>
      </c>
      <c r="F74" s="1458"/>
    </row>
    <row r="75" spans="2:7" ht="15.95" customHeight="1" x14ac:dyDescent="0.2">
      <c r="B75" s="1459" t="s">
        <v>929</v>
      </c>
      <c r="C75" s="1475">
        <v>116625</v>
      </c>
      <c r="D75" s="1461" t="s">
        <v>930</v>
      </c>
      <c r="E75" s="1462">
        <v>14221</v>
      </c>
      <c r="F75" s="1458"/>
    </row>
    <row r="76" spans="2:7" x14ac:dyDescent="0.2">
      <c r="B76" s="1459"/>
      <c r="C76" s="1475"/>
      <c r="D76" s="1461" t="s">
        <v>931</v>
      </c>
      <c r="E76" s="1462">
        <v>9144</v>
      </c>
      <c r="F76" s="1458"/>
    </row>
    <row r="77" spans="2:7" ht="20.100000000000001" customHeight="1" thickBot="1" x14ac:dyDescent="0.3">
      <c r="B77" s="1464"/>
      <c r="C77" s="1477">
        <f>SUM(C73:C76)</f>
        <v>249686</v>
      </c>
      <c r="D77" s="1466"/>
      <c r="E77" s="1467">
        <f>SUM(E72:E76)</f>
        <v>247958</v>
      </c>
      <c r="F77" s="1468">
        <f>F70+C77-E77</f>
        <v>169279</v>
      </c>
    </row>
    <row r="78" spans="2:7" ht="15.95" customHeight="1" x14ac:dyDescent="0.25">
      <c r="B78" s="1479" t="s">
        <v>934</v>
      </c>
      <c r="C78" s="1480"/>
      <c r="D78" s="1481" t="s">
        <v>926</v>
      </c>
      <c r="E78" s="1482">
        <v>96430</v>
      </c>
      <c r="F78" s="1483"/>
    </row>
    <row r="79" spans="2:7" ht="15.95" customHeight="1" x14ac:dyDescent="0.2">
      <c r="B79" s="1459" t="s">
        <v>928</v>
      </c>
      <c r="C79" s="1475">
        <v>83899</v>
      </c>
      <c r="D79" s="1461" t="s">
        <v>933</v>
      </c>
      <c r="E79" s="1462">
        <v>1263</v>
      </c>
      <c r="F79" s="1458"/>
    </row>
    <row r="80" spans="2:7" ht="15.95" customHeight="1" x14ac:dyDescent="0.2">
      <c r="B80" s="1459"/>
      <c r="C80" s="1475"/>
      <c r="D80" s="1461" t="s">
        <v>935</v>
      </c>
      <c r="E80" s="1462">
        <v>53368</v>
      </c>
      <c r="F80" s="1458"/>
    </row>
    <row r="81" spans="2:12" ht="15.95" customHeight="1" x14ac:dyDescent="0.2">
      <c r="B81" s="1459" t="s">
        <v>929</v>
      </c>
      <c r="C81" s="1475">
        <v>117221</v>
      </c>
      <c r="D81" s="1461" t="s">
        <v>936</v>
      </c>
      <c r="E81" s="1462">
        <v>81240</v>
      </c>
      <c r="F81" s="1458"/>
    </row>
    <row r="82" spans="2:12" ht="15.95" customHeight="1" x14ac:dyDescent="0.2">
      <c r="B82" s="1484"/>
      <c r="C82" s="1475"/>
      <c r="D82" s="1461" t="s">
        <v>930</v>
      </c>
      <c r="E82" s="1462">
        <v>15709</v>
      </c>
      <c r="F82" s="1458"/>
    </row>
    <row r="83" spans="2:12" ht="15.95" customHeight="1" x14ac:dyDescent="0.2">
      <c r="B83" s="1459"/>
      <c r="C83" s="1475"/>
      <c r="D83" s="1461" t="s">
        <v>937</v>
      </c>
      <c r="E83" s="1462">
        <v>5701</v>
      </c>
      <c r="F83" s="1458"/>
    </row>
    <row r="84" spans="2:12" ht="20.100000000000001" customHeight="1" thickBot="1" x14ac:dyDescent="0.3">
      <c r="B84" s="1464"/>
      <c r="C84" s="1477">
        <f>SUM(C79:C83)</f>
        <v>201120</v>
      </c>
      <c r="D84" s="1466"/>
      <c r="E84" s="1467">
        <f>SUM(E78:E83)</f>
        <v>253711</v>
      </c>
      <c r="F84" s="1468">
        <f>F77+C84-E84</f>
        <v>116688</v>
      </c>
    </row>
    <row r="85" spans="2:12" ht="15.95" customHeight="1" x14ac:dyDescent="0.25">
      <c r="B85" s="1479" t="s">
        <v>938</v>
      </c>
      <c r="C85" s="1480"/>
      <c r="D85" s="1481" t="s">
        <v>926</v>
      </c>
      <c r="E85" s="1482">
        <v>107592</v>
      </c>
      <c r="F85" s="1483"/>
    </row>
    <row r="86" spans="2:12" ht="15.95" customHeight="1" x14ac:dyDescent="0.2">
      <c r="B86" s="1459" t="s">
        <v>928</v>
      </c>
      <c r="C86" s="1475">
        <f>47847+375359</f>
        <v>423206</v>
      </c>
      <c r="D86" s="1461" t="s">
        <v>933</v>
      </c>
      <c r="E86" s="1462">
        <v>1085</v>
      </c>
      <c r="F86" s="1458"/>
      <c r="H86" s="1461"/>
      <c r="I86" s="1461"/>
      <c r="J86" s="1461"/>
      <c r="K86" s="1461"/>
      <c r="L86" s="1461"/>
    </row>
    <row r="87" spans="2:12" ht="15.95" customHeight="1" x14ac:dyDescent="0.2">
      <c r="B87" s="1459"/>
      <c r="C87" s="1475"/>
      <c r="D87" s="1461" t="s">
        <v>935</v>
      </c>
      <c r="E87" s="1462">
        <v>55184</v>
      </c>
      <c r="F87" s="1458"/>
      <c r="H87" s="1461"/>
      <c r="I87" s="1461"/>
      <c r="J87" s="1461"/>
      <c r="K87" s="1461"/>
      <c r="L87" s="1461"/>
    </row>
    <row r="88" spans="2:12" ht="15.95" customHeight="1" x14ac:dyDescent="0.2">
      <c r="B88" s="1459" t="s">
        <v>929</v>
      </c>
      <c r="C88" s="1475">
        <v>156276</v>
      </c>
      <c r="D88" s="1461" t="s">
        <v>939</v>
      </c>
      <c r="E88" s="1462">
        <f>385641+36610-220707</f>
        <v>201544</v>
      </c>
      <c r="F88" s="1458"/>
      <c r="H88" s="1461"/>
      <c r="I88" s="1461"/>
      <c r="J88" s="1461"/>
      <c r="K88" s="1461"/>
      <c r="L88" s="1461"/>
    </row>
    <row r="89" spans="2:12" ht="15.95" customHeight="1" x14ac:dyDescent="0.2">
      <c r="B89" s="1459"/>
      <c r="C89" s="1478"/>
      <c r="D89" s="1485" t="s">
        <v>930</v>
      </c>
      <c r="E89" s="1462">
        <v>10566</v>
      </c>
      <c r="F89" s="1458"/>
      <c r="H89" s="1461"/>
      <c r="I89" s="1461"/>
      <c r="J89" s="1461"/>
      <c r="K89" s="1461"/>
      <c r="L89" s="1461"/>
    </row>
    <row r="90" spans="2:12" ht="15.95" customHeight="1" x14ac:dyDescent="0.2">
      <c r="B90" s="1459"/>
      <c r="C90" s="1475"/>
      <c r="D90" s="1461" t="s">
        <v>937</v>
      </c>
      <c r="E90" s="1462">
        <v>5926</v>
      </c>
      <c r="F90" s="1458"/>
      <c r="H90" s="1461"/>
      <c r="I90" s="1461"/>
      <c r="J90" s="1461"/>
      <c r="K90" s="1461"/>
      <c r="L90" s="1461"/>
    </row>
    <row r="91" spans="2:12" ht="20.100000000000001" customHeight="1" thickBot="1" x14ac:dyDescent="0.3">
      <c r="B91" s="1464"/>
      <c r="C91" s="1477">
        <f>SUM(C86:C90)</f>
        <v>579482</v>
      </c>
      <c r="D91" s="1466"/>
      <c r="E91" s="1467">
        <f>SUM(E85:E90)</f>
        <v>381897</v>
      </c>
      <c r="F91" s="1468">
        <f>F84+C91-E91</f>
        <v>314273</v>
      </c>
      <c r="H91" s="1461"/>
      <c r="I91" s="1461"/>
      <c r="J91" s="1461"/>
      <c r="K91" s="1461"/>
      <c r="L91" s="1461"/>
    </row>
    <row r="92" spans="2:12" ht="15.95" customHeight="1" x14ac:dyDescent="0.25">
      <c r="B92" s="1454" t="s">
        <v>940</v>
      </c>
      <c r="C92" s="1475"/>
      <c r="D92" s="1461" t="s">
        <v>926</v>
      </c>
      <c r="E92" s="1462">
        <v>90541</v>
      </c>
      <c r="F92" s="1458"/>
      <c r="H92" s="1461"/>
      <c r="I92" s="1461"/>
      <c r="J92" s="1461"/>
      <c r="K92" s="1461"/>
      <c r="L92" s="1461"/>
    </row>
    <row r="93" spans="2:12" ht="15.95" customHeight="1" x14ac:dyDescent="0.2">
      <c r="B93" s="1459" t="s">
        <v>928</v>
      </c>
      <c r="C93" s="1475"/>
      <c r="D93" s="1461" t="s">
        <v>933</v>
      </c>
      <c r="E93" s="1462">
        <v>1085</v>
      </c>
      <c r="F93" s="1458"/>
      <c r="H93" s="1461"/>
      <c r="I93" s="1461"/>
      <c r="J93" s="1461"/>
      <c r="K93" s="1461"/>
      <c r="L93" s="1461"/>
    </row>
    <row r="94" spans="2:12" ht="15.95" customHeight="1" x14ac:dyDescent="0.2">
      <c r="B94" s="1459"/>
      <c r="C94" s="1475"/>
      <c r="D94" s="1461" t="s">
        <v>935</v>
      </c>
      <c r="E94" s="1462">
        <v>31851</v>
      </c>
      <c r="F94" s="1458"/>
      <c r="H94" s="1461"/>
      <c r="I94" s="1461"/>
      <c r="J94" s="1461"/>
      <c r="K94" s="1461"/>
      <c r="L94" s="1461"/>
    </row>
    <row r="95" spans="2:12" ht="15.95" customHeight="1" x14ac:dyDescent="0.2">
      <c r="B95" s="1459" t="s">
        <v>929</v>
      </c>
      <c r="C95" s="1475">
        <v>144167</v>
      </c>
      <c r="D95" s="1461" t="s">
        <v>939</v>
      </c>
      <c r="E95" s="1462">
        <v>53846</v>
      </c>
      <c r="F95" s="1458"/>
      <c r="H95" s="1461"/>
      <c r="I95" s="1461"/>
      <c r="J95" s="1461"/>
      <c r="K95" s="1461"/>
      <c r="L95" s="1461"/>
    </row>
    <row r="96" spans="2:12" ht="15.95" customHeight="1" x14ac:dyDescent="0.2">
      <c r="B96" s="1484"/>
      <c r="C96" s="1475"/>
      <c r="D96" s="1461" t="s">
        <v>930</v>
      </c>
      <c r="E96" s="1462">
        <v>635</v>
      </c>
      <c r="F96" s="1458"/>
      <c r="H96" s="1461"/>
      <c r="I96" s="1461"/>
      <c r="J96" s="1461"/>
      <c r="K96" s="1461"/>
      <c r="L96" s="1461"/>
    </row>
    <row r="97" spans="2:12" ht="15.95" customHeight="1" x14ac:dyDescent="0.2">
      <c r="B97" s="1459"/>
      <c r="C97" s="1475"/>
      <c r="D97" s="1461" t="s">
        <v>937</v>
      </c>
      <c r="E97" s="1462"/>
      <c r="F97" s="1458"/>
      <c r="H97" s="1461"/>
      <c r="I97" s="1461"/>
      <c r="J97" s="1461"/>
      <c r="K97" s="1461"/>
      <c r="L97" s="1461"/>
    </row>
    <row r="98" spans="2:12" ht="20.100000000000001" customHeight="1" thickBot="1" x14ac:dyDescent="0.3">
      <c r="B98" s="1464"/>
      <c r="C98" s="1477">
        <f>SUM(C93:C97)</f>
        <v>144167</v>
      </c>
      <c r="D98" s="1466"/>
      <c r="E98" s="1467">
        <f>SUM(E92:E97)</f>
        <v>177958</v>
      </c>
      <c r="F98" s="1468">
        <f>F91+C98-E98</f>
        <v>280482</v>
      </c>
      <c r="H98" s="1461"/>
      <c r="I98" s="1461"/>
      <c r="J98" s="1461"/>
      <c r="K98" s="1461"/>
      <c r="L98" s="1461"/>
    </row>
    <row r="99" spans="2:12" ht="15.95" customHeight="1" x14ac:dyDescent="0.25">
      <c r="B99" s="1454" t="s">
        <v>941</v>
      </c>
      <c r="C99" s="1475"/>
      <c r="D99" s="1461" t="s">
        <v>926</v>
      </c>
      <c r="E99" s="1462">
        <v>65050</v>
      </c>
      <c r="F99" s="1458"/>
      <c r="H99" s="1461"/>
      <c r="I99" s="1461"/>
      <c r="J99" s="1461"/>
      <c r="K99" s="1461"/>
      <c r="L99" s="1461"/>
    </row>
    <row r="100" spans="2:12" ht="15.95" customHeight="1" x14ac:dyDescent="0.2">
      <c r="B100" s="1459" t="s">
        <v>928</v>
      </c>
      <c r="C100" s="1475"/>
      <c r="D100" s="1461" t="s">
        <v>933</v>
      </c>
      <c r="E100" s="1462">
        <v>1085</v>
      </c>
      <c r="F100" s="1458"/>
      <c r="H100" s="1461"/>
      <c r="I100" s="1461"/>
      <c r="J100" s="1461"/>
      <c r="K100" s="1461"/>
      <c r="L100" s="1461"/>
    </row>
    <row r="101" spans="2:12" ht="15.95" customHeight="1" x14ac:dyDescent="0.2">
      <c r="B101" s="1459"/>
      <c r="C101" s="1475"/>
      <c r="D101" s="1461" t="s">
        <v>935</v>
      </c>
      <c r="E101" s="1462">
        <v>65231</v>
      </c>
      <c r="F101" s="1458"/>
      <c r="H101" s="1461"/>
      <c r="I101" s="1461"/>
      <c r="J101" s="1461"/>
      <c r="K101" s="1461"/>
      <c r="L101" s="1461"/>
    </row>
    <row r="102" spans="2:12" ht="15.95" customHeight="1" x14ac:dyDescent="0.2">
      <c r="B102" s="1459" t="s">
        <v>929</v>
      </c>
      <c r="C102" s="1475">
        <v>117418</v>
      </c>
      <c r="D102" s="1461" t="s">
        <v>942</v>
      </c>
      <c r="E102" s="1462">
        <v>87849</v>
      </c>
      <c r="F102" s="1458"/>
      <c r="H102" s="1461"/>
      <c r="I102" s="1461"/>
      <c r="J102" s="1461"/>
      <c r="K102" s="1461"/>
      <c r="L102" s="1461"/>
    </row>
    <row r="103" spans="2:12" ht="15.95" customHeight="1" x14ac:dyDescent="0.2">
      <c r="B103" s="1484"/>
      <c r="C103" s="1475"/>
      <c r="D103" s="1461" t="s">
        <v>943</v>
      </c>
      <c r="E103" s="1461">
        <v>4500</v>
      </c>
      <c r="F103" s="1458"/>
      <c r="H103" s="1461"/>
      <c r="I103" s="1461"/>
      <c r="J103" s="1461"/>
      <c r="K103" s="1461"/>
      <c r="L103" s="1461"/>
    </row>
    <row r="104" spans="2:12" ht="15.95" customHeight="1" x14ac:dyDescent="0.2">
      <c r="B104" s="1459"/>
      <c r="C104" s="1475"/>
      <c r="D104" s="1485" t="s">
        <v>930</v>
      </c>
      <c r="E104" s="1462">
        <v>638</v>
      </c>
      <c r="F104" s="1458"/>
      <c r="H104" s="1461"/>
      <c r="I104" s="1461"/>
      <c r="J104" s="1461"/>
      <c r="K104" s="1461"/>
      <c r="L104" s="1461"/>
    </row>
    <row r="105" spans="2:12" ht="15.95" customHeight="1" x14ac:dyDescent="0.25">
      <c r="B105" s="1459"/>
      <c r="C105" s="1475"/>
      <c r="D105" s="1274" t="s">
        <v>944</v>
      </c>
      <c r="E105" s="1457">
        <v>9971</v>
      </c>
      <c r="F105" s="1458"/>
      <c r="H105" s="1461"/>
      <c r="I105" s="1461"/>
      <c r="J105" s="1461"/>
      <c r="K105" s="1461"/>
      <c r="L105" s="1461"/>
    </row>
    <row r="106" spans="2:12" ht="20.100000000000001" customHeight="1" thickBot="1" x14ac:dyDescent="0.3">
      <c r="B106" s="1464"/>
      <c r="C106" s="1477">
        <f>SUM(C100:C105)</f>
        <v>117418</v>
      </c>
      <c r="D106" s="1466"/>
      <c r="E106" s="1467">
        <f>SUM(E99:E105)</f>
        <v>234324</v>
      </c>
      <c r="F106" s="1468">
        <f>F98+C106-E106</f>
        <v>163576</v>
      </c>
      <c r="H106" s="1461"/>
      <c r="I106" s="1461"/>
      <c r="J106" s="1461"/>
      <c r="K106" s="1461"/>
      <c r="L106" s="1461"/>
    </row>
    <row r="107" spans="2:12" ht="15.95" customHeight="1" x14ac:dyDescent="0.25">
      <c r="B107" s="1454" t="s">
        <v>945</v>
      </c>
      <c r="C107" s="1475"/>
      <c r="D107" s="1461" t="s">
        <v>926</v>
      </c>
      <c r="E107" s="1462">
        <v>85080</v>
      </c>
      <c r="F107" s="1458"/>
      <c r="H107" s="1461"/>
      <c r="I107" s="1461"/>
      <c r="J107" s="1461"/>
      <c r="K107" s="1461"/>
      <c r="L107" s="1461"/>
    </row>
    <row r="108" spans="2:12" ht="15.95" customHeight="1" x14ac:dyDescent="0.2">
      <c r="B108" s="1459" t="s">
        <v>928</v>
      </c>
      <c r="C108" s="1475">
        <v>22826</v>
      </c>
      <c r="D108" s="1461" t="s">
        <v>933</v>
      </c>
      <c r="E108" s="1462">
        <v>1085</v>
      </c>
      <c r="F108" s="1458"/>
      <c r="H108" s="1461"/>
      <c r="I108" s="1461"/>
      <c r="J108" s="1461"/>
      <c r="K108" s="1461"/>
      <c r="L108" s="1461"/>
    </row>
    <row r="109" spans="2:12" ht="15.95" customHeight="1" x14ac:dyDescent="0.2">
      <c r="B109" s="1459"/>
      <c r="C109" s="1475"/>
      <c r="D109" s="1461" t="s">
        <v>935</v>
      </c>
      <c r="E109" s="1462">
        <v>53128</v>
      </c>
      <c r="F109" s="1458"/>
      <c r="H109" s="1461"/>
      <c r="I109" s="1461"/>
      <c r="J109" s="1461"/>
      <c r="K109" s="1461"/>
      <c r="L109" s="1461"/>
    </row>
    <row r="110" spans="2:12" ht="15.95" customHeight="1" x14ac:dyDescent="0.2">
      <c r="B110" s="1459" t="s">
        <v>929</v>
      </c>
      <c r="C110" s="1475">
        <v>114943</v>
      </c>
      <c r="D110" s="1461" t="s">
        <v>946</v>
      </c>
      <c r="E110" s="1462">
        <v>4849</v>
      </c>
      <c r="F110" s="1458"/>
      <c r="H110" s="1461"/>
      <c r="I110" s="1461"/>
      <c r="J110" s="1461"/>
      <c r="K110" s="1461"/>
      <c r="L110" s="1461"/>
    </row>
    <row r="111" spans="2:12" ht="15.95" customHeight="1" x14ac:dyDescent="0.2">
      <c r="B111" s="1484"/>
      <c r="C111" s="1475"/>
      <c r="D111" s="1461" t="s">
        <v>943</v>
      </c>
      <c r="E111" s="1462">
        <f>26500+42546</f>
        <v>69046</v>
      </c>
      <c r="F111" s="1458"/>
      <c r="H111" s="1461"/>
      <c r="I111" s="1461"/>
      <c r="J111" s="1461"/>
      <c r="K111" s="1461"/>
      <c r="L111" s="1461"/>
    </row>
    <row r="112" spans="2:12" ht="15.95" customHeight="1" x14ac:dyDescent="0.2">
      <c r="B112" s="1459"/>
      <c r="C112" s="1475"/>
      <c r="D112" s="1461" t="s">
        <v>947</v>
      </c>
      <c r="E112" s="1462">
        <v>792</v>
      </c>
      <c r="F112" s="1458"/>
      <c r="H112" s="1461"/>
      <c r="I112" s="1461"/>
      <c r="J112" s="1461"/>
      <c r="K112" s="1461"/>
      <c r="L112" s="1461"/>
    </row>
    <row r="113" spans="2:12" ht="15.95" customHeight="1" x14ac:dyDescent="0.25">
      <c r="B113" s="1459"/>
      <c r="C113" s="1475"/>
      <c r="D113" s="1274" t="s">
        <v>944</v>
      </c>
      <c r="E113" s="1457">
        <f>113+4233</f>
        <v>4346</v>
      </c>
      <c r="F113" s="1458"/>
      <c r="H113" s="1461"/>
      <c r="I113" s="1461"/>
      <c r="J113" s="1461"/>
      <c r="K113" s="1461"/>
      <c r="L113" s="1461"/>
    </row>
    <row r="114" spans="2:12" ht="20.100000000000001" customHeight="1" thickBot="1" x14ac:dyDescent="0.3">
      <c r="B114" s="1464"/>
      <c r="C114" s="1477">
        <f>SUM(C108:C113)</f>
        <v>137769</v>
      </c>
      <c r="D114" s="1466"/>
      <c r="E114" s="1467">
        <f>SUM(E107:E113)</f>
        <v>218326</v>
      </c>
      <c r="F114" s="1468">
        <f>F106+C114-E114</f>
        <v>83019</v>
      </c>
      <c r="H114" s="1461"/>
      <c r="I114" s="1461"/>
      <c r="J114" s="1461"/>
      <c r="K114" s="1461"/>
      <c r="L114" s="1461"/>
    </row>
    <row r="115" spans="2:12" ht="15.75" x14ac:dyDescent="0.25">
      <c r="B115" s="1454" t="s">
        <v>948</v>
      </c>
      <c r="C115" s="1475"/>
      <c r="D115" s="1461" t="s">
        <v>926</v>
      </c>
      <c r="E115" s="1462">
        <v>68260</v>
      </c>
      <c r="F115" s="1458"/>
      <c r="H115" s="1461"/>
      <c r="I115" s="1461"/>
      <c r="J115" s="1461"/>
      <c r="K115" s="1461"/>
      <c r="L115" s="1461"/>
    </row>
    <row r="116" spans="2:12" x14ac:dyDescent="0.2">
      <c r="B116" s="1459" t="s">
        <v>928</v>
      </c>
      <c r="C116" s="1486"/>
      <c r="D116" s="1461" t="s">
        <v>933</v>
      </c>
      <c r="E116" s="1487">
        <v>1085</v>
      </c>
      <c r="F116" s="1458"/>
    </row>
    <row r="117" spans="2:12" x14ac:dyDescent="0.2">
      <c r="B117" s="1459"/>
      <c r="C117" s="1475"/>
      <c r="D117" s="1461" t="s">
        <v>935</v>
      </c>
      <c r="E117" s="1462">
        <v>34439</v>
      </c>
      <c r="F117" s="1458"/>
    </row>
    <row r="118" spans="2:12" x14ac:dyDescent="0.2">
      <c r="B118" s="1459" t="s">
        <v>929</v>
      </c>
      <c r="C118" s="1475">
        <v>109083</v>
      </c>
      <c r="D118" s="1461" t="s">
        <v>943</v>
      </c>
      <c r="E118" s="1462">
        <f>18655+679</f>
        <v>19334</v>
      </c>
      <c r="F118" s="1458"/>
    </row>
    <row r="119" spans="2:12" x14ac:dyDescent="0.2">
      <c r="B119" s="1484"/>
      <c r="C119" s="1475"/>
      <c r="D119" s="1461" t="s">
        <v>947</v>
      </c>
      <c r="E119" s="1462">
        <v>526</v>
      </c>
      <c r="F119" s="1458"/>
    </row>
    <row r="120" spans="2:12" ht="15.75" x14ac:dyDescent="0.25">
      <c r="B120" s="1459"/>
      <c r="C120" s="1475"/>
      <c r="D120" s="1274" t="s">
        <v>944</v>
      </c>
      <c r="E120" s="1457">
        <v>81239</v>
      </c>
      <c r="F120" s="1458"/>
    </row>
    <row r="121" spans="2:12" ht="16.5" thickBot="1" x14ac:dyDescent="0.3">
      <c r="B121" s="1464"/>
      <c r="C121" s="1477">
        <f>SUM(C116:C120)</f>
        <v>109083</v>
      </c>
      <c r="D121" s="1466"/>
      <c r="E121" s="1467">
        <f>SUM(E115:E120)</f>
        <v>204883</v>
      </c>
      <c r="F121" s="1468">
        <f>F114+C121-E121</f>
        <v>-12781</v>
      </c>
    </row>
    <row r="122" spans="2:12" ht="15.75" x14ac:dyDescent="0.25">
      <c r="B122" s="1454" t="s">
        <v>949</v>
      </c>
      <c r="C122" s="1475"/>
      <c r="D122" s="1461" t="s">
        <v>926</v>
      </c>
      <c r="E122" s="1462">
        <v>13900</v>
      </c>
      <c r="F122" s="1458"/>
    </row>
    <row r="123" spans="2:12" x14ac:dyDescent="0.2">
      <c r="B123" s="1459" t="s">
        <v>928</v>
      </c>
      <c r="C123" s="1486"/>
      <c r="D123" s="1461" t="s">
        <v>933</v>
      </c>
      <c r="E123" s="1487">
        <v>1085</v>
      </c>
      <c r="F123" s="1458"/>
    </row>
    <row r="124" spans="2:12" x14ac:dyDescent="0.2">
      <c r="B124" s="1459"/>
      <c r="C124" s="1475"/>
      <c r="D124" s="1461" t="s">
        <v>935</v>
      </c>
      <c r="E124" s="1462">
        <v>18194</v>
      </c>
      <c r="F124" s="1458"/>
    </row>
    <row r="125" spans="2:12" x14ac:dyDescent="0.2">
      <c r="B125" s="1459" t="s">
        <v>929</v>
      </c>
      <c r="C125" s="1475">
        <v>97239</v>
      </c>
      <c r="D125" s="1461" t="s">
        <v>943</v>
      </c>
      <c r="E125" s="1462">
        <v>14103</v>
      </c>
      <c r="F125" s="1458"/>
    </row>
    <row r="126" spans="2:12" x14ac:dyDescent="0.2">
      <c r="B126" s="1484"/>
      <c r="C126" s="1475"/>
      <c r="D126" s="1461" t="s">
        <v>947</v>
      </c>
      <c r="E126" s="1462">
        <v>206</v>
      </c>
      <c r="F126" s="1458"/>
      <c r="G126" s="1488"/>
    </row>
    <row r="127" spans="2:12" ht="15.75" x14ac:dyDescent="0.25">
      <c r="B127" s="1459"/>
      <c r="C127" s="1475"/>
      <c r="D127" s="1274" t="s">
        <v>944</v>
      </c>
      <c r="E127" s="1457">
        <f>205083+3377</f>
        <v>208460</v>
      </c>
      <c r="F127" s="1458"/>
    </row>
    <row r="128" spans="2:12" ht="16.5" thickBot="1" x14ac:dyDescent="0.3">
      <c r="B128" s="1464"/>
      <c r="C128" s="1477">
        <f>SUM(C123:C127)</f>
        <v>97239</v>
      </c>
      <c r="D128" s="1466"/>
      <c r="E128" s="1467">
        <f>SUM(E122:E127)</f>
        <v>255948</v>
      </c>
      <c r="F128" s="1468">
        <f>F121+C128-E128</f>
        <v>-171490</v>
      </c>
    </row>
    <row r="129" spans="2:7" ht="15.75" x14ac:dyDescent="0.25">
      <c r="B129" s="1454" t="s">
        <v>950</v>
      </c>
      <c r="C129" s="1475"/>
      <c r="D129" s="1461" t="s">
        <v>926</v>
      </c>
      <c r="E129" s="1462">
        <v>1100</v>
      </c>
      <c r="F129" s="1458"/>
    </row>
    <row r="130" spans="2:7" x14ac:dyDescent="0.2">
      <c r="B130" s="1459" t="s">
        <v>928</v>
      </c>
      <c r="C130" s="1486"/>
      <c r="D130" s="1461" t="s">
        <v>951</v>
      </c>
      <c r="E130" s="1462">
        <v>17241</v>
      </c>
      <c r="F130" s="1458"/>
    </row>
    <row r="131" spans="2:7" ht="30" x14ac:dyDescent="0.2">
      <c r="B131" s="1459"/>
      <c r="C131" s="1475"/>
      <c r="D131" s="1489" t="s">
        <v>952</v>
      </c>
      <c r="E131" s="1462">
        <v>52</v>
      </c>
      <c r="F131" s="1458"/>
    </row>
    <row r="132" spans="2:7" x14ac:dyDescent="0.2">
      <c r="B132" s="1459" t="s">
        <v>929</v>
      </c>
      <c r="C132" s="1490">
        <v>82793</v>
      </c>
      <c r="D132" s="1461" t="s">
        <v>947</v>
      </c>
      <c r="E132" s="1462">
        <v>658</v>
      </c>
      <c r="F132" s="1458"/>
    </row>
    <row r="133" spans="2:7" ht="15.75" x14ac:dyDescent="0.25">
      <c r="B133" s="1484"/>
      <c r="C133" s="1475"/>
      <c r="D133" s="1274" t="s">
        <v>944</v>
      </c>
      <c r="E133" s="1457">
        <f>1029+305355</f>
        <v>306384</v>
      </c>
      <c r="F133" s="1458"/>
    </row>
    <row r="134" spans="2:7" ht="16.5" thickBot="1" x14ac:dyDescent="0.3">
      <c r="B134" s="1464"/>
      <c r="C134" s="1477">
        <f>SUM(C130:C133)</f>
        <v>82793</v>
      </c>
      <c r="D134" s="1466"/>
      <c r="E134" s="1467">
        <f>SUM(E129:E133)</f>
        <v>325435</v>
      </c>
      <c r="F134" s="1468">
        <f>F128+C134-E134</f>
        <v>-414132</v>
      </c>
    </row>
    <row r="135" spans="2:7" ht="15.75" x14ac:dyDescent="0.25">
      <c r="B135" s="1454" t="s">
        <v>953</v>
      </c>
      <c r="C135" s="1475"/>
      <c r="D135" s="1461" t="s">
        <v>926</v>
      </c>
      <c r="E135" s="1462"/>
      <c r="F135" s="1458"/>
    </row>
    <row r="136" spans="2:7" x14ac:dyDescent="0.2">
      <c r="B136" s="1459" t="s">
        <v>928</v>
      </c>
      <c r="C136" s="1486"/>
      <c r="D136" s="1461" t="s">
        <v>951</v>
      </c>
      <c r="E136" s="1462">
        <v>15156</v>
      </c>
      <c r="F136" s="1458"/>
    </row>
    <row r="137" spans="2:7" ht="30" x14ac:dyDescent="0.2">
      <c r="B137" s="1459"/>
      <c r="C137" s="1475"/>
      <c r="D137" s="1489" t="s">
        <v>952</v>
      </c>
      <c r="E137" s="1462">
        <v>2076</v>
      </c>
      <c r="F137" s="1458"/>
    </row>
    <row r="138" spans="2:7" x14ac:dyDescent="0.2">
      <c r="B138" s="1459" t="s">
        <v>929</v>
      </c>
      <c r="C138" s="1490">
        <v>70598</v>
      </c>
      <c r="D138" s="1461" t="s">
        <v>947</v>
      </c>
      <c r="E138" s="1462">
        <v>39</v>
      </c>
      <c r="F138" s="1458"/>
    </row>
    <row r="139" spans="2:7" ht="15.75" x14ac:dyDescent="0.25">
      <c r="B139" s="1484"/>
      <c r="C139" s="1475"/>
      <c r="D139" s="1274" t="s">
        <v>944</v>
      </c>
      <c r="E139" s="1457">
        <f>861+4013+59376+1135</f>
        <v>65385</v>
      </c>
      <c r="F139" s="1458"/>
    </row>
    <row r="140" spans="2:7" ht="16.5" thickBot="1" x14ac:dyDescent="0.3">
      <c r="B140" s="1464"/>
      <c r="C140" s="1477">
        <f>SUM(C136:C138)</f>
        <v>70598</v>
      </c>
      <c r="D140" s="1466"/>
      <c r="E140" s="1467">
        <f>SUM(E135:E139)</f>
        <v>82656</v>
      </c>
      <c r="F140" s="1468">
        <f>F134+C140-E140</f>
        <v>-426190</v>
      </c>
    </row>
    <row r="141" spans="2:7" ht="15.75" x14ac:dyDescent="0.25">
      <c r="B141" s="1454" t="s">
        <v>954</v>
      </c>
      <c r="C141" s="1475"/>
      <c r="D141" s="1461" t="s">
        <v>926</v>
      </c>
      <c r="E141" s="1462"/>
      <c r="F141" s="1458"/>
    </row>
    <row r="142" spans="2:7" x14ac:dyDescent="0.2">
      <c r="B142" s="1459" t="s">
        <v>928</v>
      </c>
      <c r="C142" s="1486"/>
      <c r="D142" s="1461" t="s">
        <v>951</v>
      </c>
      <c r="E142" s="1462"/>
      <c r="F142" s="1458"/>
    </row>
    <row r="143" spans="2:7" ht="30" x14ac:dyDescent="0.2">
      <c r="B143" s="1459"/>
      <c r="C143" s="1475"/>
      <c r="D143" s="1489" t="s">
        <v>952</v>
      </c>
      <c r="E143" s="1462">
        <v>1845</v>
      </c>
      <c r="F143" s="1458"/>
      <c r="G143" s="1488"/>
    </row>
    <row r="144" spans="2:7" x14ac:dyDescent="0.2">
      <c r="B144" s="1459" t="s">
        <v>929</v>
      </c>
      <c r="C144" s="1490">
        <v>58874</v>
      </c>
      <c r="D144" s="1461" t="s">
        <v>947</v>
      </c>
      <c r="E144" s="1462">
        <v>73</v>
      </c>
      <c r="F144" s="1458"/>
    </row>
    <row r="145" spans="2:9" ht="15.75" x14ac:dyDescent="0.25">
      <c r="B145" s="1484"/>
      <c r="C145" s="1475"/>
      <c r="D145" s="1274" t="s">
        <v>944</v>
      </c>
      <c r="E145" s="1457">
        <v>0</v>
      </c>
      <c r="F145" s="1458"/>
    </row>
    <row r="146" spans="2:9" ht="16.5" thickBot="1" x14ac:dyDescent="0.3">
      <c r="B146" s="1464"/>
      <c r="C146" s="1477">
        <f>SUM(C142:C144)</f>
        <v>58874</v>
      </c>
      <c r="D146" s="1466"/>
      <c r="E146" s="1467">
        <f>SUM(E141:E145)</f>
        <v>1918</v>
      </c>
      <c r="F146" s="1468">
        <f>F140+C146-E146</f>
        <v>-369234</v>
      </c>
      <c r="G146"/>
      <c r="H146"/>
      <c r="I146"/>
    </row>
    <row r="147" spans="2:9" ht="15.75" x14ac:dyDescent="0.25">
      <c r="B147" s="1454" t="s">
        <v>955</v>
      </c>
      <c r="C147" s="1475"/>
      <c r="D147" s="1461"/>
      <c r="E147" s="1462"/>
      <c r="F147" s="1458"/>
      <c r="G147"/>
      <c r="H147"/>
      <c r="I147"/>
    </row>
    <row r="148" spans="2:9" ht="15.75" x14ac:dyDescent="0.25">
      <c r="B148" s="1459" t="s">
        <v>928</v>
      </c>
      <c r="C148" s="1486"/>
      <c r="D148" s="1461" t="s">
        <v>956</v>
      </c>
      <c r="E148" s="1462">
        <v>49982</v>
      </c>
      <c r="F148" s="1458"/>
      <c r="G148" s="1491"/>
      <c r="H148"/>
      <c r="I148"/>
    </row>
    <row r="149" spans="2:9" x14ac:dyDescent="0.2">
      <c r="B149" s="1459"/>
      <c r="C149" s="1475"/>
      <c r="D149" s="1489" t="s">
        <v>957</v>
      </c>
      <c r="E149" s="1462">
        <v>19718</v>
      </c>
      <c r="F149" s="1458"/>
      <c r="G149"/>
      <c r="H149"/>
      <c r="I149"/>
    </row>
    <row r="150" spans="2:9" ht="15.75" x14ac:dyDescent="0.25">
      <c r="B150" s="1459" t="s">
        <v>929</v>
      </c>
      <c r="C150" s="1490">
        <v>62648</v>
      </c>
      <c r="D150" s="1461" t="s">
        <v>947</v>
      </c>
      <c r="E150" s="1462"/>
      <c r="F150" s="1458"/>
      <c r="G150" s="1491"/>
      <c r="H150"/>
      <c r="I150"/>
    </row>
    <row r="151" spans="2:9" ht="15.75" x14ac:dyDescent="0.25">
      <c r="B151" s="1484"/>
      <c r="C151" s="1475"/>
      <c r="D151" s="1274" t="s">
        <v>944</v>
      </c>
      <c r="E151" s="1457">
        <v>0</v>
      </c>
      <c r="F151" s="1458"/>
      <c r="G151"/>
      <c r="H151"/>
      <c r="I151"/>
    </row>
    <row r="152" spans="2:9" ht="16.5" thickBot="1" x14ac:dyDescent="0.3">
      <c r="B152" s="1464"/>
      <c r="C152" s="1477">
        <f>SUM(C148:C150)</f>
        <v>62648</v>
      </c>
      <c r="D152" s="1466"/>
      <c r="E152" s="1467">
        <f>SUM(E147:E151)</f>
        <v>69700</v>
      </c>
      <c r="F152" s="1468">
        <f>F146+C152-E152</f>
        <v>-376286</v>
      </c>
      <c r="G152"/>
      <c r="H152"/>
      <c r="I152"/>
    </row>
    <row r="153" spans="2:9" ht="15.75" x14ac:dyDescent="0.25">
      <c r="B153" s="1479" t="s">
        <v>958</v>
      </c>
      <c r="C153" s="1480"/>
      <c r="D153" s="1481"/>
      <c r="E153" s="1482"/>
      <c r="F153" s="1483"/>
      <c r="G153"/>
      <c r="H153"/>
      <c r="I153"/>
    </row>
    <row r="154" spans="2:9" x14ac:dyDescent="0.2">
      <c r="B154" s="1459" t="s">
        <v>928</v>
      </c>
      <c r="C154" s="1486">
        <v>26046</v>
      </c>
      <c r="D154" s="1489" t="s">
        <v>957</v>
      </c>
      <c r="E154" s="1462">
        <v>19764</v>
      </c>
      <c r="F154" s="1458"/>
      <c r="G154"/>
      <c r="H154"/>
      <c r="I154"/>
    </row>
    <row r="155" spans="2:9" x14ac:dyDescent="0.2">
      <c r="B155" s="1459"/>
      <c r="C155" s="1475"/>
      <c r="D155" s="1492" t="s">
        <v>944</v>
      </c>
      <c r="E155" s="1462">
        <v>4</v>
      </c>
      <c r="F155" s="1458"/>
      <c r="G155"/>
      <c r="H155"/>
      <c r="I155"/>
    </row>
    <row r="156" spans="2:9" x14ac:dyDescent="0.2">
      <c r="B156" s="1459" t="s">
        <v>929</v>
      </c>
      <c r="C156" s="1490">
        <v>50065</v>
      </c>
      <c r="D156" s="1461" t="s">
        <v>959</v>
      </c>
      <c r="E156" s="1462">
        <v>2366</v>
      </c>
      <c r="F156" s="1458"/>
      <c r="G156"/>
      <c r="H156"/>
      <c r="I156"/>
    </row>
    <row r="157" spans="2:9" ht="15.75" x14ac:dyDescent="0.25">
      <c r="B157" s="1484"/>
      <c r="C157" s="1475"/>
      <c r="D157" s="1274"/>
      <c r="E157" s="1457"/>
      <c r="F157" s="1458"/>
      <c r="G157"/>
      <c r="H157"/>
      <c r="I157"/>
    </row>
    <row r="158" spans="2:9" ht="16.5" thickBot="1" x14ac:dyDescent="0.3">
      <c r="B158" s="1464"/>
      <c r="C158" s="1477">
        <f>SUM(C154:C157)</f>
        <v>76111</v>
      </c>
      <c r="D158" s="1466"/>
      <c r="E158" s="1467">
        <f>SUM(E154:E157)</f>
        <v>22134</v>
      </c>
      <c r="F158" s="1468">
        <f>+F152+C158-E158</f>
        <v>-322309</v>
      </c>
      <c r="G158"/>
      <c r="H158"/>
      <c r="I158"/>
    </row>
    <row r="159" spans="2:9" ht="15.75" x14ac:dyDescent="0.25">
      <c r="B159" s="1479" t="s">
        <v>960</v>
      </c>
      <c r="C159" s="1480"/>
      <c r="D159" s="1481"/>
      <c r="E159" s="1482"/>
      <c r="F159" s="1493"/>
      <c r="G159"/>
      <c r="H159"/>
      <c r="I159"/>
    </row>
    <row r="160" spans="2:9" ht="15.75" x14ac:dyDescent="0.25">
      <c r="B160" s="1459" t="s">
        <v>928</v>
      </c>
      <c r="C160" s="1486">
        <v>74316</v>
      </c>
      <c r="D160" s="1489" t="s">
        <v>957</v>
      </c>
      <c r="E160" s="1462">
        <v>23662</v>
      </c>
      <c r="F160" s="1494"/>
      <c r="G160"/>
      <c r="H160"/>
      <c r="I160"/>
    </row>
    <row r="161" spans="2:9" ht="15.75" x14ac:dyDescent="0.25">
      <c r="B161" s="1459"/>
      <c r="C161" s="1475"/>
      <c r="D161" s="1492" t="s">
        <v>944</v>
      </c>
      <c r="E161" s="1462">
        <v>1948</v>
      </c>
      <c r="F161" s="1494"/>
      <c r="G161"/>
      <c r="H161"/>
      <c r="I161"/>
    </row>
    <row r="162" spans="2:9" ht="15.75" x14ac:dyDescent="0.25">
      <c r="B162" s="1459" t="s">
        <v>929</v>
      </c>
      <c r="C162" s="1490">
        <v>40185</v>
      </c>
      <c r="D162" s="1461" t="s">
        <v>959</v>
      </c>
      <c r="E162" s="1462">
        <v>1953</v>
      </c>
      <c r="F162" s="1494"/>
      <c r="G162"/>
      <c r="H162"/>
      <c r="I162"/>
    </row>
    <row r="163" spans="2:9" ht="15.75" x14ac:dyDescent="0.25">
      <c r="B163" s="1495"/>
      <c r="C163" s="1834"/>
      <c r="D163" s="1496"/>
      <c r="E163" s="1497"/>
      <c r="F163" s="1498"/>
      <c r="G163"/>
      <c r="H163"/>
      <c r="I163"/>
    </row>
    <row r="164" spans="2:9" ht="16.5" thickBot="1" x14ac:dyDescent="0.3">
      <c r="B164" s="1499"/>
      <c r="C164" s="1835">
        <f>SUM(C160:C163)</f>
        <v>114501</v>
      </c>
      <c r="D164" s="1500"/>
      <c r="E164" s="1501">
        <f>SUM(E160:E163)</f>
        <v>27563</v>
      </c>
      <c r="F164" s="1502">
        <f>+F158+C164-E164</f>
        <v>-235371</v>
      </c>
      <c r="G164"/>
      <c r="H164"/>
      <c r="I164"/>
    </row>
    <row r="165" spans="2:9" ht="15.75" x14ac:dyDescent="0.25">
      <c r="B165" s="1479" t="s">
        <v>961</v>
      </c>
      <c r="C165" s="1480"/>
      <c r="D165" s="1481"/>
      <c r="E165" s="1482"/>
      <c r="F165" s="1493"/>
      <c r="G165"/>
      <c r="H165"/>
      <c r="I165"/>
    </row>
    <row r="166" spans="2:9" ht="15.75" x14ac:dyDescent="0.25">
      <c r="B166" s="1459" t="s">
        <v>928</v>
      </c>
      <c r="C166" s="1486">
        <v>78723</v>
      </c>
      <c r="D166" s="1503" t="s">
        <v>957</v>
      </c>
      <c r="E166" s="1487">
        <v>29980</v>
      </c>
      <c r="F166" s="1494"/>
      <c r="G166"/>
      <c r="H166"/>
      <c r="I166"/>
    </row>
    <row r="167" spans="2:9" ht="15.75" x14ac:dyDescent="0.25">
      <c r="B167" s="1459"/>
      <c r="C167" s="1486"/>
      <c r="D167" s="39" t="s">
        <v>944</v>
      </c>
      <c r="E167" s="1487">
        <v>3028</v>
      </c>
      <c r="F167" s="1494"/>
      <c r="G167"/>
      <c r="H167"/>
      <c r="I167"/>
    </row>
    <row r="168" spans="2:9" ht="15.75" x14ac:dyDescent="0.25">
      <c r="B168" s="1459" t="s">
        <v>929</v>
      </c>
      <c r="C168" s="1490">
        <v>31847</v>
      </c>
      <c r="D168" s="1504" t="s">
        <v>959</v>
      </c>
      <c r="E168" s="1487">
        <v>1895</v>
      </c>
      <c r="F168" s="1494"/>
      <c r="G168"/>
      <c r="H168"/>
      <c r="I168"/>
    </row>
    <row r="169" spans="2:9" ht="15.75" x14ac:dyDescent="0.25">
      <c r="B169" s="1459"/>
      <c r="C169" s="1490"/>
      <c r="D169" s="1504" t="s">
        <v>962</v>
      </c>
      <c r="E169" s="1487">
        <v>25575</v>
      </c>
      <c r="F169" s="1494"/>
      <c r="G169"/>
      <c r="H169"/>
      <c r="I169"/>
    </row>
    <row r="170" spans="2:9" ht="15.75" x14ac:dyDescent="0.25">
      <c r="B170" s="1459"/>
      <c r="C170" s="1490"/>
      <c r="D170" s="1504" t="s">
        <v>963</v>
      </c>
      <c r="E170" s="1487">
        <v>16000</v>
      </c>
      <c r="F170" s="1494"/>
      <c r="G170"/>
      <c r="H170"/>
      <c r="I170"/>
    </row>
    <row r="171" spans="2:9" ht="15.75" x14ac:dyDescent="0.25">
      <c r="B171" s="1495"/>
      <c r="C171" s="1836"/>
      <c r="D171" s="1496"/>
      <c r="E171" s="1505"/>
      <c r="F171" s="1498"/>
      <c r="G171"/>
      <c r="H171"/>
      <c r="I171"/>
    </row>
    <row r="172" spans="2:9" ht="16.5" thickBot="1" x14ac:dyDescent="0.3">
      <c r="B172" s="1499"/>
      <c r="C172" s="1837">
        <f>SUM(C166:C171)</f>
        <v>110570</v>
      </c>
      <c r="D172" s="1506"/>
      <c r="E172" s="1507">
        <f>SUM(E166:E171)</f>
        <v>76478</v>
      </c>
      <c r="F172" s="1502">
        <f>+F164+C172-E172</f>
        <v>-201279</v>
      </c>
      <c r="G172"/>
      <c r="H172"/>
      <c r="I172"/>
    </row>
    <row r="173" spans="2:9" ht="15.75" x14ac:dyDescent="0.25">
      <c r="B173" s="1479" t="s">
        <v>964</v>
      </c>
      <c r="C173" s="1838"/>
      <c r="D173" s="1508"/>
      <c r="E173" s="1509"/>
      <c r="F173" s="1493"/>
      <c r="G173"/>
      <c r="H173"/>
      <c r="I173"/>
    </row>
    <row r="174" spans="2:9" ht="15.75" x14ac:dyDescent="0.25">
      <c r="B174" s="1459" t="s">
        <v>928</v>
      </c>
      <c r="C174" s="1486">
        <v>55643</v>
      </c>
      <c r="D174" s="1503" t="s">
        <v>957</v>
      </c>
      <c r="E174" s="1487">
        <v>29995</v>
      </c>
      <c r="F174" s="1494"/>
      <c r="G174"/>
      <c r="H174"/>
      <c r="I174"/>
    </row>
    <row r="175" spans="2:9" ht="15.75" x14ac:dyDescent="0.25">
      <c r="B175" s="1459"/>
      <c r="C175" s="1486"/>
      <c r="D175" s="39" t="s">
        <v>944</v>
      </c>
      <c r="E175" s="1487">
        <v>128</v>
      </c>
      <c r="F175" s="1494"/>
      <c r="G175"/>
      <c r="H175"/>
      <c r="I175"/>
    </row>
    <row r="176" spans="2:9" ht="15.75" x14ac:dyDescent="0.25">
      <c r="B176" s="1459" t="s">
        <v>929</v>
      </c>
      <c r="C176" s="1490">
        <v>27450</v>
      </c>
      <c r="D176" s="1504" t="s">
        <v>959</v>
      </c>
      <c r="E176" s="1487">
        <v>1837</v>
      </c>
      <c r="F176" s="1494"/>
      <c r="G176"/>
      <c r="H176"/>
      <c r="I176"/>
    </row>
    <row r="177" spans="2:9" ht="15.75" x14ac:dyDescent="0.25">
      <c r="B177" s="1459"/>
      <c r="C177" s="1490"/>
      <c r="D177" s="1504" t="s">
        <v>962</v>
      </c>
      <c r="E177" s="1487">
        <v>111151</v>
      </c>
      <c r="F177" s="1494"/>
      <c r="G177"/>
      <c r="H177"/>
      <c r="I177"/>
    </row>
    <row r="178" spans="2:9" ht="15.75" x14ac:dyDescent="0.25">
      <c r="B178" s="1459"/>
      <c r="C178" s="1839"/>
      <c r="D178" s="1461"/>
      <c r="E178" s="1510"/>
      <c r="F178" s="1494"/>
      <c r="G178"/>
      <c r="H178"/>
      <c r="I178"/>
    </row>
    <row r="179" spans="2:9" ht="15.75" x14ac:dyDescent="0.25">
      <c r="B179" s="1495"/>
      <c r="C179" s="1834"/>
      <c r="D179" s="1496"/>
      <c r="E179" s="1497"/>
      <c r="F179" s="1498"/>
      <c r="G179"/>
      <c r="H179"/>
      <c r="I179"/>
    </row>
    <row r="180" spans="2:9" ht="16.5" thickBot="1" x14ac:dyDescent="0.3">
      <c r="B180" s="1499"/>
      <c r="C180" s="1835">
        <f>SUM(C174:C179)</f>
        <v>83093</v>
      </c>
      <c r="D180" s="1500"/>
      <c r="E180" s="1501">
        <f>SUM(E174:E179)</f>
        <v>143111</v>
      </c>
      <c r="F180" s="1502">
        <f>+F172+C180-E180</f>
        <v>-261297</v>
      </c>
      <c r="G180"/>
      <c r="H180"/>
      <c r="I180"/>
    </row>
    <row r="181" spans="2:9" ht="15.75" x14ac:dyDescent="0.25">
      <c r="B181" s="1479" t="s">
        <v>965</v>
      </c>
      <c r="C181" s="1838"/>
      <c r="D181" s="1508"/>
      <c r="E181" s="1509"/>
      <c r="F181" s="1493"/>
      <c r="G181"/>
      <c r="H181"/>
      <c r="I181"/>
    </row>
    <row r="182" spans="2:9" ht="15.75" x14ac:dyDescent="0.25">
      <c r="B182" s="1459" t="s">
        <v>928</v>
      </c>
      <c r="C182" s="1486">
        <v>83142</v>
      </c>
      <c r="D182" s="1503" t="s">
        <v>957</v>
      </c>
      <c r="E182" s="1487">
        <v>33745</v>
      </c>
      <c r="F182" s="1494"/>
      <c r="G182"/>
      <c r="H182"/>
      <c r="I182"/>
    </row>
    <row r="183" spans="2:9" ht="15.75" x14ac:dyDescent="0.25">
      <c r="B183" s="1459" t="s">
        <v>929</v>
      </c>
      <c r="C183" s="1490">
        <v>23910</v>
      </c>
      <c r="D183" s="1504" t="s">
        <v>959</v>
      </c>
      <c r="E183" s="1487">
        <v>1779</v>
      </c>
      <c r="F183" s="1494"/>
      <c r="G183"/>
      <c r="H183"/>
      <c r="I183"/>
    </row>
    <row r="184" spans="2:9" ht="15.75" x14ac:dyDescent="0.25">
      <c r="B184" s="1459"/>
      <c r="C184" s="1490"/>
      <c r="D184" s="1504" t="s">
        <v>962</v>
      </c>
      <c r="E184" s="1487">
        <v>24603</v>
      </c>
      <c r="F184" s="1494"/>
      <c r="G184"/>
      <c r="H184"/>
      <c r="I184"/>
    </row>
    <row r="185" spans="2:9" ht="15.75" x14ac:dyDescent="0.25">
      <c r="B185" s="1459"/>
      <c r="C185" s="1839"/>
      <c r="D185" s="1461"/>
      <c r="E185" s="1510"/>
      <c r="F185" s="1494"/>
      <c r="G185"/>
      <c r="H185"/>
      <c r="I185"/>
    </row>
    <row r="186" spans="2:9" ht="15.75" x14ac:dyDescent="0.25">
      <c r="B186" s="1495"/>
      <c r="C186" s="1834"/>
      <c r="D186" s="1496"/>
      <c r="E186" s="1497"/>
      <c r="F186" s="1498"/>
      <c r="G186"/>
      <c r="H186"/>
      <c r="I186"/>
    </row>
    <row r="187" spans="2:9" ht="16.5" thickBot="1" x14ac:dyDescent="0.3">
      <c r="B187" s="1499"/>
      <c r="C187" s="1835">
        <f>SUM(C182:C186)</f>
        <v>107052</v>
      </c>
      <c r="D187" s="1500"/>
      <c r="E187" s="1501">
        <f>SUM(E182:E186)</f>
        <v>60127</v>
      </c>
      <c r="F187" s="1502">
        <f>+F180+C187-E187</f>
        <v>-214372</v>
      </c>
      <c r="G187"/>
      <c r="H187"/>
      <c r="I187"/>
    </row>
    <row r="188" spans="2:9" ht="15.75" x14ac:dyDescent="0.25">
      <c r="B188" s="1479" t="s">
        <v>966</v>
      </c>
      <c r="C188" s="1838"/>
      <c r="D188" s="1508"/>
      <c r="E188" s="1509"/>
      <c r="F188" s="1493"/>
      <c r="G188"/>
      <c r="H188"/>
      <c r="I188"/>
    </row>
    <row r="189" spans="2:9" ht="15.75" x14ac:dyDescent="0.25">
      <c r="B189" s="1459" t="s">
        <v>928</v>
      </c>
      <c r="C189" s="1486">
        <v>95353</v>
      </c>
      <c r="D189" s="1503" t="s">
        <v>957</v>
      </c>
      <c r="E189" s="1487">
        <v>31639</v>
      </c>
      <c r="F189" s="1494"/>
      <c r="G189"/>
      <c r="H189"/>
      <c r="I189"/>
    </row>
    <row r="190" spans="2:9" ht="15.75" x14ac:dyDescent="0.25">
      <c r="B190" s="1459" t="s">
        <v>929</v>
      </c>
      <c r="C190" s="1490">
        <v>16052</v>
      </c>
      <c r="D190" s="1504" t="s">
        <v>959</v>
      </c>
      <c r="E190" s="1487">
        <v>383</v>
      </c>
      <c r="F190" s="1494"/>
      <c r="G190"/>
      <c r="H190"/>
      <c r="I190"/>
    </row>
    <row r="191" spans="2:9" ht="15.75" x14ac:dyDescent="0.25">
      <c r="B191" s="1459"/>
      <c r="C191" s="1490"/>
      <c r="D191" s="1504" t="s">
        <v>962</v>
      </c>
      <c r="E191" s="1487">
        <v>56335</v>
      </c>
      <c r="F191" s="1494"/>
      <c r="G191"/>
      <c r="H191"/>
      <c r="I191"/>
    </row>
    <row r="192" spans="2:9" ht="15.75" x14ac:dyDescent="0.25">
      <c r="B192" s="1459"/>
      <c r="C192" s="1839"/>
      <c r="D192" s="1461"/>
      <c r="E192" s="1510"/>
      <c r="F192" s="1494"/>
      <c r="G192"/>
      <c r="H192"/>
      <c r="I192"/>
    </row>
    <row r="193" spans="2:9" ht="15.75" x14ac:dyDescent="0.25">
      <c r="B193" s="1495"/>
      <c r="C193" s="1834"/>
      <c r="D193" s="1496"/>
      <c r="E193" s="1497"/>
      <c r="F193" s="1498"/>
      <c r="G193"/>
      <c r="H193"/>
      <c r="I193"/>
    </row>
    <row r="194" spans="2:9" ht="16.5" thickBot="1" x14ac:dyDescent="0.3">
      <c r="B194" s="1499"/>
      <c r="C194" s="1835">
        <f>SUM(C189:C193)</f>
        <v>111405</v>
      </c>
      <c r="D194" s="1500"/>
      <c r="E194" s="1501">
        <f>SUM(E189:E193)</f>
        <v>88357</v>
      </c>
      <c r="F194" s="1502">
        <f>+F187+C194-E194</f>
        <v>-191324</v>
      </c>
      <c r="G194"/>
      <c r="H194"/>
      <c r="I194"/>
    </row>
    <row r="195" spans="2:9" ht="15.75" x14ac:dyDescent="0.25">
      <c r="B195" s="1479" t="s">
        <v>967</v>
      </c>
      <c r="C195" s="1838"/>
      <c r="D195" s="1508"/>
      <c r="E195" s="1509"/>
      <c r="F195" s="1493"/>
      <c r="G195"/>
      <c r="H195"/>
      <c r="I195"/>
    </row>
    <row r="196" spans="2:9" ht="15.75" x14ac:dyDescent="0.25">
      <c r="B196" s="1459" t="s">
        <v>928</v>
      </c>
      <c r="C196" s="1486">
        <v>44466</v>
      </c>
      <c r="D196" s="1503" t="s">
        <v>957</v>
      </c>
      <c r="E196" s="1487">
        <v>29314</v>
      </c>
      <c r="F196" s="1494"/>
      <c r="G196"/>
      <c r="H196"/>
      <c r="I196"/>
    </row>
    <row r="197" spans="2:9" ht="15.75" x14ac:dyDescent="0.25">
      <c r="B197" s="1459" t="s">
        <v>929</v>
      </c>
      <c r="C197" s="1490">
        <v>10823</v>
      </c>
      <c r="D197" s="1504" t="s">
        <v>962</v>
      </c>
      <c r="E197" s="1487">
        <v>36529</v>
      </c>
      <c r="F197" s="1494"/>
      <c r="G197"/>
      <c r="H197"/>
      <c r="I197"/>
    </row>
    <row r="198" spans="2:9" ht="15.75" x14ac:dyDescent="0.25">
      <c r="B198" s="1459"/>
      <c r="C198" s="1839"/>
      <c r="D198" s="1461"/>
      <c r="E198" s="1510"/>
      <c r="F198" s="1494"/>
      <c r="G198"/>
      <c r="H198"/>
      <c r="I198"/>
    </row>
    <row r="199" spans="2:9" ht="15.75" x14ac:dyDescent="0.25">
      <c r="B199" s="1495"/>
      <c r="C199" s="1834"/>
      <c r="D199" s="1496"/>
      <c r="E199" s="1497"/>
      <c r="F199" s="1498"/>
      <c r="G199"/>
      <c r="H199"/>
      <c r="I199"/>
    </row>
    <row r="200" spans="2:9" ht="16.5" thickBot="1" x14ac:dyDescent="0.3">
      <c r="B200" s="1499"/>
      <c r="C200" s="1835">
        <f>SUM(C196:C199)</f>
        <v>55289</v>
      </c>
      <c r="D200" s="1500"/>
      <c r="E200" s="1501">
        <f>SUM(E196:E199)</f>
        <v>65843</v>
      </c>
      <c r="F200" s="1502">
        <f>+F194+C200-E200</f>
        <v>-201878</v>
      </c>
      <c r="G200"/>
      <c r="H200"/>
      <c r="I200"/>
    </row>
    <row r="201" spans="2:9" ht="15.75" x14ac:dyDescent="0.25">
      <c r="B201" s="1479" t="s">
        <v>752</v>
      </c>
      <c r="C201" s="1838"/>
      <c r="D201" s="1508"/>
      <c r="E201" s="1509"/>
      <c r="F201" s="1493"/>
      <c r="G201"/>
      <c r="H201"/>
      <c r="I201"/>
    </row>
    <row r="202" spans="2:9" ht="15.75" x14ac:dyDescent="0.25">
      <c r="B202" s="1459" t="s">
        <v>928</v>
      </c>
      <c r="C202" s="1486">
        <v>82343</v>
      </c>
      <c r="D202" s="1503" t="s">
        <v>957</v>
      </c>
      <c r="E202" s="1487">
        <v>29269</v>
      </c>
      <c r="F202" s="1494"/>
      <c r="G202"/>
      <c r="H202"/>
      <c r="I202"/>
    </row>
    <row r="203" spans="2:9" ht="15.75" x14ac:dyDescent="0.25">
      <c r="B203" s="1459" t="s">
        <v>929</v>
      </c>
      <c r="C203" s="1490">
        <v>9185</v>
      </c>
      <c r="D203" s="1504" t="s">
        <v>962</v>
      </c>
      <c r="E203" s="1487">
        <v>58546</v>
      </c>
      <c r="F203" s="1494"/>
      <c r="G203"/>
      <c r="H203"/>
      <c r="I203"/>
    </row>
    <row r="204" spans="2:9" ht="15.75" x14ac:dyDescent="0.25">
      <c r="B204" s="1459"/>
      <c r="C204" s="1839"/>
      <c r="D204" s="1461"/>
      <c r="E204" s="1510"/>
      <c r="F204" s="1494"/>
      <c r="G204"/>
      <c r="H204"/>
      <c r="I204"/>
    </row>
    <row r="205" spans="2:9" ht="15.75" x14ac:dyDescent="0.25">
      <c r="B205" s="1495"/>
      <c r="C205" s="1834"/>
      <c r="D205" s="1496"/>
      <c r="E205" s="1497"/>
      <c r="F205" s="1498"/>
      <c r="G205"/>
      <c r="H205"/>
      <c r="I205"/>
    </row>
    <row r="206" spans="2:9" ht="16.5" thickBot="1" x14ac:dyDescent="0.3">
      <c r="B206" s="1499"/>
      <c r="C206" s="1835">
        <f>SUM(C202:C205)</f>
        <v>91528</v>
      </c>
      <c r="D206" s="1500"/>
      <c r="E206" s="1501">
        <f>SUM(E202:E205)</f>
        <v>87815</v>
      </c>
      <c r="F206" s="1502">
        <f>+F200+C206-E206</f>
        <v>-198165</v>
      </c>
      <c r="G206"/>
      <c r="H206"/>
      <c r="I206"/>
    </row>
    <row r="207" spans="2:9" ht="15.75" x14ac:dyDescent="0.25">
      <c r="B207" s="1479" t="s">
        <v>740</v>
      </c>
      <c r="C207" s="1838"/>
      <c r="D207" s="1508"/>
      <c r="E207" s="1509"/>
      <c r="F207" s="1493"/>
      <c r="G207"/>
      <c r="H207"/>
      <c r="I207"/>
    </row>
    <row r="208" spans="2:9" ht="15.75" x14ac:dyDescent="0.25">
      <c r="B208" s="1459" t="s">
        <v>928</v>
      </c>
      <c r="C208" s="1486">
        <v>21600</v>
      </c>
      <c r="D208" s="1503" t="s">
        <v>957</v>
      </c>
      <c r="E208" s="1487">
        <v>55783</v>
      </c>
      <c r="F208" s="1494"/>
      <c r="G208"/>
      <c r="H208"/>
      <c r="I208"/>
    </row>
    <row r="209" spans="2:9" ht="15.75" x14ac:dyDescent="0.25">
      <c r="B209" s="1459" t="s">
        <v>929</v>
      </c>
      <c r="C209" s="1490">
        <v>6186</v>
      </c>
      <c r="D209" s="1504" t="s">
        <v>962</v>
      </c>
      <c r="E209" s="1487">
        <v>11534</v>
      </c>
      <c r="F209" s="1494"/>
      <c r="G209"/>
      <c r="H209"/>
      <c r="I209"/>
    </row>
    <row r="210" spans="2:9" ht="15.75" x14ac:dyDescent="0.25">
      <c r="B210" s="1459"/>
      <c r="C210" s="1839"/>
      <c r="D210" s="1461"/>
      <c r="E210" s="1510"/>
      <c r="F210" s="1494"/>
      <c r="G210"/>
      <c r="H210"/>
      <c r="I210"/>
    </row>
    <row r="211" spans="2:9" ht="15.75" x14ac:dyDescent="0.25">
      <c r="B211" s="1495"/>
      <c r="C211" s="1834"/>
      <c r="D211" s="1496"/>
      <c r="E211" s="1497"/>
      <c r="F211" s="1498"/>
      <c r="G211"/>
      <c r="H211"/>
      <c r="I211"/>
    </row>
    <row r="212" spans="2:9" ht="16.5" thickBot="1" x14ac:dyDescent="0.3">
      <c r="B212" s="1499"/>
      <c r="C212" s="1835">
        <f>SUM(C208:C211)</f>
        <v>27786</v>
      </c>
      <c r="D212" s="1500"/>
      <c r="E212" s="1501">
        <f>SUM(E208:E211)</f>
        <v>67317</v>
      </c>
      <c r="F212" s="1502">
        <f>+F206+C212-E212</f>
        <v>-237696</v>
      </c>
      <c r="G212"/>
      <c r="H212"/>
      <c r="I212"/>
    </row>
    <row r="213" spans="2:9" ht="15.75" x14ac:dyDescent="0.25">
      <c r="B213" s="1479" t="s">
        <v>741</v>
      </c>
      <c r="C213" s="1838"/>
      <c r="D213" s="1508"/>
      <c r="E213" s="1509"/>
      <c r="F213" s="1493"/>
    </row>
    <row r="214" spans="2:9" ht="15.75" x14ac:dyDescent="0.25">
      <c r="B214" s="1459" t="s">
        <v>928</v>
      </c>
      <c r="C214" s="1486">
        <v>93960</v>
      </c>
      <c r="D214" s="1503" t="s">
        <v>957</v>
      </c>
      <c r="E214" s="1816">
        <v>52136</v>
      </c>
      <c r="F214" s="1494"/>
    </row>
    <row r="215" spans="2:9" ht="15.75" x14ac:dyDescent="0.25">
      <c r="B215" s="1459" t="s">
        <v>929</v>
      </c>
      <c r="C215" s="1490">
        <v>3887</v>
      </c>
      <c r="D215" s="1504" t="s">
        <v>962</v>
      </c>
      <c r="E215" s="1487">
        <v>18742</v>
      </c>
      <c r="F215" s="1494"/>
    </row>
    <row r="216" spans="2:9" ht="15.75" x14ac:dyDescent="0.25">
      <c r="B216" s="1459"/>
      <c r="C216" s="1839"/>
      <c r="D216" s="1461"/>
      <c r="E216" s="1510"/>
      <c r="F216" s="1494"/>
    </row>
    <row r="217" spans="2:9" ht="15.75" x14ac:dyDescent="0.25">
      <c r="B217" s="1495"/>
      <c r="C217" s="1834"/>
      <c r="D217" s="1496"/>
      <c r="E217" s="1497"/>
      <c r="F217" s="1498"/>
    </row>
    <row r="218" spans="2:9" ht="16.5" thickBot="1" x14ac:dyDescent="0.3">
      <c r="B218" s="1499"/>
      <c r="C218" s="1835">
        <f>SUM(C214:C217)</f>
        <v>97847</v>
      </c>
      <c r="D218" s="1500"/>
      <c r="E218" s="1501">
        <f>SUM(E214:E217)</f>
        <v>70878</v>
      </c>
      <c r="F218" s="1502">
        <f>+F212+C218-E218</f>
        <v>-210727</v>
      </c>
    </row>
  </sheetData>
  <mergeCells count="6">
    <mergeCell ref="B8:F8"/>
    <mergeCell ref="B3:F3"/>
    <mergeCell ref="B4:F4"/>
    <mergeCell ref="B5:F5"/>
    <mergeCell ref="B6:F6"/>
    <mergeCell ref="B7:F7"/>
  </mergeCells>
  <printOptions horizontalCentered="1" verticalCentered="1"/>
  <pageMargins left="0.19685039370078741" right="0.19685039370078741" top="0.19685039370078741" bottom="0.19685039370078741" header="0" footer="0.31496062992125984"/>
  <pageSetup paperSize="9" scale="62" orientation="portrait" r:id="rId1"/>
  <headerFooter alignWithMargins="0">
    <oddHeader>&amp;C &amp;R&amp;"Arial CE,Félkövér"&amp;14 25. melléklet a …../2022. (…….) önkormányzati rendelethez</oddHeader>
    <oddFooter xml:space="preserve">&amp;C </oddFooter>
  </headerFooter>
  <rowBreaks count="2" manualBreakCount="2">
    <brk id="77" min="1" max="5" man="1"/>
    <brk id="152" min="1" max="5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2"/>
  <sheetViews>
    <sheetView zoomScale="75" zoomScaleNormal="75" workbookViewId="0">
      <selection activeCell="L20" sqref="L20"/>
    </sheetView>
  </sheetViews>
  <sheetFormatPr defaultColWidth="12" defaultRowHeight="15" x14ac:dyDescent="0.2"/>
  <cols>
    <col min="1" max="1" width="3.6640625" style="1511" customWidth="1"/>
    <col min="2" max="2" width="6.6640625" style="1511" customWidth="1"/>
    <col min="3" max="4" width="12" style="1511" customWidth="1"/>
    <col min="5" max="5" width="95.5" style="1511" customWidth="1"/>
    <col min="6" max="6" width="22.5" style="1512" customWidth="1"/>
    <col min="7" max="7" width="24.83203125" style="1511" customWidth="1"/>
    <col min="8" max="16384" width="12" style="1511"/>
  </cols>
  <sheetData>
    <row r="2" spans="2:9" ht="18" x14ac:dyDescent="0.25">
      <c r="G2" s="1513"/>
    </row>
    <row r="3" spans="2:9" ht="24" customHeight="1" x14ac:dyDescent="0.35">
      <c r="B3" s="2520" t="s">
        <v>968</v>
      </c>
      <c r="C3" s="2520"/>
      <c r="D3" s="2520"/>
      <c r="E3" s="2520"/>
      <c r="F3" s="2520"/>
      <c r="G3" s="2520"/>
    </row>
    <row r="4" spans="2:9" ht="24.75" customHeight="1" x14ac:dyDescent="0.35">
      <c r="B4" s="2520" t="s">
        <v>1413</v>
      </c>
      <c r="C4" s="2520"/>
      <c r="D4" s="2520"/>
      <c r="E4" s="2520"/>
      <c r="F4" s="2520"/>
      <c r="G4" s="2520"/>
    </row>
    <row r="5" spans="2:9" ht="15.75" x14ac:dyDescent="0.25">
      <c r="D5" s="1514"/>
      <c r="E5" s="1514"/>
    </row>
    <row r="6" spans="2:9" ht="18.75" thickBot="1" x14ac:dyDescent="0.3">
      <c r="B6" s="1515"/>
      <c r="C6" s="1515" t="s">
        <v>59</v>
      </c>
      <c r="D6" s="1515"/>
      <c r="E6" s="1515"/>
      <c r="F6" s="1516" t="s">
        <v>59</v>
      </c>
      <c r="G6" s="1517" t="s">
        <v>19</v>
      </c>
    </row>
    <row r="7" spans="2:9" s="1522" customFormat="1" ht="18.75" x14ac:dyDescent="0.3">
      <c r="B7" s="1518"/>
      <c r="C7" s="1519" t="s">
        <v>59</v>
      </c>
      <c r="D7" s="1519" t="s">
        <v>59</v>
      </c>
      <c r="E7" s="1519"/>
      <c r="F7" s="1520" t="s">
        <v>59</v>
      </c>
      <c r="G7" s="1521"/>
    </row>
    <row r="8" spans="2:9" s="1522" customFormat="1" ht="18" customHeight="1" x14ac:dyDescent="0.25">
      <c r="B8" s="2521" t="s">
        <v>33</v>
      </c>
      <c r="C8" s="2522"/>
      <c r="D8" s="2522"/>
      <c r="E8" s="2522"/>
      <c r="F8" s="2523" t="s">
        <v>969</v>
      </c>
      <c r="G8" s="2524"/>
    </row>
    <row r="9" spans="2:9" s="1522" customFormat="1" ht="38.25" customHeight="1" thickBot="1" x14ac:dyDescent="0.3">
      <c r="B9" s="1523"/>
      <c r="C9" s="1524"/>
      <c r="D9" s="1524"/>
      <c r="E9" s="1524"/>
      <c r="F9" s="1525" t="s">
        <v>869</v>
      </c>
      <c r="G9" s="1526" t="s">
        <v>970</v>
      </c>
    </row>
    <row r="10" spans="2:9" s="1532" customFormat="1" ht="23.1" customHeight="1" x14ac:dyDescent="0.25">
      <c r="B10" s="1527" t="s">
        <v>193</v>
      </c>
      <c r="C10" s="1528" t="s">
        <v>971</v>
      </c>
      <c r="D10" s="1529"/>
      <c r="E10" s="1529"/>
      <c r="F10" s="1530">
        <v>0</v>
      </c>
      <c r="G10" s="1531">
        <f t="shared" ref="G10:G18" si="0">F10/F$18*100</f>
        <v>0</v>
      </c>
    </row>
    <row r="11" spans="2:9" s="1532" customFormat="1" ht="31.5" customHeight="1" thickBot="1" x14ac:dyDescent="0.3">
      <c r="B11" s="1533" t="s">
        <v>37</v>
      </c>
      <c r="C11" s="1534" t="s">
        <v>972</v>
      </c>
      <c r="D11" s="1534"/>
      <c r="E11" s="1534"/>
      <c r="F11" s="1535">
        <f>SUM(F10:F10)</f>
        <v>0</v>
      </c>
      <c r="G11" s="1536">
        <f t="shared" si="0"/>
        <v>0</v>
      </c>
    </row>
    <row r="12" spans="2:9" s="1540" customFormat="1" ht="22.5" customHeight="1" x14ac:dyDescent="0.25">
      <c r="B12" s="1537" t="s">
        <v>194</v>
      </c>
      <c r="C12" s="1529" t="s">
        <v>973</v>
      </c>
      <c r="D12" s="1529"/>
      <c r="E12" s="1529"/>
      <c r="F12" s="1530">
        <v>0</v>
      </c>
      <c r="G12" s="1538">
        <f t="shared" si="0"/>
        <v>0</v>
      </c>
      <c r="H12" s="1539"/>
      <c r="I12" s="1539"/>
    </row>
    <row r="13" spans="2:9" s="1522" customFormat="1" ht="32.25" customHeight="1" thickBot="1" x14ac:dyDescent="0.3">
      <c r="B13" s="1541" t="s">
        <v>195</v>
      </c>
      <c r="C13" s="1542" t="s">
        <v>974</v>
      </c>
      <c r="D13" s="1542"/>
      <c r="E13" s="1542"/>
      <c r="F13" s="1543">
        <f>SUM(F12:F12)</f>
        <v>0</v>
      </c>
      <c r="G13" s="1544">
        <f t="shared" si="0"/>
        <v>0</v>
      </c>
    </row>
    <row r="14" spans="2:9" s="1540" customFormat="1" ht="23.1" customHeight="1" x14ac:dyDescent="0.25">
      <c r="B14" s="1545" t="s">
        <v>197</v>
      </c>
      <c r="C14" s="1529" t="s">
        <v>975</v>
      </c>
      <c r="D14" s="1529"/>
      <c r="E14" s="1529"/>
      <c r="F14" s="1817">
        <v>19800</v>
      </c>
      <c r="G14" s="1546">
        <f t="shared" si="0"/>
        <v>14.622906265693775</v>
      </c>
      <c r="H14" s="1539"/>
      <c r="I14" s="1539"/>
    </row>
    <row r="15" spans="2:9" s="1532" customFormat="1" ht="39" customHeight="1" x14ac:dyDescent="0.3">
      <c r="B15" s="1537" t="s">
        <v>466</v>
      </c>
      <c r="C15" s="2517" t="s">
        <v>976</v>
      </c>
      <c r="D15" s="2518"/>
      <c r="E15" s="2519"/>
      <c r="F15" s="1817">
        <f>115603+1</f>
        <v>115604</v>
      </c>
      <c r="G15" s="1538">
        <f t="shared" si="0"/>
        <v>85.377093734306214</v>
      </c>
      <c r="H15" s="1539"/>
      <c r="I15" s="1539"/>
    </row>
    <row r="16" spans="2:9" s="1532" customFormat="1" ht="39" customHeight="1" x14ac:dyDescent="0.3">
      <c r="B16" s="1537" t="s">
        <v>977</v>
      </c>
      <c r="C16" s="2517" t="s">
        <v>978</v>
      </c>
      <c r="D16" s="2518"/>
      <c r="E16" s="2519"/>
      <c r="F16" s="1530">
        <v>0</v>
      </c>
      <c r="G16" s="1538">
        <f t="shared" si="0"/>
        <v>0</v>
      </c>
      <c r="H16" s="1539"/>
      <c r="I16" s="1539"/>
    </row>
    <row r="17" spans="2:7" s="1522" customFormat="1" ht="32.25" customHeight="1" thickBot="1" x14ac:dyDescent="0.3">
      <c r="B17" s="1541" t="s">
        <v>979</v>
      </c>
      <c r="C17" s="1542" t="s">
        <v>980</v>
      </c>
      <c r="D17" s="1542"/>
      <c r="E17" s="1542"/>
      <c r="F17" s="1543">
        <f>SUM(F14:F16)</f>
        <v>135404</v>
      </c>
      <c r="G17" s="1544">
        <f t="shared" si="0"/>
        <v>100</v>
      </c>
    </row>
    <row r="18" spans="2:7" s="1547" customFormat="1" ht="25.5" customHeight="1" thickBot="1" x14ac:dyDescent="0.3">
      <c r="B18" s="1533" t="s">
        <v>981</v>
      </c>
      <c r="C18" s="1534" t="s">
        <v>982</v>
      </c>
      <c r="D18" s="1534"/>
      <c r="E18" s="1534"/>
      <c r="F18" s="1535">
        <f>+F11+F13+F17</f>
        <v>135404</v>
      </c>
      <c r="G18" s="1536">
        <f t="shared" si="0"/>
        <v>100</v>
      </c>
    </row>
    <row r="19" spans="2:7" s="1522" customFormat="1" ht="23.1" customHeight="1" x14ac:dyDescent="0.25">
      <c r="F19" s="1548"/>
      <c r="G19" s="1549"/>
    </row>
    <row r="20" spans="2:7" s="1522" customFormat="1" ht="23.1" customHeight="1" x14ac:dyDescent="0.25">
      <c r="B20" s="1511"/>
      <c r="C20" s="1511"/>
      <c r="D20" s="1511"/>
      <c r="E20" s="1511"/>
      <c r="F20" s="1512"/>
      <c r="G20" s="1512"/>
    </row>
    <row r="21" spans="2:7" s="1522" customFormat="1" ht="23.1" customHeight="1" x14ac:dyDescent="0.25">
      <c r="B21" s="1511"/>
      <c r="C21" s="1511"/>
      <c r="D21" s="1511"/>
      <c r="E21" s="1511"/>
      <c r="F21" s="1512"/>
      <c r="G21" s="1512"/>
    </row>
    <row r="22" spans="2:7" s="1522" customFormat="1" ht="23.1" customHeight="1" x14ac:dyDescent="0.25">
      <c r="B22" s="1511"/>
      <c r="C22" s="1511"/>
      <c r="D22" s="1511"/>
      <c r="E22" s="1511"/>
      <c r="F22" s="1512"/>
      <c r="G22" s="1512"/>
    </row>
    <row r="23" spans="2:7" s="1522" customFormat="1" ht="29.25" customHeight="1" x14ac:dyDescent="0.25">
      <c r="B23" s="1511"/>
      <c r="C23" s="1511"/>
      <c r="D23" s="1511"/>
      <c r="E23" s="1511"/>
      <c r="F23" s="1512"/>
      <c r="G23" s="1512"/>
    </row>
    <row r="24" spans="2:7" ht="20.100000000000001" customHeight="1" x14ac:dyDescent="0.2">
      <c r="G24" s="1512"/>
    </row>
    <row r="25" spans="2:7" ht="20.100000000000001" customHeight="1" x14ac:dyDescent="0.2">
      <c r="G25" s="1512"/>
    </row>
    <row r="26" spans="2:7" ht="20.100000000000001" customHeight="1" x14ac:dyDescent="0.2">
      <c r="G26" s="1512"/>
    </row>
    <row r="27" spans="2:7" ht="30.75" customHeight="1" x14ac:dyDescent="0.2">
      <c r="G27" s="1512"/>
    </row>
    <row r="28" spans="2:7" ht="20.100000000000001" customHeight="1" x14ac:dyDescent="0.2">
      <c r="G28" s="1512"/>
    </row>
    <row r="29" spans="2:7" ht="14.25" customHeight="1" x14ac:dyDescent="0.2">
      <c r="G29" s="1512"/>
    </row>
    <row r="30" spans="2:7" x14ac:dyDescent="0.2">
      <c r="G30" s="1512"/>
    </row>
    <row r="31" spans="2:7" x14ac:dyDescent="0.2">
      <c r="G31" s="1512"/>
    </row>
    <row r="32" spans="2:7" x14ac:dyDescent="0.2">
      <c r="G32" s="1512"/>
    </row>
  </sheetData>
  <mergeCells count="6">
    <mergeCell ref="C16:E16"/>
    <mergeCell ref="B3:G3"/>
    <mergeCell ref="B4:G4"/>
    <mergeCell ref="B8:E8"/>
    <mergeCell ref="F8:G8"/>
    <mergeCell ref="C15:E15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2" orientation="portrait" r:id="rId1"/>
  <headerFooter alignWithMargins="0">
    <oddHeader xml:space="preserve">&amp;R&amp;"Arial,Félkövér"&amp;16  &amp;14 26. melléklet a …../2022. (…….) önkormányzati rendelethez
 </oddHeader>
    <oddFooter xml:space="preserve">&amp;C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O41"/>
  <sheetViews>
    <sheetView zoomScaleNormal="100" workbookViewId="0">
      <selection activeCell="R13" sqref="R13"/>
    </sheetView>
  </sheetViews>
  <sheetFormatPr defaultColWidth="10.6640625" defaultRowHeight="12.75" x14ac:dyDescent="0.2"/>
  <cols>
    <col min="1" max="1" width="4.33203125" style="1550" customWidth="1"/>
    <col min="2" max="2" width="5.5" style="1550" customWidth="1"/>
    <col min="3" max="3" width="10.6640625" style="1550" customWidth="1"/>
    <col min="4" max="4" width="48.6640625" style="1550" customWidth="1"/>
    <col min="5" max="5" width="16.83203125" style="1550" customWidth="1"/>
    <col min="6" max="7" width="12.5" style="1550" customWidth="1"/>
    <col min="8" max="8" width="13.6640625" style="1550" customWidth="1"/>
    <col min="9" max="9" width="16.33203125" style="1550" customWidth="1"/>
    <col min="10" max="10" width="13.6640625" style="1550" customWidth="1"/>
    <col min="11" max="11" width="15.5" style="1550" customWidth="1"/>
    <col min="12" max="12" width="10.6640625" style="1550"/>
    <col min="13" max="13" width="11.83203125" style="1550" bestFit="1" customWidth="1"/>
    <col min="14" max="14" width="10.6640625" style="1550"/>
    <col min="15" max="15" width="13" style="1550" customWidth="1"/>
    <col min="16" max="16384" width="10.6640625" style="1550"/>
  </cols>
  <sheetData>
    <row r="2" spans="1:11" ht="21" customHeight="1" x14ac:dyDescent="0.25">
      <c r="A2" s="2525" t="s">
        <v>1231</v>
      </c>
      <c r="B2" s="2525"/>
      <c r="C2" s="2525"/>
      <c r="D2" s="2525"/>
      <c r="E2" s="2525"/>
      <c r="F2" s="2525"/>
      <c r="G2" s="2525"/>
      <c r="H2" s="2525"/>
      <c r="I2" s="2525"/>
      <c r="J2" s="2525"/>
      <c r="K2" s="2525"/>
    </row>
    <row r="3" spans="1:11" x14ac:dyDescent="0.2">
      <c r="A3" s="1551"/>
      <c r="B3" s="1551"/>
      <c r="C3" s="1551"/>
      <c r="D3" s="1551"/>
      <c r="E3" s="1551"/>
      <c r="F3" s="1551"/>
      <c r="G3" s="1551"/>
      <c r="H3" s="1551"/>
      <c r="I3" s="1551"/>
      <c r="J3" s="1551"/>
      <c r="K3" s="1551"/>
    </row>
    <row r="4" spans="1:11" ht="13.5" thickBot="1" x14ac:dyDescent="0.25">
      <c r="A4" s="2526"/>
      <c r="B4" s="2526"/>
      <c r="C4" s="2526"/>
      <c r="D4" s="2526"/>
      <c r="E4" s="2526"/>
      <c r="F4" s="2526"/>
      <c r="G4" s="2526"/>
      <c r="H4" s="2526"/>
      <c r="I4" s="2526"/>
      <c r="J4" s="2526"/>
      <c r="K4" s="1552"/>
    </row>
    <row r="5" spans="1:11" x14ac:dyDescent="0.2">
      <c r="A5" s="2527" t="s">
        <v>714</v>
      </c>
      <c r="B5" s="2528"/>
      <c r="C5" s="2533" t="s">
        <v>33</v>
      </c>
      <c r="D5" s="2528"/>
      <c r="E5" s="2536" t="s">
        <v>983</v>
      </c>
      <c r="F5" s="2537"/>
      <c r="G5" s="2537"/>
      <c r="H5" s="2537"/>
      <c r="I5" s="2537"/>
      <c r="J5" s="2537"/>
      <c r="K5" s="2538"/>
    </row>
    <row r="6" spans="1:11" x14ac:dyDescent="0.2">
      <c r="A6" s="2529"/>
      <c r="B6" s="2530"/>
      <c r="C6" s="2534"/>
      <c r="D6" s="2530"/>
      <c r="E6" s="2539" t="s">
        <v>984</v>
      </c>
      <c r="F6" s="2540"/>
      <c r="G6" s="2541"/>
      <c r="H6" s="2539" t="s">
        <v>985</v>
      </c>
      <c r="I6" s="2540"/>
      <c r="J6" s="2540"/>
      <c r="K6" s="2542"/>
    </row>
    <row r="7" spans="1:11" x14ac:dyDescent="0.2">
      <c r="A7" s="2529"/>
      <c r="B7" s="2530"/>
      <c r="C7" s="2534"/>
      <c r="D7" s="2530"/>
      <c r="E7" s="2543" t="s">
        <v>986</v>
      </c>
      <c r="F7" s="2545" t="s">
        <v>987</v>
      </c>
      <c r="G7" s="2546"/>
      <c r="H7" s="2549" t="s">
        <v>988</v>
      </c>
      <c r="I7" s="2550"/>
      <c r="J7" s="2545" t="s">
        <v>989</v>
      </c>
      <c r="K7" s="2551"/>
    </row>
    <row r="8" spans="1:11" x14ac:dyDescent="0.2">
      <c r="A8" s="2529"/>
      <c r="B8" s="2530"/>
      <c r="C8" s="2534"/>
      <c r="D8" s="2530"/>
      <c r="E8" s="2544"/>
      <c r="F8" s="2547"/>
      <c r="G8" s="2548"/>
      <c r="H8" s="2553" t="s">
        <v>990</v>
      </c>
      <c r="I8" s="2554"/>
      <c r="J8" s="2547"/>
      <c r="K8" s="2552"/>
    </row>
    <row r="9" spans="1:11" x14ac:dyDescent="0.2">
      <c r="A9" s="2529"/>
      <c r="B9" s="2530"/>
      <c r="C9" s="2534"/>
      <c r="D9" s="2530"/>
      <c r="E9" s="1553" t="s">
        <v>991</v>
      </c>
      <c r="F9" s="1553" t="s">
        <v>992</v>
      </c>
      <c r="G9" s="1553" t="s">
        <v>993</v>
      </c>
      <c r="H9" s="1553" t="s">
        <v>994</v>
      </c>
      <c r="I9" s="1553" t="s">
        <v>995</v>
      </c>
      <c r="J9" s="1553" t="s">
        <v>994</v>
      </c>
      <c r="K9" s="1554" t="s">
        <v>995</v>
      </c>
    </row>
    <row r="10" spans="1:11" ht="13.5" thickBot="1" x14ac:dyDescent="0.25">
      <c r="A10" s="2531"/>
      <c r="B10" s="2532"/>
      <c r="C10" s="2535"/>
      <c r="D10" s="2532"/>
      <c r="E10" s="1555" t="s">
        <v>996</v>
      </c>
      <c r="F10" s="1555" t="s">
        <v>997</v>
      </c>
      <c r="G10" s="1555" t="s">
        <v>998</v>
      </c>
      <c r="H10" s="1555" t="s">
        <v>999</v>
      </c>
      <c r="I10" s="1555" t="s">
        <v>1000</v>
      </c>
      <c r="J10" s="1555" t="s">
        <v>1001</v>
      </c>
      <c r="K10" s="1556" t="s">
        <v>1002</v>
      </c>
    </row>
    <row r="11" spans="1:11" s="1560" customFormat="1" ht="15" customHeight="1" x14ac:dyDescent="0.2">
      <c r="A11" s="2555" t="s">
        <v>1003</v>
      </c>
      <c r="B11" s="2556"/>
      <c r="C11" s="2557" t="s">
        <v>1004</v>
      </c>
      <c r="D11" s="2558"/>
      <c r="E11" s="1557">
        <v>4127</v>
      </c>
      <c r="F11" s="1558">
        <v>1763</v>
      </c>
      <c r="G11" s="1557">
        <v>5104</v>
      </c>
      <c r="H11" s="1558">
        <v>4079</v>
      </c>
      <c r="I11" s="1557">
        <v>91605414</v>
      </c>
      <c r="J11" s="1558">
        <v>4113</v>
      </c>
      <c r="K11" s="1559">
        <v>120078889</v>
      </c>
    </row>
    <row r="12" spans="1:11" s="1560" customFormat="1" ht="15" customHeight="1" x14ac:dyDescent="0.2">
      <c r="A12" s="2559" t="s">
        <v>1005</v>
      </c>
      <c r="B12" s="2560"/>
      <c r="C12" s="2561" t="s">
        <v>1006</v>
      </c>
      <c r="D12" s="2562"/>
      <c r="E12" s="1561">
        <v>13</v>
      </c>
      <c r="F12" s="1562">
        <v>17</v>
      </c>
      <c r="G12" s="1561">
        <v>8678</v>
      </c>
      <c r="H12" s="1562">
        <v>13</v>
      </c>
      <c r="I12" s="1561">
        <v>2421166</v>
      </c>
      <c r="J12" s="1562">
        <v>13</v>
      </c>
      <c r="K12" s="1563">
        <v>2306899</v>
      </c>
    </row>
    <row r="13" spans="1:11" s="1560" customFormat="1" ht="15" customHeight="1" x14ac:dyDescent="0.2">
      <c r="A13" s="2559" t="s">
        <v>1007</v>
      </c>
      <c r="B13" s="2560"/>
      <c r="C13" s="2561" t="s">
        <v>1008</v>
      </c>
      <c r="D13" s="2562"/>
      <c r="E13" s="1561">
        <v>0</v>
      </c>
      <c r="F13" s="1562">
        <v>0</v>
      </c>
      <c r="G13" s="1561">
        <v>0</v>
      </c>
      <c r="H13" s="1562">
        <v>0</v>
      </c>
      <c r="I13" s="1561">
        <v>0</v>
      </c>
      <c r="J13" s="1562">
        <v>0</v>
      </c>
      <c r="K13" s="1563">
        <v>0</v>
      </c>
    </row>
    <row r="14" spans="1:11" s="1560" customFormat="1" ht="15" customHeight="1" x14ac:dyDescent="0.2">
      <c r="A14" s="2559" t="s">
        <v>1009</v>
      </c>
      <c r="B14" s="2560"/>
      <c r="C14" s="2561" t="s">
        <v>1010</v>
      </c>
      <c r="D14" s="2562"/>
      <c r="E14" s="1561">
        <v>14</v>
      </c>
      <c r="F14" s="1562"/>
      <c r="G14" s="1561"/>
      <c r="H14" s="1562">
        <v>14</v>
      </c>
      <c r="I14" s="1561">
        <v>15716885</v>
      </c>
      <c r="J14" s="1562">
        <v>14</v>
      </c>
      <c r="K14" s="1563">
        <v>13574580</v>
      </c>
    </row>
    <row r="15" spans="1:11" s="1560" customFormat="1" ht="15" customHeight="1" thickBot="1" x14ac:dyDescent="0.25">
      <c r="A15" s="2563" t="s">
        <v>1011</v>
      </c>
      <c r="B15" s="2564"/>
      <c r="C15" s="2565" t="s">
        <v>1012</v>
      </c>
      <c r="D15" s="2566"/>
      <c r="E15" s="1564">
        <v>4154</v>
      </c>
      <c r="F15" s="1564">
        <v>1781</v>
      </c>
      <c r="G15" s="1564">
        <v>3782</v>
      </c>
      <c r="H15" s="1564">
        <v>4106</v>
      </c>
      <c r="I15" s="1564">
        <v>109743465</v>
      </c>
      <c r="J15" s="1564">
        <v>4140</v>
      </c>
      <c r="K15" s="1565">
        <v>135960368</v>
      </c>
    </row>
    <row r="16" spans="1:11" s="1560" customFormat="1" ht="15" customHeight="1" x14ac:dyDescent="0.2">
      <c r="A16" s="2569" t="s">
        <v>1013</v>
      </c>
      <c r="B16" s="2570"/>
      <c r="C16" s="1566" t="s">
        <v>1014</v>
      </c>
      <c r="D16" s="1567"/>
      <c r="E16" s="1568">
        <v>1947</v>
      </c>
      <c r="F16" s="1569">
        <v>771</v>
      </c>
      <c r="G16" s="1568">
        <v>9365</v>
      </c>
      <c r="H16" s="1569">
        <v>1954</v>
      </c>
      <c r="I16" s="1568">
        <v>35990113</v>
      </c>
      <c r="J16" s="1569">
        <v>1938</v>
      </c>
      <c r="K16" s="1570">
        <v>62941602</v>
      </c>
    </row>
    <row r="17" spans="1:15" ht="15" customHeight="1" x14ac:dyDescent="0.2">
      <c r="A17" s="2571" t="s">
        <v>1015</v>
      </c>
      <c r="B17" s="2572"/>
      <c r="C17" s="2573" t="s">
        <v>1016</v>
      </c>
      <c r="D17" s="2574"/>
      <c r="E17" s="1571">
        <v>0</v>
      </c>
      <c r="F17" s="1572">
        <v>0</v>
      </c>
      <c r="G17" s="1571">
        <v>0</v>
      </c>
      <c r="H17" s="1558">
        <v>0</v>
      </c>
      <c r="I17" s="1557">
        <v>0</v>
      </c>
      <c r="J17" s="1572">
        <v>0</v>
      </c>
      <c r="K17" s="1573">
        <v>0</v>
      </c>
    </row>
    <row r="18" spans="1:15" ht="15" customHeight="1" x14ac:dyDescent="0.2">
      <c r="A18" s="2567" t="s">
        <v>1017</v>
      </c>
      <c r="B18" s="2568"/>
      <c r="C18" s="1574" t="s">
        <v>1018</v>
      </c>
      <c r="D18" s="1575" t="s">
        <v>1019</v>
      </c>
      <c r="E18" s="1576">
        <v>3538</v>
      </c>
      <c r="F18" s="1577">
        <v>898</v>
      </c>
      <c r="G18" s="1576">
        <v>7158</v>
      </c>
      <c r="H18" s="1562">
        <v>3521</v>
      </c>
      <c r="I18" s="1561">
        <v>107174887</v>
      </c>
      <c r="J18" s="1577">
        <v>3524</v>
      </c>
      <c r="K18" s="1578">
        <v>132961362</v>
      </c>
    </row>
    <row r="19" spans="1:15" ht="15" customHeight="1" x14ac:dyDescent="0.2">
      <c r="A19" s="2571" t="s">
        <v>1020</v>
      </c>
      <c r="B19" s="2572"/>
      <c r="C19" s="1579" t="s">
        <v>1021</v>
      </c>
      <c r="D19" s="1575" t="s">
        <v>1022</v>
      </c>
      <c r="E19" s="1576">
        <v>616</v>
      </c>
      <c r="F19" s="1577">
        <v>882</v>
      </c>
      <c r="G19" s="1576">
        <v>6624</v>
      </c>
      <c r="H19" s="1562">
        <v>585</v>
      </c>
      <c r="I19" s="1561">
        <v>2568578</v>
      </c>
      <c r="J19" s="1577">
        <v>616</v>
      </c>
      <c r="K19" s="1578">
        <v>2999006</v>
      </c>
      <c r="L19" s="1580"/>
      <c r="M19" s="1580"/>
      <c r="N19" s="1580"/>
      <c r="O19" s="1580"/>
    </row>
    <row r="20" spans="1:15" ht="15" customHeight="1" x14ac:dyDescent="0.2">
      <c r="A20" s="2575" t="s">
        <v>1023</v>
      </c>
      <c r="B20" s="2576"/>
      <c r="C20" s="1581"/>
      <c r="D20" s="1582" t="s">
        <v>1024</v>
      </c>
      <c r="E20" s="1583">
        <v>1940</v>
      </c>
      <c r="F20" s="1584">
        <v>825</v>
      </c>
      <c r="G20" s="1583">
        <v>7613</v>
      </c>
      <c r="H20" s="1585">
        <v>1897</v>
      </c>
      <c r="I20" s="1586">
        <v>54636786</v>
      </c>
      <c r="J20" s="1584">
        <v>1934</v>
      </c>
      <c r="K20" s="1587">
        <v>52794044</v>
      </c>
    </row>
    <row r="21" spans="1:15" ht="15" customHeight="1" x14ac:dyDescent="0.2">
      <c r="A21" s="2567" t="s">
        <v>1025</v>
      </c>
      <c r="B21" s="2568"/>
      <c r="C21" s="1588" t="s">
        <v>1018</v>
      </c>
      <c r="D21" s="1575" t="s">
        <v>1026</v>
      </c>
      <c r="E21" s="1589">
        <v>896</v>
      </c>
      <c r="F21" s="1577">
        <v>427</v>
      </c>
      <c r="G21" s="1576">
        <v>4266</v>
      </c>
      <c r="H21" s="1562">
        <v>891</v>
      </c>
      <c r="I21" s="1561">
        <v>49723216</v>
      </c>
      <c r="J21" s="1577">
        <v>895</v>
      </c>
      <c r="K21" s="1578">
        <v>71039429</v>
      </c>
    </row>
    <row r="22" spans="1:15" ht="15" customHeight="1" x14ac:dyDescent="0.2">
      <c r="A22" s="2571" t="s">
        <v>1027</v>
      </c>
      <c r="B22" s="2572"/>
      <c r="C22" s="1590" t="s">
        <v>1021</v>
      </c>
      <c r="D22" s="1591" t="s">
        <v>1028</v>
      </c>
      <c r="E22" s="1571">
        <v>1317</v>
      </c>
      <c r="F22" s="1572">
        <v>528</v>
      </c>
      <c r="G22" s="1571">
        <v>1903</v>
      </c>
      <c r="H22" s="1558">
        <v>1317</v>
      </c>
      <c r="I22" s="1557">
        <v>5378473</v>
      </c>
      <c r="J22" s="1572">
        <v>1310</v>
      </c>
      <c r="K22" s="1573">
        <v>12121905</v>
      </c>
      <c r="L22" s="1580"/>
      <c r="M22" s="1580"/>
      <c r="N22" s="1580"/>
      <c r="O22" s="1580"/>
    </row>
    <row r="23" spans="1:15" ht="15" customHeight="1" x14ac:dyDescent="0.2">
      <c r="A23" s="2567" t="s">
        <v>1029</v>
      </c>
      <c r="B23" s="2568"/>
      <c r="C23" s="2577" t="s">
        <v>1030</v>
      </c>
      <c r="D23" s="2578"/>
      <c r="E23" s="1576">
        <v>1175</v>
      </c>
      <c r="F23" s="1577">
        <v>1214</v>
      </c>
      <c r="G23" s="1576">
        <v>895</v>
      </c>
      <c r="H23" s="1562">
        <v>1131</v>
      </c>
      <c r="I23" s="1561">
        <v>20145906</v>
      </c>
      <c r="J23" s="1577">
        <v>1170</v>
      </c>
      <c r="K23" s="1578">
        <v>21494337</v>
      </c>
    </row>
    <row r="24" spans="1:15" ht="15" customHeight="1" x14ac:dyDescent="0.2">
      <c r="A24" s="2575" t="s">
        <v>1031</v>
      </c>
      <c r="B24" s="2579"/>
      <c r="C24" s="1582"/>
      <c r="D24" s="1582" t="s">
        <v>1032</v>
      </c>
      <c r="E24" s="1583">
        <v>1098</v>
      </c>
      <c r="F24" s="1584">
        <v>1109</v>
      </c>
      <c r="G24" s="1583">
        <v>6410</v>
      </c>
      <c r="H24" s="1585">
        <v>1090</v>
      </c>
      <c r="I24" s="1586">
        <v>20122856</v>
      </c>
      <c r="J24" s="1584">
        <v>1093</v>
      </c>
      <c r="K24" s="1587">
        <v>21471251</v>
      </c>
    </row>
    <row r="25" spans="1:15" ht="15" customHeight="1" x14ac:dyDescent="0.2">
      <c r="A25" s="2567" t="s">
        <v>1033</v>
      </c>
      <c r="B25" s="2568"/>
      <c r="C25" s="1592" t="s">
        <v>1034</v>
      </c>
      <c r="D25" s="1575" t="s">
        <v>1035</v>
      </c>
      <c r="E25" s="1589">
        <v>72</v>
      </c>
      <c r="F25" s="1577">
        <v>13</v>
      </c>
      <c r="G25" s="1576">
        <v>8524</v>
      </c>
      <c r="H25" s="1562">
        <v>36</v>
      </c>
      <c r="I25" s="1561">
        <v>22640</v>
      </c>
      <c r="J25" s="1577">
        <v>72</v>
      </c>
      <c r="K25" s="1578">
        <v>22676</v>
      </c>
    </row>
    <row r="26" spans="1:15" ht="15" customHeight="1" x14ac:dyDescent="0.2">
      <c r="A26" s="2571" t="s">
        <v>1036</v>
      </c>
      <c r="B26" s="2580"/>
      <c r="C26" s="1591" t="s">
        <v>1021</v>
      </c>
      <c r="D26" s="1591" t="s">
        <v>1037</v>
      </c>
      <c r="E26" s="1571">
        <v>5</v>
      </c>
      <c r="F26" s="1572">
        <v>90</v>
      </c>
      <c r="G26" s="1571">
        <v>5961</v>
      </c>
      <c r="H26" s="1572">
        <v>5</v>
      </c>
      <c r="I26" s="1571">
        <v>410</v>
      </c>
      <c r="J26" s="1572">
        <v>5</v>
      </c>
      <c r="K26" s="1573">
        <v>410</v>
      </c>
    </row>
    <row r="27" spans="1:15" ht="15" customHeight="1" x14ac:dyDescent="0.2">
      <c r="A27" s="2567" t="s">
        <v>1038</v>
      </c>
      <c r="B27" s="2568"/>
      <c r="C27" s="2577" t="s">
        <v>1039</v>
      </c>
      <c r="D27" s="2578"/>
      <c r="E27" s="1576">
        <v>1220</v>
      </c>
      <c r="F27" s="1577">
        <v>560</v>
      </c>
      <c r="G27" s="1576">
        <v>2572</v>
      </c>
      <c r="H27" s="1577">
        <v>1218</v>
      </c>
      <c r="I27" s="1576">
        <v>69828400</v>
      </c>
      <c r="J27" s="1577">
        <v>1220</v>
      </c>
      <c r="K27" s="1578">
        <v>88695628</v>
      </c>
    </row>
    <row r="28" spans="1:15" ht="15" customHeight="1" x14ac:dyDescent="0.2">
      <c r="A28" s="2575" t="s">
        <v>1040</v>
      </c>
      <c r="B28" s="2579"/>
      <c r="C28" s="1582"/>
      <c r="D28" s="1582" t="s">
        <v>1032</v>
      </c>
      <c r="E28" s="1583">
        <v>1112</v>
      </c>
      <c r="F28" s="1584">
        <v>514</v>
      </c>
      <c r="G28" s="1583">
        <v>8558</v>
      </c>
      <c r="H28" s="1584">
        <v>1112</v>
      </c>
      <c r="I28" s="1583">
        <v>69043766</v>
      </c>
      <c r="J28" s="1584">
        <v>1112</v>
      </c>
      <c r="K28" s="1587">
        <v>87879298</v>
      </c>
    </row>
    <row r="29" spans="1:15" ht="15" customHeight="1" x14ac:dyDescent="0.2">
      <c r="A29" s="2567" t="s">
        <v>1041</v>
      </c>
      <c r="B29" s="2568"/>
      <c r="C29" s="1592" t="s">
        <v>1042</v>
      </c>
      <c r="D29" s="1575" t="s">
        <v>1035</v>
      </c>
      <c r="E29" s="1589">
        <v>0</v>
      </c>
      <c r="F29" s="1577">
        <v>0</v>
      </c>
      <c r="G29" s="1576">
        <v>0</v>
      </c>
      <c r="H29" s="1577">
        <v>0</v>
      </c>
      <c r="I29" s="1576">
        <v>0</v>
      </c>
      <c r="J29" s="1577">
        <v>0</v>
      </c>
      <c r="K29" s="1578">
        <v>0</v>
      </c>
    </row>
    <row r="30" spans="1:15" ht="15" customHeight="1" x14ac:dyDescent="0.2">
      <c r="A30" s="2567" t="s">
        <v>1043</v>
      </c>
      <c r="B30" s="2568"/>
      <c r="C30" s="1593" t="s">
        <v>1021</v>
      </c>
      <c r="D30" s="1575" t="s">
        <v>1037</v>
      </c>
      <c r="E30" s="1589">
        <v>3</v>
      </c>
      <c r="F30" s="1577">
        <v>0</v>
      </c>
      <c r="G30" s="1576">
        <v>3538</v>
      </c>
      <c r="H30" s="1577">
        <v>3</v>
      </c>
      <c r="I30" s="1576">
        <v>24472</v>
      </c>
      <c r="J30" s="1577">
        <v>3</v>
      </c>
      <c r="K30" s="1578">
        <v>56163</v>
      </c>
    </row>
    <row r="31" spans="1:15" ht="15" customHeight="1" x14ac:dyDescent="0.2">
      <c r="A31" s="2567" t="s">
        <v>1044</v>
      </c>
      <c r="B31" s="2568"/>
      <c r="C31" s="1591"/>
      <c r="D31" s="1591" t="s">
        <v>1045</v>
      </c>
      <c r="E31" s="1571">
        <v>19</v>
      </c>
      <c r="F31" s="1572">
        <v>2</v>
      </c>
      <c r="G31" s="1571">
        <v>5272</v>
      </c>
      <c r="H31" s="1572">
        <v>19</v>
      </c>
      <c r="I31" s="1571">
        <v>154335</v>
      </c>
      <c r="J31" s="1572">
        <v>19</v>
      </c>
      <c r="K31" s="1573">
        <v>263448</v>
      </c>
    </row>
    <row r="32" spans="1:15" ht="15" customHeight="1" x14ac:dyDescent="0.2">
      <c r="A32" s="2567" t="s">
        <v>1046</v>
      </c>
      <c r="B32" s="2568"/>
      <c r="C32" s="2577" t="s">
        <v>1047</v>
      </c>
      <c r="D32" s="2578"/>
      <c r="E32" s="1576">
        <v>1737</v>
      </c>
      <c r="F32" s="1577"/>
      <c r="G32" s="1576"/>
      <c r="H32" s="1577">
        <v>1736</v>
      </c>
      <c r="I32" s="1576">
        <v>3498371</v>
      </c>
      <c r="J32" s="1577">
        <v>1729</v>
      </c>
      <c r="K32" s="1578">
        <v>11632944</v>
      </c>
    </row>
    <row r="33" spans="1:13" ht="15" customHeight="1" x14ac:dyDescent="0.2">
      <c r="A33" s="2575" t="s">
        <v>1048</v>
      </c>
      <c r="B33" s="2579"/>
      <c r="C33" s="1582"/>
      <c r="D33" s="1582" t="s">
        <v>1032</v>
      </c>
      <c r="E33" s="1583">
        <v>1731</v>
      </c>
      <c r="F33" s="1584"/>
      <c r="G33" s="1583"/>
      <c r="H33" s="1584">
        <v>1730</v>
      </c>
      <c r="I33" s="1583">
        <v>3489766</v>
      </c>
      <c r="J33" s="1584">
        <v>1723</v>
      </c>
      <c r="K33" s="1587">
        <v>11594881</v>
      </c>
    </row>
    <row r="34" spans="1:13" ht="15" customHeight="1" x14ac:dyDescent="0.2">
      <c r="A34" s="2567" t="s">
        <v>1049</v>
      </c>
      <c r="B34" s="2568"/>
      <c r="C34" s="1592" t="s">
        <v>1050</v>
      </c>
      <c r="D34" s="1575" t="s">
        <v>1035</v>
      </c>
      <c r="E34" s="1589">
        <v>0</v>
      </c>
      <c r="F34" s="1577"/>
      <c r="G34" s="1576"/>
      <c r="H34" s="1577">
        <v>0</v>
      </c>
      <c r="I34" s="1576">
        <v>0</v>
      </c>
      <c r="J34" s="1577">
        <v>0</v>
      </c>
      <c r="K34" s="1578">
        <v>0</v>
      </c>
    </row>
    <row r="35" spans="1:13" ht="15" customHeight="1" x14ac:dyDescent="0.2">
      <c r="A35" s="2571" t="s">
        <v>1051</v>
      </c>
      <c r="B35" s="2580"/>
      <c r="C35" s="1591" t="s">
        <v>1021</v>
      </c>
      <c r="D35" s="1591" t="s">
        <v>1037</v>
      </c>
      <c r="E35" s="1571">
        <v>6</v>
      </c>
      <c r="F35" s="1572"/>
      <c r="G35" s="1571"/>
      <c r="H35" s="1572">
        <v>6</v>
      </c>
      <c r="I35" s="1571">
        <v>8605</v>
      </c>
      <c r="J35" s="1572">
        <v>6</v>
      </c>
      <c r="K35" s="1573">
        <v>38063</v>
      </c>
    </row>
    <row r="36" spans="1:13" ht="15" customHeight="1" x14ac:dyDescent="0.2">
      <c r="A36" s="2575" t="s">
        <v>1052</v>
      </c>
      <c r="B36" s="2579"/>
      <c r="C36" s="1594"/>
      <c r="D36" s="1595" t="s">
        <v>1053</v>
      </c>
      <c r="E36" s="1583">
        <v>139</v>
      </c>
      <c r="F36" s="1584">
        <v>521</v>
      </c>
      <c r="G36" s="1583">
        <v>6458</v>
      </c>
      <c r="H36" s="1584">
        <v>105</v>
      </c>
      <c r="I36" s="1583">
        <v>621677</v>
      </c>
      <c r="J36" s="1584">
        <v>139</v>
      </c>
      <c r="K36" s="1587">
        <v>1022105</v>
      </c>
    </row>
    <row r="37" spans="1:13" ht="15" customHeight="1" x14ac:dyDescent="0.2">
      <c r="A37" s="2567" t="s">
        <v>1054</v>
      </c>
      <c r="B37" s="2568"/>
      <c r="C37" s="1593" t="s">
        <v>1055</v>
      </c>
      <c r="D37" s="1596" t="s">
        <v>1056</v>
      </c>
      <c r="E37" s="1589">
        <v>6</v>
      </c>
      <c r="F37" s="1577">
        <v>9</v>
      </c>
      <c r="G37" s="1576">
        <v>8414</v>
      </c>
      <c r="H37" s="1577">
        <v>6</v>
      </c>
      <c r="I37" s="1576">
        <v>1112997</v>
      </c>
      <c r="J37" s="1577">
        <v>6</v>
      </c>
      <c r="K37" s="1578">
        <v>1114982</v>
      </c>
    </row>
    <row r="38" spans="1:13" ht="15" customHeight="1" thickBot="1" x14ac:dyDescent="0.25">
      <c r="A38" s="2581">
        <v>28</v>
      </c>
      <c r="B38" s="2582"/>
      <c r="C38" s="1597" t="s">
        <v>1021</v>
      </c>
      <c r="D38" s="1598" t="s">
        <v>1057</v>
      </c>
      <c r="E38" s="1599">
        <v>289</v>
      </c>
      <c r="F38" s="1600">
        <v>70</v>
      </c>
      <c r="G38" s="1599">
        <v>4860</v>
      </c>
      <c r="H38" s="1600">
        <v>289</v>
      </c>
      <c r="I38" s="1599">
        <v>9667591</v>
      </c>
      <c r="J38" s="1600">
        <v>284</v>
      </c>
      <c r="K38" s="1601">
        <v>13803683</v>
      </c>
      <c r="M38" s="1580"/>
    </row>
    <row r="40" spans="1:13" x14ac:dyDescent="0.2">
      <c r="E40" s="1580"/>
    </row>
    <row r="41" spans="1:13" x14ac:dyDescent="0.2">
      <c r="E41" s="1580"/>
      <c r="F41" s="1580"/>
      <c r="G41" s="1580"/>
      <c r="H41" s="1580"/>
      <c r="I41" s="1580"/>
      <c r="J41" s="1580"/>
      <c r="K41" s="1580"/>
    </row>
  </sheetData>
  <mergeCells count="49">
    <mergeCell ref="A36:B36"/>
    <mergeCell ref="A37:B37"/>
    <mergeCell ref="A38:B38"/>
    <mergeCell ref="A31:B31"/>
    <mergeCell ref="A32:B32"/>
    <mergeCell ref="C32:D32"/>
    <mergeCell ref="A33:B33"/>
    <mergeCell ref="A34:B34"/>
    <mergeCell ref="A35:B35"/>
    <mergeCell ref="A26:B26"/>
    <mergeCell ref="A27:B27"/>
    <mergeCell ref="C27:D27"/>
    <mergeCell ref="A28:B28"/>
    <mergeCell ref="A29:B29"/>
    <mergeCell ref="A30:B30"/>
    <mergeCell ref="A14:B14"/>
    <mergeCell ref="C14:D14"/>
    <mergeCell ref="A15:B15"/>
    <mergeCell ref="C15:D15"/>
    <mergeCell ref="A25:B25"/>
    <mergeCell ref="A16:B16"/>
    <mergeCell ref="A17:B17"/>
    <mergeCell ref="C17:D17"/>
    <mergeCell ref="A18:B18"/>
    <mergeCell ref="A19:B19"/>
    <mergeCell ref="A20:B20"/>
    <mergeCell ref="A21:B21"/>
    <mergeCell ref="A22:B22"/>
    <mergeCell ref="A23:B23"/>
    <mergeCell ref="C23:D23"/>
    <mergeCell ref="A24:B24"/>
    <mergeCell ref="A11:B11"/>
    <mergeCell ref="C11:D11"/>
    <mergeCell ref="A12:B12"/>
    <mergeCell ref="C12:D12"/>
    <mergeCell ref="A13:B13"/>
    <mergeCell ref="C13:D13"/>
    <mergeCell ref="A2:K2"/>
    <mergeCell ref="A4:J4"/>
    <mergeCell ref="A5:B10"/>
    <mergeCell ref="C5:D10"/>
    <mergeCell ref="E5:K5"/>
    <mergeCell ref="E6:G6"/>
    <mergeCell ref="H6:K6"/>
    <mergeCell ref="E7:E8"/>
    <mergeCell ref="F7:G8"/>
    <mergeCell ref="H7:I7"/>
    <mergeCell ref="J7:K8"/>
    <mergeCell ref="H8:I8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9" orientation="landscape" r:id="rId1"/>
  <headerFooter alignWithMargins="0">
    <oddHeader>&amp;R&amp;"Arial,Félkövér"&amp;12 &amp;11 27. melléklet a …../2022. (…….) önkormányzati rendelethez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K91"/>
  <sheetViews>
    <sheetView zoomScale="75" zoomScaleNormal="75" workbookViewId="0">
      <selection activeCell="J41" sqref="J41"/>
    </sheetView>
  </sheetViews>
  <sheetFormatPr defaultColWidth="10.6640625" defaultRowHeight="15" x14ac:dyDescent="0.2"/>
  <cols>
    <col min="1" max="1" width="10.6640625" style="1603"/>
    <col min="2" max="2" width="11.5" style="1602" customWidth="1"/>
    <col min="3" max="3" width="8.83203125" style="1603" customWidth="1"/>
    <col min="4" max="4" width="118" style="1603" customWidth="1"/>
    <col min="5" max="5" width="26" style="1603" customWidth="1"/>
    <col min="6" max="6" width="23.5" style="1603" customWidth="1"/>
    <col min="7" max="7" width="24.1640625" style="1603" customWidth="1"/>
    <col min="8" max="8" width="10.6640625" style="1603"/>
    <col min="9" max="9" width="19.1640625" style="1603" bestFit="1" customWidth="1"/>
    <col min="10" max="10" width="28" style="1603" customWidth="1"/>
    <col min="11" max="16384" width="10.6640625" style="1603"/>
  </cols>
  <sheetData>
    <row r="2" spans="2:11" ht="18" x14ac:dyDescent="0.25">
      <c r="E2" s="1513"/>
      <c r="F2" s="1604"/>
    </row>
    <row r="5" spans="2:11" s="1605" customFormat="1" ht="21.75" customHeight="1" x14ac:dyDescent="0.35">
      <c r="B5" s="2585" t="s">
        <v>1239</v>
      </c>
      <c r="C5" s="2585"/>
      <c r="D5" s="2585"/>
      <c r="E5" s="2585"/>
      <c r="F5" s="2585"/>
      <c r="G5" s="2585"/>
    </row>
    <row r="6" spans="2:11" s="1605" customFormat="1" ht="15.75" thickBot="1" x14ac:dyDescent="0.25">
      <c r="B6" s="1606"/>
      <c r="G6" s="1607" t="s">
        <v>19</v>
      </c>
    </row>
    <row r="7" spans="2:11" s="1610" customFormat="1" ht="19.5" customHeight="1" thickBot="1" x14ac:dyDescent="0.3">
      <c r="B7" s="1608" t="s">
        <v>751</v>
      </c>
      <c r="C7" s="1609"/>
      <c r="D7" s="1609"/>
      <c r="E7" s="2586"/>
      <c r="F7" s="2587"/>
      <c r="G7" s="2588"/>
    </row>
    <row r="8" spans="2:11" s="1605" customFormat="1" ht="20.100000000000001" customHeight="1" thickBot="1" x14ac:dyDescent="0.3">
      <c r="B8" s="1611"/>
      <c r="C8" s="1612"/>
      <c r="D8" s="1612"/>
      <c r="E8" s="1613" t="s">
        <v>1058</v>
      </c>
      <c r="F8" s="1614" t="s">
        <v>1059</v>
      </c>
      <c r="G8" s="1615" t="s">
        <v>1060</v>
      </c>
    </row>
    <row r="9" spans="2:11" s="1620" customFormat="1" ht="20.100000000000001" customHeight="1" thickBot="1" x14ac:dyDescent="0.35">
      <c r="B9" s="1616" t="s">
        <v>1061</v>
      </c>
      <c r="C9" s="1617" t="s">
        <v>1062</v>
      </c>
      <c r="D9" s="1617"/>
      <c r="E9" s="1618">
        <f>+E10+E18+E49+E53</f>
        <v>119200327</v>
      </c>
      <c r="F9" s="1618">
        <f>+F10+F18+F49+F53</f>
        <v>32071114</v>
      </c>
      <c r="G9" s="1619">
        <f>+G10+G18+G49+G53</f>
        <v>87129213</v>
      </c>
    </row>
    <row r="10" spans="2:11" s="1625" customFormat="1" ht="20.100000000000001" customHeight="1" thickBot="1" x14ac:dyDescent="0.35">
      <c r="B10" s="1621" t="s">
        <v>764</v>
      </c>
      <c r="C10" s="1622" t="s">
        <v>1063</v>
      </c>
      <c r="D10" s="1622"/>
      <c r="E10" s="1623">
        <f>+E11+E15</f>
        <v>396112</v>
      </c>
      <c r="F10" s="1623">
        <f>+F11+F15</f>
        <v>378007</v>
      </c>
      <c r="G10" s="1624">
        <f>+G15+G11</f>
        <v>18105</v>
      </c>
      <c r="I10" s="1620"/>
      <c r="J10" s="1620"/>
    </row>
    <row r="11" spans="2:11" s="1630" customFormat="1" ht="20.100000000000001" customHeight="1" x14ac:dyDescent="0.3">
      <c r="B11" s="1626" t="s">
        <v>1064</v>
      </c>
      <c r="C11" s="1627" t="s">
        <v>756</v>
      </c>
      <c r="D11" s="1627"/>
      <c r="E11" s="1628">
        <f>SUM(E12:E14)</f>
        <v>218476</v>
      </c>
      <c r="F11" s="1628">
        <f>SUM(F12:F14)</f>
        <v>201376</v>
      </c>
      <c r="G11" s="1629">
        <f>SUM(G12:G14)</f>
        <v>17100</v>
      </c>
      <c r="H11" s="1625"/>
      <c r="I11" s="1620"/>
      <c r="J11" s="1620"/>
      <c r="K11" s="1625"/>
    </row>
    <row r="12" spans="2:11" s="1605" customFormat="1" ht="20.100000000000001" customHeight="1" x14ac:dyDescent="0.3">
      <c r="B12" s="1631"/>
      <c r="C12" s="1632" t="s">
        <v>1065</v>
      </c>
      <c r="D12" s="1632"/>
      <c r="E12" s="1633">
        <v>28308</v>
      </c>
      <c r="F12" s="1632">
        <f>25129+1</f>
        <v>25130</v>
      </c>
      <c r="G12" s="1634">
        <f>E12-F12</f>
        <v>3178</v>
      </c>
      <c r="H12" s="1625"/>
      <c r="I12" s="1620"/>
      <c r="J12" s="1620"/>
      <c r="K12" s="1625"/>
    </row>
    <row r="13" spans="2:11" s="1605" customFormat="1" ht="20.100000000000001" customHeight="1" x14ac:dyDescent="0.3">
      <c r="B13" s="1631"/>
      <c r="C13" s="1632" t="s">
        <v>1066</v>
      </c>
      <c r="D13" s="1632"/>
      <c r="E13" s="1633">
        <v>190168</v>
      </c>
      <c r="F13" s="1632">
        <v>176246</v>
      </c>
      <c r="G13" s="1634">
        <f>E13-F13</f>
        <v>13922</v>
      </c>
      <c r="H13" s="1625"/>
      <c r="I13" s="1620"/>
      <c r="J13" s="1620"/>
      <c r="K13" s="1625"/>
    </row>
    <row r="14" spans="2:11" s="1605" customFormat="1" ht="20.100000000000001" customHeight="1" x14ac:dyDescent="0.3">
      <c r="B14" s="1635"/>
      <c r="C14" s="1636" t="s">
        <v>1067</v>
      </c>
      <c r="D14" s="1636"/>
      <c r="E14" s="1637">
        <v>0</v>
      </c>
      <c r="F14" s="1636">
        <v>0</v>
      </c>
      <c r="G14" s="1638">
        <f>E14-F14</f>
        <v>0</v>
      </c>
      <c r="H14" s="1625"/>
      <c r="I14" s="1620"/>
      <c r="J14" s="1620"/>
      <c r="K14" s="1625"/>
    </row>
    <row r="15" spans="2:11" s="1630" customFormat="1" ht="20.100000000000001" customHeight="1" x14ac:dyDescent="0.3">
      <c r="B15" s="1639" t="s">
        <v>762</v>
      </c>
      <c r="C15" s="1640" t="s">
        <v>761</v>
      </c>
      <c r="D15" s="1640"/>
      <c r="E15" s="1846">
        <f>SUM(E16:E17)</f>
        <v>177636</v>
      </c>
      <c r="F15" s="1846">
        <f t="shared" ref="F15:G15" si="0">SUM(F16:F17)</f>
        <v>176631</v>
      </c>
      <c r="G15" s="1846">
        <f t="shared" si="0"/>
        <v>1005</v>
      </c>
      <c r="H15" s="1625"/>
      <c r="I15" s="1620"/>
      <c r="J15" s="1620"/>
      <c r="K15" s="1625"/>
    </row>
    <row r="16" spans="2:11" s="1605" customFormat="1" ht="20.100000000000001" customHeight="1" x14ac:dyDescent="0.3">
      <c r="B16" s="1631"/>
      <c r="C16" s="1632" t="s">
        <v>1065</v>
      </c>
      <c r="D16" s="1632"/>
      <c r="E16" s="1633">
        <v>600</v>
      </c>
      <c r="F16" s="1632">
        <v>43</v>
      </c>
      <c r="G16" s="1638">
        <f>E16-F16</f>
        <v>557</v>
      </c>
      <c r="H16" s="1625"/>
      <c r="I16" s="1620"/>
      <c r="J16" s="1620"/>
      <c r="K16" s="1625"/>
    </row>
    <row r="17" spans="2:11" s="1605" customFormat="1" ht="20.100000000000001" customHeight="1" thickBot="1" x14ac:dyDescent="0.35">
      <c r="B17" s="1635"/>
      <c r="C17" s="1636" t="s">
        <v>1066</v>
      </c>
      <c r="D17" s="1636"/>
      <c r="E17" s="1637">
        <v>177036</v>
      </c>
      <c r="F17" s="1636">
        <v>176588</v>
      </c>
      <c r="G17" s="1847">
        <f>E17-F17</f>
        <v>448</v>
      </c>
      <c r="H17" s="1625"/>
      <c r="I17" s="1620"/>
      <c r="J17" s="1620"/>
      <c r="K17" s="1625"/>
    </row>
    <row r="18" spans="2:11" s="1625" customFormat="1" ht="20.100000000000001" customHeight="1" thickBot="1" x14ac:dyDescent="0.35">
      <c r="B18" s="1621" t="s">
        <v>776</v>
      </c>
      <c r="C18" s="1622" t="s">
        <v>1068</v>
      </c>
      <c r="D18" s="1622"/>
      <c r="E18" s="1623">
        <f>+E19+E40+E44+E45</f>
        <v>111406834</v>
      </c>
      <c r="F18" s="1623">
        <f>+F19+F40+F44+F45</f>
        <v>31628599</v>
      </c>
      <c r="G18" s="1641">
        <f>E18-F18</f>
        <v>79778235</v>
      </c>
      <c r="I18" s="1620"/>
      <c r="J18" s="1620"/>
    </row>
    <row r="19" spans="2:11" s="1644" customFormat="1" ht="20.100000000000001" customHeight="1" x14ac:dyDescent="0.3">
      <c r="B19" s="1642" t="s">
        <v>767</v>
      </c>
      <c r="C19" s="1643" t="s">
        <v>766</v>
      </c>
      <c r="D19" s="1643"/>
      <c r="E19" s="1850">
        <f>+E20+E27+E36</f>
        <v>102989386</v>
      </c>
      <c r="F19" s="1850">
        <f>+F20+F27+F36</f>
        <v>26996706</v>
      </c>
      <c r="G19" s="1851">
        <f>+G20+G27+G36</f>
        <v>75992680</v>
      </c>
      <c r="H19" s="1625"/>
      <c r="I19" s="1620"/>
      <c r="J19" s="1620"/>
      <c r="K19" s="1625"/>
    </row>
    <row r="20" spans="2:11" s="1648" customFormat="1" ht="20.100000000000001" customHeight="1" x14ac:dyDescent="0.3">
      <c r="B20" s="1645"/>
      <c r="C20" s="1646" t="s">
        <v>1069</v>
      </c>
      <c r="D20" s="1647"/>
      <c r="E20" s="1852">
        <f>SUM(E21:E26)</f>
        <v>57891670</v>
      </c>
      <c r="F20" s="1852">
        <f>SUM(F21:F26)</f>
        <v>15319534</v>
      </c>
      <c r="G20" s="1853">
        <f>SUM(G21:G26)</f>
        <v>42572136</v>
      </c>
      <c r="I20" s="1620"/>
      <c r="J20" s="1620"/>
    </row>
    <row r="21" spans="2:11" s="1605" customFormat="1" ht="20.100000000000001" customHeight="1" x14ac:dyDescent="0.3">
      <c r="B21" s="1635"/>
      <c r="C21" s="1649" t="s">
        <v>1070</v>
      </c>
      <c r="D21" s="1636" t="s">
        <v>1071</v>
      </c>
      <c r="E21" s="1637">
        <f>36446642-1</f>
        <v>36446641</v>
      </c>
      <c r="F21" s="1636">
        <v>11448572</v>
      </c>
      <c r="G21" s="1638">
        <f t="shared" ref="G21:G26" si="1">E21-F21</f>
        <v>24998069</v>
      </c>
      <c r="I21" s="1620"/>
      <c r="J21" s="1620"/>
    </row>
    <row r="22" spans="2:11" s="1605" customFormat="1" ht="20.100000000000001" customHeight="1" x14ac:dyDescent="0.3">
      <c r="B22" s="1631"/>
      <c r="C22" s="1650" t="s">
        <v>1070</v>
      </c>
      <c r="D22" s="1632" t="s">
        <v>1072</v>
      </c>
      <c r="E22" s="1633">
        <v>11017692</v>
      </c>
      <c r="F22" s="1632">
        <v>2958556</v>
      </c>
      <c r="G22" s="1634">
        <f t="shared" si="1"/>
        <v>8059136</v>
      </c>
      <c r="I22" s="1620"/>
      <c r="J22" s="1620"/>
    </row>
    <row r="23" spans="2:11" s="1605" customFormat="1" ht="20.100000000000001" customHeight="1" x14ac:dyDescent="0.3">
      <c r="B23" s="1631"/>
      <c r="C23" s="1650" t="s">
        <v>1070</v>
      </c>
      <c r="D23" s="1632" t="s">
        <v>1073</v>
      </c>
      <c r="E23" s="1633">
        <v>687649</v>
      </c>
      <c r="F23" s="1632">
        <f>170+1</f>
        <v>171</v>
      </c>
      <c r="G23" s="1634">
        <f t="shared" si="1"/>
        <v>687478</v>
      </c>
      <c r="I23" s="1620"/>
      <c r="J23" s="1620"/>
    </row>
    <row r="24" spans="2:11" s="1605" customFormat="1" ht="20.100000000000001" customHeight="1" x14ac:dyDescent="0.3">
      <c r="B24" s="1631"/>
      <c r="C24" s="1650" t="s">
        <v>1070</v>
      </c>
      <c r="D24" s="1632" t="s">
        <v>1074</v>
      </c>
      <c r="E24" s="1633">
        <v>1289806</v>
      </c>
      <c r="F24" s="1632">
        <v>375932</v>
      </c>
      <c r="G24" s="1634">
        <f t="shared" si="1"/>
        <v>913874</v>
      </c>
      <c r="I24" s="1620"/>
      <c r="J24" s="1620"/>
    </row>
    <row r="25" spans="2:11" s="1605" customFormat="1" ht="20.100000000000001" customHeight="1" x14ac:dyDescent="0.3">
      <c r="B25" s="1631"/>
      <c r="C25" s="1650" t="s">
        <v>1070</v>
      </c>
      <c r="D25" s="1632" t="s">
        <v>1075</v>
      </c>
      <c r="E25" s="1633">
        <f>64885+191692+76094+1</f>
        <v>332672</v>
      </c>
      <c r="F25" s="1632">
        <f>6894+47144+24967+1</f>
        <v>79006</v>
      </c>
      <c r="G25" s="1634">
        <f t="shared" si="1"/>
        <v>253666</v>
      </c>
      <c r="I25" s="1620"/>
      <c r="J25" s="1620"/>
    </row>
    <row r="26" spans="2:11" s="1605" customFormat="1" ht="38.25" customHeight="1" x14ac:dyDescent="0.3">
      <c r="B26" s="1635"/>
      <c r="C26" s="1651" t="s">
        <v>1070</v>
      </c>
      <c r="D26" s="1652" t="s">
        <v>1076</v>
      </c>
      <c r="E26" s="1637">
        <v>8117210</v>
      </c>
      <c r="F26" s="1636">
        <v>457297</v>
      </c>
      <c r="G26" s="1638">
        <f t="shared" si="1"/>
        <v>7659913</v>
      </c>
      <c r="I26" s="1620"/>
      <c r="J26" s="1620"/>
    </row>
    <row r="27" spans="2:11" s="1648" customFormat="1" ht="20.100000000000001" customHeight="1" x14ac:dyDescent="0.3">
      <c r="B27" s="1645"/>
      <c r="C27" s="1646" t="s">
        <v>1077</v>
      </c>
      <c r="D27" s="1647"/>
      <c r="E27" s="1852">
        <f>SUM(E28:E35)</f>
        <v>40536338</v>
      </c>
      <c r="F27" s="1852">
        <f>SUM(F28:F35)</f>
        <v>11128711</v>
      </c>
      <c r="G27" s="1853">
        <f>SUM(G28:G35)</f>
        <v>29407627</v>
      </c>
      <c r="I27" s="1620"/>
      <c r="J27" s="1620"/>
    </row>
    <row r="28" spans="2:11" s="1605" customFormat="1" ht="20.100000000000001" customHeight="1" x14ac:dyDescent="0.3">
      <c r="B28" s="1635"/>
      <c r="C28" s="1649" t="s">
        <v>1070</v>
      </c>
      <c r="D28" s="1636" t="s">
        <v>1078</v>
      </c>
      <c r="E28" s="1637">
        <v>4801822</v>
      </c>
      <c r="F28" s="1636">
        <v>1561798</v>
      </c>
      <c r="G28" s="1638">
        <f t="shared" ref="G28:G35" si="2">E28-F28</f>
        <v>3240024</v>
      </c>
      <c r="I28" s="1620"/>
      <c r="J28" s="1620"/>
    </row>
    <row r="29" spans="2:11" s="1605" customFormat="1" ht="20.100000000000001" customHeight="1" x14ac:dyDescent="0.3">
      <c r="B29" s="1631"/>
      <c r="C29" s="1650" t="s">
        <v>1070</v>
      </c>
      <c r="D29" s="1632" t="s">
        <v>1079</v>
      </c>
      <c r="E29" s="1633">
        <v>335298</v>
      </c>
      <c r="F29" s="1632">
        <v>49748</v>
      </c>
      <c r="G29" s="1634">
        <f t="shared" si="2"/>
        <v>285550</v>
      </c>
      <c r="I29" s="1620"/>
      <c r="J29" s="1620"/>
    </row>
    <row r="30" spans="2:11" s="1605" customFormat="1" ht="20.100000000000001" customHeight="1" x14ac:dyDescent="0.3">
      <c r="B30" s="1631"/>
      <c r="C30" s="1650" t="s">
        <v>1070</v>
      </c>
      <c r="D30" s="1632" t="s">
        <v>1080</v>
      </c>
      <c r="E30" s="1633">
        <v>475698</v>
      </c>
      <c r="F30" s="1632">
        <v>156326</v>
      </c>
      <c r="G30" s="1634">
        <f t="shared" si="2"/>
        <v>319372</v>
      </c>
      <c r="I30" s="1620"/>
      <c r="J30" s="1620"/>
    </row>
    <row r="31" spans="2:11" s="1605" customFormat="1" ht="20.100000000000001" customHeight="1" x14ac:dyDescent="0.3">
      <c r="B31" s="1631"/>
      <c r="C31" s="1650" t="s">
        <v>1070</v>
      </c>
      <c r="D31" s="1632" t="s">
        <v>1074</v>
      </c>
      <c r="E31" s="1633">
        <v>5657768</v>
      </c>
      <c r="F31" s="1632">
        <v>1464214</v>
      </c>
      <c r="G31" s="1634">
        <f t="shared" si="2"/>
        <v>4193554</v>
      </c>
      <c r="I31" s="1620"/>
      <c r="J31" s="1620"/>
    </row>
    <row r="32" spans="2:11" s="1605" customFormat="1" ht="20.100000000000001" customHeight="1" x14ac:dyDescent="0.3">
      <c r="B32" s="1631"/>
      <c r="C32" s="1650" t="s">
        <v>1070</v>
      </c>
      <c r="D32" s="1632" t="s">
        <v>1081</v>
      </c>
      <c r="E32" s="1633">
        <f>1664568+205543-1</f>
        <v>1870110</v>
      </c>
      <c r="F32" s="1632">
        <f>10781+1576</f>
        <v>12357</v>
      </c>
      <c r="G32" s="1634">
        <f t="shared" si="2"/>
        <v>1857753</v>
      </c>
      <c r="I32" s="1620"/>
      <c r="J32" s="1620"/>
    </row>
    <row r="33" spans="2:10" s="1605" customFormat="1" ht="20.100000000000001" customHeight="1" x14ac:dyDescent="0.3">
      <c r="B33" s="1631"/>
      <c r="C33" s="1650" t="s">
        <v>1070</v>
      </c>
      <c r="D33" s="1653" t="s">
        <v>1082</v>
      </c>
      <c r="E33" s="1633">
        <v>201300</v>
      </c>
      <c r="F33" s="1632">
        <v>14043</v>
      </c>
      <c r="G33" s="1634">
        <f t="shared" si="2"/>
        <v>187257</v>
      </c>
      <c r="I33" s="1620"/>
      <c r="J33" s="1620"/>
    </row>
    <row r="34" spans="2:10" s="1605" customFormat="1" ht="20.100000000000001" customHeight="1" x14ac:dyDescent="0.3">
      <c r="B34" s="1631"/>
      <c r="C34" s="1650" t="s">
        <v>1070</v>
      </c>
      <c r="D34" s="1632" t="s">
        <v>1075</v>
      </c>
      <c r="E34" s="1633">
        <f>287694+21191+42959+3614872+5299294+9625826+1750981+600669+1616319</f>
        <v>22859805</v>
      </c>
      <c r="F34" s="1632">
        <f>55069+3405+5611+1512089+1623505+3679201+129221+46017+339739+1</f>
        <v>7393858</v>
      </c>
      <c r="G34" s="1634">
        <f t="shared" si="2"/>
        <v>15465947</v>
      </c>
      <c r="I34" s="1620"/>
      <c r="J34" s="1620"/>
    </row>
    <row r="35" spans="2:10" s="1605" customFormat="1" ht="39" customHeight="1" x14ac:dyDescent="0.3">
      <c r="B35" s="1635"/>
      <c r="C35" s="1651" t="s">
        <v>1070</v>
      </c>
      <c r="D35" s="1652" t="s">
        <v>1083</v>
      </c>
      <c r="E35" s="1637">
        <v>4334537</v>
      </c>
      <c r="F35" s="1636">
        <v>476367</v>
      </c>
      <c r="G35" s="1634">
        <f t="shared" si="2"/>
        <v>3858170</v>
      </c>
      <c r="I35" s="1620"/>
      <c r="J35" s="1620"/>
    </row>
    <row r="36" spans="2:10" s="1648" customFormat="1" ht="20.100000000000001" customHeight="1" x14ac:dyDescent="0.3">
      <c r="B36" s="1645"/>
      <c r="C36" s="1646" t="s">
        <v>1067</v>
      </c>
      <c r="D36" s="1647"/>
      <c r="E36" s="1852">
        <f>SUM(E37:E39)</f>
        <v>4561378</v>
      </c>
      <c r="F36" s="1852">
        <f>SUM(F37:F39)</f>
        <v>548461</v>
      </c>
      <c r="G36" s="1853">
        <f>SUM(G37:G39)</f>
        <v>4012917</v>
      </c>
      <c r="I36" s="1620"/>
      <c r="J36" s="1620"/>
    </row>
    <row r="37" spans="2:10" s="1605" customFormat="1" ht="20.100000000000001" customHeight="1" x14ac:dyDescent="0.3">
      <c r="B37" s="1635"/>
      <c r="C37" s="1649" t="s">
        <v>1070</v>
      </c>
      <c r="D37" s="1636" t="s">
        <v>1084</v>
      </c>
      <c r="E37" s="1637">
        <v>188773</v>
      </c>
      <c r="F37" s="1636">
        <f>8465-1</f>
        <v>8464</v>
      </c>
      <c r="G37" s="1638">
        <f>E37-F37</f>
        <v>180309</v>
      </c>
      <c r="I37" s="1620"/>
      <c r="J37" s="1620"/>
    </row>
    <row r="38" spans="2:10" s="1605" customFormat="1" ht="20.100000000000001" customHeight="1" x14ac:dyDescent="0.3">
      <c r="B38" s="1631"/>
      <c r="C38" s="1650" t="s">
        <v>1070</v>
      </c>
      <c r="D38" s="1632" t="s">
        <v>1075</v>
      </c>
      <c r="E38" s="1633">
        <f>4340329+29210</f>
        <v>4369539</v>
      </c>
      <c r="F38" s="1632">
        <f>536326+2311</f>
        <v>538637</v>
      </c>
      <c r="G38" s="1634">
        <f>E38-F38</f>
        <v>3830902</v>
      </c>
      <c r="I38" s="1620"/>
      <c r="J38" s="1620"/>
    </row>
    <row r="39" spans="2:10" s="1605" customFormat="1" ht="40.5" customHeight="1" x14ac:dyDescent="0.3">
      <c r="B39" s="1635"/>
      <c r="C39" s="1651" t="s">
        <v>1070</v>
      </c>
      <c r="D39" s="1652" t="s">
        <v>1085</v>
      </c>
      <c r="E39" s="1637">
        <v>3066</v>
      </c>
      <c r="F39" s="1636">
        <v>1360</v>
      </c>
      <c r="G39" s="1638">
        <f>E39-F39</f>
        <v>1706</v>
      </c>
      <c r="I39" s="1620"/>
      <c r="J39" s="1620"/>
    </row>
    <row r="40" spans="2:10" s="1644" customFormat="1" ht="20.100000000000001" customHeight="1" x14ac:dyDescent="0.3">
      <c r="B40" s="1654" t="s">
        <v>1086</v>
      </c>
      <c r="C40" s="1655" t="s">
        <v>1087</v>
      </c>
      <c r="D40" s="1655"/>
      <c r="E40" s="1854">
        <f>SUM(E41:E43)</f>
        <v>6693219</v>
      </c>
      <c r="F40" s="1854">
        <f>SUM(F41:F43)</f>
        <v>4631385</v>
      </c>
      <c r="G40" s="1855">
        <f>SUM(G41:G43)</f>
        <v>2061834</v>
      </c>
      <c r="I40" s="1620"/>
      <c r="J40" s="1620"/>
    </row>
    <row r="41" spans="2:10" s="1605" customFormat="1" ht="20.100000000000001" customHeight="1" x14ac:dyDescent="0.3">
      <c r="B41" s="1635"/>
      <c r="C41" s="1636" t="s">
        <v>1088</v>
      </c>
      <c r="D41" s="1636"/>
      <c r="E41" s="1637">
        <v>997080</v>
      </c>
      <c r="F41" s="1636">
        <v>18346</v>
      </c>
      <c r="G41" s="1638">
        <f>E41-F41</f>
        <v>978734</v>
      </c>
      <c r="I41" s="1620"/>
      <c r="J41" s="1620"/>
    </row>
    <row r="42" spans="2:10" s="1605" customFormat="1" ht="20.100000000000001" customHeight="1" x14ac:dyDescent="0.3">
      <c r="B42" s="1631"/>
      <c r="C42" s="1632" t="s">
        <v>1089</v>
      </c>
      <c r="D42" s="1632"/>
      <c r="E42" s="1633">
        <f>5690818-3</f>
        <v>5690815</v>
      </c>
      <c r="F42" s="1632">
        <f>4609151</f>
        <v>4609151</v>
      </c>
      <c r="G42" s="1634">
        <f>E42-F42</f>
        <v>1081664</v>
      </c>
      <c r="I42" s="1620"/>
      <c r="J42" s="1620"/>
    </row>
    <row r="43" spans="2:10" s="1605" customFormat="1" ht="20.100000000000001" customHeight="1" x14ac:dyDescent="0.3">
      <c r="B43" s="1658"/>
      <c r="C43" s="1659" t="s">
        <v>1090</v>
      </c>
      <c r="D43" s="1659"/>
      <c r="E43" s="1660">
        <v>5324</v>
      </c>
      <c r="F43" s="1659">
        <v>3888</v>
      </c>
      <c r="G43" s="1661">
        <v>1436</v>
      </c>
      <c r="I43" s="1620"/>
      <c r="J43" s="1620"/>
    </row>
    <row r="44" spans="2:10" s="1644" customFormat="1" ht="20.100000000000001" customHeight="1" x14ac:dyDescent="0.3">
      <c r="B44" s="1662" t="s">
        <v>772</v>
      </c>
      <c r="C44" s="1663" t="s">
        <v>1091</v>
      </c>
      <c r="D44" s="1663"/>
      <c r="E44" s="1856">
        <v>508</v>
      </c>
      <c r="F44" s="1856">
        <v>508</v>
      </c>
      <c r="G44" s="1857">
        <f>E44-F44</f>
        <v>0</v>
      </c>
      <c r="I44" s="1620"/>
      <c r="J44" s="1620"/>
    </row>
    <row r="45" spans="2:10" s="1644" customFormat="1" ht="20.100000000000001" customHeight="1" x14ac:dyDescent="0.3">
      <c r="B45" s="1642" t="s">
        <v>1092</v>
      </c>
      <c r="C45" s="1643" t="s">
        <v>773</v>
      </c>
      <c r="D45" s="1643"/>
      <c r="E45" s="1850">
        <f>SUM(E46:E47)</f>
        <v>1723721</v>
      </c>
      <c r="F45" s="1850">
        <f>SUM(F46:F47)</f>
        <v>0</v>
      </c>
      <c r="G45" s="1851">
        <f>SUM(G46:G47)</f>
        <v>1723721</v>
      </c>
      <c r="I45" s="1620"/>
      <c r="J45" s="1620"/>
    </row>
    <row r="46" spans="2:10" s="1605" customFormat="1" ht="20.100000000000001" customHeight="1" x14ac:dyDescent="0.3">
      <c r="B46" s="1631"/>
      <c r="C46" s="1664" t="s">
        <v>1093</v>
      </c>
      <c r="D46" s="1664"/>
      <c r="E46" s="1665">
        <v>1026569</v>
      </c>
      <c r="F46" s="1664">
        <v>0</v>
      </c>
      <c r="G46" s="1634">
        <f>E46-F46</f>
        <v>1026569</v>
      </c>
      <c r="I46" s="1620"/>
      <c r="J46" s="1620"/>
    </row>
    <row r="47" spans="2:10" s="1605" customFormat="1" ht="20.100000000000001" customHeight="1" x14ac:dyDescent="0.3">
      <c r="B47" s="1631"/>
      <c r="C47" s="1664" t="s">
        <v>1094</v>
      </c>
      <c r="D47" s="1664"/>
      <c r="E47" s="1665">
        <f>697152</f>
        <v>697152</v>
      </c>
      <c r="F47" s="1664">
        <v>0</v>
      </c>
      <c r="G47" s="1634">
        <f>E47-F47</f>
        <v>697152</v>
      </c>
      <c r="I47" s="1620"/>
      <c r="J47" s="1620"/>
    </row>
    <row r="48" spans="2:10" s="1644" customFormat="1" ht="20.100000000000001" customHeight="1" thickBot="1" x14ac:dyDescent="0.35">
      <c r="B48" s="2630" t="s">
        <v>1095</v>
      </c>
      <c r="C48" s="2631" t="s">
        <v>1096</v>
      </c>
      <c r="D48" s="2632"/>
      <c r="E48" s="2633">
        <v>0</v>
      </c>
      <c r="F48" s="2632">
        <v>0</v>
      </c>
      <c r="G48" s="2634">
        <f>E48-F48</f>
        <v>0</v>
      </c>
      <c r="I48" s="1620"/>
      <c r="J48" s="1620"/>
    </row>
    <row r="49" spans="2:10" s="1625" customFormat="1" ht="20.100000000000001" customHeight="1" thickBot="1" x14ac:dyDescent="0.35">
      <c r="B49" s="1666" t="s">
        <v>783</v>
      </c>
      <c r="C49" s="1667" t="s">
        <v>1097</v>
      </c>
      <c r="D49" s="1668"/>
      <c r="E49" s="1669">
        <f>SUM(E50)</f>
        <v>6452277</v>
      </c>
      <c r="F49" s="1668"/>
      <c r="G49" s="1670">
        <f>SUM(G50:G52)</f>
        <v>6452277</v>
      </c>
      <c r="I49" s="1620"/>
      <c r="J49" s="1620"/>
    </row>
    <row r="50" spans="2:10" s="1676" customFormat="1" ht="20.100000000000001" customHeight="1" x14ac:dyDescent="0.3">
      <c r="B50" s="1671" t="s">
        <v>1098</v>
      </c>
      <c r="C50" s="1672" t="s">
        <v>1099</v>
      </c>
      <c r="D50" s="1673"/>
      <c r="E50" s="1674">
        <v>6452277</v>
      </c>
      <c r="F50" s="1673"/>
      <c r="G50" s="1675">
        <v>6452277</v>
      </c>
      <c r="I50" s="1620"/>
      <c r="J50" s="1620"/>
    </row>
    <row r="51" spans="2:10" s="1676" customFormat="1" ht="20.100000000000001" customHeight="1" x14ac:dyDescent="0.3">
      <c r="B51" s="1677" t="s">
        <v>781</v>
      </c>
      <c r="C51" s="1678" t="s">
        <v>1100</v>
      </c>
      <c r="D51" s="1679"/>
      <c r="E51" s="1680"/>
      <c r="F51" s="1679"/>
      <c r="G51" s="1675">
        <v>0</v>
      </c>
      <c r="I51" s="1620"/>
      <c r="J51" s="1620"/>
    </row>
    <row r="52" spans="2:10" s="1676" customFormat="1" ht="20.100000000000001" customHeight="1" thickBot="1" x14ac:dyDescent="0.35">
      <c r="B52" s="1671" t="s">
        <v>1101</v>
      </c>
      <c r="C52" s="1672" t="s">
        <v>1102</v>
      </c>
      <c r="D52" s="1673"/>
      <c r="E52" s="1674"/>
      <c r="F52" s="1673"/>
      <c r="G52" s="1681">
        <v>0</v>
      </c>
      <c r="I52" s="1620"/>
      <c r="J52" s="1620"/>
    </row>
    <row r="53" spans="2:10" s="1625" customFormat="1" ht="20.100000000000001" customHeight="1" thickBot="1" x14ac:dyDescent="0.35">
      <c r="B53" s="1621" t="s">
        <v>1103</v>
      </c>
      <c r="C53" s="1622" t="s">
        <v>1104</v>
      </c>
      <c r="D53" s="1682"/>
      <c r="E53" s="1683">
        <f>SUM(E54)</f>
        <v>945104</v>
      </c>
      <c r="F53" s="1683">
        <f>SUM(F54)</f>
        <v>64508</v>
      </c>
      <c r="G53" s="1683">
        <f>SUM(G54)</f>
        <v>880596</v>
      </c>
      <c r="I53" s="1620"/>
      <c r="J53" s="1620"/>
    </row>
    <row r="54" spans="2:10" s="1605" customFormat="1" ht="20.100000000000001" customHeight="1" thickBot="1" x14ac:dyDescent="0.35">
      <c r="B54" s="1635" t="s">
        <v>1105</v>
      </c>
      <c r="C54" s="1684" t="s">
        <v>1106</v>
      </c>
      <c r="D54" s="1685"/>
      <c r="E54" s="1686">
        <v>945104</v>
      </c>
      <c r="F54" s="1685">
        <v>64508</v>
      </c>
      <c r="G54" s="1638">
        <f>+E54-F54</f>
        <v>880596</v>
      </c>
      <c r="I54" s="1620"/>
      <c r="J54" s="1620"/>
    </row>
    <row r="55" spans="2:10" s="1625" customFormat="1" ht="20.100000000000001" customHeight="1" thickBot="1" x14ac:dyDescent="0.35">
      <c r="B55" s="1621" t="s">
        <v>1107</v>
      </c>
      <c r="C55" s="1622" t="s">
        <v>1108</v>
      </c>
      <c r="D55" s="1682"/>
      <c r="E55" s="1683" t="s">
        <v>59</v>
      </c>
      <c r="F55" s="1682"/>
      <c r="G55" s="1624">
        <f>SUM(G56:G57)</f>
        <v>26934</v>
      </c>
      <c r="I55" s="1620"/>
    </row>
    <row r="56" spans="2:10" s="1676" customFormat="1" ht="20.100000000000001" customHeight="1" x14ac:dyDescent="0.3">
      <c r="B56" s="1671" t="s">
        <v>790</v>
      </c>
      <c r="C56" s="1672" t="s">
        <v>1109</v>
      </c>
      <c r="D56" s="1673"/>
      <c r="E56" s="1674" t="s">
        <v>59</v>
      </c>
      <c r="F56" s="1673"/>
      <c r="G56" s="1638">
        <v>26934</v>
      </c>
      <c r="I56" s="1620"/>
    </row>
    <row r="57" spans="2:10" s="1676" customFormat="1" ht="20.100000000000001" customHeight="1" x14ac:dyDescent="0.3">
      <c r="B57" s="1677" t="s">
        <v>792</v>
      </c>
      <c r="C57" s="1678" t="s">
        <v>791</v>
      </c>
      <c r="D57" s="1679"/>
      <c r="E57" s="1680" t="s">
        <v>59</v>
      </c>
      <c r="F57" s="1679"/>
      <c r="G57" s="1675">
        <v>0</v>
      </c>
      <c r="I57" s="1620"/>
    </row>
    <row r="58" spans="2:10" s="1605" customFormat="1" ht="20.100000000000001" customHeight="1" thickBot="1" x14ac:dyDescent="0.35">
      <c r="B58" s="1635"/>
      <c r="C58" s="1636"/>
      <c r="D58" s="1685"/>
      <c r="E58" s="1686"/>
      <c r="F58" s="1685"/>
      <c r="G58" s="1638"/>
      <c r="I58" s="1620"/>
    </row>
    <row r="59" spans="2:10" s="1625" customFormat="1" ht="20.100000000000001" customHeight="1" thickBot="1" x14ac:dyDescent="0.35">
      <c r="B59" s="1621" t="s">
        <v>806</v>
      </c>
      <c r="C59" s="1622" t="s">
        <v>1110</v>
      </c>
      <c r="D59" s="1682"/>
      <c r="E59" s="1683"/>
      <c r="F59" s="1682"/>
      <c r="G59" s="1624">
        <f>SUM(G60:G63)</f>
        <v>9616738</v>
      </c>
      <c r="I59" s="1620"/>
    </row>
    <row r="60" spans="2:10" s="1676" customFormat="1" ht="20.100000000000001" customHeight="1" x14ac:dyDescent="0.2">
      <c r="B60" s="1671" t="s">
        <v>798</v>
      </c>
      <c r="C60" s="1672" t="s">
        <v>797</v>
      </c>
      <c r="D60" s="1673"/>
      <c r="E60" s="1674"/>
      <c r="F60" s="1673"/>
      <c r="G60" s="1848">
        <v>0</v>
      </c>
    </row>
    <row r="61" spans="2:10" s="1676" customFormat="1" ht="20.100000000000001" customHeight="1" x14ac:dyDescent="0.2">
      <c r="B61" s="1677" t="s">
        <v>800</v>
      </c>
      <c r="C61" s="1678" t="s">
        <v>799</v>
      </c>
      <c r="D61" s="1679"/>
      <c r="E61" s="1680"/>
      <c r="F61" s="1679"/>
      <c r="G61" s="1849">
        <v>801</v>
      </c>
    </row>
    <row r="62" spans="2:10" s="1676" customFormat="1" ht="20.100000000000001" customHeight="1" x14ac:dyDescent="0.2">
      <c r="B62" s="1671" t="s">
        <v>802</v>
      </c>
      <c r="C62" s="1672" t="s">
        <v>801</v>
      </c>
      <c r="D62" s="1673"/>
      <c r="E62" s="1674"/>
      <c r="F62" s="1673"/>
      <c r="G62" s="1848">
        <v>9576941</v>
      </c>
    </row>
    <row r="63" spans="2:10" s="1676" customFormat="1" ht="20.100000000000001" customHeight="1" x14ac:dyDescent="0.2">
      <c r="B63" s="1677" t="s">
        <v>1111</v>
      </c>
      <c r="C63" s="1678" t="s">
        <v>803</v>
      </c>
      <c r="D63" s="1679"/>
      <c r="E63" s="1680"/>
      <c r="F63" s="1679"/>
      <c r="G63" s="1849">
        <v>38996</v>
      </c>
    </row>
    <row r="64" spans="2:10" s="1605" customFormat="1" ht="20.100000000000001" customHeight="1" thickBot="1" x14ac:dyDescent="0.25">
      <c r="B64" s="1635"/>
      <c r="C64" s="1636"/>
      <c r="D64" s="1685"/>
      <c r="E64" s="1686"/>
      <c r="F64" s="1685"/>
      <c r="G64" s="1638"/>
    </row>
    <row r="65" spans="2:7" s="1605" customFormat="1" ht="20.100000000000001" customHeight="1" x14ac:dyDescent="0.2">
      <c r="B65" s="1687"/>
      <c r="C65" s="1688"/>
      <c r="D65" s="1689"/>
      <c r="E65" s="1690"/>
      <c r="F65" s="1689"/>
      <c r="G65" s="1691"/>
    </row>
    <row r="66" spans="2:7" s="1630" customFormat="1" ht="20.100000000000001" customHeight="1" x14ac:dyDescent="0.25">
      <c r="B66" s="1692" t="s">
        <v>1112</v>
      </c>
      <c r="C66" s="1627"/>
      <c r="D66" s="1627"/>
      <c r="E66" s="1628"/>
      <c r="F66" s="1627"/>
      <c r="G66" s="1629"/>
    </row>
    <row r="67" spans="2:7" s="1648" customFormat="1" ht="20.100000000000001" customHeight="1" x14ac:dyDescent="0.25">
      <c r="B67" s="1693"/>
      <c r="C67" s="1694" t="s">
        <v>1113</v>
      </c>
      <c r="D67" s="1694"/>
      <c r="E67" s="1628">
        <f>SUM(E68:E71)</f>
        <v>3871793</v>
      </c>
      <c r="F67" s="1628">
        <f>SUM(F68:F71)</f>
        <v>3871793</v>
      </c>
      <c r="G67" s="1695">
        <f>SUM(G68:G71)</f>
        <v>0</v>
      </c>
    </row>
    <row r="68" spans="2:7" s="1676" customFormat="1" ht="20.100000000000001" customHeight="1" x14ac:dyDescent="0.2">
      <c r="B68" s="1677"/>
      <c r="C68" s="1678" t="s">
        <v>1063</v>
      </c>
      <c r="D68" s="1678"/>
      <c r="E68" s="1633">
        <v>333278</v>
      </c>
      <c r="F68" s="1633">
        <v>333278</v>
      </c>
      <c r="G68" s="1675">
        <f>+E68-F68</f>
        <v>0</v>
      </c>
    </row>
    <row r="69" spans="2:7" s="1676" customFormat="1" ht="20.100000000000001" customHeight="1" x14ac:dyDescent="0.2">
      <c r="B69" s="1671"/>
      <c r="C69" s="1672" t="s">
        <v>1114</v>
      </c>
      <c r="D69" s="1672"/>
      <c r="E69" s="1637">
        <v>167330</v>
      </c>
      <c r="F69" s="1637">
        <v>167330</v>
      </c>
      <c r="G69" s="1675">
        <f>+E69-F69</f>
        <v>0</v>
      </c>
    </row>
    <row r="70" spans="2:7" s="1676" customFormat="1" ht="20.100000000000001" customHeight="1" x14ac:dyDescent="0.2">
      <c r="B70" s="1677"/>
      <c r="C70" s="1678" t="s">
        <v>1115</v>
      </c>
      <c r="D70" s="1678"/>
      <c r="E70" s="1633">
        <v>3371185</v>
      </c>
      <c r="F70" s="1633">
        <v>3371185</v>
      </c>
      <c r="G70" s="1675">
        <f>+E70-F70</f>
        <v>0</v>
      </c>
    </row>
    <row r="71" spans="2:7" s="1676" customFormat="1" ht="19.5" customHeight="1" x14ac:dyDescent="0.2">
      <c r="B71" s="1677"/>
      <c r="C71" s="1678" t="s">
        <v>771</v>
      </c>
      <c r="D71" s="1678"/>
      <c r="E71" s="1633">
        <v>0</v>
      </c>
      <c r="F71" s="1633">
        <v>0</v>
      </c>
      <c r="G71" s="1675">
        <f>+E71-F71</f>
        <v>0</v>
      </c>
    </row>
    <row r="72" spans="2:7" s="1630" customFormat="1" ht="19.5" customHeight="1" x14ac:dyDescent="0.25">
      <c r="B72" s="1626"/>
      <c r="C72" s="1636"/>
      <c r="D72" s="1627"/>
      <c r="E72" s="1843"/>
      <c r="F72" s="1844"/>
      <c r="G72" s="1629"/>
    </row>
    <row r="73" spans="2:7" s="1648" customFormat="1" ht="20.100000000000001" customHeight="1" x14ac:dyDescent="0.25">
      <c r="B73" s="1693"/>
      <c r="C73" s="1694" t="s">
        <v>1116</v>
      </c>
      <c r="D73" s="1694"/>
      <c r="E73" s="1864">
        <f>SUM(E74:E76)</f>
        <v>638535</v>
      </c>
      <c r="F73" s="1864">
        <f>SUM(F74:F76)</f>
        <v>638535</v>
      </c>
      <c r="G73" s="1695">
        <f>SUM(G74:G76)</f>
        <v>0</v>
      </c>
    </row>
    <row r="74" spans="2:7" s="1630" customFormat="1" ht="19.5" customHeight="1" x14ac:dyDescent="0.25">
      <c r="B74" s="1639"/>
      <c r="C74" s="1632" t="s">
        <v>1117</v>
      </c>
      <c r="D74" s="1640"/>
      <c r="E74" s="1865">
        <v>26990</v>
      </c>
      <c r="F74" s="1653">
        <v>26990</v>
      </c>
      <c r="G74" s="1675">
        <f>+E74-F74</f>
        <v>0</v>
      </c>
    </row>
    <row r="75" spans="2:7" s="1630" customFormat="1" ht="20.100000000000001" customHeight="1" x14ac:dyDescent="0.25">
      <c r="B75" s="1626"/>
      <c r="C75" s="1636" t="s">
        <v>1118</v>
      </c>
      <c r="D75" s="1627"/>
      <c r="E75" s="1866">
        <v>2789</v>
      </c>
      <c r="F75" s="1867">
        <v>2789</v>
      </c>
      <c r="G75" s="1675">
        <f>+E75-F75</f>
        <v>0</v>
      </c>
    </row>
    <row r="76" spans="2:7" s="1630" customFormat="1" ht="20.100000000000001" customHeight="1" x14ac:dyDescent="0.25">
      <c r="B76" s="1639"/>
      <c r="C76" s="1632" t="s">
        <v>1119</v>
      </c>
      <c r="D76" s="1640"/>
      <c r="E76" s="1865">
        <v>608756</v>
      </c>
      <c r="F76" s="1653">
        <v>608756</v>
      </c>
      <c r="G76" s="1675">
        <f>+E76-F76</f>
        <v>0</v>
      </c>
    </row>
    <row r="77" spans="2:7" s="1630" customFormat="1" ht="20.100000000000001" customHeight="1" x14ac:dyDescent="0.25">
      <c r="B77" s="1626"/>
      <c r="C77" s="1636"/>
      <c r="D77" s="1627"/>
      <c r="E77" s="1843"/>
      <c r="F77" s="1845"/>
      <c r="G77" s="1681"/>
    </row>
    <row r="78" spans="2:7" s="1630" customFormat="1" ht="20.100000000000001" customHeight="1" x14ac:dyDescent="0.25">
      <c r="B78" s="1626"/>
      <c r="C78" s="1636"/>
      <c r="D78" s="1627"/>
      <c r="E78" s="1843"/>
      <c r="F78" s="1845"/>
      <c r="G78" s="1681"/>
    </row>
    <row r="79" spans="2:7" s="1630" customFormat="1" ht="20.100000000000001" customHeight="1" x14ac:dyDescent="0.25">
      <c r="B79" s="1693"/>
      <c r="C79" s="1694" t="s">
        <v>1120</v>
      </c>
      <c r="D79" s="1694"/>
      <c r="E79" s="1841"/>
      <c r="F79" s="1841"/>
      <c r="G79" s="1698"/>
    </row>
    <row r="80" spans="2:7" s="1630" customFormat="1" ht="20.100000000000001" customHeight="1" x14ac:dyDescent="0.25">
      <c r="B80" s="1645"/>
      <c r="C80" s="1647" t="s">
        <v>1121</v>
      </c>
      <c r="D80" s="1647"/>
      <c r="E80" s="1840"/>
      <c r="F80" s="1840"/>
      <c r="G80" s="1695"/>
    </row>
    <row r="81" spans="2:7" s="1676" customFormat="1" ht="36.75" customHeight="1" x14ac:dyDescent="0.2">
      <c r="B81" s="1671"/>
      <c r="C81" s="2589" t="s">
        <v>1122</v>
      </c>
      <c r="D81" s="2590"/>
      <c r="E81" s="1637">
        <v>895744</v>
      </c>
      <c r="F81" s="1843"/>
      <c r="G81" s="1675"/>
    </row>
    <row r="82" spans="2:7" s="1676" customFormat="1" ht="20.100000000000001" customHeight="1" x14ac:dyDescent="0.2">
      <c r="B82" s="1677"/>
      <c r="C82" s="1678" t="s">
        <v>1123</v>
      </c>
      <c r="D82" s="1678"/>
      <c r="E82" s="1842"/>
      <c r="F82" s="1842"/>
      <c r="G82" s="1675"/>
    </row>
    <row r="83" spans="2:7" s="1676" customFormat="1" ht="20.100000000000001" customHeight="1" x14ac:dyDescent="0.2">
      <c r="B83" s="1671"/>
      <c r="C83" s="1672" t="s">
        <v>1124</v>
      </c>
      <c r="D83" s="1672"/>
      <c r="E83" s="1637">
        <v>72545</v>
      </c>
      <c r="F83" s="1843"/>
      <c r="G83" s="1675"/>
    </row>
    <row r="84" spans="2:7" s="1676" customFormat="1" ht="20.100000000000001" customHeight="1" x14ac:dyDescent="0.2">
      <c r="B84" s="1677"/>
      <c r="C84" s="1678" t="s">
        <v>1125</v>
      </c>
      <c r="D84" s="1678"/>
      <c r="E84" s="1633">
        <v>18522276</v>
      </c>
      <c r="F84" s="1842"/>
      <c r="G84" s="1675"/>
    </row>
    <row r="85" spans="2:7" s="1605" customFormat="1" ht="20.100000000000001" customHeight="1" x14ac:dyDescent="0.2">
      <c r="B85" s="1635"/>
      <c r="C85" s="1636"/>
      <c r="D85" s="1636"/>
      <c r="E85" s="1637"/>
      <c r="F85" s="1636"/>
      <c r="G85" s="1638"/>
    </row>
    <row r="86" spans="2:7" s="1644" customFormat="1" ht="20.100000000000001" customHeight="1" x14ac:dyDescent="0.25">
      <c r="B86" s="1699"/>
      <c r="C86" s="1647" t="s">
        <v>1126</v>
      </c>
      <c r="D86" s="1655"/>
      <c r="E86" s="1656">
        <f>SUM(E87:E90)</f>
        <v>10512377</v>
      </c>
      <c r="F86" s="1656">
        <f>SUM(F87:F90)</f>
        <v>4658245</v>
      </c>
      <c r="G86" s="1657">
        <f>SUM(G87:G90)</f>
        <v>5854132</v>
      </c>
    </row>
    <row r="87" spans="2:7" s="1676" customFormat="1" ht="33" customHeight="1" x14ac:dyDescent="0.2">
      <c r="B87" s="1671"/>
      <c r="C87" s="2591" t="s">
        <v>1127</v>
      </c>
      <c r="D87" s="2592"/>
      <c r="E87" s="1697">
        <v>4864497</v>
      </c>
      <c r="F87" s="1672">
        <v>1995705</v>
      </c>
      <c r="G87" s="1681">
        <f>+E87-F87</f>
        <v>2868792</v>
      </c>
    </row>
    <row r="88" spans="2:7" s="1676" customFormat="1" ht="33" customHeight="1" x14ac:dyDescent="0.2">
      <c r="B88" s="1677"/>
      <c r="C88" s="2583" t="s">
        <v>1128</v>
      </c>
      <c r="D88" s="2584"/>
      <c r="E88" s="1696">
        <v>4454079</v>
      </c>
      <c r="F88" s="1678">
        <v>2006562</v>
      </c>
      <c r="G88" s="1675">
        <f>+E88-F88</f>
        <v>2447517</v>
      </c>
    </row>
    <row r="89" spans="2:7" s="1676" customFormat="1" ht="33" customHeight="1" x14ac:dyDescent="0.2">
      <c r="B89" s="1677"/>
      <c r="C89" s="2583" t="s">
        <v>1129</v>
      </c>
      <c r="D89" s="2584"/>
      <c r="E89" s="1696">
        <v>669419</v>
      </c>
      <c r="F89" s="1678">
        <v>378322</v>
      </c>
      <c r="G89" s="1675">
        <f>+E89-F89</f>
        <v>291097</v>
      </c>
    </row>
    <row r="90" spans="2:7" s="1676" customFormat="1" ht="33" customHeight="1" x14ac:dyDescent="0.2">
      <c r="B90" s="1677"/>
      <c r="C90" s="2583" t="s">
        <v>1130</v>
      </c>
      <c r="D90" s="2584"/>
      <c r="E90" s="1696">
        <v>524382</v>
      </c>
      <c r="F90" s="1678">
        <v>277656</v>
      </c>
      <c r="G90" s="1675">
        <f>+E90-F90</f>
        <v>246726</v>
      </c>
    </row>
    <row r="91" spans="2:7" s="1648" customFormat="1" ht="20.100000000000001" customHeight="1" thickBot="1" x14ac:dyDescent="0.3">
      <c r="B91" s="1700"/>
      <c r="C91" s="1701"/>
      <c r="D91" s="1701"/>
      <c r="E91" s="1702"/>
      <c r="F91" s="1701"/>
      <c r="G91" s="1703"/>
    </row>
  </sheetData>
  <mergeCells count="7">
    <mergeCell ref="C89:D89"/>
    <mergeCell ref="C90:D90"/>
    <mergeCell ref="B5:G5"/>
    <mergeCell ref="E7:G7"/>
    <mergeCell ref="C81:D81"/>
    <mergeCell ref="C87:D87"/>
    <mergeCell ref="C88:D88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60" orientation="portrait" r:id="rId1"/>
  <headerFooter alignWithMargins="0">
    <oddHeader>&amp;R&amp;"Arial,Félkövér"&amp;14  28. melléklet a …../2022. (…….) önkormányzati rendelethez</oddHeader>
  </headerFooter>
  <rowBreaks count="1" manualBreakCount="1">
    <brk id="48" min="1" max="6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46"/>
  <sheetViews>
    <sheetView zoomScale="75" zoomScaleNormal="75" workbookViewId="0">
      <selection activeCell="R13" sqref="R13"/>
    </sheetView>
  </sheetViews>
  <sheetFormatPr defaultColWidth="12" defaultRowHeight="14.25" x14ac:dyDescent="0.2"/>
  <cols>
    <col min="1" max="1" width="17.83203125" style="1704" customWidth="1"/>
    <col min="2" max="2" width="15.33203125" style="1704" customWidth="1"/>
    <col min="3" max="3" width="16.5" style="1704" customWidth="1"/>
    <col min="4" max="4" width="16.6640625" style="1704" customWidth="1"/>
    <col min="5" max="5" width="35.6640625" style="1704" customWidth="1"/>
    <col min="6" max="6" width="20.5" style="1706" customWidth="1"/>
    <col min="7" max="7" width="15.6640625" style="1704" customWidth="1"/>
    <col min="8" max="8" width="20.6640625" style="1704" customWidth="1"/>
    <col min="9" max="9" width="20" style="1706" customWidth="1"/>
    <col min="10" max="10" width="18.83203125" style="1706" customWidth="1"/>
    <col min="11" max="11" width="20.5" style="1704" customWidth="1"/>
    <col min="12" max="13" width="13.1640625" style="1704" customWidth="1"/>
    <col min="14" max="14" width="14.6640625" style="1704" bestFit="1" customWidth="1"/>
    <col min="15" max="16384" width="12" style="1704"/>
  </cols>
  <sheetData>
    <row r="1" spans="1:14" ht="18" x14ac:dyDescent="0.25">
      <c r="B1" s="2593" t="s">
        <v>713</v>
      </c>
      <c r="C1" s="2593"/>
      <c r="D1" s="2593"/>
      <c r="E1" s="2593"/>
      <c r="F1" s="2593"/>
      <c r="G1" s="2593"/>
      <c r="H1" s="2593"/>
      <c r="I1" s="2593"/>
      <c r="J1" s="2593"/>
      <c r="K1" s="2593"/>
    </row>
    <row r="2" spans="1:14" ht="18.75" x14ac:dyDescent="0.3">
      <c r="B2" s="2594" t="s">
        <v>1230</v>
      </c>
      <c r="C2" s="2493"/>
      <c r="D2" s="2493"/>
      <c r="E2" s="2493"/>
      <c r="F2" s="2493"/>
      <c r="G2" s="2493"/>
      <c r="H2" s="2493"/>
      <c r="I2" s="2493"/>
      <c r="J2" s="2493"/>
      <c r="K2" s="2493"/>
    </row>
    <row r="3" spans="1:14" ht="23.25" customHeight="1" x14ac:dyDescent="0.25">
      <c r="B3" s="1705"/>
      <c r="I3" s="1707"/>
      <c r="J3" s="1707"/>
      <c r="K3" s="1705"/>
      <c r="L3" s="1705"/>
      <c r="M3" s="1705"/>
    </row>
    <row r="4" spans="1:14" ht="15" x14ac:dyDescent="0.25">
      <c r="B4" s="1708"/>
      <c r="I4" s="1709"/>
      <c r="J4" s="1709"/>
      <c r="K4" s="1708"/>
      <c r="L4" s="1708"/>
      <c r="M4" s="1708"/>
    </row>
    <row r="5" spans="1:14" ht="15" thickBot="1" x14ac:dyDescent="0.25">
      <c r="K5" s="1710" t="s">
        <v>19</v>
      </c>
      <c r="L5" s="1711"/>
      <c r="M5" s="1711"/>
    </row>
    <row r="6" spans="1:14" ht="22.5" customHeight="1" x14ac:dyDescent="0.25">
      <c r="A6" s="1712"/>
      <c r="B6" s="2595" t="s">
        <v>33</v>
      </c>
      <c r="C6" s="2596"/>
      <c r="D6" s="2596"/>
      <c r="E6" s="2597"/>
      <c r="F6" s="2604" t="s">
        <v>1131</v>
      </c>
      <c r="G6" s="2607" t="s">
        <v>1132</v>
      </c>
      <c r="H6" s="2608"/>
      <c r="I6" s="1713" t="s">
        <v>1133</v>
      </c>
      <c r="J6" s="1713" t="s">
        <v>1134</v>
      </c>
      <c r="K6" s="2611" t="s">
        <v>1135</v>
      </c>
      <c r="L6" s="1714"/>
      <c r="M6" s="1714"/>
    </row>
    <row r="7" spans="1:14" ht="22.5" customHeight="1" x14ac:dyDescent="0.25">
      <c r="A7" s="1712"/>
      <c r="B7" s="2598"/>
      <c r="C7" s="2599"/>
      <c r="D7" s="2599"/>
      <c r="E7" s="2600"/>
      <c r="F7" s="2605"/>
      <c r="G7" s="2609"/>
      <c r="H7" s="2610"/>
      <c r="I7" s="1715" t="s">
        <v>1136</v>
      </c>
      <c r="J7" s="1715" t="s">
        <v>1136</v>
      </c>
      <c r="K7" s="2612"/>
      <c r="L7" s="1714"/>
      <c r="M7" s="1714"/>
    </row>
    <row r="8" spans="1:14" ht="29.25" customHeight="1" thickBot="1" x14ac:dyDescent="0.3">
      <c r="A8" s="1712"/>
      <c r="B8" s="2601"/>
      <c r="C8" s="2602"/>
      <c r="D8" s="2602"/>
      <c r="E8" s="2603"/>
      <c r="F8" s="2606"/>
      <c r="G8" s="1716" t="s">
        <v>1137</v>
      </c>
      <c r="H8" s="1717" t="s">
        <v>1138</v>
      </c>
      <c r="I8" s="1718" t="s">
        <v>1139</v>
      </c>
      <c r="J8" s="1718" t="s">
        <v>1140</v>
      </c>
      <c r="K8" s="2613"/>
      <c r="L8" s="1714"/>
      <c r="M8" s="1714"/>
    </row>
    <row r="9" spans="1:14" ht="27" customHeight="1" x14ac:dyDescent="0.2">
      <c r="B9" s="1719" t="s">
        <v>1141</v>
      </c>
      <c r="C9" s="1720"/>
      <c r="D9" s="1720"/>
      <c r="E9" s="1721"/>
      <c r="F9" s="1722">
        <v>3000</v>
      </c>
      <c r="G9" s="1723">
        <v>100</v>
      </c>
      <c r="H9" s="1724">
        <v>3000</v>
      </c>
      <c r="I9" s="1725">
        <v>3000</v>
      </c>
      <c r="J9" s="1726"/>
      <c r="K9" s="1727">
        <f t="shared" ref="K9:K14" si="0">H9-I9-J9</f>
        <v>0</v>
      </c>
      <c r="L9" s="1728"/>
      <c r="M9" s="1728"/>
    </row>
    <row r="10" spans="1:14" ht="27" customHeight="1" x14ac:dyDescent="0.2">
      <c r="B10" s="1719" t="s">
        <v>1142</v>
      </c>
      <c r="C10" s="1720"/>
      <c r="D10" s="1720"/>
      <c r="E10" s="1721"/>
      <c r="F10" s="1722">
        <f>7537500-5992312.5-370845</f>
        <v>1174342.5</v>
      </c>
      <c r="G10" s="1723">
        <v>52.85</v>
      </c>
      <c r="H10" s="1724">
        <f>635197-14552</f>
        <v>620645</v>
      </c>
      <c r="I10" s="1725"/>
      <c r="J10" s="1729"/>
      <c r="K10" s="1730">
        <f t="shared" si="0"/>
        <v>620645</v>
      </c>
      <c r="L10" s="1728"/>
      <c r="M10" s="1728"/>
    </row>
    <row r="11" spans="1:14" ht="27" customHeight="1" x14ac:dyDescent="0.2">
      <c r="B11" s="1731" t="s">
        <v>1143</v>
      </c>
      <c r="C11" s="1720"/>
      <c r="D11" s="1720"/>
      <c r="E11" s="1721"/>
      <c r="F11" s="1722">
        <v>5000</v>
      </c>
      <c r="G11" s="1732">
        <v>10.199999999999999</v>
      </c>
      <c r="H11" s="1724">
        <v>2510</v>
      </c>
      <c r="I11" s="1725"/>
      <c r="J11" s="1729"/>
      <c r="K11" s="1727">
        <f t="shared" si="0"/>
        <v>2510</v>
      </c>
      <c r="L11" s="1728"/>
      <c r="M11" s="1728"/>
      <c r="N11" s="1733"/>
    </row>
    <row r="12" spans="1:14" s="1734" customFormat="1" ht="27" customHeight="1" x14ac:dyDescent="0.2">
      <c r="B12" s="1735" t="s">
        <v>1144</v>
      </c>
      <c r="C12" s="1736"/>
      <c r="D12" s="1736"/>
      <c r="E12" s="1737"/>
      <c r="F12" s="1738">
        <v>150000</v>
      </c>
      <c r="G12" s="1739">
        <v>35</v>
      </c>
      <c r="H12" s="1740">
        <v>69490</v>
      </c>
      <c r="I12" s="1741"/>
      <c r="J12" s="1742"/>
      <c r="K12" s="1730">
        <f t="shared" si="0"/>
        <v>69490</v>
      </c>
      <c r="L12" s="1743"/>
      <c r="M12" s="1743"/>
    </row>
    <row r="13" spans="1:14" s="1734" customFormat="1" ht="27" customHeight="1" x14ac:dyDescent="0.2">
      <c r="B13" s="1735" t="s">
        <v>1145</v>
      </c>
      <c r="C13" s="1736"/>
      <c r="D13" s="1736"/>
      <c r="E13" s="1736"/>
      <c r="F13" s="1722">
        <v>25500</v>
      </c>
      <c r="G13" s="1739">
        <v>100</v>
      </c>
      <c r="H13" s="1740">
        <v>25500</v>
      </c>
      <c r="I13" s="1725"/>
      <c r="J13" s="1742"/>
      <c r="K13" s="1744">
        <f t="shared" si="0"/>
        <v>25500</v>
      </c>
      <c r="L13" s="1743"/>
      <c r="M13" s="1743"/>
    </row>
    <row r="14" spans="1:14" s="1734" customFormat="1" ht="27" customHeight="1" x14ac:dyDescent="0.2">
      <c r="B14" s="1735" t="s">
        <v>1146</v>
      </c>
      <c r="C14" s="1736"/>
      <c r="D14" s="1736"/>
      <c r="E14" s="1736"/>
      <c r="F14" s="1722">
        <v>3000</v>
      </c>
      <c r="G14" s="1739">
        <v>100</v>
      </c>
      <c r="H14" s="1740">
        <v>102627</v>
      </c>
      <c r="I14" s="1725"/>
      <c r="J14" s="1742"/>
      <c r="K14" s="1744">
        <f t="shared" si="0"/>
        <v>102627</v>
      </c>
      <c r="L14" s="1743"/>
      <c r="M14" s="1743"/>
    </row>
    <row r="15" spans="1:14" s="1734" customFormat="1" ht="27" customHeight="1" x14ac:dyDescent="0.25">
      <c r="B15" s="1745" t="s">
        <v>1147</v>
      </c>
      <c r="C15" s="1736"/>
      <c r="D15" s="1736"/>
      <c r="E15" s="1736"/>
      <c r="F15" s="1722"/>
      <c r="G15" s="1732"/>
      <c r="H15" s="1746">
        <f>SUM(H9:H14)</f>
        <v>823772</v>
      </c>
      <c r="I15" s="1747">
        <f>SUM(I9:I13)</f>
        <v>3000</v>
      </c>
      <c r="J15" s="1748">
        <f>SUM(J9:J13)</f>
        <v>0</v>
      </c>
      <c r="K15" s="1749">
        <f>SUM(K9:K14)</f>
        <v>820772</v>
      </c>
      <c r="L15" s="1743"/>
      <c r="M15" s="1743"/>
    </row>
    <row r="16" spans="1:14" ht="37.5" customHeight="1" x14ac:dyDescent="0.2">
      <c r="B16" s="2614" t="s">
        <v>1148</v>
      </c>
      <c r="C16" s="2615"/>
      <c r="D16" s="2615"/>
      <c r="E16" s="2616"/>
      <c r="F16" s="1722">
        <v>5102808</v>
      </c>
      <c r="G16" s="1732">
        <v>100</v>
      </c>
      <c r="H16" s="1724">
        <v>5496616</v>
      </c>
      <c r="I16" s="1750"/>
      <c r="J16" s="1751"/>
      <c r="K16" s="1752">
        <f t="shared" ref="K16:K26" si="1">H16-I16-J16</f>
        <v>5496616</v>
      </c>
      <c r="L16" s="1728"/>
      <c r="M16" s="1728"/>
      <c r="N16" s="1733"/>
    </row>
    <row r="17" spans="2:14" s="1734" customFormat="1" ht="36.75" customHeight="1" x14ac:dyDescent="0.2">
      <c r="B17" s="2614" t="s">
        <v>1149</v>
      </c>
      <c r="C17" s="2615"/>
      <c r="D17" s="2615"/>
      <c r="E17" s="2616"/>
      <c r="F17" s="1722">
        <f>3000+17000</f>
        <v>20000</v>
      </c>
      <c r="G17" s="1732">
        <v>100</v>
      </c>
      <c r="H17" s="1724">
        <f>3000+17000</f>
        <v>20000</v>
      </c>
      <c r="I17" s="1725"/>
      <c r="J17" s="1729"/>
      <c r="K17" s="1730">
        <f t="shared" si="1"/>
        <v>20000</v>
      </c>
      <c r="L17" s="1743"/>
      <c r="M17" s="1743"/>
    </row>
    <row r="18" spans="2:14" s="1734" customFormat="1" ht="27" customHeight="1" x14ac:dyDescent="0.2">
      <c r="B18" s="1753" t="s">
        <v>1150</v>
      </c>
      <c r="C18" s="1754"/>
      <c r="D18" s="1754"/>
      <c r="E18" s="1755"/>
      <c r="F18" s="1722">
        <v>4700</v>
      </c>
      <c r="G18" s="1732">
        <v>100</v>
      </c>
      <c r="H18" s="1724">
        <v>4700</v>
      </c>
      <c r="I18" s="1725"/>
      <c r="J18" s="1729">
        <v>4700</v>
      </c>
      <c r="K18" s="1730">
        <f t="shared" si="1"/>
        <v>0</v>
      </c>
      <c r="L18" s="1743"/>
      <c r="M18" s="1743"/>
    </row>
    <row r="19" spans="2:14" s="1734" customFormat="1" ht="27" customHeight="1" x14ac:dyDescent="0.2">
      <c r="B19" s="1753" t="s">
        <v>1151</v>
      </c>
      <c r="C19" s="1754"/>
      <c r="D19" s="1754"/>
      <c r="E19" s="1755"/>
      <c r="F19" s="1722">
        <v>3000</v>
      </c>
      <c r="G19" s="1732">
        <v>100</v>
      </c>
      <c r="H19" s="1724">
        <v>3000</v>
      </c>
      <c r="I19" s="1725"/>
      <c r="J19" s="1729"/>
      <c r="K19" s="1730">
        <f t="shared" si="1"/>
        <v>3000</v>
      </c>
      <c r="L19" s="1743"/>
      <c r="M19" s="1743"/>
      <c r="N19" s="1756"/>
    </row>
    <row r="20" spans="2:14" s="1734" customFormat="1" ht="27" customHeight="1" x14ac:dyDescent="0.2">
      <c r="B20" s="1753" t="s">
        <v>1152</v>
      </c>
      <c r="C20" s="1754"/>
      <c r="D20" s="1754"/>
      <c r="E20" s="1755"/>
      <c r="F20" s="1722">
        <v>15000</v>
      </c>
      <c r="G20" s="1732">
        <v>100</v>
      </c>
      <c r="H20" s="1724">
        <v>15000</v>
      </c>
      <c r="I20" s="1725"/>
      <c r="J20" s="1729"/>
      <c r="K20" s="1730">
        <f t="shared" si="1"/>
        <v>15000</v>
      </c>
      <c r="L20" s="1743"/>
      <c r="M20" s="1743"/>
      <c r="N20" s="1756"/>
    </row>
    <row r="21" spans="2:14" s="1734" customFormat="1" ht="27" customHeight="1" x14ac:dyDescent="0.2">
      <c r="B21" s="1753" t="s">
        <v>1153</v>
      </c>
      <c r="C21" s="1754"/>
      <c r="D21" s="1754"/>
      <c r="E21" s="1755"/>
      <c r="F21" s="1722">
        <v>3530</v>
      </c>
      <c r="G21" s="1732">
        <v>100</v>
      </c>
      <c r="H21" s="1724">
        <f>6000-2000-170+40000-2400+3587</f>
        <v>45017</v>
      </c>
      <c r="I21" s="1725"/>
      <c r="J21" s="1729"/>
      <c r="K21" s="1730">
        <f t="shared" si="1"/>
        <v>45017</v>
      </c>
      <c r="L21" s="1743"/>
      <c r="M21" s="1743"/>
      <c r="N21" s="1756"/>
    </row>
    <row r="22" spans="2:14" s="1734" customFormat="1" ht="27" customHeight="1" x14ac:dyDescent="0.2">
      <c r="B22" s="1735" t="s">
        <v>1154</v>
      </c>
      <c r="C22" s="1736"/>
      <c r="D22" s="1736"/>
      <c r="E22" s="1736"/>
      <c r="F22" s="1722">
        <v>3000</v>
      </c>
      <c r="G22" s="1739">
        <v>100</v>
      </c>
      <c r="H22" s="1740">
        <v>3000</v>
      </c>
      <c r="I22" s="1725"/>
      <c r="J22" s="1742"/>
      <c r="K22" s="1744">
        <f t="shared" si="1"/>
        <v>3000</v>
      </c>
      <c r="L22" s="1743"/>
      <c r="M22" s="1743"/>
    </row>
    <row r="23" spans="2:14" s="1734" customFormat="1" ht="27" customHeight="1" x14ac:dyDescent="0.2">
      <c r="B23" s="1735" t="s">
        <v>1155</v>
      </c>
      <c r="C23" s="1736"/>
      <c r="D23" s="1736"/>
      <c r="E23" s="1736"/>
      <c r="F23" s="1722">
        <v>3000</v>
      </c>
      <c r="G23" s="1739">
        <v>85</v>
      </c>
      <c r="H23" s="1740">
        <f>1700+850</f>
        <v>2550</v>
      </c>
      <c r="I23" s="1757"/>
      <c r="J23" s="1742"/>
      <c r="K23" s="1744">
        <f t="shared" si="1"/>
        <v>2550</v>
      </c>
      <c r="L23" s="1743"/>
      <c r="M23" s="1743"/>
    </row>
    <row r="24" spans="2:14" s="1734" customFormat="1" ht="36.75" customHeight="1" x14ac:dyDescent="0.25">
      <c r="B24" s="2617" t="s">
        <v>1229</v>
      </c>
      <c r="C24" s="2618"/>
      <c r="D24" s="2618"/>
      <c r="E24" s="2619"/>
      <c r="F24" s="1722">
        <v>0</v>
      </c>
      <c r="G24" s="1732">
        <v>0</v>
      </c>
      <c r="H24" s="1724">
        <v>0</v>
      </c>
      <c r="I24" s="1725"/>
      <c r="J24" s="1729"/>
      <c r="K24" s="1730">
        <f t="shared" si="1"/>
        <v>0</v>
      </c>
      <c r="L24" s="1743"/>
      <c r="M24" s="1743"/>
      <c r="N24" s="1756"/>
    </row>
    <row r="25" spans="2:14" s="1734" customFormat="1" ht="40.5" customHeight="1" x14ac:dyDescent="0.25">
      <c r="B25" s="2617" t="s">
        <v>1156</v>
      </c>
      <c r="C25" s="2618"/>
      <c r="D25" s="2618"/>
      <c r="E25" s="2619"/>
      <c r="F25" s="1722">
        <v>3000</v>
      </c>
      <c r="G25" s="1732">
        <v>90</v>
      </c>
      <c r="H25" s="1724">
        <v>2700</v>
      </c>
      <c r="I25" s="1757"/>
      <c r="J25" s="1729"/>
      <c r="K25" s="1730">
        <f t="shared" si="1"/>
        <v>2700</v>
      </c>
      <c r="L25" s="1743"/>
      <c r="M25" s="1743"/>
      <c r="N25" s="1756"/>
    </row>
    <row r="26" spans="2:14" s="1734" customFormat="1" ht="27" customHeight="1" x14ac:dyDescent="0.2">
      <c r="B26" s="1758" t="s">
        <v>1157</v>
      </c>
      <c r="C26" s="1759"/>
      <c r="D26" s="1759"/>
      <c r="E26" s="1759"/>
      <c r="F26" s="1722">
        <v>0</v>
      </c>
      <c r="G26" s="1732">
        <v>0</v>
      </c>
      <c r="H26" s="1724">
        <v>0</v>
      </c>
      <c r="I26" s="1757"/>
      <c r="J26" s="1729"/>
      <c r="K26" s="1730">
        <f t="shared" si="1"/>
        <v>0</v>
      </c>
      <c r="L26" s="1743"/>
      <c r="M26" s="1743"/>
      <c r="N26" s="1756"/>
    </row>
    <row r="27" spans="2:14" s="1734" customFormat="1" ht="36.75" customHeight="1" x14ac:dyDescent="0.25">
      <c r="B27" s="2620" t="s">
        <v>1158</v>
      </c>
      <c r="C27" s="2621"/>
      <c r="D27" s="2621"/>
      <c r="E27" s="2622"/>
      <c r="F27" s="1722"/>
      <c r="G27" s="1760"/>
      <c r="H27" s="1746">
        <f>SUM(H16:H26)</f>
        <v>5592583</v>
      </c>
      <c r="I27" s="1747">
        <f>SUM(I16:I26)</f>
        <v>0</v>
      </c>
      <c r="J27" s="1748">
        <f>SUM(J16:J26)</f>
        <v>4700</v>
      </c>
      <c r="K27" s="1749">
        <f>SUM(K16:K26)</f>
        <v>5587883</v>
      </c>
      <c r="L27" s="1743"/>
      <c r="M27" s="1743"/>
    </row>
    <row r="28" spans="2:14" s="1734" customFormat="1" ht="27" customHeight="1" x14ac:dyDescent="0.2">
      <c r="B28" s="1761" t="s">
        <v>1159</v>
      </c>
      <c r="C28" s="1762"/>
      <c r="D28" s="1762"/>
      <c r="E28" s="1762"/>
      <c r="F28" s="1738">
        <v>728840</v>
      </c>
      <c r="G28" s="1739">
        <v>3.51</v>
      </c>
      <c r="H28" s="1740">
        <v>25570</v>
      </c>
      <c r="I28" s="1741"/>
      <c r="J28" s="1742"/>
      <c r="K28" s="1744">
        <f>H28-I28-J28</f>
        <v>25570</v>
      </c>
      <c r="L28" s="1743"/>
      <c r="M28" s="1743"/>
    </row>
    <row r="29" spans="2:14" s="1734" customFormat="1" ht="27" customHeight="1" x14ac:dyDescent="0.2">
      <c r="B29" s="1761" t="s">
        <v>1160</v>
      </c>
      <c r="C29" s="1762"/>
      <c r="D29" s="1762"/>
      <c r="E29" s="1763"/>
      <c r="F29" s="1738">
        <v>13473446</v>
      </c>
      <c r="G29" s="1739">
        <v>0.11</v>
      </c>
      <c r="H29" s="1740">
        <v>14590</v>
      </c>
      <c r="I29" s="1741"/>
      <c r="J29" s="1742"/>
      <c r="K29" s="1744">
        <f>H29-I29-J29</f>
        <v>14590</v>
      </c>
      <c r="L29" s="1743"/>
      <c r="M29" s="1743"/>
    </row>
    <row r="30" spans="2:14" s="1734" customFormat="1" ht="27" customHeight="1" x14ac:dyDescent="0.2">
      <c r="B30" s="1761" t="s">
        <v>1161</v>
      </c>
      <c r="C30" s="1762"/>
      <c r="D30" s="1762"/>
      <c r="E30" s="1763"/>
      <c r="F30" s="1738">
        <v>9000001</v>
      </c>
      <c r="G30" s="1764">
        <v>3.7999999999999999E-2</v>
      </c>
      <c r="H30" s="1740">
        <v>3462</v>
      </c>
      <c r="I30" s="1741"/>
      <c r="J30" s="1742"/>
      <c r="K30" s="1744">
        <f>H30-I30-J30</f>
        <v>3462</v>
      </c>
      <c r="L30" s="1743"/>
      <c r="M30" s="1743"/>
      <c r="N30" s="1756"/>
    </row>
    <row r="31" spans="2:14" ht="27" customHeight="1" thickBot="1" x14ac:dyDescent="0.3">
      <c r="B31" s="1765" t="s">
        <v>1162</v>
      </c>
      <c r="C31" s="1766"/>
      <c r="D31" s="1766"/>
      <c r="E31" s="1766"/>
      <c r="F31" s="1767"/>
      <c r="G31" s="1768"/>
      <c r="H31" s="1769">
        <f>SUM(H28:H30)</f>
        <v>43622</v>
      </c>
      <c r="I31" s="1770">
        <f>SUM(I28:I30)</f>
        <v>0</v>
      </c>
      <c r="J31" s="1771">
        <f>SUM(J28:J30)</f>
        <v>0</v>
      </c>
      <c r="K31" s="1772">
        <f>SUM(K28:K30)</f>
        <v>43622</v>
      </c>
      <c r="L31" s="1728"/>
      <c r="M31" s="1728"/>
      <c r="N31" s="1733"/>
    </row>
    <row r="32" spans="2:14" ht="27.75" customHeight="1" thickBot="1" x14ac:dyDescent="0.3">
      <c r="B32" s="1773" t="s">
        <v>701</v>
      </c>
      <c r="C32" s="1774"/>
      <c r="D32" s="1774"/>
      <c r="E32" s="1774"/>
      <c r="F32" s="1775"/>
      <c r="G32" s="1776"/>
      <c r="H32" s="1777">
        <f>H15+H27+H31</f>
        <v>6459977</v>
      </c>
      <c r="I32" s="1778">
        <f>I15+I27+I31</f>
        <v>3000</v>
      </c>
      <c r="J32" s="1778">
        <f>J15+J27+J31</f>
        <v>4700</v>
      </c>
      <c r="K32" s="1778">
        <f>K15+K27+K31</f>
        <v>6452277</v>
      </c>
      <c r="L32" s="1728"/>
      <c r="M32" s="1728"/>
    </row>
    <row r="33" spans="2:14" x14ac:dyDescent="0.2">
      <c r="H33" s="1706"/>
      <c r="K33" s="1779"/>
      <c r="N33" s="1780"/>
    </row>
    <row r="34" spans="2:14" x14ac:dyDescent="0.2">
      <c r="H34" s="1706"/>
    </row>
    <row r="35" spans="2:14" x14ac:dyDescent="0.2">
      <c r="K35" s="1706"/>
      <c r="N35" s="1781"/>
    </row>
    <row r="36" spans="2:14" x14ac:dyDescent="0.2">
      <c r="B36" s="1782"/>
      <c r="H36" s="1706"/>
      <c r="N36" s="1781"/>
    </row>
    <row r="37" spans="2:14" x14ac:dyDescent="0.2">
      <c r="N37" s="1781"/>
    </row>
    <row r="38" spans="2:14" x14ac:dyDescent="0.2">
      <c r="N38" s="1781"/>
    </row>
    <row r="39" spans="2:14" x14ac:dyDescent="0.2">
      <c r="N39" s="1783"/>
    </row>
    <row r="40" spans="2:14" x14ac:dyDescent="0.2">
      <c r="N40" s="1781"/>
    </row>
    <row r="41" spans="2:14" x14ac:dyDescent="0.2">
      <c r="N41" s="1781"/>
    </row>
    <row r="42" spans="2:14" x14ac:dyDescent="0.2">
      <c r="N42" s="1781"/>
    </row>
    <row r="43" spans="2:14" x14ac:dyDescent="0.2">
      <c r="N43" s="1728"/>
    </row>
    <row r="44" spans="2:14" x14ac:dyDescent="0.2">
      <c r="N44" s="1781"/>
    </row>
    <row r="45" spans="2:14" x14ac:dyDescent="0.2">
      <c r="N45" s="1781"/>
    </row>
    <row r="46" spans="2:14" x14ac:dyDescent="0.2">
      <c r="N46" s="1780"/>
    </row>
  </sheetData>
  <mergeCells count="11">
    <mergeCell ref="B16:E16"/>
    <mergeCell ref="B17:E17"/>
    <mergeCell ref="B24:E24"/>
    <mergeCell ref="B25:E25"/>
    <mergeCell ref="B27:E27"/>
    <mergeCell ref="B1:K1"/>
    <mergeCell ref="B2:K2"/>
    <mergeCell ref="B6:E8"/>
    <mergeCell ref="F6:F8"/>
    <mergeCell ref="G6:H7"/>
    <mergeCell ref="K6:K8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60" orientation="portrait" r:id="rId1"/>
  <headerFooter alignWithMargins="0">
    <oddHeader xml:space="preserve">&amp;R&amp;"Arial,Félkövér"&amp;13 29. melléklet a …../2022. (…….) önkormányzati rendelethez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41"/>
  <sheetViews>
    <sheetView zoomScale="60" zoomScaleNormal="60" zoomScaleSheetLayoutView="75" workbookViewId="0">
      <selection activeCell="K130" sqref="K130"/>
    </sheetView>
  </sheetViews>
  <sheetFormatPr defaultColWidth="9.33203125" defaultRowHeight="21" customHeight="1" x14ac:dyDescent="0.3"/>
  <cols>
    <col min="1" max="1" width="9.33203125" style="10"/>
    <col min="2" max="2" width="7" style="148" customWidth="1"/>
    <col min="3" max="3" width="5.6640625" style="148" customWidth="1"/>
    <col min="4" max="5" width="2.33203125" style="148" customWidth="1"/>
    <col min="6" max="6" width="164.6640625" style="148" customWidth="1"/>
    <col min="7" max="8" width="25.83203125" style="148" customWidth="1"/>
    <col min="9" max="9" width="25.83203125" style="2262" customWidth="1"/>
    <col min="10" max="10" width="31.1640625" style="148" customWidth="1"/>
    <col min="11" max="11" width="37.83203125" style="162" customWidth="1"/>
    <col min="12" max="12" width="24.1640625" style="162" customWidth="1"/>
    <col min="13" max="13" width="10.1640625" style="162" bestFit="1" customWidth="1"/>
    <col min="14" max="14" width="9.33203125" style="10"/>
    <col min="15" max="15" width="16.83203125" style="10" bestFit="1" customWidth="1"/>
    <col min="16" max="16384" width="9.33203125" style="10"/>
  </cols>
  <sheetData>
    <row r="1" spans="2:13" ht="21" customHeight="1" x14ac:dyDescent="0.3">
      <c r="B1" s="2360"/>
      <c r="C1" s="2360"/>
      <c r="D1" s="2360"/>
      <c r="E1" s="2360"/>
      <c r="F1" s="2360"/>
    </row>
    <row r="2" spans="2:13" ht="24.75" customHeight="1" x14ac:dyDescent="0.4">
      <c r="B2" s="2365" t="s">
        <v>262</v>
      </c>
      <c r="C2" s="2365"/>
      <c r="D2" s="2365"/>
      <c r="E2" s="2365"/>
      <c r="F2" s="2365"/>
      <c r="G2" s="2365"/>
      <c r="H2" s="2365"/>
      <c r="I2" s="2365"/>
      <c r="J2" s="2365"/>
    </row>
    <row r="3" spans="2:13" ht="24.75" customHeight="1" x14ac:dyDescent="0.3">
      <c r="B3" s="146"/>
      <c r="C3" s="146"/>
      <c r="D3" s="146"/>
      <c r="E3" s="146"/>
      <c r="F3" s="146"/>
    </row>
    <row r="4" spans="2:13" ht="24.75" customHeight="1" thickBot="1" x14ac:dyDescent="0.35">
      <c r="C4" s="149"/>
      <c r="D4" s="149"/>
      <c r="E4" s="149"/>
      <c r="F4" s="150"/>
      <c r="J4" s="958" t="s">
        <v>19</v>
      </c>
    </row>
    <row r="5" spans="2:13" ht="29.25" customHeight="1" x14ac:dyDescent="0.3">
      <c r="B5" s="172"/>
      <c r="C5" s="173"/>
      <c r="D5" s="173"/>
      <c r="E5" s="173"/>
      <c r="F5" s="174" t="s">
        <v>33</v>
      </c>
      <c r="G5" s="2361" t="s">
        <v>514</v>
      </c>
      <c r="H5" s="2362"/>
      <c r="I5" s="2263" t="s">
        <v>410</v>
      </c>
      <c r="J5" s="176" t="s">
        <v>107</v>
      </c>
    </row>
    <row r="6" spans="2:13" ht="29.25" customHeight="1" thickBot="1" x14ac:dyDescent="0.35">
      <c r="B6" s="177"/>
      <c r="C6" s="178"/>
      <c r="D6" s="178"/>
      <c r="E6" s="178"/>
      <c r="F6" s="179"/>
      <c r="G6" s="180" t="s">
        <v>213</v>
      </c>
      <c r="H6" s="181" t="s">
        <v>105</v>
      </c>
      <c r="I6" s="2264" t="s">
        <v>106</v>
      </c>
      <c r="J6" s="182" t="s">
        <v>108</v>
      </c>
    </row>
    <row r="7" spans="2:13" ht="29.25" customHeight="1" x14ac:dyDescent="0.3">
      <c r="B7" s="183" t="s">
        <v>265</v>
      </c>
      <c r="C7" s="184"/>
      <c r="D7" s="185"/>
      <c r="E7" s="185"/>
      <c r="F7" s="186"/>
      <c r="G7" s="415"/>
      <c r="H7" s="187"/>
      <c r="I7" s="2265"/>
      <c r="J7" s="287"/>
    </row>
    <row r="8" spans="2:13" s="1904" customFormat="1" ht="29.25" customHeight="1" x14ac:dyDescent="0.3">
      <c r="B8" s="1893"/>
      <c r="C8" s="1894" t="s">
        <v>343</v>
      </c>
      <c r="D8" s="1895"/>
      <c r="E8" s="1896"/>
      <c r="F8" s="1897"/>
      <c r="G8" s="1898">
        <v>1538859</v>
      </c>
      <c r="H8" s="1899">
        <v>1544254</v>
      </c>
      <c r="I8" s="2266">
        <v>1544254</v>
      </c>
      <c r="J8" s="1900">
        <f t="shared" ref="J8:J16" si="0">+I8/H8*100</f>
        <v>100</v>
      </c>
      <c r="K8" s="1902"/>
      <c r="L8" s="1901"/>
      <c r="M8" s="1903"/>
    </row>
    <row r="9" spans="2:13" s="1904" customFormat="1" ht="29.25" customHeight="1" x14ac:dyDescent="0.3">
      <c r="B9" s="1893"/>
      <c r="C9" s="1894" t="s">
        <v>344</v>
      </c>
      <c r="D9" s="1895"/>
      <c r="E9" s="1896"/>
      <c r="F9" s="1897"/>
      <c r="G9" s="1898">
        <v>1819999</v>
      </c>
      <c r="H9" s="1899">
        <v>1847835</v>
      </c>
      <c r="I9" s="2266">
        <v>1847835</v>
      </c>
      <c r="J9" s="1900">
        <f t="shared" si="0"/>
        <v>100</v>
      </c>
      <c r="K9" s="1902"/>
      <c r="L9" s="1901"/>
      <c r="M9" s="1903"/>
    </row>
    <row r="10" spans="2:13" s="1904" customFormat="1" ht="29.25" customHeight="1" x14ac:dyDescent="0.3">
      <c r="B10" s="1893"/>
      <c r="C10" s="1894" t="s">
        <v>552</v>
      </c>
      <c r="D10" s="1895"/>
      <c r="E10" s="1896"/>
      <c r="F10" s="1897"/>
      <c r="G10" s="1898">
        <v>1565220</v>
      </c>
      <c r="H10" s="1899">
        <v>922453</v>
      </c>
      <c r="I10" s="2266">
        <v>922453</v>
      </c>
      <c r="J10" s="1900">
        <f t="shared" si="0"/>
        <v>100</v>
      </c>
      <c r="K10" s="1902"/>
      <c r="L10" s="1901"/>
      <c r="M10" s="1903"/>
    </row>
    <row r="11" spans="2:13" ht="29.25" customHeight="1" x14ac:dyDescent="0.3">
      <c r="B11" s="196"/>
      <c r="C11" s="168"/>
      <c r="D11" s="197"/>
      <c r="E11" s="198"/>
      <c r="F11" s="199"/>
      <c r="G11" s="200"/>
      <c r="H11" s="201"/>
      <c r="I11" s="2267"/>
      <c r="J11" s="192"/>
      <c r="K11" s="165"/>
      <c r="L11" s="164"/>
    </row>
    <row r="12" spans="2:13" s="50" customFormat="1" ht="29.25" customHeight="1" x14ac:dyDescent="0.3">
      <c r="B12" s="188"/>
      <c r="C12" s="487" t="s">
        <v>553</v>
      </c>
      <c r="D12" s="487"/>
      <c r="E12" s="487"/>
      <c r="F12" s="488"/>
      <c r="G12" s="489"/>
      <c r="H12" s="490">
        <v>570746</v>
      </c>
      <c r="I12" s="2268">
        <v>570746</v>
      </c>
      <c r="J12" s="194">
        <f t="shared" si="0"/>
        <v>100</v>
      </c>
      <c r="K12" s="389"/>
      <c r="L12" s="388"/>
      <c r="M12" s="163"/>
    </row>
    <row r="13" spans="2:13" s="50" customFormat="1" ht="30" customHeight="1" x14ac:dyDescent="0.3">
      <c r="B13" s="188"/>
      <c r="C13" s="191" t="s">
        <v>554</v>
      </c>
      <c r="D13" s="486"/>
      <c r="E13" s="486"/>
      <c r="F13" s="486"/>
      <c r="G13" s="1055">
        <f>SUM(G14:G15)</f>
        <v>214995</v>
      </c>
      <c r="H13" s="1055">
        <f t="shared" ref="H13:I13" si="1">SUM(H14:H15)</f>
        <v>215832</v>
      </c>
      <c r="I13" s="2269">
        <f t="shared" si="1"/>
        <v>215832</v>
      </c>
      <c r="J13" s="1158">
        <f t="shared" si="0"/>
        <v>100</v>
      </c>
      <c r="K13" s="165"/>
      <c r="L13" s="165"/>
      <c r="M13" s="163"/>
    </row>
    <row r="14" spans="2:13" ht="29.25" customHeight="1" x14ac:dyDescent="0.3">
      <c r="B14" s="196"/>
      <c r="C14" s="168"/>
      <c r="D14" s="197" t="s">
        <v>237</v>
      </c>
      <c r="E14" s="198"/>
      <c r="F14" s="199"/>
      <c r="G14" s="200">
        <v>72281</v>
      </c>
      <c r="H14" s="201">
        <v>73118</v>
      </c>
      <c r="I14" s="2267">
        <v>73118</v>
      </c>
      <c r="J14" s="192">
        <f>+I14/H14*100</f>
        <v>100</v>
      </c>
      <c r="K14" s="165"/>
      <c r="L14" s="164"/>
    </row>
    <row r="15" spans="2:13" ht="29.25" customHeight="1" x14ac:dyDescent="0.3">
      <c r="B15" s="196"/>
      <c r="C15" s="168"/>
      <c r="D15" s="197" t="s">
        <v>236</v>
      </c>
      <c r="E15" s="198"/>
      <c r="F15" s="199"/>
      <c r="G15" s="200">
        <v>142714</v>
      </c>
      <c r="H15" s="201">
        <v>142714</v>
      </c>
      <c r="I15" s="2267">
        <v>142714</v>
      </c>
      <c r="J15" s="192">
        <f t="shared" si="0"/>
        <v>100</v>
      </c>
      <c r="K15" s="165"/>
      <c r="L15" s="164"/>
    </row>
    <row r="16" spans="2:13" s="50" customFormat="1" ht="36" customHeight="1" x14ac:dyDescent="0.3">
      <c r="B16" s="188"/>
      <c r="C16" s="487" t="s">
        <v>600</v>
      </c>
      <c r="D16" s="493"/>
      <c r="E16" s="494"/>
      <c r="F16" s="495"/>
      <c r="G16" s="489">
        <f>+G8+G9+G10+G12+G13</f>
        <v>5139073</v>
      </c>
      <c r="H16" s="489">
        <f>+H8+H9+H10+H12+H13</f>
        <v>5101120</v>
      </c>
      <c r="I16" s="2270">
        <f>+I8+I9+I10+I12+I13</f>
        <v>5101120</v>
      </c>
      <c r="J16" s="502">
        <f t="shared" si="0"/>
        <v>100</v>
      </c>
      <c r="K16" s="165"/>
      <c r="L16" s="165"/>
      <c r="M16" s="163"/>
    </row>
    <row r="17" spans="2:13" s="50" customFormat="1" ht="29.25" customHeight="1" x14ac:dyDescent="0.3">
      <c r="B17" s="188"/>
      <c r="C17" s="166" t="s">
        <v>602</v>
      </c>
      <c r="D17" s="491"/>
      <c r="E17" s="491"/>
      <c r="F17" s="492"/>
      <c r="G17" s="193"/>
      <c r="H17" s="195"/>
      <c r="I17" s="2271"/>
      <c r="J17" s="194"/>
      <c r="K17" s="165"/>
      <c r="L17" s="165"/>
      <c r="M17" s="163"/>
    </row>
    <row r="18" spans="2:13" ht="29.25" customHeight="1" x14ac:dyDescent="0.3">
      <c r="B18" s="196"/>
      <c r="C18" s="168"/>
      <c r="D18" s="198" t="s">
        <v>555</v>
      </c>
      <c r="E18" s="198"/>
      <c r="F18" s="199"/>
      <c r="G18" s="203">
        <v>255350</v>
      </c>
      <c r="H18" s="204">
        <v>255350</v>
      </c>
      <c r="I18" s="2272">
        <v>255350</v>
      </c>
      <c r="J18" s="192">
        <f t="shared" ref="J18" si="2">+I18/H18*100</f>
        <v>100</v>
      </c>
      <c r="K18" s="165"/>
      <c r="L18" s="164"/>
    </row>
    <row r="19" spans="2:13" ht="51" customHeight="1" x14ac:dyDescent="0.3">
      <c r="B19" s="196"/>
      <c r="C19" s="168"/>
      <c r="D19" s="2363" t="s">
        <v>235</v>
      </c>
      <c r="E19" s="2363"/>
      <c r="F19" s="2364"/>
      <c r="G19" s="200">
        <v>150760</v>
      </c>
      <c r="H19" s="201">
        <v>150760</v>
      </c>
      <c r="I19" s="2267">
        <v>150760</v>
      </c>
      <c r="J19" s="192">
        <f t="shared" ref="J19:J26" si="3">+I19/H19*100</f>
        <v>100</v>
      </c>
      <c r="K19" s="165"/>
      <c r="L19" s="164"/>
    </row>
    <row r="20" spans="2:13" ht="51" customHeight="1" x14ac:dyDescent="0.3">
      <c r="B20" s="196"/>
      <c r="C20" s="168"/>
      <c r="D20" s="2363" t="s">
        <v>603</v>
      </c>
      <c r="E20" s="2363"/>
      <c r="F20" s="2364"/>
      <c r="G20" s="202">
        <v>150000</v>
      </c>
      <c r="H20" s="201">
        <v>150000</v>
      </c>
      <c r="I20" s="2267">
        <v>150000</v>
      </c>
      <c r="J20" s="192">
        <f t="shared" si="3"/>
        <v>100</v>
      </c>
      <c r="K20" s="165"/>
      <c r="L20" s="164"/>
    </row>
    <row r="21" spans="2:13" ht="29.25" customHeight="1" x14ac:dyDescent="0.3">
      <c r="B21" s="196"/>
      <c r="C21" s="168"/>
      <c r="D21" s="197" t="s">
        <v>556</v>
      </c>
      <c r="E21" s="198"/>
      <c r="F21" s="199"/>
      <c r="G21" s="200"/>
      <c r="H21" s="201">
        <v>72265</v>
      </c>
      <c r="I21" s="2267">
        <v>72265</v>
      </c>
      <c r="J21" s="192">
        <f t="shared" si="3"/>
        <v>100</v>
      </c>
      <c r="K21" s="165"/>
      <c r="L21" s="164"/>
    </row>
    <row r="22" spans="2:13" ht="29.25" customHeight="1" x14ac:dyDescent="0.3">
      <c r="B22" s="196"/>
      <c r="C22" s="168"/>
      <c r="D22" s="202" t="s">
        <v>672</v>
      </c>
      <c r="E22" s="198"/>
      <c r="F22" s="199"/>
      <c r="G22" s="200"/>
      <c r="H22" s="201">
        <v>3243</v>
      </c>
      <c r="I22" s="2267">
        <v>3243</v>
      </c>
      <c r="J22" s="192">
        <f t="shared" si="3"/>
        <v>100</v>
      </c>
      <c r="K22" s="165"/>
      <c r="L22" s="165"/>
    </row>
    <row r="23" spans="2:13" ht="29.25" customHeight="1" x14ac:dyDescent="0.3">
      <c r="B23" s="196"/>
      <c r="C23" s="205"/>
      <c r="D23" s="1117" t="s">
        <v>419</v>
      </c>
      <c r="E23" s="1117"/>
      <c r="F23" s="1118"/>
      <c r="G23" s="203"/>
      <c r="H23" s="204">
        <v>116667</v>
      </c>
      <c r="I23" s="2272">
        <v>116667</v>
      </c>
      <c r="J23" s="206">
        <f t="shared" si="3"/>
        <v>100</v>
      </c>
      <c r="K23" s="165"/>
      <c r="L23" s="165"/>
    </row>
    <row r="24" spans="2:13" ht="29.25" customHeight="1" x14ac:dyDescent="0.3">
      <c r="B24" s="196"/>
      <c r="C24" s="205"/>
      <c r="D24" s="1117" t="s">
        <v>345</v>
      </c>
      <c r="E24" s="207"/>
      <c r="F24" s="208"/>
      <c r="G24" s="200"/>
      <c r="H24" s="201">
        <v>186241</v>
      </c>
      <c r="I24" s="2267">
        <v>186241</v>
      </c>
      <c r="J24" s="206">
        <f t="shared" si="3"/>
        <v>100</v>
      </c>
      <c r="K24" s="165"/>
      <c r="L24" s="165"/>
    </row>
    <row r="25" spans="2:13" ht="29.25" customHeight="1" x14ac:dyDescent="0.3">
      <c r="B25" s="196"/>
      <c r="C25" s="168"/>
      <c r="D25" s="496"/>
      <c r="E25" s="205"/>
      <c r="F25" s="1056"/>
      <c r="G25" s="484"/>
      <c r="H25" s="386"/>
      <c r="I25" s="2273"/>
      <c r="J25" s="485"/>
      <c r="K25" s="165"/>
      <c r="L25" s="165"/>
    </row>
    <row r="26" spans="2:13" s="18" customFormat="1" ht="29.25" customHeight="1" x14ac:dyDescent="0.3">
      <c r="B26" s="387"/>
      <c r="C26" s="497" t="s">
        <v>604</v>
      </c>
      <c r="D26" s="498"/>
      <c r="E26" s="499"/>
      <c r="F26" s="500"/>
      <c r="G26" s="501">
        <f>SUM(G18:G25)</f>
        <v>556110</v>
      </c>
      <c r="H26" s="501">
        <f>SUM(H18:H25)</f>
        <v>934526</v>
      </c>
      <c r="I26" s="2274">
        <f>SUM(I18:I25)</f>
        <v>934526</v>
      </c>
      <c r="J26" s="502">
        <f t="shared" si="3"/>
        <v>100</v>
      </c>
      <c r="K26" s="389"/>
      <c r="L26" s="389"/>
      <c r="M26" s="169"/>
    </row>
    <row r="27" spans="2:13" s="49" customFormat="1" ht="29.25" customHeight="1" x14ac:dyDescent="0.3">
      <c r="B27" s="188"/>
      <c r="C27" s="190" t="s">
        <v>145</v>
      </c>
      <c r="D27" s="190"/>
      <c r="E27" s="190"/>
      <c r="F27" s="476"/>
      <c r="G27" s="193"/>
      <c r="H27" s="195"/>
      <c r="I27" s="2271"/>
      <c r="J27" s="194"/>
      <c r="K27" s="165"/>
      <c r="L27" s="165"/>
      <c r="M27" s="166"/>
    </row>
    <row r="28" spans="2:13" ht="29.25" customHeight="1" x14ac:dyDescent="0.3">
      <c r="B28" s="196"/>
      <c r="C28" s="205"/>
      <c r="D28" s="262"/>
      <c r="E28" s="262"/>
      <c r="F28" s="976"/>
      <c r="G28" s="484"/>
      <c r="H28" s="386"/>
      <c r="I28" s="2273"/>
      <c r="J28" s="206"/>
      <c r="K28" s="165"/>
      <c r="L28" s="165"/>
    </row>
    <row r="29" spans="2:13" s="49" customFormat="1" ht="29.25" customHeight="1" x14ac:dyDescent="0.3">
      <c r="B29" s="188"/>
      <c r="C29" s="487" t="s">
        <v>308</v>
      </c>
      <c r="D29" s="487"/>
      <c r="E29" s="487"/>
      <c r="F29" s="488"/>
      <c r="G29" s="489">
        <f>SUM(G28)</f>
        <v>0</v>
      </c>
      <c r="H29" s="489">
        <f t="shared" ref="H29:I29" si="4">SUM(H28)</f>
        <v>0</v>
      </c>
      <c r="I29" s="2270">
        <f t="shared" si="4"/>
        <v>0</v>
      </c>
      <c r="J29" s="502"/>
      <c r="K29" s="165"/>
      <c r="L29" s="165"/>
      <c r="M29" s="166"/>
    </row>
    <row r="30" spans="2:13" s="33" customFormat="1" ht="29.25" customHeight="1" x14ac:dyDescent="0.3">
      <c r="B30" s="210"/>
      <c r="C30" s="190" t="s">
        <v>146</v>
      </c>
      <c r="D30" s="503"/>
      <c r="E30" s="504"/>
      <c r="F30" s="505"/>
      <c r="G30" s="506"/>
      <c r="H30" s="477"/>
      <c r="I30" s="2275"/>
      <c r="J30" s="194"/>
      <c r="K30" s="165"/>
      <c r="L30" s="165"/>
      <c r="M30" s="167"/>
    </row>
    <row r="31" spans="2:13" ht="29.25" customHeight="1" x14ac:dyDescent="0.3">
      <c r="B31" s="211"/>
      <c r="C31" s="209" t="s">
        <v>339</v>
      </c>
      <c r="D31" s="507"/>
      <c r="E31" s="507"/>
      <c r="F31" s="508"/>
      <c r="G31" s="509"/>
      <c r="H31" s="239">
        <v>41046</v>
      </c>
      <c r="I31" s="2276">
        <v>41046</v>
      </c>
      <c r="J31" s="510">
        <f t="shared" ref="J31:J33" si="5">+I31/H31*100</f>
        <v>100</v>
      </c>
      <c r="K31" s="165"/>
      <c r="L31" s="164"/>
    </row>
    <row r="32" spans="2:13" s="18" customFormat="1" ht="29.25" customHeight="1" thickBot="1" x14ac:dyDescent="0.35">
      <c r="B32" s="213"/>
      <c r="C32" s="511" t="s">
        <v>309</v>
      </c>
      <c r="D32" s="253"/>
      <c r="E32" s="253"/>
      <c r="F32" s="512"/>
      <c r="G32" s="513">
        <f>SUM(G31)</f>
        <v>0</v>
      </c>
      <c r="H32" s="254">
        <f t="shared" ref="H32:I32" si="6">SUM(H31)</f>
        <v>41046</v>
      </c>
      <c r="I32" s="2277">
        <f t="shared" si="6"/>
        <v>41046</v>
      </c>
      <c r="J32" s="271"/>
      <c r="K32" s="389"/>
      <c r="L32" s="388"/>
      <c r="M32" s="169"/>
    </row>
    <row r="33" spans="2:13" s="18" customFormat="1" ht="29.25" customHeight="1" thickBot="1" x14ac:dyDescent="0.35">
      <c r="B33" s="213" t="s">
        <v>310</v>
      </c>
      <c r="C33" s="395" t="s">
        <v>118</v>
      </c>
      <c r="D33" s="396"/>
      <c r="E33" s="396"/>
      <c r="F33" s="397"/>
      <c r="G33" s="398">
        <f>+G16+G26+G29+G32</f>
        <v>5695183</v>
      </c>
      <c r="H33" s="398">
        <f>+H16+H26+H29+H32</f>
        <v>6076692</v>
      </c>
      <c r="I33" s="2278">
        <f>+I16+I26+I29+I32</f>
        <v>6076692</v>
      </c>
      <c r="J33" s="394">
        <f t="shared" si="5"/>
        <v>100</v>
      </c>
      <c r="K33" s="389"/>
      <c r="L33" s="388"/>
      <c r="M33" s="169"/>
    </row>
    <row r="34" spans="2:13" ht="29.25" customHeight="1" thickBot="1" x14ac:dyDescent="0.35">
      <c r="B34" s="211"/>
      <c r="C34" s="402" t="s">
        <v>312</v>
      </c>
      <c r="D34" s="390"/>
      <c r="E34" s="390"/>
      <c r="F34" s="391"/>
      <c r="G34" s="392"/>
      <c r="H34" s="384"/>
      <c r="I34" s="2279"/>
      <c r="J34" s="212"/>
      <c r="K34" s="165"/>
      <c r="L34" s="164"/>
    </row>
    <row r="35" spans="2:13" s="18" customFormat="1" ht="29.25" customHeight="1" thickBot="1" x14ac:dyDescent="0.35">
      <c r="B35" s="213" t="s">
        <v>311</v>
      </c>
      <c r="C35" s="189" t="s">
        <v>130</v>
      </c>
      <c r="D35" s="185"/>
      <c r="E35" s="185"/>
      <c r="F35" s="397"/>
      <c r="G35" s="400">
        <f>SUM(G34)</f>
        <v>0</v>
      </c>
      <c r="H35" s="399">
        <f t="shared" ref="H35:I35" si="7">SUM(H34)</f>
        <v>0</v>
      </c>
      <c r="I35" s="2280">
        <f t="shared" si="7"/>
        <v>0</v>
      </c>
      <c r="J35" s="394"/>
      <c r="K35" s="389"/>
      <c r="L35" s="388"/>
      <c r="M35" s="169"/>
    </row>
    <row r="36" spans="2:13" ht="29.25" customHeight="1" x14ac:dyDescent="0.3">
      <c r="B36" s="215"/>
      <c r="C36" s="216"/>
      <c r="D36" s="972" t="s">
        <v>412</v>
      </c>
      <c r="E36" s="972"/>
      <c r="F36" s="973"/>
      <c r="G36" s="416"/>
      <c r="H36" s="416">
        <v>4190</v>
      </c>
      <c r="I36" s="2281">
        <v>4190</v>
      </c>
      <c r="J36" s="246">
        <f t="shared" ref="J36:J46" si="8">+I36/H36*100</f>
        <v>100</v>
      </c>
      <c r="K36" s="165"/>
      <c r="L36" s="165"/>
    </row>
    <row r="37" spans="2:13" ht="29.25" customHeight="1" x14ac:dyDescent="0.3">
      <c r="B37" s="196"/>
      <c r="C37" s="205"/>
      <c r="D37" s="872" t="s">
        <v>624</v>
      </c>
      <c r="E37" s="872"/>
      <c r="F37" s="1046"/>
      <c r="G37" s="977"/>
      <c r="H37" s="978">
        <v>7500</v>
      </c>
      <c r="I37" s="2282">
        <v>7500</v>
      </c>
      <c r="J37" s="246">
        <f t="shared" si="8"/>
        <v>100</v>
      </c>
      <c r="K37" s="165"/>
      <c r="L37" s="165"/>
    </row>
    <row r="38" spans="2:13" ht="29.25" customHeight="1" x14ac:dyDescent="0.3">
      <c r="B38" s="196"/>
      <c r="C38" s="205"/>
      <c r="D38" s="197" t="s">
        <v>673</v>
      </c>
      <c r="E38" s="198"/>
      <c r="F38" s="1138"/>
      <c r="G38" s="977"/>
      <c r="H38" s="977">
        <v>22978</v>
      </c>
      <c r="I38" s="2282">
        <v>21757</v>
      </c>
      <c r="J38" s="246">
        <f t="shared" si="8"/>
        <v>94.686221603272685</v>
      </c>
      <c r="K38" s="165"/>
      <c r="L38" s="165"/>
    </row>
    <row r="39" spans="2:13" ht="29.25" customHeight="1" x14ac:dyDescent="0.3">
      <c r="B39" s="215"/>
      <c r="C39" s="216"/>
      <c r="D39" s="868" t="s">
        <v>625</v>
      </c>
      <c r="E39" s="869"/>
      <c r="F39" s="870"/>
      <c r="G39" s="393"/>
      <c r="H39" s="393">
        <v>20000</v>
      </c>
      <c r="I39" s="2283">
        <v>20000</v>
      </c>
      <c r="J39" s="246">
        <f t="shared" si="8"/>
        <v>100</v>
      </c>
      <c r="K39" s="165"/>
      <c r="L39" s="165"/>
    </row>
    <row r="40" spans="2:13" ht="29.25" customHeight="1" x14ac:dyDescent="0.3">
      <c r="B40" s="215"/>
      <c r="C40" s="216"/>
      <c r="D40" s="868" t="s">
        <v>674</v>
      </c>
      <c r="E40" s="869"/>
      <c r="F40" s="870"/>
      <c r="G40" s="393"/>
      <c r="H40" s="393">
        <v>770</v>
      </c>
      <c r="I40" s="2283">
        <v>770</v>
      </c>
      <c r="J40" s="246">
        <f t="shared" si="8"/>
        <v>100</v>
      </c>
      <c r="K40" s="165"/>
      <c r="L40" s="165"/>
    </row>
    <row r="41" spans="2:13" ht="29.25" customHeight="1" x14ac:dyDescent="0.3">
      <c r="B41" s="215"/>
      <c r="C41" s="216"/>
      <c r="D41" s="868" t="s">
        <v>506</v>
      </c>
      <c r="E41" s="869"/>
      <c r="F41" s="870"/>
      <c r="G41" s="393"/>
      <c r="H41" s="393">
        <v>8378</v>
      </c>
      <c r="I41" s="2281">
        <f>8378-1</f>
        <v>8377</v>
      </c>
      <c r="J41" s="246">
        <f t="shared" si="8"/>
        <v>99.988063977082831</v>
      </c>
      <c r="K41" s="165"/>
      <c r="L41" s="165"/>
    </row>
    <row r="42" spans="2:13" ht="29.25" customHeight="1" x14ac:dyDescent="0.3">
      <c r="B42" s="215"/>
      <c r="C42" s="216"/>
      <c r="D42" s="868" t="s">
        <v>662</v>
      </c>
      <c r="E42" s="869"/>
      <c r="F42" s="870"/>
      <c r="G42" s="393"/>
      <c r="H42" s="393">
        <v>84817</v>
      </c>
      <c r="I42" s="2281">
        <f>84817-1</f>
        <v>84816</v>
      </c>
      <c r="J42" s="246">
        <f t="shared" si="8"/>
        <v>99.998820991074894</v>
      </c>
      <c r="K42" s="165"/>
      <c r="L42" s="165"/>
    </row>
    <row r="43" spans="2:13" ht="29.25" customHeight="1" x14ac:dyDescent="0.3">
      <c r="B43" s="215"/>
      <c r="C43" s="216"/>
      <c r="D43" s="197" t="s">
        <v>499</v>
      </c>
      <c r="E43" s="869"/>
      <c r="F43" s="870"/>
      <c r="G43" s="393">
        <v>302075</v>
      </c>
      <c r="H43" s="393">
        <v>302075</v>
      </c>
      <c r="I43" s="2267">
        <v>302075</v>
      </c>
      <c r="J43" s="246">
        <f t="shared" si="8"/>
        <v>100</v>
      </c>
      <c r="K43" s="165"/>
      <c r="L43" s="165"/>
    </row>
    <row r="44" spans="2:13" ht="29.25" customHeight="1" x14ac:dyDescent="0.3">
      <c r="B44" s="215"/>
      <c r="C44" s="216"/>
      <c r="D44" s="197" t="s">
        <v>500</v>
      </c>
      <c r="E44" s="869"/>
      <c r="F44" s="870"/>
      <c r="G44" s="393">
        <v>53000</v>
      </c>
      <c r="H44" s="393">
        <v>53000</v>
      </c>
      <c r="I44" s="2267">
        <v>53000</v>
      </c>
      <c r="J44" s="246">
        <f t="shared" si="8"/>
        <v>100</v>
      </c>
      <c r="K44" s="165"/>
      <c r="L44" s="165"/>
    </row>
    <row r="45" spans="2:13" ht="29.25" customHeight="1" x14ac:dyDescent="0.3">
      <c r="B45" s="215"/>
      <c r="C45" s="216"/>
      <c r="D45" s="197" t="s">
        <v>513</v>
      </c>
      <c r="E45" s="869"/>
      <c r="F45" s="870"/>
      <c r="G45" s="393"/>
      <c r="H45" s="393">
        <v>1000</v>
      </c>
      <c r="I45" s="2267"/>
      <c r="J45" s="246">
        <f t="shared" si="8"/>
        <v>0</v>
      </c>
      <c r="K45" s="165"/>
      <c r="L45" s="165"/>
    </row>
    <row r="46" spans="2:13" ht="29.25" customHeight="1" x14ac:dyDescent="0.3">
      <c r="B46" s="215"/>
      <c r="C46" s="216"/>
      <c r="D46" s="871" t="s">
        <v>663</v>
      </c>
      <c r="E46" s="869"/>
      <c r="F46" s="870"/>
      <c r="G46" s="393"/>
      <c r="H46" s="393">
        <v>19938</v>
      </c>
      <c r="I46" s="2283"/>
      <c r="J46" s="246">
        <f t="shared" si="8"/>
        <v>0</v>
      </c>
      <c r="K46" s="165"/>
      <c r="L46" s="165"/>
    </row>
    <row r="47" spans="2:13" ht="47.25" customHeight="1" x14ac:dyDescent="0.3">
      <c r="B47" s="196"/>
      <c r="C47" s="205"/>
      <c r="D47" s="2366" t="s">
        <v>652</v>
      </c>
      <c r="E47" s="2366"/>
      <c r="F47" s="2367"/>
      <c r="G47" s="203"/>
      <c r="H47" s="204">
        <v>1000</v>
      </c>
      <c r="I47" s="2272">
        <v>1000</v>
      </c>
      <c r="J47" s="246">
        <f t="shared" ref="J47:J52" si="9">+I47/H47*100</f>
        <v>100</v>
      </c>
      <c r="K47" s="165"/>
      <c r="L47" s="165"/>
    </row>
    <row r="48" spans="2:13" ht="29.25" customHeight="1" x14ac:dyDescent="0.3">
      <c r="B48" s="196"/>
      <c r="C48" s="205"/>
      <c r="D48" s="872" t="s">
        <v>615</v>
      </c>
      <c r="E48" s="872"/>
      <c r="F48" s="1046"/>
      <c r="G48" s="977"/>
      <c r="H48" s="978">
        <v>2563</v>
      </c>
      <c r="I48" s="2282">
        <f>2563-1</f>
        <v>2562</v>
      </c>
      <c r="J48" s="246">
        <f t="shared" si="9"/>
        <v>99.960983222785799</v>
      </c>
      <c r="K48" s="165"/>
      <c r="L48" s="165"/>
    </row>
    <row r="49" spans="2:12" ht="29.25" customHeight="1" x14ac:dyDescent="0.3">
      <c r="B49" s="196"/>
      <c r="C49" s="205"/>
      <c r="D49" s="872" t="s">
        <v>523</v>
      </c>
      <c r="E49" s="872"/>
      <c r="F49" s="1046"/>
      <c r="G49" s="977">
        <v>3600000</v>
      </c>
      <c r="H49" s="978"/>
      <c r="I49" s="2282"/>
      <c r="J49" s="246"/>
      <c r="K49" s="165"/>
      <c r="L49" s="165"/>
    </row>
    <row r="50" spans="2:12" ht="29.25" customHeight="1" thickBot="1" x14ac:dyDescent="0.35">
      <c r="B50" s="481"/>
      <c r="C50" s="403"/>
      <c r="D50" s="1047"/>
      <c r="E50" s="1047"/>
      <c r="F50" s="1048"/>
      <c r="G50" s="417"/>
      <c r="H50" s="404"/>
      <c r="I50" s="2284"/>
      <c r="J50" s="405"/>
      <c r="K50" s="165"/>
      <c r="L50" s="165"/>
    </row>
    <row r="51" spans="2:12" ht="51" customHeight="1" thickBot="1" x14ac:dyDescent="0.35">
      <c r="B51" s="213" t="s">
        <v>313</v>
      </c>
      <c r="C51" s="2358" t="s">
        <v>129</v>
      </c>
      <c r="D51" s="2358"/>
      <c r="E51" s="2358"/>
      <c r="F51" s="2359"/>
      <c r="G51" s="277">
        <f>SUM(G36:G50)</f>
        <v>3955075</v>
      </c>
      <c r="H51" s="258">
        <f>SUM(H36:H50)</f>
        <v>528209</v>
      </c>
      <c r="I51" s="2285">
        <f>SUM(I36:I50)</f>
        <v>506047</v>
      </c>
      <c r="J51" s="401">
        <f t="shared" si="9"/>
        <v>95.804312308196188</v>
      </c>
      <c r="K51" s="165"/>
      <c r="L51" s="165"/>
    </row>
    <row r="52" spans="2:12" ht="29.25" customHeight="1" thickBot="1" x14ac:dyDescent="0.35">
      <c r="B52" s="406" t="s">
        <v>420</v>
      </c>
      <c r="C52" s="407"/>
      <c r="D52" s="396"/>
      <c r="E52" s="396"/>
      <c r="F52" s="397"/>
      <c r="G52" s="408">
        <f>+G33+G35+G51</f>
        <v>9650258</v>
      </c>
      <c r="H52" s="408">
        <f>+H33+H35+H51</f>
        <v>6604901</v>
      </c>
      <c r="I52" s="2286">
        <f>+I33+I35+I51</f>
        <v>6582739</v>
      </c>
      <c r="J52" s="409">
        <f t="shared" si="9"/>
        <v>99.664461284128265</v>
      </c>
      <c r="K52" s="165"/>
      <c r="L52" s="164"/>
    </row>
    <row r="53" spans="2:12" ht="29.25" customHeight="1" x14ac:dyDescent="0.3">
      <c r="B53" s="183" t="s">
        <v>271</v>
      </c>
      <c r="C53" s="184"/>
      <c r="D53" s="223"/>
      <c r="E53" s="223"/>
      <c r="F53" s="186"/>
      <c r="G53" s="224"/>
      <c r="H53" s="225"/>
      <c r="I53" s="2287"/>
      <c r="J53" s="226"/>
      <c r="K53" s="165"/>
      <c r="L53" s="164"/>
    </row>
    <row r="54" spans="2:12" ht="29.25" customHeight="1" x14ac:dyDescent="0.3">
      <c r="B54" s="227"/>
      <c r="C54" s="216" t="s">
        <v>119</v>
      </c>
      <c r="D54" s="228"/>
      <c r="E54" s="228"/>
      <c r="F54" s="229"/>
      <c r="G54" s="230"/>
      <c r="H54" s="231"/>
      <c r="I54" s="2288"/>
      <c r="J54" s="232"/>
      <c r="K54" s="165"/>
      <c r="L54" s="164"/>
    </row>
    <row r="55" spans="2:12" ht="29.25" customHeight="1" x14ac:dyDescent="0.3">
      <c r="B55" s="196"/>
      <c r="C55" s="168"/>
      <c r="D55" s="198" t="s">
        <v>675</v>
      </c>
      <c r="E55" s="198"/>
      <c r="F55" s="199"/>
      <c r="G55" s="233"/>
      <c r="H55" s="233">
        <v>814</v>
      </c>
      <c r="I55" s="2289">
        <v>814</v>
      </c>
      <c r="J55" s="234">
        <f>+I55/H55*100</f>
        <v>100</v>
      </c>
      <c r="K55" s="165"/>
      <c r="L55" s="165"/>
    </row>
    <row r="56" spans="2:12" ht="29.25" customHeight="1" x14ac:dyDescent="0.3">
      <c r="B56" s="227"/>
      <c r="C56" s="216" t="s">
        <v>120</v>
      </c>
      <c r="D56" s="228"/>
      <c r="E56" s="228"/>
      <c r="F56" s="229"/>
      <c r="G56" s="230"/>
      <c r="H56" s="230"/>
      <c r="I56" s="2288"/>
      <c r="J56" s="232"/>
      <c r="K56" s="165"/>
      <c r="L56" s="165"/>
    </row>
    <row r="57" spans="2:12" ht="29.25" customHeight="1" x14ac:dyDescent="0.3">
      <c r="B57" s="196"/>
      <c r="C57" s="168"/>
      <c r="D57" s="198" t="s">
        <v>34</v>
      </c>
      <c r="E57" s="198"/>
      <c r="F57" s="199"/>
      <c r="G57" s="233">
        <v>1234000</v>
      </c>
      <c r="H57" s="233">
        <v>1215104</v>
      </c>
      <c r="I57" s="2289">
        <v>1215104</v>
      </c>
      <c r="J57" s="234">
        <f>+I57/H57*100</f>
        <v>100</v>
      </c>
      <c r="K57" s="165"/>
      <c r="L57" s="164"/>
    </row>
    <row r="58" spans="2:12" ht="29.25" customHeight="1" x14ac:dyDescent="0.3">
      <c r="B58" s="227"/>
      <c r="C58" s="216" t="s">
        <v>121</v>
      </c>
      <c r="D58" s="228"/>
      <c r="E58" s="228"/>
      <c r="F58" s="229"/>
      <c r="G58" s="230"/>
      <c r="H58" s="230"/>
      <c r="I58" s="2288"/>
      <c r="J58" s="235"/>
      <c r="K58" s="165"/>
      <c r="L58" s="164"/>
    </row>
    <row r="59" spans="2:12" ht="29.25" customHeight="1" x14ac:dyDescent="0.3">
      <c r="B59" s="215"/>
      <c r="C59" s="216"/>
      <c r="D59" s="1116" t="s">
        <v>15</v>
      </c>
      <c r="E59" s="219"/>
      <c r="F59" s="218"/>
      <c r="G59" s="220">
        <v>6500000</v>
      </c>
      <c r="H59" s="220">
        <v>8728687</v>
      </c>
      <c r="I59" s="2283">
        <v>8725438</v>
      </c>
      <c r="J59" s="192">
        <f>+I59/H59*100</f>
        <v>99.962777906917736</v>
      </c>
      <c r="K59" s="165"/>
      <c r="L59" s="164"/>
    </row>
    <row r="60" spans="2:12" ht="29.25" customHeight="1" x14ac:dyDescent="0.3">
      <c r="B60" s="215"/>
      <c r="C60" s="216"/>
      <c r="D60" s="1116" t="s">
        <v>46</v>
      </c>
      <c r="E60" s="1116"/>
      <c r="F60" s="218"/>
      <c r="G60" s="220"/>
      <c r="H60" s="220">
        <v>15166</v>
      </c>
      <c r="I60" s="2283">
        <v>15166</v>
      </c>
      <c r="J60" s="192">
        <f>+I60/H60*100</f>
        <v>100</v>
      </c>
      <c r="K60" s="165"/>
      <c r="L60" s="165"/>
    </row>
    <row r="61" spans="2:12" ht="29.25" customHeight="1" x14ac:dyDescent="0.3">
      <c r="B61" s="227"/>
      <c r="C61" s="216" t="s">
        <v>122</v>
      </c>
      <c r="D61" s="228"/>
      <c r="E61" s="228"/>
      <c r="F61" s="229"/>
      <c r="G61" s="230"/>
      <c r="H61" s="230"/>
      <c r="I61" s="2288"/>
      <c r="J61" s="235"/>
      <c r="K61" s="165"/>
      <c r="L61" s="165"/>
    </row>
    <row r="62" spans="2:12" ht="29.25" customHeight="1" x14ac:dyDescent="0.3">
      <c r="B62" s="215"/>
      <c r="C62" s="216"/>
      <c r="D62" s="1116" t="s">
        <v>228</v>
      </c>
      <c r="E62" s="1116"/>
      <c r="F62" s="218"/>
      <c r="G62" s="220">
        <v>10000</v>
      </c>
      <c r="H62" s="220">
        <v>13387</v>
      </c>
      <c r="I62" s="2283">
        <v>13387</v>
      </c>
      <c r="J62" s="192">
        <f t="shared" ref="J62:J66" si="10">+I62/H62*100</f>
        <v>100</v>
      </c>
      <c r="K62" s="165"/>
      <c r="L62" s="165"/>
    </row>
    <row r="63" spans="2:12" ht="29.25" customHeight="1" x14ac:dyDescent="0.3">
      <c r="B63" s="215"/>
      <c r="C63" s="216"/>
      <c r="D63" s="1116" t="s">
        <v>57</v>
      </c>
      <c r="E63" s="219"/>
      <c r="F63" s="218"/>
      <c r="G63" s="220">
        <v>1000</v>
      </c>
      <c r="H63" s="220">
        <v>446</v>
      </c>
      <c r="I63" s="2283">
        <v>446</v>
      </c>
      <c r="J63" s="192">
        <f t="shared" si="10"/>
        <v>100</v>
      </c>
      <c r="K63" s="165"/>
      <c r="L63" s="165"/>
    </row>
    <row r="64" spans="2:12" ht="29.25" customHeight="1" x14ac:dyDescent="0.3">
      <c r="B64" s="215"/>
      <c r="C64" s="205"/>
      <c r="D64" s="198" t="s">
        <v>27</v>
      </c>
      <c r="E64" s="198"/>
      <c r="F64" s="218"/>
      <c r="G64" s="220"/>
      <c r="H64" s="220">
        <v>6109</v>
      </c>
      <c r="I64" s="2283">
        <v>6109</v>
      </c>
      <c r="J64" s="192">
        <f t="shared" si="10"/>
        <v>100</v>
      </c>
      <c r="K64" s="165"/>
      <c r="L64" s="165"/>
    </row>
    <row r="65" spans="2:12" ht="29.25" customHeight="1" x14ac:dyDescent="0.3">
      <c r="B65" s="215"/>
      <c r="C65" s="216"/>
      <c r="D65" s="1116" t="s">
        <v>613</v>
      </c>
      <c r="E65" s="219"/>
      <c r="F65" s="218"/>
      <c r="G65" s="220"/>
      <c r="H65" s="220">
        <v>148</v>
      </c>
      <c r="I65" s="2283">
        <v>148</v>
      </c>
      <c r="J65" s="192">
        <f t="shared" si="10"/>
        <v>100</v>
      </c>
      <c r="K65" s="165"/>
      <c r="L65" s="165"/>
    </row>
    <row r="66" spans="2:12" ht="29.25" customHeight="1" thickBot="1" x14ac:dyDescent="0.35">
      <c r="B66" s="221" t="s">
        <v>272</v>
      </c>
      <c r="C66" s="189"/>
      <c r="D66" s="178"/>
      <c r="E66" s="178"/>
      <c r="F66" s="214"/>
      <c r="G66" s="222">
        <f>SUM(G55:G65)</f>
        <v>7745000</v>
      </c>
      <c r="H66" s="222">
        <f>SUM(H55:H65)</f>
        <v>9979861</v>
      </c>
      <c r="I66" s="2290">
        <f>SUM(I55:I65)</f>
        <v>9976612</v>
      </c>
      <c r="J66" s="240">
        <f t="shared" si="10"/>
        <v>99.967444436350362</v>
      </c>
      <c r="K66" s="165"/>
      <c r="L66" s="165"/>
    </row>
    <row r="67" spans="2:12" ht="29.25" customHeight="1" x14ac:dyDescent="0.3">
      <c r="B67" s="213" t="s">
        <v>282</v>
      </c>
      <c r="C67" s="241"/>
      <c r="D67" s="241"/>
      <c r="E67" s="241"/>
      <c r="F67" s="241"/>
      <c r="G67" s="175"/>
      <c r="H67" s="176"/>
      <c r="I67" s="2291"/>
      <c r="J67" s="242"/>
      <c r="K67" s="165"/>
      <c r="L67" s="165"/>
    </row>
    <row r="68" spans="2:12" ht="29.25" customHeight="1" x14ac:dyDescent="0.3">
      <c r="B68" s="215"/>
      <c r="C68" s="216"/>
      <c r="D68" s="1116" t="s">
        <v>248</v>
      </c>
      <c r="E68" s="1116"/>
      <c r="F68" s="218"/>
      <c r="G68" s="220"/>
      <c r="H68" s="220">
        <v>906</v>
      </c>
      <c r="I68" s="2283">
        <v>906</v>
      </c>
      <c r="J68" s="206">
        <f t="shared" ref="J68:J80" si="11">+I68/H68*100</f>
        <v>100</v>
      </c>
      <c r="K68" s="165"/>
      <c r="L68" s="164"/>
    </row>
    <row r="69" spans="2:12" ht="29.25" customHeight="1" x14ac:dyDescent="0.3">
      <c r="B69" s="215"/>
      <c r="C69" s="216"/>
      <c r="D69" s="236" t="s">
        <v>677</v>
      </c>
      <c r="E69" s="237"/>
      <c r="F69" s="238"/>
      <c r="G69" s="239"/>
      <c r="H69" s="239">
        <v>94</v>
      </c>
      <c r="I69" s="2276">
        <v>94</v>
      </c>
      <c r="J69" s="192">
        <f t="shared" si="11"/>
        <v>100</v>
      </c>
      <c r="K69" s="165"/>
      <c r="L69" s="164"/>
    </row>
    <row r="70" spans="2:12" ht="29.25" customHeight="1" x14ac:dyDescent="0.3">
      <c r="B70" s="215"/>
      <c r="C70" s="216"/>
      <c r="D70" s="1116" t="s">
        <v>263</v>
      </c>
      <c r="E70" s="1116"/>
      <c r="F70" s="218"/>
      <c r="G70" s="220">
        <v>10215</v>
      </c>
      <c r="H70" s="220">
        <v>5250</v>
      </c>
      <c r="I70" s="2283">
        <v>5250</v>
      </c>
      <c r="J70" s="192">
        <f t="shared" si="11"/>
        <v>100</v>
      </c>
      <c r="K70" s="165"/>
      <c r="L70" s="164"/>
    </row>
    <row r="71" spans="2:12" ht="29.25" customHeight="1" x14ac:dyDescent="0.3">
      <c r="B71" s="215"/>
      <c r="C71" s="216"/>
      <c r="D71" s="236" t="s">
        <v>243</v>
      </c>
      <c r="E71" s="237"/>
      <c r="F71" s="238"/>
      <c r="G71" s="239"/>
      <c r="H71" s="239">
        <v>13240</v>
      </c>
      <c r="I71" s="2276">
        <v>13240</v>
      </c>
      <c r="J71" s="192">
        <f t="shared" si="11"/>
        <v>100</v>
      </c>
      <c r="K71" s="165"/>
      <c r="L71" s="164"/>
    </row>
    <row r="72" spans="2:12" ht="29.25" customHeight="1" x14ac:dyDescent="0.3">
      <c r="B72" s="215"/>
      <c r="C72" s="216"/>
      <c r="D72" s="1116" t="s">
        <v>601</v>
      </c>
      <c r="E72" s="1116"/>
      <c r="F72" s="218"/>
      <c r="G72" s="220">
        <v>37404</v>
      </c>
      <c r="H72" s="220">
        <v>21819</v>
      </c>
      <c r="I72" s="2283">
        <v>21819</v>
      </c>
      <c r="J72" s="192">
        <f t="shared" si="11"/>
        <v>100</v>
      </c>
      <c r="K72" s="165"/>
      <c r="L72" s="164"/>
    </row>
    <row r="73" spans="2:12" ht="29.25" customHeight="1" x14ac:dyDescent="0.3">
      <c r="B73" s="215"/>
      <c r="C73" s="216"/>
      <c r="D73" s="1116" t="s">
        <v>511</v>
      </c>
      <c r="E73" s="1116"/>
      <c r="F73" s="218"/>
      <c r="G73" s="220"/>
      <c r="H73" s="220">
        <v>9568</v>
      </c>
      <c r="I73" s="2283">
        <v>9568</v>
      </c>
      <c r="J73" s="192">
        <f t="shared" si="11"/>
        <v>100</v>
      </c>
      <c r="K73" s="165"/>
      <c r="L73" s="164"/>
    </row>
    <row r="74" spans="2:12" ht="29.25" customHeight="1" x14ac:dyDescent="0.3">
      <c r="B74" s="215"/>
      <c r="C74" s="216"/>
      <c r="D74" s="1116" t="s">
        <v>676</v>
      </c>
      <c r="E74" s="1116"/>
      <c r="F74" s="218"/>
      <c r="G74" s="220"/>
      <c r="H74" s="220">
        <v>971</v>
      </c>
      <c r="I74" s="2283">
        <v>971</v>
      </c>
      <c r="J74" s="192">
        <f t="shared" si="11"/>
        <v>100</v>
      </c>
      <c r="K74" s="165"/>
      <c r="L74" s="164"/>
    </row>
    <row r="75" spans="2:12" ht="29.25" customHeight="1" x14ac:dyDescent="0.3">
      <c r="B75" s="215"/>
      <c r="C75" s="216"/>
      <c r="D75" s="1116" t="s">
        <v>260</v>
      </c>
      <c r="E75" s="1116"/>
      <c r="F75" s="218"/>
      <c r="G75" s="220"/>
      <c r="H75" s="220">
        <v>378</v>
      </c>
      <c r="I75" s="2283">
        <v>378</v>
      </c>
      <c r="J75" s="192">
        <f t="shared" si="11"/>
        <v>100</v>
      </c>
      <c r="K75" s="165"/>
      <c r="L75" s="165"/>
    </row>
    <row r="76" spans="2:12" ht="29.25" customHeight="1" x14ac:dyDescent="0.3">
      <c r="B76" s="215"/>
      <c r="C76" s="216"/>
      <c r="D76" s="1116" t="s">
        <v>249</v>
      </c>
      <c r="E76" s="1116"/>
      <c r="F76" s="218"/>
      <c r="G76" s="220">
        <v>395000</v>
      </c>
      <c r="H76" s="220">
        <v>237335</v>
      </c>
      <c r="I76" s="2283">
        <v>237335</v>
      </c>
      <c r="J76" s="192">
        <f t="shared" si="11"/>
        <v>100</v>
      </c>
      <c r="K76" s="165"/>
      <c r="L76" s="164"/>
    </row>
    <row r="77" spans="2:12" ht="29.25" customHeight="1" x14ac:dyDescent="0.3">
      <c r="B77" s="215"/>
      <c r="C77" s="216"/>
      <c r="D77" s="1116" t="s">
        <v>304</v>
      </c>
      <c r="E77" s="1116"/>
      <c r="F77" s="218"/>
      <c r="G77" s="220">
        <v>9000</v>
      </c>
      <c r="H77" s="220">
        <v>6874</v>
      </c>
      <c r="I77" s="2283">
        <v>7071</v>
      </c>
      <c r="J77" s="192">
        <f t="shared" si="11"/>
        <v>102.86587139947629</v>
      </c>
      <c r="K77" s="165"/>
      <c r="L77" s="164"/>
    </row>
    <row r="78" spans="2:12" ht="29.25" customHeight="1" x14ac:dyDescent="0.3">
      <c r="B78" s="215"/>
      <c r="C78" s="216"/>
      <c r="D78" s="236" t="s">
        <v>72</v>
      </c>
      <c r="E78" s="237"/>
      <c r="F78" s="238"/>
      <c r="G78" s="239">
        <v>2700</v>
      </c>
      <c r="H78" s="239">
        <v>2827</v>
      </c>
      <c r="I78" s="2276">
        <f>2827-1</f>
        <v>2826</v>
      </c>
      <c r="J78" s="192">
        <f t="shared" si="11"/>
        <v>99.964626812875849</v>
      </c>
      <c r="K78" s="165"/>
      <c r="L78" s="164"/>
    </row>
    <row r="79" spans="2:12" ht="29.25" customHeight="1" x14ac:dyDescent="0.3">
      <c r="B79" s="215"/>
      <c r="C79" s="216"/>
      <c r="D79" s="1116" t="s">
        <v>71</v>
      </c>
      <c r="E79" s="1116"/>
      <c r="F79" s="218"/>
      <c r="G79" s="220">
        <v>700000</v>
      </c>
      <c r="H79" s="220">
        <v>700000</v>
      </c>
      <c r="I79" s="2283">
        <v>747776</v>
      </c>
      <c r="J79" s="192">
        <f t="shared" si="11"/>
        <v>106.82514285714286</v>
      </c>
      <c r="K79" s="165"/>
      <c r="L79" s="164"/>
    </row>
    <row r="80" spans="2:12" ht="41.25" customHeight="1" x14ac:dyDescent="0.3">
      <c r="B80" s="215"/>
      <c r="C80" s="216"/>
      <c r="D80" s="1116" t="s">
        <v>39</v>
      </c>
      <c r="E80" s="1116"/>
      <c r="F80" s="218"/>
      <c r="G80" s="220">
        <v>43165</v>
      </c>
      <c r="H80" s="220">
        <v>55618</v>
      </c>
      <c r="I80" s="2283">
        <v>55618</v>
      </c>
      <c r="J80" s="192">
        <f t="shared" si="11"/>
        <v>100</v>
      </c>
      <c r="K80" s="165"/>
      <c r="L80" s="164"/>
    </row>
    <row r="81" spans="2:12" ht="29.25" customHeight="1" x14ac:dyDescent="0.3">
      <c r="B81" s="215"/>
      <c r="C81" s="216"/>
      <c r="D81" s="1116" t="s">
        <v>63</v>
      </c>
      <c r="E81" s="1116"/>
      <c r="F81" s="218"/>
      <c r="G81" s="220">
        <v>17000</v>
      </c>
      <c r="H81" s="220">
        <v>19427</v>
      </c>
      <c r="I81" s="2283">
        <v>19427</v>
      </c>
      <c r="J81" s="192">
        <f t="shared" ref="J81:J86" si="12">+I81/H81*100</f>
        <v>100</v>
      </c>
      <c r="K81" s="165"/>
      <c r="L81" s="164"/>
    </row>
    <row r="82" spans="2:12" ht="29.25" customHeight="1" x14ac:dyDescent="0.3">
      <c r="B82" s="215"/>
      <c r="C82" s="216"/>
      <c r="D82" s="236" t="s">
        <v>231</v>
      </c>
      <c r="E82" s="236"/>
      <c r="F82" s="238"/>
      <c r="G82" s="239"/>
      <c r="H82" s="239">
        <v>112554</v>
      </c>
      <c r="I82" s="2276">
        <v>112554</v>
      </c>
      <c r="J82" s="192">
        <f t="shared" si="12"/>
        <v>100</v>
      </c>
      <c r="K82" s="165"/>
      <c r="L82" s="165"/>
    </row>
    <row r="83" spans="2:12" ht="29.25" customHeight="1" x14ac:dyDescent="0.3">
      <c r="B83" s="215"/>
      <c r="C83" s="216"/>
      <c r="D83" s="236" t="s">
        <v>413</v>
      </c>
      <c r="E83" s="236"/>
      <c r="F83" s="238"/>
      <c r="G83" s="239"/>
      <c r="H83" s="239">
        <v>1143</v>
      </c>
      <c r="I83" s="2276">
        <v>1143</v>
      </c>
      <c r="J83" s="192">
        <f t="shared" si="12"/>
        <v>100</v>
      </c>
      <c r="K83" s="165"/>
      <c r="L83" s="164"/>
    </row>
    <row r="84" spans="2:12" ht="29.25" customHeight="1" x14ac:dyDescent="0.3">
      <c r="B84" s="215"/>
      <c r="C84" s="216"/>
      <c r="D84" s="236" t="s">
        <v>168</v>
      </c>
      <c r="E84" s="236"/>
      <c r="F84" s="238"/>
      <c r="G84" s="239"/>
      <c r="H84" s="239">
        <v>16</v>
      </c>
      <c r="I84" s="2276">
        <v>16</v>
      </c>
      <c r="J84" s="192">
        <f t="shared" si="12"/>
        <v>100</v>
      </c>
      <c r="K84" s="165"/>
      <c r="L84" s="165"/>
    </row>
    <row r="85" spans="2:12" ht="29.25" customHeight="1" x14ac:dyDescent="0.3">
      <c r="B85" s="215"/>
      <c r="C85" s="216"/>
      <c r="D85" s="243" t="s">
        <v>242</v>
      </c>
      <c r="E85" s="236"/>
      <c r="F85" s="238"/>
      <c r="G85" s="239">
        <v>1700</v>
      </c>
      <c r="H85" s="239">
        <v>2987</v>
      </c>
      <c r="I85" s="2276">
        <v>2987</v>
      </c>
      <c r="J85" s="192">
        <f t="shared" si="12"/>
        <v>100</v>
      </c>
      <c r="K85" s="165"/>
      <c r="L85" s="164"/>
    </row>
    <row r="86" spans="2:12" ht="29.25" customHeight="1" x14ac:dyDescent="0.3">
      <c r="B86" s="215"/>
      <c r="C86" s="216"/>
      <c r="D86" s="236" t="s">
        <v>698</v>
      </c>
      <c r="E86" s="236"/>
      <c r="F86" s="238"/>
      <c r="G86" s="239"/>
      <c r="H86" s="239">
        <v>100</v>
      </c>
      <c r="I86" s="2276">
        <v>100</v>
      </c>
      <c r="J86" s="192">
        <f t="shared" si="12"/>
        <v>100</v>
      </c>
      <c r="K86" s="165"/>
      <c r="L86" s="164"/>
    </row>
    <row r="87" spans="2:12" ht="29.25" customHeight="1" x14ac:dyDescent="0.3">
      <c r="B87" s="227"/>
      <c r="C87" s="216" t="s">
        <v>131</v>
      </c>
      <c r="D87" s="228"/>
      <c r="E87" s="228"/>
      <c r="F87" s="218"/>
      <c r="G87" s="220"/>
      <c r="H87" s="220"/>
      <c r="I87" s="2283"/>
      <c r="J87" s="206"/>
      <c r="K87" s="165"/>
      <c r="L87" s="164"/>
    </row>
    <row r="88" spans="2:12" ht="29.25" customHeight="1" x14ac:dyDescent="0.3">
      <c r="B88" s="215"/>
      <c r="C88" s="216"/>
      <c r="D88" s="218" t="s">
        <v>250</v>
      </c>
      <c r="E88" s="1116"/>
      <c r="F88" s="218"/>
      <c r="G88" s="220">
        <v>65254</v>
      </c>
      <c r="H88" s="220">
        <v>76867</v>
      </c>
      <c r="I88" s="2292"/>
      <c r="J88" s="206">
        <f t="shared" ref="J88:J93" si="13">+I88/H88*100</f>
        <v>0</v>
      </c>
      <c r="K88" s="165"/>
      <c r="L88" s="164"/>
    </row>
    <row r="89" spans="2:12" ht="29.25" customHeight="1" x14ac:dyDescent="0.3">
      <c r="B89" s="215"/>
      <c r="C89" s="216"/>
      <c r="D89" s="218" t="s">
        <v>28</v>
      </c>
      <c r="E89" s="1116"/>
      <c r="F89" s="218"/>
      <c r="G89" s="220">
        <v>250000</v>
      </c>
      <c r="H89" s="220">
        <v>250000</v>
      </c>
      <c r="I89" s="2283">
        <v>509440</v>
      </c>
      <c r="J89" s="192">
        <f t="shared" si="13"/>
        <v>203.77600000000001</v>
      </c>
      <c r="K89" s="165"/>
      <c r="L89" s="165"/>
    </row>
    <row r="90" spans="2:12" ht="29.25" customHeight="1" x14ac:dyDescent="0.3">
      <c r="B90" s="215"/>
      <c r="C90" s="216"/>
      <c r="D90" s="1116" t="s">
        <v>161</v>
      </c>
      <c r="E90" s="1116"/>
      <c r="F90" s="218"/>
      <c r="G90" s="220">
        <v>20000</v>
      </c>
      <c r="H90" s="385">
        <v>25374</v>
      </c>
      <c r="I90" s="2283"/>
      <c r="J90" s="192">
        <f t="shared" si="13"/>
        <v>0</v>
      </c>
      <c r="K90" s="165"/>
      <c r="L90" s="164"/>
    </row>
    <row r="91" spans="2:12" ht="29.25" customHeight="1" x14ac:dyDescent="0.3">
      <c r="B91" s="215"/>
      <c r="C91" s="216"/>
      <c r="D91" s="198" t="s">
        <v>52</v>
      </c>
      <c r="E91" s="1116"/>
      <c r="F91" s="218"/>
      <c r="G91" s="220"/>
      <c r="H91" s="220">
        <v>211520</v>
      </c>
      <c r="I91" s="2283"/>
      <c r="J91" s="192">
        <f t="shared" si="13"/>
        <v>0</v>
      </c>
      <c r="K91" s="165"/>
      <c r="L91" s="165"/>
    </row>
    <row r="92" spans="2:12" ht="29.25" customHeight="1" x14ac:dyDescent="0.3">
      <c r="B92" s="227"/>
      <c r="C92" s="216" t="s">
        <v>132</v>
      </c>
      <c r="D92" s="247"/>
      <c r="E92" s="247"/>
      <c r="F92" s="248"/>
      <c r="G92" s="249"/>
      <c r="H92" s="249"/>
      <c r="I92" s="2293"/>
      <c r="J92" s="246"/>
      <c r="K92" s="165"/>
      <c r="L92" s="165"/>
    </row>
    <row r="93" spans="2:12" ht="29.25" customHeight="1" x14ac:dyDescent="0.3">
      <c r="B93" s="215"/>
      <c r="C93" s="205"/>
      <c r="D93" s="2370" t="s">
        <v>264</v>
      </c>
      <c r="E93" s="2371"/>
      <c r="F93" s="2372"/>
      <c r="G93" s="217"/>
      <c r="H93" s="217">
        <v>75398</v>
      </c>
      <c r="I93" s="2281">
        <v>75398</v>
      </c>
      <c r="J93" s="246">
        <f t="shared" si="13"/>
        <v>100</v>
      </c>
      <c r="K93" s="165"/>
      <c r="L93" s="164"/>
    </row>
    <row r="94" spans="2:12" ht="29.25" customHeight="1" x14ac:dyDescent="0.3">
      <c r="B94" s="227"/>
      <c r="C94" s="216" t="s">
        <v>455</v>
      </c>
      <c r="D94" s="247"/>
      <c r="E94" s="247"/>
      <c r="F94" s="248"/>
      <c r="G94" s="249"/>
      <c r="H94" s="250"/>
      <c r="I94" s="2293"/>
      <c r="J94" s="192"/>
    </row>
    <row r="95" spans="2:12" ht="29.25" customHeight="1" thickBot="1" x14ac:dyDescent="0.35">
      <c r="B95" s="251" t="s">
        <v>279</v>
      </c>
      <c r="C95" s="252"/>
      <c r="D95" s="253"/>
      <c r="E95" s="253"/>
      <c r="F95" s="253"/>
      <c r="G95" s="254">
        <f>SUM(G68:G94)</f>
        <v>1551438</v>
      </c>
      <c r="H95" s="254">
        <f>SUM(H68:H94)</f>
        <v>1830266</v>
      </c>
      <c r="I95" s="2294">
        <f>SUM(I68:I94)</f>
        <v>1823917</v>
      </c>
      <c r="J95" s="255">
        <f>+I95/H95*100</f>
        <v>99.653110531474667</v>
      </c>
    </row>
    <row r="96" spans="2:12" ht="29.25" customHeight="1" x14ac:dyDescent="0.3">
      <c r="B96" s="213" t="s">
        <v>270</v>
      </c>
      <c r="C96" s="256"/>
      <c r="D96" s="257"/>
      <c r="E96" s="257"/>
      <c r="F96" s="257"/>
      <c r="G96" s="258"/>
      <c r="H96" s="244"/>
      <c r="I96" s="2295"/>
      <c r="J96" s="259"/>
      <c r="K96" s="161"/>
    </row>
    <row r="97" spans="2:13" s="19" customFormat="1" ht="51" customHeight="1" x14ac:dyDescent="0.3">
      <c r="B97" s="213"/>
      <c r="C97" s="2374" t="s">
        <v>127</v>
      </c>
      <c r="D97" s="2374"/>
      <c r="E97" s="2374"/>
      <c r="F97" s="2375"/>
      <c r="G97" s="260"/>
      <c r="H97" s="260"/>
      <c r="I97" s="2296"/>
      <c r="J97" s="261"/>
      <c r="K97" s="162"/>
      <c r="L97" s="162"/>
      <c r="M97" s="168"/>
    </row>
    <row r="98" spans="2:13" ht="30" customHeight="1" x14ac:dyDescent="0.3">
      <c r="B98" s="227"/>
      <c r="C98" s="262"/>
      <c r="D98" s="2376" t="s">
        <v>626</v>
      </c>
      <c r="E98" s="2376"/>
      <c r="F98" s="2377"/>
      <c r="G98" s="263"/>
      <c r="H98" s="263">
        <v>45000</v>
      </c>
      <c r="I98" s="2297">
        <v>45000</v>
      </c>
      <c r="J98" s="264">
        <f>+I98/H98*100</f>
        <v>100</v>
      </c>
    </row>
    <row r="99" spans="2:13" ht="30" customHeight="1" x14ac:dyDescent="0.3">
      <c r="B99" s="227"/>
      <c r="C99" s="262"/>
      <c r="D99" s="2373" t="s">
        <v>557</v>
      </c>
      <c r="E99" s="2371"/>
      <c r="F99" s="2372"/>
      <c r="G99" s="263"/>
      <c r="H99" s="263">
        <v>40000</v>
      </c>
      <c r="I99" s="2297">
        <v>20000</v>
      </c>
      <c r="J99" s="264">
        <f>+I99/H99*100</f>
        <v>50</v>
      </c>
    </row>
    <row r="100" spans="2:13" ht="29.25" customHeight="1" x14ac:dyDescent="0.3">
      <c r="B100" s="213"/>
      <c r="C100" s="256" t="s">
        <v>128</v>
      </c>
      <c r="D100" s="257"/>
      <c r="E100" s="257"/>
      <c r="F100" s="257"/>
      <c r="G100" s="258"/>
      <c r="H100" s="258"/>
      <c r="I100" s="2295"/>
      <c r="J100" s="266"/>
    </row>
    <row r="101" spans="2:13" ht="29.25" customHeight="1" x14ac:dyDescent="0.3">
      <c r="B101" s="213"/>
      <c r="C101" s="256"/>
      <c r="D101" s="280" t="s">
        <v>497</v>
      </c>
      <c r="E101" s="1034"/>
      <c r="F101" s="1035"/>
      <c r="G101" s="1036"/>
      <c r="H101" s="385"/>
      <c r="I101" s="2298">
        <v>697</v>
      </c>
      <c r="J101" s="264"/>
    </row>
    <row r="102" spans="2:13" ht="29.25" customHeight="1" x14ac:dyDescent="0.3">
      <c r="B102" s="227"/>
      <c r="C102" s="262"/>
      <c r="D102" s="267" t="s">
        <v>456</v>
      </c>
      <c r="E102" s="1117"/>
      <c r="F102" s="268"/>
      <c r="G102" s="418"/>
      <c r="H102" s="265">
        <v>2328</v>
      </c>
      <c r="I102" s="2299">
        <v>2328</v>
      </c>
      <c r="J102" s="264">
        <f t="shared" ref="J102:J109" si="14">+I102/H102*100</f>
        <v>100</v>
      </c>
    </row>
    <row r="103" spans="2:13" ht="29.25" customHeight="1" x14ac:dyDescent="0.3">
      <c r="B103" s="227"/>
      <c r="C103" s="262"/>
      <c r="D103" s="1117" t="s">
        <v>545</v>
      </c>
      <c r="E103" s="1159"/>
      <c r="F103" s="268"/>
      <c r="G103" s="418"/>
      <c r="H103" s="265">
        <v>2050</v>
      </c>
      <c r="I103" s="2299">
        <v>2050</v>
      </c>
      <c r="J103" s="264">
        <f t="shared" si="14"/>
        <v>100</v>
      </c>
    </row>
    <row r="104" spans="2:13" ht="29.25" customHeight="1" x14ac:dyDescent="0.3">
      <c r="B104" s="227"/>
      <c r="C104" s="262"/>
      <c r="D104" s="262" t="s">
        <v>617</v>
      </c>
      <c r="E104" s="1159"/>
      <c r="F104" s="268"/>
      <c r="G104" s="418"/>
      <c r="H104" s="265">
        <v>5000</v>
      </c>
      <c r="I104" s="2299">
        <v>5000</v>
      </c>
      <c r="J104" s="264">
        <f t="shared" si="14"/>
        <v>100</v>
      </c>
    </row>
    <row r="105" spans="2:13" ht="29.25" customHeight="1" x14ac:dyDescent="0.3">
      <c r="B105" s="227"/>
      <c r="C105" s="262"/>
      <c r="D105" s="262" t="s">
        <v>627</v>
      </c>
      <c r="E105" s="1159"/>
      <c r="F105" s="268"/>
      <c r="G105" s="418"/>
      <c r="H105" s="265">
        <v>150</v>
      </c>
      <c r="I105" s="2299">
        <v>150</v>
      </c>
      <c r="J105" s="264">
        <f t="shared" si="14"/>
        <v>100</v>
      </c>
    </row>
    <row r="106" spans="2:13" ht="29.25" customHeight="1" x14ac:dyDescent="0.3">
      <c r="B106" s="227"/>
      <c r="C106" s="262"/>
      <c r="D106" s="198" t="s">
        <v>666</v>
      </c>
      <c r="E106" s="1117"/>
      <c r="F106" s="268"/>
      <c r="G106" s="418"/>
      <c r="H106" s="265">
        <v>1300</v>
      </c>
      <c r="I106" s="2299">
        <v>1300</v>
      </c>
      <c r="J106" s="264">
        <f t="shared" si="14"/>
        <v>100</v>
      </c>
    </row>
    <row r="107" spans="2:13" ht="29.25" customHeight="1" x14ac:dyDescent="0.3">
      <c r="B107" s="227"/>
      <c r="C107" s="262"/>
      <c r="D107" s="267" t="s">
        <v>678</v>
      </c>
      <c r="E107" s="1117"/>
      <c r="F107" s="268"/>
      <c r="G107" s="418"/>
      <c r="H107" s="265">
        <v>3842</v>
      </c>
      <c r="I107" s="2299">
        <v>3842</v>
      </c>
      <c r="J107" s="264">
        <f t="shared" si="14"/>
        <v>100</v>
      </c>
    </row>
    <row r="108" spans="2:13" ht="29.25" customHeight="1" x14ac:dyDescent="0.3">
      <c r="B108" s="227"/>
      <c r="C108" s="262"/>
      <c r="D108" s="1117" t="s">
        <v>628</v>
      </c>
      <c r="E108" s="1159"/>
      <c r="F108" s="268"/>
      <c r="G108" s="418"/>
      <c r="H108" s="265">
        <v>500</v>
      </c>
      <c r="I108" s="2299">
        <v>500</v>
      </c>
      <c r="J108" s="264">
        <f t="shared" si="14"/>
        <v>100</v>
      </c>
    </row>
    <row r="109" spans="2:13" ht="29.25" customHeight="1" thickBot="1" x14ac:dyDescent="0.35">
      <c r="B109" s="221" t="s">
        <v>314</v>
      </c>
      <c r="C109" s="252"/>
      <c r="D109" s="269"/>
      <c r="E109" s="269"/>
      <c r="F109" s="253"/>
      <c r="G109" s="270">
        <f>SUM(G98:G105)</f>
        <v>0</v>
      </c>
      <c r="H109" s="270">
        <f>SUM(H98:H108)</f>
        <v>100170</v>
      </c>
      <c r="I109" s="2300">
        <f>SUM(I98:I108)</f>
        <v>80867</v>
      </c>
      <c r="J109" s="271">
        <f t="shared" si="14"/>
        <v>80.729759409004686</v>
      </c>
    </row>
    <row r="110" spans="2:13" ht="29.25" customHeight="1" x14ac:dyDescent="0.3">
      <c r="B110" s="183" t="s">
        <v>123</v>
      </c>
      <c r="C110" s="173"/>
      <c r="D110" s="173"/>
      <c r="E110" s="173"/>
      <c r="F110" s="272"/>
      <c r="G110" s="273"/>
      <c r="H110" s="273"/>
      <c r="I110" s="2301"/>
      <c r="J110" s="274"/>
    </row>
    <row r="111" spans="2:13" s="18" customFormat="1" ht="29.25" customHeight="1" x14ac:dyDescent="0.3">
      <c r="B111" s="275"/>
      <c r="C111" s="276" t="s">
        <v>87</v>
      </c>
      <c r="D111" s="241"/>
      <c r="E111" s="241"/>
      <c r="F111" s="277"/>
      <c r="G111" s="278">
        <v>6160</v>
      </c>
      <c r="H111" s="278">
        <v>11830</v>
      </c>
      <c r="I111" s="2302">
        <v>11808</v>
      </c>
      <c r="J111" s="192">
        <f>+I111/H111*100</f>
        <v>99.814032121724424</v>
      </c>
      <c r="K111" s="162"/>
      <c r="L111" s="162"/>
      <c r="M111" s="169"/>
    </row>
    <row r="112" spans="2:13" s="18" customFormat="1" ht="29.25" customHeight="1" x14ac:dyDescent="0.3">
      <c r="B112" s="275"/>
      <c r="C112" s="279" t="s">
        <v>421</v>
      </c>
      <c r="D112" s="280"/>
      <c r="E112" s="281"/>
      <c r="F112" s="282"/>
      <c r="G112" s="278">
        <v>324805</v>
      </c>
      <c r="H112" s="278">
        <v>315598</v>
      </c>
      <c r="I112" s="2302">
        <v>315451</v>
      </c>
      <c r="J112" s="192">
        <f t="shared" ref="J112:J122" si="15">+I112/H112*100</f>
        <v>99.953421758059307</v>
      </c>
      <c r="K112" s="162"/>
      <c r="L112" s="162"/>
      <c r="M112" s="169"/>
    </row>
    <row r="113" spans="2:13" s="18" customFormat="1" ht="29.25" customHeight="1" x14ac:dyDescent="0.3">
      <c r="B113" s="275"/>
      <c r="C113" s="280" t="s">
        <v>274</v>
      </c>
      <c r="D113" s="283"/>
      <c r="E113" s="281"/>
      <c r="F113" s="282"/>
      <c r="G113" s="278">
        <v>224317</v>
      </c>
      <c r="H113" s="278">
        <v>146005</v>
      </c>
      <c r="I113" s="2302">
        <v>146002</v>
      </c>
      <c r="J113" s="192">
        <f t="shared" si="15"/>
        <v>99.997945275846718</v>
      </c>
      <c r="K113" s="162"/>
      <c r="L113" s="162"/>
      <c r="M113" s="169"/>
    </row>
    <row r="114" spans="2:13" s="18" customFormat="1" ht="29.25" customHeight="1" x14ac:dyDescent="0.3">
      <c r="B114" s="275"/>
      <c r="C114" s="280" t="s">
        <v>245</v>
      </c>
      <c r="D114" s="283"/>
      <c r="E114" s="281"/>
      <c r="F114" s="282"/>
      <c r="G114" s="278">
        <v>25400</v>
      </c>
      <c r="H114" s="278">
        <v>42080</v>
      </c>
      <c r="I114" s="2302">
        <f>42081-1</f>
        <v>42080</v>
      </c>
      <c r="J114" s="192">
        <f t="shared" si="15"/>
        <v>100</v>
      </c>
      <c r="K114" s="162"/>
      <c r="L114" s="162"/>
      <c r="M114" s="169"/>
    </row>
    <row r="115" spans="2:13" s="18" customFormat="1" ht="29.25" customHeight="1" x14ac:dyDescent="0.3">
      <c r="B115" s="275"/>
      <c r="C115" s="280" t="s">
        <v>246</v>
      </c>
      <c r="D115" s="283"/>
      <c r="E115" s="281"/>
      <c r="F115" s="282"/>
      <c r="G115" s="278">
        <v>68788</v>
      </c>
      <c r="H115" s="278">
        <v>186284</v>
      </c>
      <c r="I115" s="2302">
        <v>186283</v>
      </c>
      <c r="J115" s="192">
        <f t="shared" si="15"/>
        <v>99.999463185244025</v>
      </c>
      <c r="K115" s="162"/>
      <c r="L115" s="162"/>
      <c r="M115" s="169"/>
    </row>
    <row r="116" spans="2:13" s="18" customFormat="1" ht="29.25" customHeight="1" x14ac:dyDescent="0.3">
      <c r="B116" s="275"/>
      <c r="C116" s="280" t="s">
        <v>276</v>
      </c>
      <c r="D116" s="283"/>
      <c r="E116" s="281"/>
      <c r="F116" s="282"/>
      <c r="G116" s="278">
        <v>24000</v>
      </c>
      <c r="H116" s="278">
        <v>49680</v>
      </c>
      <c r="I116" s="2302">
        <v>49680</v>
      </c>
      <c r="J116" s="192">
        <f t="shared" ref="J116" si="16">+I116/H116*100</f>
        <v>100</v>
      </c>
      <c r="K116" s="162"/>
      <c r="L116" s="162"/>
      <c r="M116" s="169"/>
    </row>
    <row r="117" spans="2:13" s="18" customFormat="1" ht="29.25" customHeight="1" x14ac:dyDescent="0.3">
      <c r="B117" s="275"/>
      <c r="C117" s="280" t="s">
        <v>275</v>
      </c>
      <c r="D117" s="283"/>
      <c r="E117" s="281"/>
      <c r="F117" s="282"/>
      <c r="G117" s="278">
        <v>189833</v>
      </c>
      <c r="H117" s="278">
        <v>184234</v>
      </c>
      <c r="I117" s="2302">
        <v>184233</v>
      </c>
      <c r="J117" s="192">
        <f t="shared" si="15"/>
        <v>99.999457212023827</v>
      </c>
      <c r="K117" s="162"/>
      <c r="L117" s="162"/>
      <c r="M117" s="169"/>
    </row>
    <row r="118" spans="2:13" s="18" customFormat="1" ht="29.25" customHeight="1" x14ac:dyDescent="0.3">
      <c r="B118" s="275"/>
      <c r="C118" s="2363" t="s">
        <v>48</v>
      </c>
      <c r="D118" s="2368"/>
      <c r="E118" s="2368"/>
      <c r="F118" s="2369"/>
      <c r="G118" s="278">
        <v>109773</v>
      </c>
      <c r="H118" s="278">
        <v>148851</v>
      </c>
      <c r="I118" s="2302">
        <v>148852</v>
      </c>
      <c r="J118" s="192">
        <f t="shared" si="15"/>
        <v>100.00067181275234</v>
      </c>
      <c r="K118" s="162"/>
      <c r="L118" s="162"/>
      <c r="M118" s="169"/>
    </row>
    <row r="119" spans="2:13" s="18" customFormat="1" ht="29.25" customHeight="1" x14ac:dyDescent="0.3">
      <c r="B119" s="275"/>
      <c r="C119" s="279" t="s">
        <v>306</v>
      </c>
      <c r="D119" s="281"/>
      <c r="E119" s="281"/>
      <c r="F119" s="282"/>
      <c r="G119" s="278">
        <v>526523</v>
      </c>
      <c r="H119" s="278">
        <v>688840</v>
      </c>
      <c r="I119" s="2302">
        <v>688840</v>
      </c>
      <c r="J119" s="192">
        <f t="shared" si="15"/>
        <v>100</v>
      </c>
      <c r="K119" s="162"/>
      <c r="L119" s="162"/>
      <c r="M119" s="169"/>
    </row>
    <row r="120" spans="2:13" s="18" customFormat="1" ht="29.25" customHeight="1" x14ac:dyDescent="0.3">
      <c r="B120" s="275"/>
      <c r="C120" s="279" t="s">
        <v>68</v>
      </c>
      <c r="D120" s="281"/>
      <c r="E120" s="281"/>
      <c r="F120" s="282"/>
      <c r="G120" s="278">
        <v>59692</v>
      </c>
      <c r="H120" s="278">
        <v>80811</v>
      </c>
      <c r="I120" s="2302">
        <v>80812</v>
      </c>
      <c r="J120" s="192">
        <f t="shared" si="15"/>
        <v>100.00123745529692</v>
      </c>
      <c r="K120" s="162"/>
      <c r="L120" s="162"/>
      <c r="M120" s="169"/>
    </row>
    <row r="121" spans="2:13" s="18" customFormat="1" ht="29.25" customHeight="1" x14ac:dyDescent="0.3">
      <c r="B121" s="275"/>
      <c r="C121" s="279" t="s">
        <v>69</v>
      </c>
      <c r="D121" s="281"/>
      <c r="E121" s="281"/>
      <c r="F121" s="282"/>
      <c r="G121" s="278">
        <v>104347</v>
      </c>
      <c r="H121" s="278">
        <v>64896</v>
      </c>
      <c r="I121" s="2302">
        <v>64896</v>
      </c>
      <c r="J121" s="192">
        <f t="shared" si="15"/>
        <v>100</v>
      </c>
      <c r="K121" s="162"/>
      <c r="L121" s="162"/>
      <c r="M121" s="169"/>
    </row>
    <row r="122" spans="2:13" s="18" customFormat="1" ht="29.25" customHeight="1" x14ac:dyDescent="0.3">
      <c r="B122" s="275"/>
      <c r="C122" s="276" t="s">
        <v>47</v>
      </c>
      <c r="D122" s="241"/>
      <c r="E122" s="241"/>
      <c r="F122" s="277"/>
      <c r="G122" s="285">
        <v>16400</v>
      </c>
      <c r="H122" s="285">
        <v>83211</v>
      </c>
      <c r="I122" s="2303">
        <v>82040</v>
      </c>
      <c r="J122" s="284">
        <f t="shared" si="15"/>
        <v>98.592734133708277</v>
      </c>
      <c r="K122" s="169"/>
      <c r="L122" s="169"/>
      <c r="M122" s="169"/>
    </row>
    <row r="123" spans="2:13" s="18" customFormat="1" ht="29.25" customHeight="1" x14ac:dyDescent="0.3">
      <c r="B123" s="275"/>
      <c r="C123" s="279"/>
      <c r="D123" s="281"/>
      <c r="E123" s="281"/>
      <c r="F123" s="282"/>
      <c r="G123" s="233"/>
      <c r="H123" s="233"/>
      <c r="I123" s="2289"/>
      <c r="J123" s="284"/>
      <c r="K123" s="169"/>
      <c r="L123" s="169"/>
      <c r="M123" s="169"/>
    </row>
    <row r="124" spans="2:13" ht="29.25" customHeight="1" thickBot="1" x14ac:dyDescent="0.35">
      <c r="B124" s="251" t="s">
        <v>315</v>
      </c>
      <c r="C124" s="286"/>
      <c r="D124" s="253"/>
      <c r="E124" s="253"/>
      <c r="F124" s="253"/>
      <c r="G124" s="270">
        <f t="shared" ref="G124:I124" si="17">SUM(G111:G123)</f>
        <v>1680038</v>
      </c>
      <c r="H124" s="270">
        <f t="shared" si="17"/>
        <v>2002320</v>
      </c>
      <c r="I124" s="2300">
        <f t="shared" si="17"/>
        <v>2000977</v>
      </c>
      <c r="J124" s="255">
        <f>+I124/H124*100</f>
        <v>99.932927803747646</v>
      </c>
      <c r="K124" s="169"/>
      <c r="L124" s="169"/>
    </row>
    <row r="125" spans="2:13" ht="29.25" customHeight="1" thickBot="1" x14ac:dyDescent="0.35">
      <c r="B125" s="251" t="s">
        <v>679</v>
      </c>
      <c r="C125" s="286"/>
      <c r="D125" s="252"/>
      <c r="E125" s="252"/>
      <c r="F125" s="252"/>
      <c r="G125" s="1139">
        <f>+G52+G109+G95+G66+G124</f>
        <v>20626734</v>
      </c>
      <c r="H125" s="1139">
        <f>+H52+H109+H95+H66+H124</f>
        <v>20517518</v>
      </c>
      <c r="I125" s="2304">
        <f>+I52+I109+I95+I66+I124</f>
        <v>20465112</v>
      </c>
      <c r="J125" s="255">
        <f>+I125/H125*100</f>
        <v>99.744579241992142</v>
      </c>
      <c r="K125" s="169"/>
      <c r="L125" s="169"/>
    </row>
    <row r="126" spans="2:13" ht="21" customHeight="1" x14ac:dyDescent="0.3">
      <c r="K126" s="169"/>
      <c r="L126" s="169"/>
    </row>
    <row r="127" spans="2:13" ht="21" customHeight="1" x14ac:dyDescent="0.3">
      <c r="I127" s="2305"/>
      <c r="K127" s="169"/>
      <c r="L127" s="169"/>
    </row>
    <row r="128" spans="2:13" ht="21" customHeight="1" x14ac:dyDescent="0.3">
      <c r="I128" s="2305"/>
      <c r="K128" s="169"/>
      <c r="L128" s="169"/>
    </row>
    <row r="129" spans="9:12" ht="21" customHeight="1" x14ac:dyDescent="0.3">
      <c r="I129" s="2305"/>
      <c r="K129" s="169"/>
      <c r="L129" s="169"/>
    </row>
    <row r="130" spans="9:12" ht="21" customHeight="1" x14ac:dyDescent="0.3">
      <c r="I130" s="2305"/>
      <c r="K130" s="169"/>
      <c r="L130" s="169"/>
    </row>
    <row r="131" spans="9:12" ht="21" customHeight="1" x14ac:dyDescent="0.3">
      <c r="I131" s="2305"/>
      <c r="K131" s="169"/>
      <c r="L131" s="169"/>
    </row>
    <row r="132" spans="9:12" ht="21" customHeight="1" x14ac:dyDescent="0.3">
      <c r="I132" s="2305"/>
      <c r="K132" s="167"/>
      <c r="L132" s="167"/>
    </row>
    <row r="133" spans="9:12" ht="21" customHeight="1" x14ac:dyDescent="0.3">
      <c r="I133" s="2305"/>
      <c r="K133" s="169"/>
      <c r="L133" s="169"/>
    </row>
    <row r="134" spans="9:12" ht="21" customHeight="1" x14ac:dyDescent="0.3">
      <c r="I134" s="2305"/>
      <c r="K134" s="169"/>
      <c r="L134" s="169"/>
    </row>
    <row r="137" spans="9:12" ht="21" customHeight="1" x14ac:dyDescent="0.3">
      <c r="I137" s="2305"/>
    </row>
    <row r="138" spans="9:12" ht="21" customHeight="1" x14ac:dyDescent="0.3">
      <c r="I138" s="2305"/>
    </row>
    <row r="139" spans="9:12" ht="21" customHeight="1" x14ac:dyDescent="0.3">
      <c r="I139" s="2305"/>
    </row>
    <row r="140" spans="9:12" ht="21" customHeight="1" x14ac:dyDescent="0.3">
      <c r="I140" s="2305"/>
    </row>
    <row r="141" spans="9:12" ht="21" customHeight="1" x14ac:dyDescent="0.3">
      <c r="I141" s="2305"/>
    </row>
  </sheetData>
  <mergeCells count="12">
    <mergeCell ref="C118:F118"/>
    <mergeCell ref="D93:F93"/>
    <mergeCell ref="D99:F99"/>
    <mergeCell ref="C97:F97"/>
    <mergeCell ref="D98:F98"/>
    <mergeCell ref="C51:F51"/>
    <mergeCell ref="B1:F1"/>
    <mergeCell ref="G5:H5"/>
    <mergeCell ref="D19:F19"/>
    <mergeCell ref="D20:F20"/>
    <mergeCell ref="B2:J2"/>
    <mergeCell ref="D47:F47"/>
  </mergeCells>
  <phoneticPr fontId="0" type="noConversion"/>
  <printOptions horizontalCentered="1" verticalCentered="1"/>
  <pageMargins left="0.19685039370078741" right="0.19685039370078741" top="0" bottom="0" header="0.19685039370078741" footer="0.19685039370078741"/>
  <pageSetup paperSize="9" scale="40" orientation="portrait" r:id="rId1"/>
  <headerFooter alignWithMargins="0">
    <oddHeader xml:space="preserve">&amp;R&amp;"Arial,Félkövér"&amp;20 3. melléklet a .../2022. (........) önkormányzati rendelethez 
</oddHeader>
  </headerFooter>
  <rowBreaks count="1" manualBreakCount="1">
    <brk id="66" min="1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F26"/>
  <sheetViews>
    <sheetView zoomScaleNormal="100" workbookViewId="0">
      <selection activeCell="R13" sqref="R13"/>
    </sheetView>
  </sheetViews>
  <sheetFormatPr defaultRowHeight="15" x14ac:dyDescent="0.2"/>
  <cols>
    <col min="1" max="1" width="9.33203125" style="1785"/>
    <col min="2" max="2" width="25.1640625" style="1785" customWidth="1"/>
    <col min="3" max="5" width="26.83203125" style="1785" customWidth="1"/>
    <col min="6" max="6" width="25.33203125" style="1785" customWidth="1"/>
    <col min="7" max="7" width="9.33203125" style="1785"/>
    <col min="8" max="8" width="11.5" style="1785" bestFit="1" customWidth="1"/>
    <col min="9" max="253" width="9.33203125" style="1785"/>
    <col min="254" max="254" width="14.83203125" style="1785" customWidth="1"/>
    <col min="255" max="255" width="20.33203125" style="1785" customWidth="1"/>
    <col min="256" max="256" width="18.6640625" style="1785" bestFit="1" customWidth="1"/>
    <col min="257" max="257" width="16.33203125" style="1785" customWidth="1"/>
    <col min="258" max="258" width="22.6640625" style="1785" bestFit="1" customWidth="1"/>
    <col min="259" max="260" width="18" style="1785" bestFit="1" customWidth="1"/>
    <col min="261" max="261" width="12.6640625" style="1785" customWidth="1"/>
    <col min="262" max="262" width="18.1640625" style="1785" bestFit="1" customWidth="1"/>
    <col min="263" max="263" width="9.33203125" style="1785"/>
    <col min="264" max="264" width="11.5" style="1785" bestFit="1" customWidth="1"/>
    <col min="265" max="509" width="9.33203125" style="1785"/>
    <col min="510" max="510" width="14.83203125" style="1785" customWidth="1"/>
    <col min="511" max="511" width="20.33203125" style="1785" customWidth="1"/>
    <col min="512" max="512" width="18.6640625" style="1785" bestFit="1" customWidth="1"/>
    <col min="513" max="513" width="16.33203125" style="1785" customWidth="1"/>
    <col min="514" max="514" width="22.6640625" style="1785" bestFit="1" customWidth="1"/>
    <col min="515" max="516" width="18" style="1785" bestFit="1" customWidth="1"/>
    <col min="517" max="517" width="12.6640625" style="1785" customWidth="1"/>
    <col min="518" max="518" width="18.1640625" style="1785" bestFit="1" customWidth="1"/>
    <col min="519" max="519" width="9.33203125" style="1785"/>
    <col min="520" max="520" width="11.5" style="1785" bestFit="1" customWidth="1"/>
    <col min="521" max="765" width="9.33203125" style="1785"/>
    <col min="766" max="766" width="14.83203125" style="1785" customWidth="1"/>
    <col min="767" max="767" width="20.33203125" style="1785" customWidth="1"/>
    <col min="768" max="768" width="18.6640625" style="1785" bestFit="1" customWidth="1"/>
    <col min="769" max="769" width="16.33203125" style="1785" customWidth="1"/>
    <col min="770" max="770" width="22.6640625" style="1785" bestFit="1" customWidth="1"/>
    <col min="771" max="772" width="18" style="1785" bestFit="1" customWidth="1"/>
    <col min="773" max="773" width="12.6640625" style="1785" customWidth="1"/>
    <col min="774" max="774" width="18.1640625" style="1785" bestFit="1" customWidth="1"/>
    <col min="775" max="775" width="9.33203125" style="1785"/>
    <col min="776" max="776" width="11.5" style="1785" bestFit="1" customWidth="1"/>
    <col min="777" max="1021" width="9.33203125" style="1785"/>
    <col min="1022" max="1022" width="14.83203125" style="1785" customWidth="1"/>
    <col min="1023" max="1023" width="20.33203125" style="1785" customWidth="1"/>
    <col min="1024" max="1024" width="18.6640625" style="1785" bestFit="1" customWidth="1"/>
    <col min="1025" max="1025" width="16.33203125" style="1785" customWidth="1"/>
    <col min="1026" max="1026" width="22.6640625" style="1785" bestFit="1" customWidth="1"/>
    <col min="1027" max="1028" width="18" style="1785" bestFit="1" customWidth="1"/>
    <col min="1029" max="1029" width="12.6640625" style="1785" customWidth="1"/>
    <col min="1030" max="1030" width="18.1640625" style="1785" bestFit="1" customWidth="1"/>
    <col min="1031" max="1031" width="9.33203125" style="1785"/>
    <col min="1032" max="1032" width="11.5" style="1785" bestFit="1" customWidth="1"/>
    <col min="1033" max="1277" width="9.33203125" style="1785"/>
    <col min="1278" max="1278" width="14.83203125" style="1785" customWidth="1"/>
    <col min="1279" max="1279" width="20.33203125" style="1785" customWidth="1"/>
    <col min="1280" max="1280" width="18.6640625" style="1785" bestFit="1" customWidth="1"/>
    <col min="1281" max="1281" width="16.33203125" style="1785" customWidth="1"/>
    <col min="1282" max="1282" width="22.6640625" style="1785" bestFit="1" customWidth="1"/>
    <col min="1283" max="1284" width="18" style="1785" bestFit="1" customWidth="1"/>
    <col min="1285" max="1285" width="12.6640625" style="1785" customWidth="1"/>
    <col min="1286" max="1286" width="18.1640625" style="1785" bestFit="1" customWidth="1"/>
    <col min="1287" max="1287" width="9.33203125" style="1785"/>
    <col min="1288" max="1288" width="11.5" style="1785" bestFit="1" customWidth="1"/>
    <col min="1289" max="1533" width="9.33203125" style="1785"/>
    <col min="1534" max="1534" width="14.83203125" style="1785" customWidth="1"/>
    <col min="1535" max="1535" width="20.33203125" style="1785" customWidth="1"/>
    <col min="1536" max="1536" width="18.6640625" style="1785" bestFit="1" customWidth="1"/>
    <col min="1537" max="1537" width="16.33203125" style="1785" customWidth="1"/>
    <col min="1538" max="1538" width="22.6640625" style="1785" bestFit="1" customWidth="1"/>
    <col min="1539" max="1540" width="18" style="1785" bestFit="1" customWidth="1"/>
    <col min="1541" max="1541" width="12.6640625" style="1785" customWidth="1"/>
    <col min="1542" max="1542" width="18.1640625" style="1785" bestFit="1" customWidth="1"/>
    <col min="1543" max="1543" width="9.33203125" style="1785"/>
    <col min="1544" max="1544" width="11.5" style="1785" bestFit="1" customWidth="1"/>
    <col min="1545" max="1789" width="9.33203125" style="1785"/>
    <col min="1790" max="1790" width="14.83203125" style="1785" customWidth="1"/>
    <col min="1791" max="1791" width="20.33203125" style="1785" customWidth="1"/>
    <col min="1792" max="1792" width="18.6640625" style="1785" bestFit="1" customWidth="1"/>
    <col min="1793" max="1793" width="16.33203125" style="1785" customWidth="1"/>
    <col min="1794" max="1794" width="22.6640625" style="1785" bestFit="1" customWidth="1"/>
    <col min="1795" max="1796" width="18" style="1785" bestFit="1" customWidth="1"/>
    <col min="1797" max="1797" width="12.6640625" style="1785" customWidth="1"/>
    <col min="1798" max="1798" width="18.1640625" style="1785" bestFit="1" customWidth="1"/>
    <col min="1799" max="1799" width="9.33203125" style="1785"/>
    <col min="1800" max="1800" width="11.5" style="1785" bestFit="1" customWidth="1"/>
    <col min="1801" max="2045" width="9.33203125" style="1785"/>
    <col min="2046" max="2046" width="14.83203125" style="1785" customWidth="1"/>
    <col min="2047" max="2047" width="20.33203125" style="1785" customWidth="1"/>
    <col min="2048" max="2048" width="18.6640625" style="1785" bestFit="1" customWidth="1"/>
    <col min="2049" max="2049" width="16.33203125" style="1785" customWidth="1"/>
    <col min="2050" max="2050" width="22.6640625" style="1785" bestFit="1" customWidth="1"/>
    <col min="2051" max="2052" width="18" style="1785" bestFit="1" customWidth="1"/>
    <col min="2053" max="2053" width="12.6640625" style="1785" customWidth="1"/>
    <col min="2054" max="2054" width="18.1640625" style="1785" bestFit="1" customWidth="1"/>
    <col min="2055" max="2055" width="9.33203125" style="1785"/>
    <col min="2056" max="2056" width="11.5" style="1785" bestFit="1" customWidth="1"/>
    <col min="2057" max="2301" width="9.33203125" style="1785"/>
    <col min="2302" max="2302" width="14.83203125" style="1785" customWidth="1"/>
    <col min="2303" max="2303" width="20.33203125" style="1785" customWidth="1"/>
    <col min="2304" max="2304" width="18.6640625" style="1785" bestFit="1" customWidth="1"/>
    <col min="2305" max="2305" width="16.33203125" style="1785" customWidth="1"/>
    <col min="2306" max="2306" width="22.6640625" style="1785" bestFit="1" customWidth="1"/>
    <col min="2307" max="2308" width="18" style="1785" bestFit="1" customWidth="1"/>
    <col min="2309" max="2309" width="12.6640625" style="1785" customWidth="1"/>
    <col min="2310" max="2310" width="18.1640625" style="1785" bestFit="1" customWidth="1"/>
    <col min="2311" max="2311" width="9.33203125" style="1785"/>
    <col min="2312" max="2312" width="11.5" style="1785" bestFit="1" customWidth="1"/>
    <col min="2313" max="2557" width="9.33203125" style="1785"/>
    <col min="2558" max="2558" width="14.83203125" style="1785" customWidth="1"/>
    <col min="2559" max="2559" width="20.33203125" style="1785" customWidth="1"/>
    <col min="2560" max="2560" width="18.6640625" style="1785" bestFit="1" customWidth="1"/>
    <col min="2561" max="2561" width="16.33203125" style="1785" customWidth="1"/>
    <col min="2562" max="2562" width="22.6640625" style="1785" bestFit="1" customWidth="1"/>
    <col min="2563" max="2564" width="18" style="1785" bestFit="1" customWidth="1"/>
    <col min="2565" max="2565" width="12.6640625" style="1785" customWidth="1"/>
    <col min="2566" max="2566" width="18.1640625" style="1785" bestFit="1" customWidth="1"/>
    <col min="2567" max="2567" width="9.33203125" style="1785"/>
    <col min="2568" max="2568" width="11.5" style="1785" bestFit="1" customWidth="1"/>
    <col min="2569" max="2813" width="9.33203125" style="1785"/>
    <col min="2814" max="2814" width="14.83203125" style="1785" customWidth="1"/>
    <col min="2815" max="2815" width="20.33203125" style="1785" customWidth="1"/>
    <col min="2816" max="2816" width="18.6640625" style="1785" bestFit="1" customWidth="1"/>
    <col min="2817" max="2817" width="16.33203125" style="1785" customWidth="1"/>
    <col min="2818" max="2818" width="22.6640625" style="1785" bestFit="1" customWidth="1"/>
    <col min="2819" max="2820" width="18" style="1785" bestFit="1" customWidth="1"/>
    <col min="2821" max="2821" width="12.6640625" style="1785" customWidth="1"/>
    <col min="2822" max="2822" width="18.1640625" style="1785" bestFit="1" customWidth="1"/>
    <col min="2823" max="2823" width="9.33203125" style="1785"/>
    <col min="2824" max="2824" width="11.5" style="1785" bestFit="1" customWidth="1"/>
    <col min="2825" max="3069" width="9.33203125" style="1785"/>
    <col min="3070" max="3070" width="14.83203125" style="1785" customWidth="1"/>
    <col min="3071" max="3071" width="20.33203125" style="1785" customWidth="1"/>
    <col min="3072" max="3072" width="18.6640625" style="1785" bestFit="1" customWidth="1"/>
    <col min="3073" max="3073" width="16.33203125" style="1785" customWidth="1"/>
    <col min="3074" max="3074" width="22.6640625" style="1785" bestFit="1" customWidth="1"/>
    <col min="3075" max="3076" width="18" style="1785" bestFit="1" customWidth="1"/>
    <col min="3077" max="3077" width="12.6640625" style="1785" customWidth="1"/>
    <col min="3078" max="3078" width="18.1640625" style="1785" bestFit="1" customWidth="1"/>
    <col min="3079" max="3079" width="9.33203125" style="1785"/>
    <col min="3080" max="3080" width="11.5" style="1785" bestFit="1" customWidth="1"/>
    <col min="3081" max="3325" width="9.33203125" style="1785"/>
    <col min="3326" max="3326" width="14.83203125" style="1785" customWidth="1"/>
    <col min="3327" max="3327" width="20.33203125" style="1785" customWidth="1"/>
    <col min="3328" max="3328" width="18.6640625" style="1785" bestFit="1" customWidth="1"/>
    <col min="3329" max="3329" width="16.33203125" style="1785" customWidth="1"/>
    <col min="3330" max="3330" width="22.6640625" style="1785" bestFit="1" customWidth="1"/>
    <col min="3331" max="3332" width="18" style="1785" bestFit="1" customWidth="1"/>
    <col min="3333" max="3333" width="12.6640625" style="1785" customWidth="1"/>
    <col min="3334" max="3334" width="18.1640625" style="1785" bestFit="1" customWidth="1"/>
    <col min="3335" max="3335" width="9.33203125" style="1785"/>
    <col min="3336" max="3336" width="11.5" style="1785" bestFit="1" customWidth="1"/>
    <col min="3337" max="3581" width="9.33203125" style="1785"/>
    <col min="3582" max="3582" width="14.83203125" style="1785" customWidth="1"/>
    <col min="3583" max="3583" width="20.33203125" style="1785" customWidth="1"/>
    <col min="3584" max="3584" width="18.6640625" style="1785" bestFit="1" customWidth="1"/>
    <col min="3585" max="3585" width="16.33203125" style="1785" customWidth="1"/>
    <col min="3586" max="3586" width="22.6640625" style="1785" bestFit="1" customWidth="1"/>
    <col min="3587" max="3588" width="18" style="1785" bestFit="1" customWidth="1"/>
    <col min="3589" max="3589" width="12.6640625" style="1785" customWidth="1"/>
    <col min="3590" max="3590" width="18.1640625" style="1785" bestFit="1" customWidth="1"/>
    <col min="3591" max="3591" width="9.33203125" style="1785"/>
    <col min="3592" max="3592" width="11.5" style="1785" bestFit="1" customWidth="1"/>
    <col min="3593" max="3837" width="9.33203125" style="1785"/>
    <col min="3838" max="3838" width="14.83203125" style="1785" customWidth="1"/>
    <col min="3839" max="3839" width="20.33203125" style="1785" customWidth="1"/>
    <col min="3840" max="3840" width="18.6640625" style="1785" bestFit="1" customWidth="1"/>
    <col min="3841" max="3841" width="16.33203125" style="1785" customWidth="1"/>
    <col min="3842" max="3842" width="22.6640625" style="1785" bestFit="1" customWidth="1"/>
    <col min="3843" max="3844" width="18" style="1785" bestFit="1" customWidth="1"/>
    <col min="3845" max="3845" width="12.6640625" style="1785" customWidth="1"/>
    <col min="3846" max="3846" width="18.1640625" style="1785" bestFit="1" customWidth="1"/>
    <col min="3847" max="3847" width="9.33203125" style="1785"/>
    <col min="3848" max="3848" width="11.5" style="1785" bestFit="1" customWidth="1"/>
    <col min="3849" max="4093" width="9.33203125" style="1785"/>
    <col min="4094" max="4094" width="14.83203125" style="1785" customWidth="1"/>
    <col min="4095" max="4095" width="20.33203125" style="1785" customWidth="1"/>
    <col min="4096" max="4096" width="18.6640625" style="1785" bestFit="1" customWidth="1"/>
    <col min="4097" max="4097" width="16.33203125" style="1785" customWidth="1"/>
    <col min="4098" max="4098" width="22.6640625" style="1785" bestFit="1" customWidth="1"/>
    <col min="4099" max="4100" width="18" style="1785" bestFit="1" customWidth="1"/>
    <col min="4101" max="4101" width="12.6640625" style="1785" customWidth="1"/>
    <col min="4102" max="4102" width="18.1640625" style="1785" bestFit="1" customWidth="1"/>
    <col min="4103" max="4103" width="9.33203125" style="1785"/>
    <col min="4104" max="4104" width="11.5" style="1785" bestFit="1" customWidth="1"/>
    <col min="4105" max="4349" width="9.33203125" style="1785"/>
    <col min="4350" max="4350" width="14.83203125" style="1785" customWidth="1"/>
    <col min="4351" max="4351" width="20.33203125" style="1785" customWidth="1"/>
    <col min="4352" max="4352" width="18.6640625" style="1785" bestFit="1" customWidth="1"/>
    <col min="4353" max="4353" width="16.33203125" style="1785" customWidth="1"/>
    <col min="4354" max="4354" width="22.6640625" style="1785" bestFit="1" customWidth="1"/>
    <col min="4355" max="4356" width="18" style="1785" bestFit="1" customWidth="1"/>
    <col min="4357" max="4357" width="12.6640625" style="1785" customWidth="1"/>
    <col min="4358" max="4358" width="18.1640625" style="1785" bestFit="1" customWidth="1"/>
    <col min="4359" max="4359" width="9.33203125" style="1785"/>
    <col min="4360" max="4360" width="11.5" style="1785" bestFit="1" customWidth="1"/>
    <col min="4361" max="4605" width="9.33203125" style="1785"/>
    <col min="4606" max="4606" width="14.83203125" style="1785" customWidth="1"/>
    <col min="4607" max="4607" width="20.33203125" style="1785" customWidth="1"/>
    <col min="4608" max="4608" width="18.6640625" style="1785" bestFit="1" customWidth="1"/>
    <col min="4609" max="4609" width="16.33203125" style="1785" customWidth="1"/>
    <col min="4610" max="4610" width="22.6640625" style="1785" bestFit="1" customWidth="1"/>
    <col min="4611" max="4612" width="18" style="1785" bestFit="1" customWidth="1"/>
    <col min="4613" max="4613" width="12.6640625" style="1785" customWidth="1"/>
    <col min="4614" max="4614" width="18.1640625" style="1785" bestFit="1" customWidth="1"/>
    <col min="4615" max="4615" width="9.33203125" style="1785"/>
    <col min="4616" max="4616" width="11.5" style="1785" bestFit="1" customWidth="1"/>
    <col min="4617" max="4861" width="9.33203125" style="1785"/>
    <col min="4862" max="4862" width="14.83203125" style="1785" customWidth="1"/>
    <col min="4863" max="4863" width="20.33203125" style="1785" customWidth="1"/>
    <col min="4864" max="4864" width="18.6640625" style="1785" bestFit="1" customWidth="1"/>
    <col min="4865" max="4865" width="16.33203125" style="1785" customWidth="1"/>
    <col min="4866" max="4866" width="22.6640625" style="1785" bestFit="1" customWidth="1"/>
    <col min="4867" max="4868" width="18" style="1785" bestFit="1" customWidth="1"/>
    <col min="4869" max="4869" width="12.6640625" style="1785" customWidth="1"/>
    <col min="4870" max="4870" width="18.1640625" style="1785" bestFit="1" customWidth="1"/>
    <col min="4871" max="4871" width="9.33203125" style="1785"/>
    <col min="4872" max="4872" width="11.5" style="1785" bestFit="1" customWidth="1"/>
    <col min="4873" max="5117" width="9.33203125" style="1785"/>
    <col min="5118" max="5118" width="14.83203125" style="1785" customWidth="1"/>
    <col min="5119" max="5119" width="20.33203125" style="1785" customWidth="1"/>
    <col min="5120" max="5120" width="18.6640625" style="1785" bestFit="1" customWidth="1"/>
    <col min="5121" max="5121" width="16.33203125" style="1785" customWidth="1"/>
    <col min="5122" max="5122" width="22.6640625" style="1785" bestFit="1" customWidth="1"/>
    <col min="5123" max="5124" width="18" style="1785" bestFit="1" customWidth="1"/>
    <col min="5125" max="5125" width="12.6640625" style="1785" customWidth="1"/>
    <col min="5126" max="5126" width="18.1640625" style="1785" bestFit="1" customWidth="1"/>
    <col min="5127" max="5127" width="9.33203125" style="1785"/>
    <col min="5128" max="5128" width="11.5" style="1785" bestFit="1" customWidth="1"/>
    <col min="5129" max="5373" width="9.33203125" style="1785"/>
    <col min="5374" max="5374" width="14.83203125" style="1785" customWidth="1"/>
    <col min="5375" max="5375" width="20.33203125" style="1785" customWidth="1"/>
    <col min="5376" max="5376" width="18.6640625" style="1785" bestFit="1" customWidth="1"/>
    <col min="5377" max="5377" width="16.33203125" style="1785" customWidth="1"/>
    <col min="5378" max="5378" width="22.6640625" style="1785" bestFit="1" customWidth="1"/>
    <col min="5379" max="5380" width="18" style="1785" bestFit="1" customWidth="1"/>
    <col min="5381" max="5381" width="12.6640625" style="1785" customWidth="1"/>
    <col min="5382" max="5382" width="18.1640625" style="1785" bestFit="1" customWidth="1"/>
    <col min="5383" max="5383" width="9.33203125" style="1785"/>
    <col min="5384" max="5384" width="11.5" style="1785" bestFit="1" customWidth="1"/>
    <col min="5385" max="5629" width="9.33203125" style="1785"/>
    <col min="5630" max="5630" width="14.83203125" style="1785" customWidth="1"/>
    <col min="5631" max="5631" width="20.33203125" style="1785" customWidth="1"/>
    <col min="5632" max="5632" width="18.6640625" style="1785" bestFit="1" customWidth="1"/>
    <col min="5633" max="5633" width="16.33203125" style="1785" customWidth="1"/>
    <col min="5634" max="5634" width="22.6640625" style="1785" bestFit="1" customWidth="1"/>
    <col min="5635" max="5636" width="18" style="1785" bestFit="1" customWidth="1"/>
    <col min="5637" max="5637" width="12.6640625" style="1785" customWidth="1"/>
    <col min="5638" max="5638" width="18.1640625" style="1785" bestFit="1" customWidth="1"/>
    <col min="5639" max="5639" width="9.33203125" style="1785"/>
    <col min="5640" max="5640" width="11.5" style="1785" bestFit="1" customWidth="1"/>
    <col min="5641" max="5885" width="9.33203125" style="1785"/>
    <col min="5886" max="5886" width="14.83203125" style="1785" customWidth="1"/>
    <col min="5887" max="5887" width="20.33203125" style="1785" customWidth="1"/>
    <col min="5888" max="5888" width="18.6640625" style="1785" bestFit="1" customWidth="1"/>
    <col min="5889" max="5889" width="16.33203125" style="1785" customWidth="1"/>
    <col min="5890" max="5890" width="22.6640625" style="1785" bestFit="1" customWidth="1"/>
    <col min="5891" max="5892" width="18" style="1785" bestFit="1" customWidth="1"/>
    <col min="5893" max="5893" width="12.6640625" style="1785" customWidth="1"/>
    <col min="5894" max="5894" width="18.1640625" style="1785" bestFit="1" customWidth="1"/>
    <col min="5895" max="5895" width="9.33203125" style="1785"/>
    <col min="5896" max="5896" width="11.5" style="1785" bestFit="1" customWidth="1"/>
    <col min="5897" max="6141" width="9.33203125" style="1785"/>
    <col min="6142" max="6142" width="14.83203125" style="1785" customWidth="1"/>
    <col min="6143" max="6143" width="20.33203125" style="1785" customWidth="1"/>
    <col min="6144" max="6144" width="18.6640625" style="1785" bestFit="1" customWidth="1"/>
    <col min="6145" max="6145" width="16.33203125" style="1785" customWidth="1"/>
    <col min="6146" max="6146" width="22.6640625" style="1785" bestFit="1" customWidth="1"/>
    <col min="6147" max="6148" width="18" style="1785" bestFit="1" customWidth="1"/>
    <col min="6149" max="6149" width="12.6640625" style="1785" customWidth="1"/>
    <col min="6150" max="6150" width="18.1640625" style="1785" bestFit="1" customWidth="1"/>
    <col min="6151" max="6151" width="9.33203125" style="1785"/>
    <col min="6152" max="6152" width="11.5" style="1785" bestFit="1" customWidth="1"/>
    <col min="6153" max="6397" width="9.33203125" style="1785"/>
    <col min="6398" max="6398" width="14.83203125" style="1785" customWidth="1"/>
    <col min="6399" max="6399" width="20.33203125" style="1785" customWidth="1"/>
    <col min="6400" max="6400" width="18.6640625" style="1785" bestFit="1" customWidth="1"/>
    <col min="6401" max="6401" width="16.33203125" style="1785" customWidth="1"/>
    <col min="6402" max="6402" width="22.6640625" style="1785" bestFit="1" customWidth="1"/>
    <col min="6403" max="6404" width="18" style="1785" bestFit="1" customWidth="1"/>
    <col min="6405" max="6405" width="12.6640625" style="1785" customWidth="1"/>
    <col min="6406" max="6406" width="18.1640625" style="1785" bestFit="1" customWidth="1"/>
    <col min="6407" max="6407" width="9.33203125" style="1785"/>
    <col min="6408" max="6408" width="11.5" style="1785" bestFit="1" customWidth="1"/>
    <col min="6409" max="6653" width="9.33203125" style="1785"/>
    <col min="6654" max="6654" width="14.83203125" style="1785" customWidth="1"/>
    <col min="6655" max="6655" width="20.33203125" style="1785" customWidth="1"/>
    <col min="6656" max="6656" width="18.6640625" style="1785" bestFit="1" customWidth="1"/>
    <col min="6657" max="6657" width="16.33203125" style="1785" customWidth="1"/>
    <col min="6658" max="6658" width="22.6640625" style="1785" bestFit="1" customWidth="1"/>
    <col min="6659" max="6660" width="18" style="1785" bestFit="1" customWidth="1"/>
    <col min="6661" max="6661" width="12.6640625" style="1785" customWidth="1"/>
    <col min="6662" max="6662" width="18.1640625" style="1785" bestFit="1" customWidth="1"/>
    <col min="6663" max="6663" width="9.33203125" style="1785"/>
    <col min="6664" max="6664" width="11.5" style="1785" bestFit="1" customWidth="1"/>
    <col min="6665" max="6909" width="9.33203125" style="1785"/>
    <col min="6910" max="6910" width="14.83203125" style="1785" customWidth="1"/>
    <col min="6911" max="6911" width="20.33203125" style="1785" customWidth="1"/>
    <col min="6912" max="6912" width="18.6640625" style="1785" bestFit="1" customWidth="1"/>
    <col min="6913" max="6913" width="16.33203125" style="1785" customWidth="1"/>
    <col min="6914" max="6914" width="22.6640625" style="1785" bestFit="1" customWidth="1"/>
    <col min="6915" max="6916" width="18" style="1785" bestFit="1" customWidth="1"/>
    <col min="6917" max="6917" width="12.6640625" style="1785" customWidth="1"/>
    <col min="6918" max="6918" width="18.1640625" style="1785" bestFit="1" customWidth="1"/>
    <col min="6919" max="6919" width="9.33203125" style="1785"/>
    <col min="6920" max="6920" width="11.5" style="1785" bestFit="1" customWidth="1"/>
    <col min="6921" max="7165" width="9.33203125" style="1785"/>
    <col min="7166" max="7166" width="14.83203125" style="1785" customWidth="1"/>
    <col min="7167" max="7167" width="20.33203125" style="1785" customWidth="1"/>
    <col min="7168" max="7168" width="18.6640625" style="1785" bestFit="1" customWidth="1"/>
    <col min="7169" max="7169" width="16.33203125" style="1785" customWidth="1"/>
    <col min="7170" max="7170" width="22.6640625" style="1785" bestFit="1" customWidth="1"/>
    <col min="7171" max="7172" width="18" style="1785" bestFit="1" customWidth="1"/>
    <col min="7173" max="7173" width="12.6640625" style="1785" customWidth="1"/>
    <col min="7174" max="7174" width="18.1640625" style="1785" bestFit="1" customWidth="1"/>
    <col min="7175" max="7175" width="9.33203125" style="1785"/>
    <col min="7176" max="7176" width="11.5" style="1785" bestFit="1" customWidth="1"/>
    <col min="7177" max="7421" width="9.33203125" style="1785"/>
    <col min="7422" max="7422" width="14.83203125" style="1785" customWidth="1"/>
    <col min="7423" max="7423" width="20.33203125" style="1785" customWidth="1"/>
    <col min="7424" max="7424" width="18.6640625" style="1785" bestFit="1" customWidth="1"/>
    <col min="7425" max="7425" width="16.33203125" style="1785" customWidth="1"/>
    <col min="7426" max="7426" width="22.6640625" style="1785" bestFit="1" customWidth="1"/>
    <col min="7427" max="7428" width="18" style="1785" bestFit="1" customWidth="1"/>
    <col min="7429" max="7429" width="12.6640625" style="1785" customWidth="1"/>
    <col min="7430" max="7430" width="18.1640625" style="1785" bestFit="1" customWidth="1"/>
    <col min="7431" max="7431" width="9.33203125" style="1785"/>
    <col min="7432" max="7432" width="11.5" style="1785" bestFit="1" customWidth="1"/>
    <col min="7433" max="7677" width="9.33203125" style="1785"/>
    <col min="7678" max="7678" width="14.83203125" style="1785" customWidth="1"/>
    <col min="7679" max="7679" width="20.33203125" style="1785" customWidth="1"/>
    <col min="7680" max="7680" width="18.6640625" style="1785" bestFit="1" customWidth="1"/>
    <col min="7681" max="7681" width="16.33203125" style="1785" customWidth="1"/>
    <col min="7682" max="7682" width="22.6640625" style="1785" bestFit="1" customWidth="1"/>
    <col min="7683" max="7684" width="18" style="1785" bestFit="1" customWidth="1"/>
    <col min="7685" max="7685" width="12.6640625" style="1785" customWidth="1"/>
    <col min="7686" max="7686" width="18.1640625" style="1785" bestFit="1" customWidth="1"/>
    <col min="7687" max="7687" width="9.33203125" style="1785"/>
    <col min="7688" max="7688" width="11.5" style="1785" bestFit="1" customWidth="1"/>
    <col min="7689" max="7933" width="9.33203125" style="1785"/>
    <col min="7934" max="7934" width="14.83203125" style="1785" customWidth="1"/>
    <col min="7935" max="7935" width="20.33203125" style="1785" customWidth="1"/>
    <col min="7936" max="7936" width="18.6640625" style="1785" bestFit="1" customWidth="1"/>
    <col min="7937" max="7937" width="16.33203125" style="1785" customWidth="1"/>
    <col min="7938" max="7938" width="22.6640625" style="1785" bestFit="1" customWidth="1"/>
    <col min="7939" max="7940" width="18" style="1785" bestFit="1" customWidth="1"/>
    <col min="7941" max="7941" width="12.6640625" style="1785" customWidth="1"/>
    <col min="7942" max="7942" width="18.1640625" style="1785" bestFit="1" customWidth="1"/>
    <col min="7943" max="7943" width="9.33203125" style="1785"/>
    <col min="7944" max="7944" width="11.5" style="1785" bestFit="1" customWidth="1"/>
    <col min="7945" max="8189" width="9.33203125" style="1785"/>
    <col min="8190" max="8190" width="14.83203125" style="1785" customWidth="1"/>
    <col min="8191" max="8191" width="20.33203125" style="1785" customWidth="1"/>
    <col min="8192" max="8192" width="18.6640625" style="1785" bestFit="1" customWidth="1"/>
    <col min="8193" max="8193" width="16.33203125" style="1785" customWidth="1"/>
    <col min="8194" max="8194" width="22.6640625" style="1785" bestFit="1" customWidth="1"/>
    <col min="8195" max="8196" width="18" style="1785" bestFit="1" customWidth="1"/>
    <col min="8197" max="8197" width="12.6640625" style="1785" customWidth="1"/>
    <col min="8198" max="8198" width="18.1640625" style="1785" bestFit="1" customWidth="1"/>
    <col min="8199" max="8199" width="9.33203125" style="1785"/>
    <col min="8200" max="8200" width="11.5" style="1785" bestFit="1" customWidth="1"/>
    <col min="8201" max="8445" width="9.33203125" style="1785"/>
    <col min="8446" max="8446" width="14.83203125" style="1785" customWidth="1"/>
    <col min="8447" max="8447" width="20.33203125" style="1785" customWidth="1"/>
    <col min="8448" max="8448" width="18.6640625" style="1785" bestFit="1" customWidth="1"/>
    <col min="8449" max="8449" width="16.33203125" style="1785" customWidth="1"/>
    <col min="8450" max="8450" width="22.6640625" style="1785" bestFit="1" customWidth="1"/>
    <col min="8451" max="8452" width="18" style="1785" bestFit="1" customWidth="1"/>
    <col min="8453" max="8453" width="12.6640625" style="1785" customWidth="1"/>
    <col min="8454" max="8454" width="18.1640625" style="1785" bestFit="1" customWidth="1"/>
    <col min="8455" max="8455" width="9.33203125" style="1785"/>
    <col min="8456" max="8456" width="11.5" style="1785" bestFit="1" customWidth="1"/>
    <col min="8457" max="8701" width="9.33203125" style="1785"/>
    <col min="8702" max="8702" width="14.83203125" style="1785" customWidth="1"/>
    <col min="8703" max="8703" width="20.33203125" style="1785" customWidth="1"/>
    <col min="8704" max="8704" width="18.6640625" style="1785" bestFit="1" customWidth="1"/>
    <col min="8705" max="8705" width="16.33203125" style="1785" customWidth="1"/>
    <col min="8706" max="8706" width="22.6640625" style="1785" bestFit="1" customWidth="1"/>
    <col min="8707" max="8708" width="18" style="1785" bestFit="1" customWidth="1"/>
    <col min="8709" max="8709" width="12.6640625" style="1785" customWidth="1"/>
    <col min="8710" max="8710" width="18.1640625" style="1785" bestFit="1" customWidth="1"/>
    <col min="8711" max="8711" width="9.33203125" style="1785"/>
    <col min="8712" max="8712" width="11.5" style="1785" bestFit="1" customWidth="1"/>
    <col min="8713" max="8957" width="9.33203125" style="1785"/>
    <col min="8958" max="8958" width="14.83203125" style="1785" customWidth="1"/>
    <col min="8959" max="8959" width="20.33203125" style="1785" customWidth="1"/>
    <col min="8960" max="8960" width="18.6640625" style="1785" bestFit="1" customWidth="1"/>
    <col min="8961" max="8961" width="16.33203125" style="1785" customWidth="1"/>
    <col min="8962" max="8962" width="22.6640625" style="1785" bestFit="1" customWidth="1"/>
    <col min="8963" max="8964" width="18" style="1785" bestFit="1" customWidth="1"/>
    <col min="8965" max="8965" width="12.6640625" style="1785" customWidth="1"/>
    <col min="8966" max="8966" width="18.1640625" style="1785" bestFit="1" customWidth="1"/>
    <col min="8967" max="8967" width="9.33203125" style="1785"/>
    <col min="8968" max="8968" width="11.5" style="1785" bestFit="1" customWidth="1"/>
    <col min="8969" max="9213" width="9.33203125" style="1785"/>
    <col min="9214" max="9214" width="14.83203125" style="1785" customWidth="1"/>
    <col min="9215" max="9215" width="20.33203125" style="1785" customWidth="1"/>
    <col min="9216" max="9216" width="18.6640625" style="1785" bestFit="1" customWidth="1"/>
    <col min="9217" max="9217" width="16.33203125" style="1785" customWidth="1"/>
    <col min="9218" max="9218" width="22.6640625" style="1785" bestFit="1" customWidth="1"/>
    <col min="9219" max="9220" width="18" style="1785" bestFit="1" customWidth="1"/>
    <col min="9221" max="9221" width="12.6640625" style="1785" customWidth="1"/>
    <col min="9222" max="9222" width="18.1640625" style="1785" bestFit="1" customWidth="1"/>
    <col min="9223" max="9223" width="9.33203125" style="1785"/>
    <col min="9224" max="9224" width="11.5" style="1785" bestFit="1" customWidth="1"/>
    <col min="9225" max="9469" width="9.33203125" style="1785"/>
    <col min="9470" max="9470" width="14.83203125" style="1785" customWidth="1"/>
    <col min="9471" max="9471" width="20.33203125" style="1785" customWidth="1"/>
    <col min="9472" max="9472" width="18.6640625" style="1785" bestFit="1" customWidth="1"/>
    <col min="9473" max="9473" width="16.33203125" style="1785" customWidth="1"/>
    <col min="9474" max="9474" width="22.6640625" style="1785" bestFit="1" customWidth="1"/>
    <col min="9475" max="9476" width="18" style="1785" bestFit="1" customWidth="1"/>
    <col min="9477" max="9477" width="12.6640625" style="1785" customWidth="1"/>
    <col min="9478" max="9478" width="18.1640625" style="1785" bestFit="1" customWidth="1"/>
    <col min="9479" max="9479" width="9.33203125" style="1785"/>
    <col min="9480" max="9480" width="11.5" style="1785" bestFit="1" customWidth="1"/>
    <col min="9481" max="9725" width="9.33203125" style="1785"/>
    <col min="9726" max="9726" width="14.83203125" style="1785" customWidth="1"/>
    <col min="9727" max="9727" width="20.33203125" style="1785" customWidth="1"/>
    <col min="9728" max="9728" width="18.6640625" style="1785" bestFit="1" customWidth="1"/>
    <col min="9729" max="9729" width="16.33203125" style="1785" customWidth="1"/>
    <col min="9730" max="9730" width="22.6640625" style="1785" bestFit="1" customWidth="1"/>
    <col min="9731" max="9732" width="18" style="1785" bestFit="1" customWidth="1"/>
    <col min="9733" max="9733" width="12.6640625" style="1785" customWidth="1"/>
    <col min="9734" max="9734" width="18.1640625" style="1785" bestFit="1" customWidth="1"/>
    <col min="9735" max="9735" width="9.33203125" style="1785"/>
    <col min="9736" max="9736" width="11.5" style="1785" bestFit="1" customWidth="1"/>
    <col min="9737" max="9981" width="9.33203125" style="1785"/>
    <col min="9982" max="9982" width="14.83203125" style="1785" customWidth="1"/>
    <col min="9983" max="9983" width="20.33203125" style="1785" customWidth="1"/>
    <col min="9984" max="9984" width="18.6640625" style="1785" bestFit="1" customWidth="1"/>
    <col min="9985" max="9985" width="16.33203125" style="1785" customWidth="1"/>
    <col min="9986" max="9986" width="22.6640625" style="1785" bestFit="1" customWidth="1"/>
    <col min="9987" max="9988" width="18" style="1785" bestFit="1" customWidth="1"/>
    <col min="9989" max="9989" width="12.6640625" style="1785" customWidth="1"/>
    <col min="9990" max="9990" width="18.1640625" style="1785" bestFit="1" customWidth="1"/>
    <col min="9991" max="9991" width="9.33203125" style="1785"/>
    <col min="9992" max="9992" width="11.5" style="1785" bestFit="1" customWidth="1"/>
    <col min="9993" max="10237" width="9.33203125" style="1785"/>
    <col min="10238" max="10238" width="14.83203125" style="1785" customWidth="1"/>
    <col min="10239" max="10239" width="20.33203125" style="1785" customWidth="1"/>
    <col min="10240" max="10240" width="18.6640625" style="1785" bestFit="1" customWidth="1"/>
    <col min="10241" max="10241" width="16.33203125" style="1785" customWidth="1"/>
    <col min="10242" max="10242" width="22.6640625" style="1785" bestFit="1" customWidth="1"/>
    <col min="10243" max="10244" width="18" style="1785" bestFit="1" customWidth="1"/>
    <col min="10245" max="10245" width="12.6640625" style="1785" customWidth="1"/>
    <col min="10246" max="10246" width="18.1640625" style="1785" bestFit="1" customWidth="1"/>
    <col min="10247" max="10247" width="9.33203125" style="1785"/>
    <col min="10248" max="10248" width="11.5" style="1785" bestFit="1" customWidth="1"/>
    <col min="10249" max="10493" width="9.33203125" style="1785"/>
    <col min="10494" max="10494" width="14.83203125" style="1785" customWidth="1"/>
    <col min="10495" max="10495" width="20.33203125" style="1785" customWidth="1"/>
    <col min="10496" max="10496" width="18.6640625" style="1785" bestFit="1" customWidth="1"/>
    <col min="10497" max="10497" width="16.33203125" style="1785" customWidth="1"/>
    <col min="10498" max="10498" width="22.6640625" style="1785" bestFit="1" customWidth="1"/>
    <col min="10499" max="10500" width="18" style="1785" bestFit="1" customWidth="1"/>
    <col min="10501" max="10501" width="12.6640625" style="1785" customWidth="1"/>
    <col min="10502" max="10502" width="18.1640625" style="1785" bestFit="1" customWidth="1"/>
    <col min="10503" max="10503" width="9.33203125" style="1785"/>
    <col min="10504" max="10504" width="11.5" style="1785" bestFit="1" customWidth="1"/>
    <col min="10505" max="10749" width="9.33203125" style="1785"/>
    <col min="10750" max="10750" width="14.83203125" style="1785" customWidth="1"/>
    <col min="10751" max="10751" width="20.33203125" style="1785" customWidth="1"/>
    <col min="10752" max="10752" width="18.6640625" style="1785" bestFit="1" customWidth="1"/>
    <col min="10753" max="10753" width="16.33203125" style="1785" customWidth="1"/>
    <col min="10754" max="10754" width="22.6640625" style="1785" bestFit="1" customWidth="1"/>
    <col min="10755" max="10756" width="18" style="1785" bestFit="1" customWidth="1"/>
    <col min="10757" max="10757" width="12.6640625" style="1785" customWidth="1"/>
    <col min="10758" max="10758" width="18.1640625" style="1785" bestFit="1" customWidth="1"/>
    <col min="10759" max="10759" width="9.33203125" style="1785"/>
    <col min="10760" max="10760" width="11.5" style="1785" bestFit="1" customWidth="1"/>
    <col min="10761" max="11005" width="9.33203125" style="1785"/>
    <col min="11006" max="11006" width="14.83203125" style="1785" customWidth="1"/>
    <col min="11007" max="11007" width="20.33203125" style="1785" customWidth="1"/>
    <col min="11008" max="11008" width="18.6640625" style="1785" bestFit="1" customWidth="1"/>
    <col min="11009" max="11009" width="16.33203125" style="1785" customWidth="1"/>
    <col min="11010" max="11010" width="22.6640625" style="1785" bestFit="1" customWidth="1"/>
    <col min="11011" max="11012" width="18" style="1785" bestFit="1" customWidth="1"/>
    <col min="11013" max="11013" width="12.6640625" style="1785" customWidth="1"/>
    <col min="11014" max="11014" width="18.1640625" style="1785" bestFit="1" customWidth="1"/>
    <col min="11015" max="11015" width="9.33203125" style="1785"/>
    <col min="11016" max="11016" width="11.5" style="1785" bestFit="1" customWidth="1"/>
    <col min="11017" max="11261" width="9.33203125" style="1785"/>
    <col min="11262" max="11262" width="14.83203125" style="1785" customWidth="1"/>
    <col min="11263" max="11263" width="20.33203125" style="1785" customWidth="1"/>
    <col min="11264" max="11264" width="18.6640625" style="1785" bestFit="1" customWidth="1"/>
    <col min="11265" max="11265" width="16.33203125" style="1785" customWidth="1"/>
    <col min="11266" max="11266" width="22.6640625" style="1785" bestFit="1" customWidth="1"/>
    <col min="11267" max="11268" width="18" style="1785" bestFit="1" customWidth="1"/>
    <col min="11269" max="11269" width="12.6640625" style="1785" customWidth="1"/>
    <col min="11270" max="11270" width="18.1640625" style="1785" bestFit="1" customWidth="1"/>
    <col min="11271" max="11271" width="9.33203125" style="1785"/>
    <col min="11272" max="11272" width="11.5" style="1785" bestFit="1" customWidth="1"/>
    <col min="11273" max="11517" width="9.33203125" style="1785"/>
    <col min="11518" max="11518" width="14.83203125" style="1785" customWidth="1"/>
    <col min="11519" max="11519" width="20.33203125" style="1785" customWidth="1"/>
    <col min="11520" max="11520" width="18.6640625" style="1785" bestFit="1" customWidth="1"/>
    <col min="11521" max="11521" width="16.33203125" style="1785" customWidth="1"/>
    <col min="11522" max="11522" width="22.6640625" style="1785" bestFit="1" customWidth="1"/>
    <col min="11523" max="11524" width="18" style="1785" bestFit="1" customWidth="1"/>
    <col min="11525" max="11525" width="12.6640625" style="1785" customWidth="1"/>
    <col min="11526" max="11526" width="18.1640625" style="1785" bestFit="1" customWidth="1"/>
    <col min="11527" max="11527" width="9.33203125" style="1785"/>
    <col min="11528" max="11528" width="11.5" style="1785" bestFit="1" customWidth="1"/>
    <col min="11529" max="11773" width="9.33203125" style="1785"/>
    <col min="11774" max="11774" width="14.83203125" style="1785" customWidth="1"/>
    <col min="11775" max="11775" width="20.33203125" style="1785" customWidth="1"/>
    <col min="11776" max="11776" width="18.6640625" style="1785" bestFit="1" customWidth="1"/>
    <col min="11777" max="11777" width="16.33203125" style="1785" customWidth="1"/>
    <col min="11778" max="11778" width="22.6640625" style="1785" bestFit="1" customWidth="1"/>
    <col min="11779" max="11780" width="18" style="1785" bestFit="1" customWidth="1"/>
    <col min="11781" max="11781" width="12.6640625" style="1785" customWidth="1"/>
    <col min="11782" max="11782" width="18.1640625" style="1785" bestFit="1" customWidth="1"/>
    <col min="11783" max="11783" width="9.33203125" style="1785"/>
    <col min="11784" max="11784" width="11.5" style="1785" bestFit="1" customWidth="1"/>
    <col min="11785" max="12029" width="9.33203125" style="1785"/>
    <col min="12030" max="12030" width="14.83203125" style="1785" customWidth="1"/>
    <col min="12031" max="12031" width="20.33203125" style="1785" customWidth="1"/>
    <col min="12032" max="12032" width="18.6640625" style="1785" bestFit="1" customWidth="1"/>
    <col min="12033" max="12033" width="16.33203125" style="1785" customWidth="1"/>
    <col min="12034" max="12034" width="22.6640625" style="1785" bestFit="1" customWidth="1"/>
    <col min="12035" max="12036" width="18" style="1785" bestFit="1" customWidth="1"/>
    <col min="12037" max="12037" width="12.6640625" style="1785" customWidth="1"/>
    <col min="12038" max="12038" width="18.1640625" style="1785" bestFit="1" customWidth="1"/>
    <col min="12039" max="12039" width="9.33203125" style="1785"/>
    <col min="12040" max="12040" width="11.5" style="1785" bestFit="1" customWidth="1"/>
    <col min="12041" max="12285" width="9.33203125" style="1785"/>
    <col min="12286" max="12286" width="14.83203125" style="1785" customWidth="1"/>
    <col min="12287" max="12287" width="20.33203125" style="1785" customWidth="1"/>
    <col min="12288" max="12288" width="18.6640625" style="1785" bestFit="1" customWidth="1"/>
    <col min="12289" max="12289" width="16.33203125" style="1785" customWidth="1"/>
    <col min="12290" max="12290" width="22.6640625" style="1785" bestFit="1" customWidth="1"/>
    <col min="12291" max="12292" width="18" style="1785" bestFit="1" customWidth="1"/>
    <col min="12293" max="12293" width="12.6640625" style="1785" customWidth="1"/>
    <col min="12294" max="12294" width="18.1640625" style="1785" bestFit="1" customWidth="1"/>
    <col min="12295" max="12295" width="9.33203125" style="1785"/>
    <col min="12296" max="12296" width="11.5" style="1785" bestFit="1" customWidth="1"/>
    <col min="12297" max="12541" width="9.33203125" style="1785"/>
    <col min="12542" max="12542" width="14.83203125" style="1785" customWidth="1"/>
    <col min="12543" max="12543" width="20.33203125" style="1785" customWidth="1"/>
    <col min="12544" max="12544" width="18.6640625" style="1785" bestFit="1" customWidth="1"/>
    <col min="12545" max="12545" width="16.33203125" style="1785" customWidth="1"/>
    <col min="12546" max="12546" width="22.6640625" style="1785" bestFit="1" customWidth="1"/>
    <col min="12547" max="12548" width="18" style="1785" bestFit="1" customWidth="1"/>
    <col min="12549" max="12549" width="12.6640625" style="1785" customWidth="1"/>
    <col min="12550" max="12550" width="18.1640625" style="1785" bestFit="1" customWidth="1"/>
    <col min="12551" max="12551" width="9.33203125" style="1785"/>
    <col min="12552" max="12552" width="11.5" style="1785" bestFit="1" customWidth="1"/>
    <col min="12553" max="12797" width="9.33203125" style="1785"/>
    <col min="12798" max="12798" width="14.83203125" style="1785" customWidth="1"/>
    <col min="12799" max="12799" width="20.33203125" style="1785" customWidth="1"/>
    <col min="12800" max="12800" width="18.6640625" style="1785" bestFit="1" customWidth="1"/>
    <col min="12801" max="12801" width="16.33203125" style="1785" customWidth="1"/>
    <col min="12802" max="12802" width="22.6640625" style="1785" bestFit="1" customWidth="1"/>
    <col min="12803" max="12804" width="18" style="1785" bestFit="1" customWidth="1"/>
    <col min="12805" max="12805" width="12.6640625" style="1785" customWidth="1"/>
    <col min="12806" max="12806" width="18.1640625" style="1785" bestFit="1" customWidth="1"/>
    <col min="12807" max="12807" width="9.33203125" style="1785"/>
    <col min="12808" max="12808" width="11.5" style="1785" bestFit="1" customWidth="1"/>
    <col min="12809" max="13053" width="9.33203125" style="1785"/>
    <col min="13054" max="13054" width="14.83203125" style="1785" customWidth="1"/>
    <col min="13055" max="13055" width="20.33203125" style="1785" customWidth="1"/>
    <col min="13056" max="13056" width="18.6640625" style="1785" bestFit="1" customWidth="1"/>
    <col min="13057" max="13057" width="16.33203125" style="1785" customWidth="1"/>
    <col min="13058" max="13058" width="22.6640625" style="1785" bestFit="1" customWidth="1"/>
    <col min="13059" max="13060" width="18" style="1785" bestFit="1" customWidth="1"/>
    <col min="13061" max="13061" width="12.6640625" style="1785" customWidth="1"/>
    <col min="13062" max="13062" width="18.1640625" style="1785" bestFit="1" customWidth="1"/>
    <col min="13063" max="13063" width="9.33203125" style="1785"/>
    <col min="13064" max="13064" width="11.5" style="1785" bestFit="1" customWidth="1"/>
    <col min="13065" max="13309" width="9.33203125" style="1785"/>
    <col min="13310" max="13310" width="14.83203125" style="1785" customWidth="1"/>
    <col min="13311" max="13311" width="20.33203125" style="1785" customWidth="1"/>
    <col min="13312" max="13312" width="18.6640625" style="1785" bestFit="1" customWidth="1"/>
    <col min="13313" max="13313" width="16.33203125" style="1785" customWidth="1"/>
    <col min="13314" max="13314" width="22.6640625" style="1785" bestFit="1" customWidth="1"/>
    <col min="13315" max="13316" width="18" style="1785" bestFit="1" customWidth="1"/>
    <col min="13317" max="13317" width="12.6640625" style="1785" customWidth="1"/>
    <col min="13318" max="13318" width="18.1640625" style="1785" bestFit="1" customWidth="1"/>
    <col min="13319" max="13319" width="9.33203125" style="1785"/>
    <col min="13320" max="13320" width="11.5" style="1785" bestFit="1" customWidth="1"/>
    <col min="13321" max="13565" width="9.33203125" style="1785"/>
    <col min="13566" max="13566" width="14.83203125" style="1785" customWidth="1"/>
    <col min="13567" max="13567" width="20.33203125" style="1785" customWidth="1"/>
    <col min="13568" max="13568" width="18.6640625" style="1785" bestFit="1" customWidth="1"/>
    <col min="13569" max="13569" width="16.33203125" style="1785" customWidth="1"/>
    <col min="13570" max="13570" width="22.6640625" style="1785" bestFit="1" customWidth="1"/>
    <col min="13571" max="13572" width="18" style="1785" bestFit="1" customWidth="1"/>
    <col min="13573" max="13573" width="12.6640625" style="1785" customWidth="1"/>
    <col min="13574" max="13574" width="18.1640625" style="1785" bestFit="1" customWidth="1"/>
    <col min="13575" max="13575" width="9.33203125" style="1785"/>
    <col min="13576" max="13576" width="11.5" style="1785" bestFit="1" customWidth="1"/>
    <col min="13577" max="13821" width="9.33203125" style="1785"/>
    <col min="13822" max="13822" width="14.83203125" style="1785" customWidth="1"/>
    <col min="13823" max="13823" width="20.33203125" style="1785" customWidth="1"/>
    <col min="13824" max="13824" width="18.6640625" style="1785" bestFit="1" customWidth="1"/>
    <col min="13825" max="13825" width="16.33203125" style="1785" customWidth="1"/>
    <col min="13826" max="13826" width="22.6640625" style="1785" bestFit="1" customWidth="1"/>
    <col min="13827" max="13828" width="18" style="1785" bestFit="1" customWidth="1"/>
    <col min="13829" max="13829" width="12.6640625" style="1785" customWidth="1"/>
    <col min="13830" max="13830" width="18.1640625" style="1785" bestFit="1" customWidth="1"/>
    <col min="13831" max="13831" width="9.33203125" style="1785"/>
    <col min="13832" max="13832" width="11.5" style="1785" bestFit="1" customWidth="1"/>
    <col min="13833" max="14077" width="9.33203125" style="1785"/>
    <col min="14078" max="14078" width="14.83203125" style="1785" customWidth="1"/>
    <col min="14079" max="14079" width="20.33203125" style="1785" customWidth="1"/>
    <col min="14080" max="14080" width="18.6640625" style="1785" bestFit="1" customWidth="1"/>
    <col min="14081" max="14081" width="16.33203125" style="1785" customWidth="1"/>
    <col min="14082" max="14082" width="22.6640625" style="1785" bestFit="1" customWidth="1"/>
    <col min="14083" max="14084" width="18" style="1785" bestFit="1" customWidth="1"/>
    <col min="14085" max="14085" width="12.6640625" style="1785" customWidth="1"/>
    <col min="14086" max="14086" width="18.1640625" style="1785" bestFit="1" customWidth="1"/>
    <col min="14087" max="14087" width="9.33203125" style="1785"/>
    <col min="14088" max="14088" width="11.5" style="1785" bestFit="1" customWidth="1"/>
    <col min="14089" max="14333" width="9.33203125" style="1785"/>
    <col min="14334" max="14334" width="14.83203125" style="1785" customWidth="1"/>
    <col min="14335" max="14335" width="20.33203125" style="1785" customWidth="1"/>
    <col min="14336" max="14336" width="18.6640625" style="1785" bestFit="1" customWidth="1"/>
    <col min="14337" max="14337" width="16.33203125" style="1785" customWidth="1"/>
    <col min="14338" max="14338" width="22.6640625" style="1785" bestFit="1" customWidth="1"/>
    <col min="14339" max="14340" width="18" style="1785" bestFit="1" customWidth="1"/>
    <col min="14341" max="14341" width="12.6640625" style="1785" customWidth="1"/>
    <col min="14342" max="14342" width="18.1640625" style="1785" bestFit="1" customWidth="1"/>
    <col min="14343" max="14343" width="9.33203125" style="1785"/>
    <col min="14344" max="14344" width="11.5" style="1785" bestFit="1" customWidth="1"/>
    <col min="14345" max="14589" width="9.33203125" style="1785"/>
    <col min="14590" max="14590" width="14.83203125" style="1785" customWidth="1"/>
    <col min="14591" max="14591" width="20.33203125" style="1785" customWidth="1"/>
    <col min="14592" max="14592" width="18.6640625" style="1785" bestFit="1" customWidth="1"/>
    <col min="14593" max="14593" width="16.33203125" style="1785" customWidth="1"/>
    <col min="14594" max="14594" width="22.6640625" style="1785" bestFit="1" customWidth="1"/>
    <col min="14595" max="14596" width="18" style="1785" bestFit="1" customWidth="1"/>
    <col min="14597" max="14597" width="12.6640625" style="1785" customWidth="1"/>
    <col min="14598" max="14598" width="18.1640625" style="1785" bestFit="1" customWidth="1"/>
    <col min="14599" max="14599" width="9.33203125" style="1785"/>
    <col min="14600" max="14600" width="11.5" style="1785" bestFit="1" customWidth="1"/>
    <col min="14601" max="14845" width="9.33203125" style="1785"/>
    <col min="14846" max="14846" width="14.83203125" style="1785" customWidth="1"/>
    <col min="14847" max="14847" width="20.33203125" style="1785" customWidth="1"/>
    <col min="14848" max="14848" width="18.6640625" style="1785" bestFit="1" customWidth="1"/>
    <col min="14849" max="14849" width="16.33203125" style="1785" customWidth="1"/>
    <col min="14850" max="14850" width="22.6640625" style="1785" bestFit="1" customWidth="1"/>
    <col min="14851" max="14852" width="18" style="1785" bestFit="1" customWidth="1"/>
    <col min="14853" max="14853" width="12.6640625" style="1785" customWidth="1"/>
    <col min="14854" max="14854" width="18.1640625" style="1785" bestFit="1" customWidth="1"/>
    <col min="14855" max="14855" width="9.33203125" style="1785"/>
    <col min="14856" max="14856" width="11.5" style="1785" bestFit="1" customWidth="1"/>
    <col min="14857" max="15101" width="9.33203125" style="1785"/>
    <col min="15102" max="15102" width="14.83203125" style="1785" customWidth="1"/>
    <col min="15103" max="15103" width="20.33203125" style="1785" customWidth="1"/>
    <col min="15104" max="15104" width="18.6640625" style="1785" bestFit="1" customWidth="1"/>
    <col min="15105" max="15105" width="16.33203125" style="1785" customWidth="1"/>
    <col min="15106" max="15106" width="22.6640625" style="1785" bestFit="1" customWidth="1"/>
    <col min="15107" max="15108" width="18" style="1785" bestFit="1" customWidth="1"/>
    <col min="15109" max="15109" width="12.6640625" style="1785" customWidth="1"/>
    <col min="15110" max="15110" width="18.1640625" style="1785" bestFit="1" customWidth="1"/>
    <col min="15111" max="15111" width="9.33203125" style="1785"/>
    <col min="15112" max="15112" width="11.5" style="1785" bestFit="1" customWidth="1"/>
    <col min="15113" max="15357" width="9.33203125" style="1785"/>
    <col min="15358" max="15358" width="14.83203125" style="1785" customWidth="1"/>
    <col min="15359" max="15359" width="20.33203125" style="1785" customWidth="1"/>
    <col min="15360" max="15360" width="18.6640625" style="1785" bestFit="1" customWidth="1"/>
    <col min="15361" max="15361" width="16.33203125" style="1785" customWidth="1"/>
    <col min="15362" max="15362" width="22.6640625" style="1785" bestFit="1" customWidth="1"/>
    <col min="15363" max="15364" width="18" style="1785" bestFit="1" customWidth="1"/>
    <col min="15365" max="15365" width="12.6640625" style="1785" customWidth="1"/>
    <col min="15366" max="15366" width="18.1640625" style="1785" bestFit="1" customWidth="1"/>
    <col min="15367" max="15367" width="9.33203125" style="1785"/>
    <col min="15368" max="15368" width="11.5" style="1785" bestFit="1" customWidth="1"/>
    <col min="15369" max="15613" width="9.33203125" style="1785"/>
    <col min="15614" max="15614" width="14.83203125" style="1785" customWidth="1"/>
    <col min="15615" max="15615" width="20.33203125" style="1785" customWidth="1"/>
    <col min="15616" max="15616" width="18.6640625" style="1785" bestFit="1" customWidth="1"/>
    <col min="15617" max="15617" width="16.33203125" style="1785" customWidth="1"/>
    <col min="15618" max="15618" width="22.6640625" style="1785" bestFit="1" customWidth="1"/>
    <col min="15619" max="15620" width="18" style="1785" bestFit="1" customWidth="1"/>
    <col min="15621" max="15621" width="12.6640625" style="1785" customWidth="1"/>
    <col min="15622" max="15622" width="18.1640625" style="1785" bestFit="1" customWidth="1"/>
    <col min="15623" max="15623" width="9.33203125" style="1785"/>
    <col min="15624" max="15624" width="11.5" style="1785" bestFit="1" customWidth="1"/>
    <col min="15625" max="15869" width="9.33203125" style="1785"/>
    <col min="15870" max="15870" width="14.83203125" style="1785" customWidth="1"/>
    <col min="15871" max="15871" width="20.33203125" style="1785" customWidth="1"/>
    <col min="15872" max="15872" width="18.6640625" style="1785" bestFit="1" customWidth="1"/>
    <col min="15873" max="15873" width="16.33203125" style="1785" customWidth="1"/>
    <col min="15874" max="15874" width="22.6640625" style="1785" bestFit="1" customWidth="1"/>
    <col min="15875" max="15876" width="18" style="1785" bestFit="1" customWidth="1"/>
    <col min="15877" max="15877" width="12.6640625" style="1785" customWidth="1"/>
    <col min="15878" max="15878" width="18.1640625" style="1785" bestFit="1" customWidth="1"/>
    <col min="15879" max="15879" width="9.33203125" style="1785"/>
    <col min="15880" max="15880" width="11.5" style="1785" bestFit="1" customWidth="1"/>
    <col min="15881" max="16125" width="9.33203125" style="1785"/>
    <col min="16126" max="16126" width="14.83203125" style="1785" customWidth="1"/>
    <col min="16127" max="16127" width="20.33203125" style="1785" customWidth="1"/>
    <col min="16128" max="16128" width="18.6640625" style="1785" bestFit="1" customWidth="1"/>
    <col min="16129" max="16129" width="16.33203125" style="1785" customWidth="1"/>
    <col min="16130" max="16130" width="22.6640625" style="1785" bestFit="1" customWidth="1"/>
    <col min="16131" max="16132" width="18" style="1785" bestFit="1" customWidth="1"/>
    <col min="16133" max="16133" width="12.6640625" style="1785" customWidth="1"/>
    <col min="16134" max="16134" width="18.1640625" style="1785" bestFit="1" customWidth="1"/>
    <col min="16135" max="16135" width="9.33203125" style="1785"/>
    <col min="16136" max="16136" width="11.5" style="1785" bestFit="1" customWidth="1"/>
    <col min="16137" max="16384" width="9.33203125" style="1785"/>
  </cols>
  <sheetData>
    <row r="2" spans="2:6" ht="47.25" customHeight="1" x14ac:dyDescent="0.25">
      <c r="B2" s="2623" t="s">
        <v>1163</v>
      </c>
      <c r="C2" s="2623"/>
      <c r="D2" s="2623"/>
      <c r="E2" s="2623"/>
      <c r="F2" s="1784"/>
    </row>
    <row r="3" spans="2:6" ht="24.75" customHeight="1" x14ac:dyDescent="0.25">
      <c r="B3" s="2624" t="s">
        <v>1164</v>
      </c>
      <c r="C3" s="2624"/>
      <c r="D3" s="2624"/>
      <c r="E3" s="2624"/>
      <c r="F3" s="1784"/>
    </row>
    <row r="4" spans="2:6" ht="16.5" customHeight="1" x14ac:dyDescent="0.25">
      <c r="B4" s="1786"/>
      <c r="C4" s="1786"/>
      <c r="D4" s="1786"/>
      <c r="E4" s="1786"/>
    </row>
    <row r="5" spans="2:6" ht="15.75" thickBot="1" x14ac:dyDescent="0.25">
      <c r="E5" s="1787" t="s">
        <v>1165</v>
      </c>
    </row>
    <row r="6" spans="2:6" ht="36.75" customHeight="1" x14ac:dyDescent="0.2">
      <c r="B6" s="2625" t="s">
        <v>1166</v>
      </c>
      <c r="C6" s="2627" t="s">
        <v>1167</v>
      </c>
      <c r="D6" s="2628"/>
      <c r="E6" s="2629"/>
    </row>
    <row r="7" spans="2:6" ht="29.25" customHeight="1" thickBot="1" x14ac:dyDescent="0.25">
      <c r="B7" s="2626"/>
      <c r="C7" s="1788" t="s">
        <v>1168</v>
      </c>
      <c r="D7" s="1789" t="s">
        <v>1169</v>
      </c>
      <c r="E7" s="1790" t="s">
        <v>701</v>
      </c>
    </row>
    <row r="8" spans="2:6" ht="22.5" customHeight="1" x14ac:dyDescent="0.25">
      <c r="B8" s="1791" t="s">
        <v>1170</v>
      </c>
      <c r="C8" s="1792">
        <v>120749362</v>
      </c>
      <c r="D8" s="1793">
        <v>21962722</v>
      </c>
      <c r="E8" s="1794">
        <f t="shared" ref="E8:E18" si="0">SUM(C8:D8)</f>
        <v>142712084</v>
      </c>
    </row>
    <row r="9" spans="2:6" ht="22.5" customHeight="1" x14ac:dyDescent="0.25">
      <c r="B9" s="1791" t="s">
        <v>1171</v>
      </c>
      <c r="C9" s="1792">
        <v>120749366</v>
      </c>
      <c r="D9" s="1793">
        <v>19524143</v>
      </c>
      <c r="E9" s="1794">
        <f t="shared" si="0"/>
        <v>140273509</v>
      </c>
    </row>
    <row r="10" spans="2:6" ht="22.5" customHeight="1" x14ac:dyDescent="0.25">
      <c r="B10" s="1791" t="s">
        <v>1172</v>
      </c>
      <c r="C10" s="1792">
        <v>120749360</v>
      </c>
      <c r="D10" s="1793">
        <v>17176455</v>
      </c>
      <c r="E10" s="1794">
        <f t="shared" si="0"/>
        <v>137925815</v>
      </c>
    </row>
    <row r="11" spans="2:6" ht="22.5" customHeight="1" x14ac:dyDescent="0.25">
      <c r="B11" s="1791" t="s">
        <v>1173</v>
      </c>
      <c r="C11" s="1792">
        <v>120749362</v>
      </c>
      <c r="D11" s="1793">
        <v>14603757</v>
      </c>
      <c r="E11" s="1794">
        <f t="shared" si="0"/>
        <v>135353119</v>
      </c>
    </row>
    <row r="12" spans="2:6" ht="22.5" customHeight="1" x14ac:dyDescent="0.25">
      <c r="B12" s="1791" t="s">
        <v>1174</v>
      </c>
      <c r="C12" s="1792">
        <v>120749368</v>
      </c>
      <c r="D12" s="1793">
        <v>12206712</v>
      </c>
      <c r="E12" s="1794">
        <f t="shared" si="0"/>
        <v>132956080</v>
      </c>
    </row>
    <row r="13" spans="2:6" ht="22.5" customHeight="1" x14ac:dyDescent="0.25">
      <c r="B13" s="1791" t="s">
        <v>1175</v>
      </c>
      <c r="C13" s="1792">
        <v>120749366</v>
      </c>
      <c r="D13" s="1793">
        <v>9765895</v>
      </c>
      <c r="E13" s="1794">
        <f t="shared" si="0"/>
        <v>130515261</v>
      </c>
    </row>
    <row r="14" spans="2:6" ht="22.5" customHeight="1" x14ac:dyDescent="0.25">
      <c r="B14" s="1791" t="s">
        <v>1176</v>
      </c>
      <c r="C14" s="1792">
        <v>120749364</v>
      </c>
      <c r="D14" s="1793">
        <v>7351033</v>
      </c>
      <c r="E14" s="1794">
        <f t="shared" si="0"/>
        <v>128100397</v>
      </c>
    </row>
    <row r="15" spans="2:6" ht="22.5" customHeight="1" x14ac:dyDescent="0.25">
      <c r="B15" s="1791" t="s">
        <v>1177</v>
      </c>
      <c r="C15" s="1792">
        <v>120749363</v>
      </c>
      <c r="D15" s="1793">
        <v>4908849</v>
      </c>
      <c r="E15" s="1794">
        <f t="shared" si="0"/>
        <v>125658212</v>
      </c>
    </row>
    <row r="16" spans="2:6" ht="22.5" customHeight="1" x14ac:dyDescent="0.25">
      <c r="B16" s="1791" t="s">
        <v>1178</v>
      </c>
      <c r="C16" s="1792">
        <v>120749364</v>
      </c>
      <c r="D16" s="1793">
        <v>2432567</v>
      </c>
      <c r="E16" s="1794">
        <f t="shared" si="0"/>
        <v>123181931</v>
      </c>
    </row>
    <row r="17" spans="2:6" ht="22.5" customHeight="1" thickBot="1" x14ac:dyDescent="0.3">
      <c r="B17" s="1795" t="s">
        <v>1179</v>
      </c>
      <c r="C17" s="1796">
        <v>55343458</v>
      </c>
      <c r="D17" s="1797">
        <v>324975</v>
      </c>
      <c r="E17" s="1798">
        <f t="shared" si="0"/>
        <v>55668433</v>
      </c>
    </row>
    <row r="18" spans="2:6" s="1803" customFormat="1" ht="53.25" customHeight="1" thickBot="1" x14ac:dyDescent="0.25">
      <c r="B18" s="1799" t="s">
        <v>1228</v>
      </c>
      <c r="C18" s="1800">
        <f>SUM(C8:C17)</f>
        <v>1142087733</v>
      </c>
      <c r="D18" s="1801">
        <f>SUM(D8:D17)</f>
        <v>110257108</v>
      </c>
      <c r="E18" s="1802">
        <f t="shared" si="0"/>
        <v>1252344841</v>
      </c>
      <c r="F18" s="1808"/>
    </row>
    <row r="19" spans="2:6" x14ac:dyDescent="0.2">
      <c r="C19" s="1804"/>
      <c r="D19" s="1804"/>
      <c r="E19" s="1804"/>
    </row>
    <row r="20" spans="2:6" x14ac:dyDescent="0.2">
      <c r="C20" s="1805"/>
      <c r="D20" s="1806"/>
      <c r="E20" s="1804"/>
    </row>
    <row r="21" spans="2:6" x14ac:dyDescent="0.2">
      <c r="C21" s="1807"/>
      <c r="D21" s="1807"/>
      <c r="E21" s="1807"/>
    </row>
    <row r="22" spans="2:6" x14ac:dyDescent="0.2">
      <c r="C22" s="1807"/>
      <c r="D22" s="1807"/>
      <c r="E22" s="1807"/>
    </row>
    <row r="25" spans="2:6" x14ac:dyDescent="0.2">
      <c r="C25" s="1787"/>
      <c r="D25" s="1804"/>
    </row>
    <row r="26" spans="2:6" x14ac:dyDescent="0.2">
      <c r="C26" s="1787"/>
      <c r="D26" s="1804"/>
    </row>
  </sheetData>
  <mergeCells count="4">
    <mergeCell ref="B2:E2"/>
    <mergeCell ref="B3:E3"/>
    <mergeCell ref="B6:B7"/>
    <mergeCell ref="C6:E6"/>
  </mergeCells>
  <printOptions horizontalCentered="1" verticalCentered="1"/>
  <pageMargins left="0.9055118110236221" right="0.9055118110236221" top="0.74803149606299213" bottom="0.74803149606299213" header="0.31496062992125984" footer="0.31496062992125984"/>
  <pageSetup paperSize="9" scale="95" orientation="portrait" r:id="rId1"/>
  <headerFooter>
    <oddHeader xml:space="preserve">&amp;R&amp;"Arial,Félkövér"&amp;12 &amp;10 30. melléklet a …../2022. (…….) önkormányzati rendelethez
 &amp;8
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61"/>
  <sheetViews>
    <sheetView zoomScale="40" zoomScaleNormal="40" zoomScaleSheetLayoutView="40" workbookViewId="0">
      <pane xSplit="1" ySplit="9" topLeftCell="B10" activePane="bottomRight" state="frozen"/>
      <selection activeCell="R13" sqref="R13"/>
      <selection pane="topRight" activeCell="R13" sqref="R13"/>
      <selection pane="bottomLeft" activeCell="R13" sqref="R13"/>
      <selection pane="bottomRight" activeCell="E6" sqref="E6"/>
    </sheetView>
  </sheetViews>
  <sheetFormatPr defaultRowHeight="26.45" customHeight="1" x14ac:dyDescent="0.6"/>
  <cols>
    <col min="1" max="1" width="204.6640625" style="1959" customWidth="1"/>
    <col min="2" max="21" width="50.83203125" style="1960" customWidth="1"/>
    <col min="22" max="22" width="204.6640625" style="1961" customWidth="1"/>
    <col min="23" max="38" width="50.83203125" style="1960" customWidth="1"/>
    <col min="39" max="42" width="50.83203125" style="1959" customWidth="1"/>
    <col min="43" max="43" width="204.6640625" style="1961" customWidth="1"/>
    <col min="44" max="53" width="55.83203125" style="1959" customWidth="1"/>
    <col min="54" max="57" width="55.83203125" style="1962" customWidth="1"/>
    <col min="58" max="59" width="55.83203125" style="1960" customWidth="1"/>
    <col min="60" max="254" width="9.33203125" style="1963"/>
    <col min="255" max="255" width="193.33203125" style="1963" customWidth="1"/>
    <col min="256" max="256" width="47.1640625" style="1963" customWidth="1"/>
    <col min="257" max="257" width="47.33203125" style="1963" customWidth="1"/>
    <col min="258" max="258" width="47.1640625" style="1963" customWidth="1"/>
    <col min="259" max="259" width="43.6640625" style="1963" customWidth="1"/>
    <col min="260" max="261" width="47.33203125" style="1963" customWidth="1"/>
    <col min="262" max="262" width="47.1640625" style="1963" customWidth="1"/>
    <col min="263" max="263" width="43.6640625" style="1963" customWidth="1"/>
    <col min="264" max="265" width="47.33203125" style="1963" customWidth="1"/>
    <col min="266" max="266" width="47.1640625" style="1963" customWidth="1"/>
    <col min="267" max="267" width="43.6640625" style="1963" customWidth="1"/>
    <col min="268" max="269" width="45" style="1963" customWidth="1"/>
    <col min="270" max="270" width="44.83203125" style="1963" customWidth="1"/>
    <col min="271" max="271" width="45" style="1963" customWidth="1"/>
    <col min="272" max="273" width="47.33203125" style="1963" customWidth="1"/>
    <col min="274" max="274" width="47.1640625" style="1963" customWidth="1"/>
    <col min="275" max="275" width="43.6640625" style="1963" customWidth="1"/>
    <col min="276" max="276" width="193.33203125" style="1963" customWidth="1"/>
    <col min="277" max="279" width="47.33203125" style="1963" customWidth="1"/>
    <col min="280" max="280" width="43.6640625" style="1963" customWidth="1"/>
    <col min="281" max="283" width="47.33203125" style="1963" customWidth="1"/>
    <col min="284" max="284" width="44" style="1963" customWidth="1"/>
    <col min="285" max="287" width="47.33203125" style="1963" customWidth="1"/>
    <col min="288" max="288" width="43.6640625" style="1963" customWidth="1"/>
    <col min="289" max="291" width="47.33203125" style="1963" customWidth="1"/>
    <col min="292" max="292" width="43.6640625" style="1963" customWidth="1"/>
    <col min="293" max="295" width="47.33203125" style="1963" customWidth="1"/>
    <col min="296" max="296" width="43.6640625" style="1963" customWidth="1"/>
    <col min="297" max="297" width="193.33203125" style="1963" customWidth="1"/>
    <col min="298" max="313" width="56" style="1963" customWidth="1"/>
    <col min="314" max="314" width="59" style="1963" customWidth="1"/>
    <col min="315" max="315" width="46" style="1963" customWidth="1"/>
    <col min="316" max="510" width="9.33203125" style="1963"/>
    <col min="511" max="511" width="193.33203125" style="1963" customWidth="1"/>
    <col min="512" max="512" width="47.1640625" style="1963" customWidth="1"/>
    <col min="513" max="513" width="47.33203125" style="1963" customWidth="1"/>
    <col min="514" max="514" width="47.1640625" style="1963" customWidth="1"/>
    <col min="515" max="515" width="43.6640625" style="1963" customWidth="1"/>
    <col min="516" max="517" width="47.33203125" style="1963" customWidth="1"/>
    <col min="518" max="518" width="47.1640625" style="1963" customWidth="1"/>
    <col min="519" max="519" width="43.6640625" style="1963" customWidth="1"/>
    <col min="520" max="521" width="47.33203125" style="1963" customWidth="1"/>
    <col min="522" max="522" width="47.1640625" style="1963" customWidth="1"/>
    <col min="523" max="523" width="43.6640625" style="1963" customWidth="1"/>
    <col min="524" max="525" width="45" style="1963" customWidth="1"/>
    <col min="526" max="526" width="44.83203125" style="1963" customWidth="1"/>
    <col min="527" max="527" width="45" style="1963" customWidth="1"/>
    <col min="528" max="529" width="47.33203125" style="1963" customWidth="1"/>
    <col min="530" max="530" width="47.1640625" style="1963" customWidth="1"/>
    <col min="531" max="531" width="43.6640625" style="1963" customWidth="1"/>
    <col min="532" max="532" width="193.33203125" style="1963" customWidth="1"/>
    <col min="533" max="535" width="47.33203125" style="1963" customWidth="1"/>
    <col min="536" max="536" width="43.6640625" style="1963" customWidth="1"/>
    <col min="537" max="539" width="47.33203125" style="1963" customWidth="1"/>
    <col min="540" max="540" width="44" style="1963" customWidth="1"/>
    <col min="541" max="543" width="47.33203125" style="1963" customWidth="1"/>
    <col min="544" max="544" width="43.6640625" style="1963" customWidth="1"/>
    <col min="545" max="547" width="47.33203125" style="1963" customWidth="1"/>
    <col min="548" max="548" width="43.6640625" style="1963" customWidth="1"/>
    <col min="549" max="551" width="47.33203125" style="1963" customWidth="1"/>
    <col min="552" max="552" width="43.6640625" style="1963" customWidth="1"/>
    <col min="553" max="553" width="193.33203125" style="1963" customWidth="1"/>
    <col min="554" max="569" width="56" style="1963" customWidth="1"/>
    <col min="570" max="570" width="59" style="1963" customWidth="1"/>
    <col min="571" max="571" width="46" style="1963" customWidth="1"/>
    <col min="572" max="766" width="9.33203125" style="1963"/>
    <col min="767" max="767" width="193.33203125" style="1963" customWidth="1"/>
    <col min="768" max="768" width="47.1640625" style="1963" customWidth="1"/>
    <col min="769" max="769" width="47.33203125" style="1963" customWidth="1"/>
    <col min="770" max="770" width="47.1640625" style="1963" customWidth="1"/>
    <col min="771" max="771" width="43.6640625" style="1963" customWidth="1"/>
    <col min="772" max="773" width="47.33203125" style="1963" customWidth="1"/>
    <col min="774" max="774" width="47.1640625" style="1963" customWidth="1"/>
    <col min="775" max="775" width="43.6640625" style="1963" customWidth="1"/>
    <col min="776" max="777" width="47.33203125" style="1963" customWidth="1"/>
    <col min="778" max="778" width="47.1640625" style="1963" customWidth="1"/>
    <col min="779" max="779" width="43.6640625" style="1963" customWidth="1"/>
    <col min="780" max="781" width="45" style="1963" customWidth="1"/>
    <col min="782" max="782" width="44.83203125" style="1963" customWidth="1"/>
    <col min="783" max="783" width="45" style="1963" customWidth="1"/>
    <col min="784" max="785" width="47.33203125" style="1963" customWidth="1"/>
    <col min="786" max="786" width="47.1640625" style="1963" customWidth="1"/>
    <col min="787" max="787" width="43.6640625" style="1963" customWidth="1"/>
    <col min="788" max="788" width="193.33203125" style="1963" customWidth="1"/>
    <col min="789" max="791" width="47.33203125" style="1963" customWidth="1"/>
    <col min="792" max="792" width="43.6640625" style="1963" customWidth="1"/>
    <col min="793" max="795" width="47.33203125" style="1963" customWidth="1"/>
    <col min="796" max="796" width="44" style="1963" customWidth="1"/>
    <col min="797" max="799" width="47.33203125" style="1963" customWidth="1"/>
    <col min="800" max="800" width="43.6640625" style="1963" customWidth="1"/>
    <col min="801" max="803" width="47.33203125" style="1963" customWidth="1"/>
    <col min="804" max="804" width="43.6640625" style="1963" customWidth="1"/>
    <col min="805" max="807" width="47.33203125" style="1963" customWidth="1"/>
    <col min="808" max="808" width="43.6640625" style="1963" customWidth="1"/>
    <col min="809" max="809" width="193.33203125" style="1963" customWidth="1"/>
    <col min="810" max="825" width="56" style="1963" customWidth="1"/>
    <col min="826" max="826" width="59" style="1963" customWidth="1"/>
    <col min="827" max="827" width="46" style="1963" customWidth="1"/>
    <col min="828" max="1022" width="9.33203125" style="1963"/>
    <col min="1023" max="1023" width="193.33203125" style="1963" customWidth="1"/>
    <col min="1024" max="1024" width="47.1640625" style="1963" customWidth="1"/>
    <col min="1025" max="1025" width="47.33203125" style="1963" customWidth="1"/>
    <col min="1026" max="1026" width="47.1640625" style="1963" customWidth="1"/>
    <col min="1027" max="1027" width="43.6640625" style="1963" customWidth="1"/>
    <col min="1028" max="1029" width="47.33203125" style="1963" customWidth="1"/>
    <col min="1030" max="1030" width="47.1640625" style="1963" customWidth="1"/>
    <col min="1031" max="1031" width="43.6640625" style="1963" customWidth="1"/>
    <col min="1032" max="1033" width="47.33203125" style="1963" customWidth="1"/>
    <col min="1034" max="1034" width="47.1640625" style="1963" customWidth="1"/>
    <col min="1035" max="1035" width="43.6640625" style="1963" customWidth="1"/>
    <col min="1036" max="1037" width="45" style="1963" customWidth="1"/>
    <col min="1038" max="1038" width="44.83203125" style="1963" customWidth="1"/>
    <col min="1039" max="1039" width="45" style="1963" customWidth="1"/>
    <col min="1040" max="1041" width="47.33203125" style="1963" customWidth="1"/>
    <col min="1042" max="1042" width="47.1640625" style="1963" customWidth="1"/>
    <col min="1043" max="1043" width="43.6640625" style="1963" customWidth="1"/>
    <col min="1044" max="1044" width="193.33203125" style="1963" customWidth="1"/>
    <col min="1045" max="1047" width="47.33203125" style="1963" customWidth="1"/>
    <col min="1048" max="1048" width="43.6640625" style="1963" customWidth="1"/>
    <col min="1049" max="1051" width="47.33203125" style="1963" customWidth="1"/>
    <col min="1052" max="1052" width="44" style="1963" customWidth="1"/>
    <col min="1053" max="1055" width="47.33203125" style="1963" customWidth="1"/>
    <col min="1056" max="1056" width="43.6640625" style="1963" customWidth="1"/>
    <col min="1057" max="1059" width="47.33203125" style="1963" customWidth="1"/>
    <col min="1060" max="1060" width="43.6640625" style="1963" customWidth="1"/>
    <col min="1061" max="1063" width="47.33203125" style="1963" customWidth="1"/>
    <col min="1064" max="1064" width="43.6640625" style="1963" customWidth="1"/>
    <col min="1065" max="1065" width="193.33203125" style="1963" customWidth="1"/>
    <col min="1066" max="1081" width="56" style="1963" customWidth="1"/>
    <col min="1082" max="1082" width="59" style="1963" customWidth="1"/>
    <col min="1083" max="1083" width="46" style="1963" customWidth="1"/>
    <col min="1084" max="1278" width="9.33203125" style="1963"/>
    <col min="1279" max="1279" width="193.33203125" style="1963" customWidth="1"/>
    <col min="1280" max="1280" width="47.1640625" style="1963" customWidth="1"/>
    <col min="1281" max="1281" width="47.33203125" style="1963" customWidth="1"/>
    <col min="1282" max="1282" width="47.1640625" style="1963" customWidth="1"/>
    <col min="1283" max="1283" width="43.6640625" style="1963" customWidth="1"/>
    <col min="1284" max="1285" width="47.33203125" style="1963" customWidth="1"/>
    <col min="1286" max="1286" width="47.1640625" style="1963" customWidth="1"/>
    <col min="1287" max="1287" width="43.6640625" style="1963" customWidth="1"/>
    <col min="1288" max="1289" width="47.33203125" style="1963" customWidth="1"/>
    <col min="1290" max="1290" width="47.1640625" style="1963" customWidth="1"/>
    <col min="1291" max="1291" width="43.6640625" style="1963" customWidth="1"/>
    <col min="1292" max="1293" width="45" style="1963" customWidth="1"/>
    <col min="1294" max="1294" width="44.83203125" style="1963" customWidth="1"/>
    <col min="1295" max="1295" width="45" style="1963" customWidth="1"/>
    <col min="1296" max="1297" width="47.33203125" style="1963" customWidth="1"/>
    <col min="1298" max="1298" width="47.1640625" style="1963" customWidth="1"/>
    <col min="1299" max="1299" width="43.6640625" style="1963" customWidth="1"/>
    <col min="1300" max="1300" width="193.33203125" style="1963" customWidth="1"/>
    <col min="1301" max="1303" width="47.33203125" style="1963" customWidth="1"/>
    <col min="1304" max="1304" width="43.6640625" style="1963" customWidth="1"/>
    <col min="1305" max="1307" width="47.33203125" style="1963" customWidth="1"/>
    <col min="1308" max="1308" width="44" style="1963" customWidth="1"/>
    <col min="1309" max="1311" width="47.33203125" style="1963" customWidth="1"/>
    <col min="1312" max="1312" width="43.6640625" style="1963" customWidth="1"/>
    <col min="1313" max="1315" width="47.33203125" style="1963" customWidth="1"/>
    <col min="1316" max="1316" width="43.6640625" style="1963" customWidth="1"/>
    <col min="1317" max="1319" width="47.33203125" style="1963" customWidth="1"/>
    <col min="1320" max="1320" width="43.6640625" style="1963" customWidth="1"/>
    <col min="1321" max="1321" width="193.33203125" style="1963" customWidth="1"/>
    <col min="1322" max="1337" width="56" style="1963" customWidth="1"/>
    <col min="1338" max="1338" width="59" style="1963" customWidth="1"/>
    <col min="1339" max="1339" width="46" style="1963" customWidth="1"/>
    <col min="1340" max="1534" width="9.33203125" style="1963"/>
    <col min="1535" max="1535" width="193.33203125" style="1963" customWidth="1"/>
    <col min="1536" max="1536" width="47.1640625" style="1963" customWidth="1"/>
    <col min="1537" max="1537" width="47.33203125" style="1963" customWidth="1"/>
    <col min="1538" max="1538" width="47.1640625" style="1963" customWidth="1"/>
    <col min="1539" max="1539" width="43.6640625" style="1963" customWidth="1"/>
    <col min="1540" max="1541" width="47.33203125" style="1963" customWidth="1"/>
    <col min="1542" max="1542" width="47.1640625" style="1963" customWidth="1"/>
    <col min="1543" max="1543" width="43.6640625" style="1963" customWidth="1"/>
    <col min="1544" max="1545" width="47.33203125" style="1963" customWidth="1"/>
    <col min="1546" max="1546" width="47.1640625" style="1963" customWidth="1"/>
    <col min="1547" max="1547" width="43.6640625" style="1963" customWidth="1"/>
    <col min="1548" max="1549" width="45" style="1963" customWidth="1"/>
    <col min="1550" max="1550" width="44.83203125" style="1963" customWidth="1"/>
    <col min="1551" max="1551" width="45" style="1963" customWidth="1"/>
    <col min="1552" max="1553" width="47.33203125" style="1963" customWidth="1"/>
    <col min="1554" max="1554" width="47.1640625" style="1963" customWidth="1"/>
    <col min="1555" max="1555" width="43.6640625" style="1963" customWidth="1"/>
    <col min="1556" max="1556" width="193.33203125" style="1963" customWidth="1"/>
    <col min="1557" max="1559" width="47.33203125" style="1963" customWidth="1"/>
    <col min="1560" max="1560" width="43.6640625" style="1963" customWidth="1"/>
    <col min="1561" max="1563" width="47.33203125" style="1963" customWidth="1"/>
    <col min="1564" max="1564" width="44" style="1963" customWidth="1"/>
    <col min="1565" max="1567" width="47.33203125" style="1963" customWidth="1"/>
    <col min="1568" max="1568" width="43.6640625" style="1963" customWidth="1"/>
    <col min="1569" max="1571" width="47.33203125" style="1963" customWidth="1"/>
    <col min="1572" max="1572" width="43.6640625" style="1963" customWidth="1"/>
    <col min="1573" max="1575" width="47.33203125" style="1963" customWidth="1"/>
    <col min="1576" max="1576" width="43.6640625" style="1963" customWidth="1"/>
    <col min="1577" max="1577" width="193.33203125" style="1963" customWidth="1"/>
    <col min="1578" max="1593" width="56" style="1963" customWidth="1"/>
    <col min="1594" max="1594" width="59" style="1963" customWidth="1"/>
    <col min="1595" max="1595" width="46" style="1963" customWidth="1"/>
    <col min="1596" max="1790" width="9.33203125" style="1963"/>
    <col min="1791" max="1791" width="193.33203125" style="1963" customWidth="1"/>
    <col min="1792" max="1792" width="47.1640625" style="1963" customWidth="1"/>
    <col min="1793" max="1793" width="47.33203125" style="1963" customWidth="1"/>
    <col min="1794" max="1794" width="47.1640625" style="1963" customWidth="1"/>
    <col min="1795" max="1795" width="43.6640625" style="1963" customWidth="1"/>
    <col min="1796" max="1797" width="47.33203125" style="1963" customWidth="1"/>
    <col min="1798" max="1798" width="47.1640625" style="1963" customWidth="1"/>
    <col min="1799" max="1799" width="43.6640625" style="1963" customWidth="1"/>
    <col min="1800" max="1801" width="47.33203125" style="1963" customWidth="1"/>
    <col min="1802" max="1802" width="47.1640625" style="1963" customWidth="1"/>
    <col min="1803" max="1803" width="43.6640625" style="1963" customWidth="1"/>
    <col min="1804" max="1805" width="45" style="1963" customWidth="1"/>
    <col min="1806" max="1806" width="44.83203125" style="1963" customWidth="1"/>
    <col min="1807" max="1807" width="45" style="1963" customWidth="1"/>
    <col min="1808" max="1809" width="47.33203125" style="1963" customWidth="1"/>
    <col min="1810" max="1810" width="47.1640625" style="1963" customWidth="1"/>
    <col min="1811" max="1811" width="43.6640625" style="1963" customWidth="1"/>
    <col min="1812" max="1812" width="193.33203125" style="1963" customWidth="1"/>
    <col min="1813" max="1815" width="47.33203125" style="1963" customWidth="1"/>
    <col min="1816" max="1816" width="43.6640625" style="1963" customWidth="1"/>
    <col min="1817" max="1819" width="47.33203125" style="1963" customWidth="1"/>
    <col min="1820" max="1820" width="44" style="1963" customWidth="1"/>
    <col min="1821" max="1823" width="47.33203125" style="1963" customWidth="1"/>
    <col min="1824" max="1824" width="43.6640625" style="1963" customWidth="1"/>
    <col min="1825" max="1827" width="47.33203125" style="1963" customWidth="1"/>
    <col min="1828" max="1828" width="43.6640625" style="1963" customWidth="1"/>
    <col min="1829" max="1831" width="47.33203125" style="1963" customWidth="1"/>
    <col min="1832" max="1832" width="43.6640625" style="1963" customWidth="1"/>
    <col min="1833" max="1833" width="193.33203125" style="1963" customWidth="1"/>
    <col min="1834" max="1849" width="56" style="1963" customWidth="1"/>
    <col min="1850" max="1850" width="59" style="1963" customWidth="1"/>
    <col min="1851" max="1851" width="46" style="1963" customWidth="1"/>
    <col min="1852" max="2046" width="9.33203125" style="1963"/>
    <col min="2047" max="2047" width="193.33203125" style="1963" customWidth="1"/>
    <col min="2048" max="2048" width="47.1640625" style="1963" customWidth="1"/>
    <col min="2049" max="2049" width="47.33203125" style="1963" customWidth="1"/>
    <col min="2050" max="2050" width="47.1640625" style="1963" customWidth="1"/>
    <col min="2051" max="2051" width="43.6640625" style="1963" customWidth="1"/>
    <col min="2052" max="2053" width="47.33203125" style="1963" customWidth="1"/>
    <col min="2054" max="2054" width="47.1640625" style="1963" customWidth="1"/>
    <col min="2055" max="2055" width="43.6640625" style="1963" customWidth="1"/>
    <col min="2056" max="2057" width="47.33203125" style="1963" customWidth="1"/>
    <col min="2058" max="2058" width="47.1640625" style="1963" customWidth="1"/>
    <col min="2059" max="2059" width="43.6640625" style="1963" customWidth="1"/>
    <col min="2060" max="2061" width="45" style="1963" customWidth="1"/>
    <col min="2062" max="2062" width="44.83203125" style="1963" customWidth="1"/>
    <col min="2063" max="2063" width="45" style="1963" customWidth="1"/>
    <col min="2064" max="2065" width="47.33203125" style="1963" customWidth="1"/>
    <col min="2066" max="2066" width="47.1640625" style="1963" customWidth="1"/>
    <col min="2067" max="2067" width="43.6640625" style="1963" customWidth="1"/>
    <col min="2068" max="2068" width="193.33203125" style="1963" customWidth="1"/>
    <col min="2069" max="2071" width="47.33203125" style="1963" customWidth="1"/>
    <col min="2072" max="2072" width="43.6640625" style="1963" customWidth="1"/>
    <col min="2073" max="2075" width="47.33203125" style="1963" customWidth="1"/>
    <col min="2076" max="2076" width="44" style="1963" customWidth="1"/>
    <col min="2077" max="2079" width="47.33203125" style="1963" customWidth="1"/>
    <col min="2080" max="2080" width="43.6640625" style="1963" customWidth="1"/>
    <col min="2081" max="2083" width="47.33203125" style="1963" customWidth="1"/>
    <col min="2084" max="2084" width="43.6640625" style="1963" customWidth="1"/>
    <col min="2085" max="2087" width="47.33203125" style="1963" customWidth="1"/>
    <col min="2088" max="2088" width="43.6640625" style="1963" customWidth="1"/>
    <col min="2089" max="2089" width="193.33203125" style="1963" customWidth="1"/>
    <col min="2090" max="2105" width="56" style="1963" customWidth="1"/>
    <col min="2106" max="2106" width="59" style="1963" customWidth="1"/>
    <col min="2107" max="2107" width="46" style="1963" customWidth="1"/>
    <col min="2108" max="2302" width="9.33203125" style="1963"/>
    <col min="2303" max="2303" width="193.33203125" style="1963" customWidth="1"/>
    <col min="2304" max="2304" width="47.1640625" style="1963" customWidth="1"/>
    <col min="2305" max="2305" width="47.33203125" style="1963" customWidth="1"/>
    <col min="2306" max="2306" width="47.1640625" style="1963" customWidth="1"/>
    <col min="2307" max="2307" width="43.6640625" style="1963" customWidth="1"/>
    <col min="2308" max="2309" width="47.33203125" style="1963" customWidth="1"/>
    <col min="2310" max="2310" width="47.1640625" style="1963" customWidth="1"/>
    <col min="2311" max="2311" width="43.6640625" style="1963" customWidth="1"/>
    <col min="2312" max="2313" width="47.33203125" style="1963" customWidth="1"/>
    <col min="2314" max="2314" width="47.1640625" style="1963" customWidth="1"/>
    <col min="2315" max="2315" width="43.6640625" style="1963" customWidth="1"/>
    <col min="2316" max="2317" width="45" style="1963" customWidth="1"/>
    <col min="2318" max="2318" width="44.83203125" style="1963" customWidth="1"/>
    <col min="2319" max="2319" width="45" style="1963" customWidth="1"/>
    <col min="2320" max="2321" width="47.33203125" style="1963" customWidth="1"/>
    <col min="2322" max="2322" width="47.1640625" style="1963" customWidth="1"/>
    <col min="2323" max="2323" width="43.6640625" style="1963" customWidth="1"/>
    <col min="2324" max="2324" width="193.33203125" style="1963" customWidth="1"/>
    <col min="2325" max="2327" width="47.33203125" style="1963" customWidth="1"/>
    <col min="2328" max="2328" width="43.6640625" style="1963" customWidth="1"/>
    <col min="2329" max="2331" width="47.33203125" style="1963" customWidth="1"/>
    <col min="2332" max="2332" width="44" style="1963" customWidth="1"/>
    <col min="2333" max="2335" width="47.33203125" style="1963" customWidth="1"/>
    <col min="2336" max="2336" width="43.6640625" style="1963" customWidth="1"/>
    <col min="2337" max="2339" width="47.33203125" style="1963" customWidth="1"/>
    <col min="2340" max="2340" width="43.6640625" style="1963" customWidth="1"/>
    <col min="2341" max="2343" width="47.33203125" style="1963" customWidth="1"/>
    <col min="2344" max="2344" width="43.6640625" style="1963" customWidth="1"/>
    <col min="2345" max="2345" width="193.33203125" style="1963" customWidth="1"/>
    <col min="2346" max="2361" width="56" style="1963" customWidth="1"/>
    <col min="2362" max="2362" width="59" style="1963" customWidth="1"/>
    <col min="2363" max="2363" width="46" style="1963" customWidth="1"/>
    <col min="2364" max="2558" width="9.33203125" style="1963"/>
    <col min="2559" max="2559" width="193.33203125" style="1963" customWidth="1"/>
    <col min="2560" max="2560" width="47.1640625" style="1963" customWidth="1"/>
    <col min="2561" max="2561" width="47.33203125" style="1963" customWidth="1"/>
    <col min="2562" max="2562" width="47.1640625" style="1963" customWidth="1"/>
    <col min="2563" max="2563" width="43.6640625" style="1963" customWidth="1"/>
    <col min="2564" max="2565" width="47.33203125" style="1963" customWidth="1"/>
    <col min="2566" max="2566" width="47.1640625" style="1963" customWidth="1"/>
    <col min="2567" max="2567" width="43.6640625" style="1963" customWidth="1"/>
    <col min="2568" max="2569" width="47.33203125" style="1963" customWidth="1"/>
    <col min="2570" max="2570" width="47.1640625" style="1963" customWidth="1"/>
    <col min="2571" max="2571" width="43.6640625" style="1963" customWidth="1"/>
    <col min="2572" max="2573" width="45" style="1963" customWidth="1"/>
    <col min="2574" max="2574" width="44.83203125" style="1963" customWidth="1"/>
    <col min="2575" max="2575" width="45" style="1963" customWidth="1"/>
    <col min="2576" max="2577" width="47.33203125" style="1963" customWidth="1"/>
    <col min="2578" max="2578" width="47.1640625" style="1963" customWidth="1"/>
    <col min="2579" max="2579" width="43.6640625" style="1963" customWidth="1"/>
    <col min="2580" max="2580" width="193.33203125" style="1963" customWidth="1"/>
    <col min="2581" max="2583" width="47.33203125" style="1963" customWidth="1"/>
    <col min="2584" max="2584" width="43.6640625" style="1963" customWidth="1"/>
    <col min="2585" max="2587" width="47.33203125" style="1963" customWidth="1"/>
    <col min="2588" max="2588" width="44" style="1963" customWidth="1"/>
    <col min="2589" max="2591" width="47.33203125" style="1963" customWidth="1"/>
    <col min="2592" max="2592" width="43.6640625" style="1963" customWidth="1"/>
    <col min="2593" max="2595" width="47.33203125" style="1963" customWidth="1"/>
    <col min="2596" max="2596" width="43.6640625" style="1963" customWidth="1"/>
    <col min="2597" max="2599" width="47.33203125" style="1963" customWidth="1"/>
    <col min="2600" max="2600" width="43.6640625" style="1963" customWidth="1"/>
    <col min="2601" max="2601" width="193.33203125" style="1963" customWidth="1"/>
    <col min="2602" max="2617" width="56" style="1963" customWidth="1"/>
    <col min="2618" max="2618" width="59" style="1963" customWidth="1"/>
    <col min="2619" max="2619" width="46" style="1963" customWidth="1"/>
    <col min="2620" max="2814" width="9.33203125" style="1963"/>
    <col min="2815" max="2815" width="193.33203125" style="1963" customWidth="1"/>
    <col min="2816" max="2816" width="47.1640625" style="1963" customWidth="1"/>
    <col min="2817" max="2817" width="47.33203125" style="1963" customWidth="1"/>
    <col min="2818" max="2818" width="47.1640625" style="1963" customWidth="1"/>
    <col min="2819" max="2819" width="43.6640625" style="1963" customWidth="1"/>
    <col min="2820" max="2821" width="47.33203125" style="1963" customWidth="1"/>
    <col min="2822" max="2822" width="47.1640625" style="1963" customWidth="1"/>
    <col min="2823" max="2823" width="43.6640625" style="1963" customWidth="1"/>
    <col min="2824" max="2825" width="47.33203125" style="1963" customWidth="1"/>
    <col min="2826" max="2826" width="47.1640625" style="1963" customWidth="1"/>
    <col min="2827" max="2827" width="43.6640625" style="1963" customWidth="1"/>
    <col min="2828" max="2829" width="45" style="1963" customWidth="1"/>
    <col min="2830" max="2830" width="44.83203125" style="1963" customWidth="1"/>
    <col min="2831" max="2831" width="45" style="1963" customWidth="1"/>
    <col min="2832" max="2833" width="47.33203125" style="1963" customWidth="1"/>
    <col min="2834" max="2834" width="47.1640625" style="1963" customWidth="1"/>
    <col min="2835" max="2835" width="43.6640625" style="1963" customWidth="1"/>
    <col min="2836" max="2836" width="193.33203125" style="1963" customWidth="1"/>
    <col min="2837" max="2839" width="47.33203125" style="1963" customWidth="1"/>
    <col min="2840" max="2840" width="43.6640625" style="1963" customWidth="1"/>
    <col min="2841" max="2843" width="47.33203125" style="1963" customWidth="1"/>
    <col min="2844" max="2844" width="44" style="1963" customWidth="1"/>
    <col min="2845" max="2847" width="47.33203125" style="1963" customWidth="1"/>
    <col min="2848" max="2848" width="43.6640625" style="1963" customWidth="1"/>
    <col min="2849" max="2851" width="47.33203125" style="1963" customWidth="1"/>
    <col min="2852" max="2852" width="43.6640625" style="1963" customWidth="1"/>
    <col min="2853" max="2855" width="47.33203125" style="1963" customWidth="1"/>
    <col min="2856" max="2856" width="43.6640625" style="1963" customWidth="1"/>
    <col min="2857" max="2857" width="193.33203125" style="1963" customWidth="1"/>
    <col min="2858" max="2873" width="56" style="1963" customWidth="1"/>
    <col min="2874" max="2874" width="59" style="1963" customWidth="1"/>
    <col min="2875" max="2875" width="46" style="1963" customWidth="1"/>
    <col min="2876" max="3070" width="9.33203125" style="1963"/>
    <col min="3071" max="3071" width="193.33203125" style="1963" customWidth="1"/>
    <col min="3072" max="3072" width="47.1640625" style="1963" customWidth="1"/>
    <col min="3073" max="3073" width="47.33203125" style="1963" customWidth="1"/>
    <col min="3074" max="3074" width="47.1640625" style="1963" customWidth="1"/>
    <col min="3075" max="3075" width="43.6640625" style="1963" customWidth="1"/>
    <col min="3076" max="3077" width="47.33203125" style="1963" customWidth="1"/>
    <col min="3078" max="3078" width="47.1640625" style="1963" customWidth="1"/>
    <col min="3079" max="3079" width="43.6640625" style="1963" customWidth="1"/>
    <col min="3080" max="3081" width="47.33203125" style="1963" customWidth="1"/>
    <col min="3082" max="3082" width="47.1640625" style="1963" customWidth="1"/>
    <col min="3083" max="3083" width="43.6640625" style="1963" customWidth="1"/>
    <col min="3084" max="3085" width="45" style="1963" customWidth="1"/>
    <col min="3086" max="3086" width="44.83203125" style="1963" customWidth="1"/>
    <col min="3087" max="3087" width="45" style="1963" customWidth="1"/>
    <col min="3088" max="3089" width="47.33203125" style="1963" customWidth="1"/>
    <col min="3090" max="3090" width="47.1640625" style="1963" customWidth="1"/>
    <col min="3091" max="3091" width="43.6640625" style="1963" customWidth="1"/>
    <col min="3092" max="3092" width="193.33203125" style="1963" customWidth="1"/>
    <col min="3093" max="3095" width="47.33203125" style="1963" customWidth="1"/>
    <col min="3096" max="3096" width="43.6640625" style="1963" customWidth="1"/>
    <col min="3097" max="3099" width="47.33203125" style="1963" customWidth="1"/>
    <col min="3100" max="3100" width="44" style="1963" customWidth="1"/>
    <col min="3101" max="3103" width="47.33203125" style="1963" customWidth="1"/>
    <col min="3104" max="3104" width="43.6640625" style="1963" customWidth="1"/>
    <col min="3105" max="3107" width="47.33203125" style="1963" customWidth="1"/>
    <col min="3108" max="3108" width="43.6640625" style="1963" customWidth="1"/>
    <col min="3109" max="3111" width="47.33203125" style="1963" customWidth="1"/>
    <col min="3112" max="3112" width="43.6640625" style="1963" customWidth="1"/>
    <col min="3113" max="3113" width="193.33203125" style="1963" customWidth="1"/>
    <col min="3114" max="3129" width="56" style="1963" customWidth="1"/>
    <col min="3130" max="3130" width="59" style="1963" customWidth="1"/>
    <col min="3131" max="3131" width="46" style="1963" customWidth="1"/>
    <col min="3132" max="3326" width="9.33203125" style="1963"/>
    <col min="3327" max="3327" width="193.33203125" style="1963" customWidth="1"/>
    <col min="3328" max="3328" width="47.1640625" style="1963" customWidth="1"/>
    <col min="3329" max="3329" width="47.33203125" style="1963" customWidth="1"/>
    <col min="3330" max="3330" width="47.1640625" style="1963" customWidth="1"/>
    <col min="3331" max="3331" width="43.6640625" style="1963" customWidth="1"/>
    <col min="3332" max="3333" width="47.33203125" style="1963" customWidth="1"/>
    <col min="3334" max="3334" width="47.1640625" style="1963" customWidth="1"/>
    <col min="3335" max="3335" width="43.6640625" style="1963" customWidth="1"/>
    <col min="3336" max="3337" width="47.33203125" style="1963" customWidth="1"/>
    <col min="3338" max="3338" width="47.1640625" style="1963" customWidth="1"/>
    <col min="3339" max="3339" width="43.6640625" style="1963" customWidth="1"/>
    <col min="3340" max="3341" width="45" style="1963" customWidth="1"/>
    <col min="3342" max="3342" width="44.83203125" style="1963" customWidth="1"/>
    <col min="3343" max="3343" width="45" style="1963" customWidth="1"/>
    <col min="3344" max="3345" width="47.33203125" style="1963" customWidth="1"/>
    <col min="3346" max="3346" width="47.1640625" style="1963" customWidth="1"/>
    <col min="3347" max="3347" width="43.6640625" style="1963" customWidth="1"/>
    <col min="3348" max="3348" width="193.33203125" style="1963" customWidth="1"/>
    <col min="3349" max="3351" width="47.33203125" style="1963" customWidth="1"/>
    <col min="3352" max="3352" width="43.6640625" style="1963" customWidth="1"/>
    <col min="3353" max="3355" width="47.33203125" style="1963" customWidth="1"/>
    <col min="3356" max="3356" width="44" style="1963" customWidth="1"/>
    <col min="3357" max="3359" width="47.33203125" style="1963" customWidth="1"/>
    <col min="3360" max="3360" width="43.6640625" style="1963" customWidth="1"/>
    <col min="3361" max="3363" width="47.33203125" style="1963" customWidth="1"/>
    <col min="3364" max="3364" width="43.6640625" style="1963" customWidth="1"/>
    <col min="3365" max="3367" width="47.33203125" style="1963" customWidth="1"/>
    <col min="3368" max="3368" width="43.6640625" style="1963" customWidth="1"/>
    <col min="3369" max="3369" width="193.33203125" style="1963" customWidth="1"/>
    <col min="3370" max="3385" width="56" style="1963" customWidth="1"/>
    <col min="3386" max="3386" width="59" style="1963" customWidth="1"/>
    <col min="3387" max="3387" width="46" style="1963" customWidth="1"/>
    <col min="3388" max="3582" width="9.33203125" style="1963"/>
    <col min="3583" max="3583" width="193.33203125" style="1963" customWidth="1"/>
    <col min="3584" max="3584" width="47.1640625" style="1963" customWidth="1"/>
    <col min="3585" max="3585" width="47.33203125" style="1963" customWidth="1"/>
    <col min="3586" max="3586" width="47.1640625" style="1963" customWidth="1"/>
    <col min="3587" max="3587" width="43.6640625" style="1963" customWidth="1"/>
    <col min="3588" max="3589" width="47.33203125" style="1963" customWidth="1"/>
    <col min="3590" max="3590" width="47.1640625" style="1963" customWidth="1"/>
    <col min="3591" max="3591" width="43.6640625" style="1963" customWidth="1"/>
    <col min="3592" max="3593" width="47.33203125" style="1963" customWidth="1"/>
    <col min="3594" max="3594" width="47.1640625" style="1963" customWidth="1"/>
    <col min="3595" max="3595" width="43.6640625" style="1963" customWidth="1"/>
    <col min="3596" max="3597" width="45" style="1963" customWidth="1"/>
    <col min="3598" max="3598" width="44.83203125" style="1963" customWidth="1"/>
    <col min="3599" max="3599" width="45" style="1963" customWidth="1"/>
    <col min="3600" max="3601" width="47.33203125" style="1963" customWidth="1"/>
    <col min="3602" max="3602" width="47.1640625" style="1963" customWidth="1"/>
    <col min="3603" max="3603" width="43.6640625" style="1963" customWidth="1"/>
    <col min="3604" max="3604" width="193.33203125" style="1963" customWidth="1"/>
    <col min="3605" max="3607" width="47.33203125" style="1963" customWidth="1"/>
    <col min="3608" max="3608" width="43.6640625" style="1963" customWidth="1"/>
    <col min="3609" max="3611" width="47.33203125" style="1963" customWidth="1"/>
    <col min="3612" max="3612" width="44" style="1963" customWidth="1"/>
    <col min="3613" max="3615" width="47.33203125" style="1963" customWidth="1"/>
    <col min="3616" max="3616" width="43.6640625" style="1963" customWidth="1"/>
    <col min="3617" max="3619" width="47.33203125" style="1963" customWidth="1"/>
    <col min="3620" max="3620" width="43.6640625" style="1963" customWidth="1"/>
    <col min="3621" max="3623" width="47.33203125" style="1963" customWidth="1"/>
    <col min="3624" max="3624" width="43.6640625" style="1963" customWidth="1"/>
    <col min="3625" max="3625" width="193.33203125" style="1963" customWidth="1"/>
    <col min="3626" max="3641" width="56" style="1963" customWidth="1"/>
    <col min="3642" max="3642" width="59" style="1963" customWidth="1"/>
    <col min="3643" max="3643" width="46" style="1963" customWidth="1"/>
    <col min="3644" max="3838" width="9.33203125" style="1963"/>
    <col min="3839" max="3839" width="193.33203125" style="1963" customWidth="1"/>
    <col min="3840" max="3840" width="47.1640625" style="1963" customWidth="1"/>
    <col min="3841" max="3841" width="47.33203125" style="1963" customWidth="1"/>
    <col min="3842" max="3842" width="47.1640625" style="1963" customWidth="1"/>
    <col min="3843" max="3843" width="43.6640625" style="1963" customWidth="1"/>
    <col min="3844" max="3845" width="47.33203125" style="1963" customWidth="1"/>
    <col min="3846" max="3846" width="47.1640625" style="1963" customWidth="1"/>
    <col min="3847" max="3847" width="43.6640625" style="1963" customWidth="1"/>
    <col min="3848" max="3849" width="47.33203125" style="1963" customWidth="1"/>
    <col min="3850" max="3850" width="47.1640625" style="1963" customWidth="1"/>
    <col min="3851" max="3851" width="43.6640625" style="1963" customWidth="1"/>
    <col min="3852" max="3853" width="45" style="1963" customWidth="1"/>
    <col min="3854" max="3854" width="44.83203125" style="1963" customWidth="1"/>
    <col min="3855" max="3855" width="45" style="1963" customWidth="1"/>
    <col min="3856" max="3857" width="47.33203125" style="1963" customWidth="1"/>
    <col min="3858" max="3858" width="47.1640625" style="1963" customWidth="1"/>
    <col min="3859" max="3859" width="43.6640625" style="1963" customWidth="1"/>
    <col min="3860" max="3860" width="193.33203125" style="1963" customWidth="1"/>
    <col min="3861" max="3863" width="47.33203125" style="1963" customWidth="1"/>
    <col min="3864" max="3864" width="43.6640625" style="1963" customWidth="1"/>
    <col min="3865" max="3867" width="47.33203125" style="1963" customWidth="1"/>
    <col min="3868" max="3868" width="44" style="1963" customWidth="1"/>
    <col min="3869" max="3871" width="47.33203125" style="1963" customWidth="1"/>
    <col min="3872" max="3872" width="43.6640625" style="1963" customWidth="1"/>
    <col min="3873" max="3875" width="47.33203125" style="1963" customWidth="1"/>
    <col min="3876" max="3876" width="43.6640625" style="1963" customWidth="1"/>
    <col min="3877" max="3879" width="47.33203125" style="1963" customWidth="1"/>
    <col min="3880" max="3880" width="43.6640625" style="1963" customWidth="1"/>
    <col min="3881" max="3881" width="193.33203125" style="1963" customWidth="1"/>
    <col min="3882" max="3897" width="56" style="1963" customWidth="1"/>
    <col min="3898" max="3898" width="59" style="1963" customWidth="1"/>
    <col min="3899" max="3899" width="46" style="1963" customWidth="1"/>
    <col min="3900" max="4094" width="9.33203125" style="1963"/>
    <col min="4095" max="4095" width="193.33203125" style="1963" customWidth="1"/>
    <col min="4096" max="4096" width="47.1640625" style="1963" customWidth="1"/>
    <col min="4097" max="4097" width="47.33203125" style="1963" customWidth="1"/>
    <col min="4098" max="4098" width="47.1640625" style="1963" customWidth="1"/>
    <col min="4099" max="4099" width="43.6640625" style="1963" customWidth="1"/>
    <col min="4100" max="4101" width="47.33203125" style="1963" customWidth="1"/>
    <col min="4102" max="4102" width="47.1640625" style="1963" customWidth="1"/>
    <col min="4103" max="4103" width="43.6640625" style="1963" customWidth="1"/>
    <col min="4104" max="4105" width="47.33203125" style="1963" customWidth="1"/>
    <col min="4106" max="4106" width="47.1640625" style="1963" customWidth="1"/>
    <col min="4107" max="4107" width="43.6640625" style="1963" customWidth="1"/>
    <col min="4108" max="4109" width="45" style="1963" customWidth="1"/>
    <col min="4110" max="4110" width="44.83203125" style="1963" customWidth="1"/>
    <col min="4111" max="4111" width="45" style="1963" customWidth="1"/>
    <col min="4112" max="4113" width="47.33203125" style="1963" customWidth="1"/>
    <col min="4114" max="4114" width="47.1640625" style="1963" customWidth="1"/>
    <col min="4115" max="4115" width="43.6640625" style="1963" customWidth="1"/>
    <col min="4116" max="4116" width="193.33203125" style="1963" customWidth="1"/>
    <col min="4117" max="4119" width="47.33203125" style="1963" customWidth="1"/>
    <col min="4120" max="4120" width="43.6640625" style="1963" customWidth="1"/>
    <col min="4121" max="4123" width="47.33203125" style="1963" customWidth="1"/>
    <col min="4124" max="4124" width="44" style="1963" customWidth="1"/>
    <col min="4125" max="4127" width="47.33203125" style="1963" customWidth="1"/>
    <col min="4128" max="4128" width="43.6640625" style="1963" customWidth="1"/>
    <col min="4129" max="4131" width="47.33203125" style="1963" customWidth="1"/>
    <col min="4132" max="4132" width="43.6640625" style="1963" customWidth="1"/>
    <col min="4133" max="4135" width="47.33203125" style="1963" customWidth="1"/>
    <col min="4136" max="4136" width="43.6640625" style="1963" customWidth="1"/>
    <col min="4137" max="4137" width="193.33203125" style="1963" customWidth="1"/>
    <col min="4138" max="4153" width="56" style="1963" customWidth="1"/>
    <col min="4154" max="4154" width="59" style="1963" customWidth="1"/>
    <col min="4155" max="4155" width="46" style="1963" customWidth="1"/>
    <col min="4156" max="4350" width="9.33203125" style="1963"/>
    <col min="4351" max="4351" width="193.33203125" style="1963" customWidth="1"/>
    <col min="4352" max="4352" width="47.1640625" style="1963" customWidth="1"/>
    <col min="4353" max="4353" width="47.33203125" style="1963" customWidth="1"/>
    <col min="4354" max="4354" width="47.1640625" style="1963" customWidth="1"/>
    <col min="4355" max="4355" width="43.6640625" style="1963" customWidth="1"/>
    <col min="4356" max="4357" width="47.33203125" style="1963" customWidth="1"/>
    <col min="4358" max="4358" width="47.1640625" style="1963" customWidth="1"/>
    <col min="4359" max="4359" width="43.6640625" style="1963" customWidth="1"/>
    <col min="4360" max="4361" width="47.33203125" style="1963" customWidth="1"/>
    <col min="4362" max="4362" width="47.1640625" style="1963" customWidth="1"/>
    <col min="4363" max="4363" width="43.6640625" style="1963" customWidth="1"/>
    <col min="4364" max="4365" width="45" style="1963" customWidth="1"/>
    <col min="4366" max="4366" width="44.83203125" style="1963" customWidth="1"/>
    <col min="4367" max="4367" width="45" style="1963" customWidth="1"/>
    <col min="4368" max="4369" width="47.33203125" style="1963" customWidth="1"/>
    <col min="4370" max="4370" width="47.1640625" style="1963" customWidth="1"/>
    <col min="4371" max="4371" width="43.6640625" style="1963" customWidth="1"/>
    <col min="4372" max="4372" width="193.33203125" style="1963" customWidth="1"/>
    <col min="4373" max="4375" width="47.33203125" style="1963" customWidth="1"/>
    <col min="4376" max="4376" width="43.6640625" style="1963" customWidth="1"/>
    <col min="4377" max="4379" width="47.33203125" style="1963" customWidth="1"/>
    <col min="4380" max="4380" width="44" style="1963" customWidth="1"/>
    <col min="4381" max="4383" width="47.33203125" style="1963" customWidth="1"/>
    <col min="4384" max="4384" width="43.6640625" style="1963" customWidth="1"/>
    <col min="4385" max="4387" width="47.33203125" style="1963" customWidth="1"/>
    <col min="4388" max="4388" width="43.6640625" style="1963" customWidth="1"/>
    <col min="4389" max="4391" width="47.33203125" style="1963" customWidth="1"/>
    <col min="4392" max="4392" width="43.6640625" style="1963" customWidth="1"/>
    <col min="4393" max="4393" width="193.33203125" style="1963" customWidth="1"/>
    <col min="4394" max="4409" width="56" style="1963" customWidth="1"/>
    <col min="4410" max="4410" width="59" style="1963" customWidth="1"/>
    <col min="4411" max="4411" width="46" style="1963" customWidth="1"/>
    <col min="4412" max="4606" width="9.33203125" style="1963"/>
    <col min="4607" max="4607" width="193.33203125" style="1963" customWidth="1"/>
    <col min="4608" max="4608" width="47.1640625" style="1963" customWidth="1"/>
    <col min="4609" max="4609" width="47.33203125" style="1963" customWidth="1"/>
    <col min="4610" max="4610" width="47.1640625" style="1963" customWidth="1"/>
    <col min="4611" max="4611" width="43.6640625" style="1963" customWidth="1"/>
    <col min="4612" max="4613" width="47.33203125" style="1963" customWidth="1"/>
    <col min="4614" max="4614" width="47.1640625" style="1963" customWidth="1"/>
    <col min="4615" max="4615" width="43.6640625" style="1963" customWidth="1"/>
    <col min="4616" max="4617" width="47.33203125" style="1963" customWidth="1"/>
    <col min="4618" max="4618" width="47.1640625" style="1963" customWidth="1"/>
    <col min="4619" max="4619" width="43.6640625" style="1963" customWidth="1"/>
    <col min="4620" max="4621" width="45" style="1963" customWidth="1"/>
    <col min="4622" max="4622" width="44.83203125" style="1963" customWidth="1"/>
    <col min="4623" max="4623" width="45" style="1963" customWidth="1"/>
    <col min="4624" max="4625" width="47.33203125" style="1963" customWidth="1"/>
    <col min="4626" max="4626" width="47.1640625" style="1963" customWidth="1"/>
    <col min="4627" max="4627" width="43.6640625" style="1963" customWidth="1"/>
    <col min="4628" max="4628" width="193.33203125" style="1963" customWidth="1"/>
    <col min="4629" max="4631" width="47.33203125" style="1963" customWidth="1"/>
    <col min="4632" max="4632" width="43.6640625" style="1963" customWidth="1"/>
    <col min="4633" max="4635" width="47.33203125" style="1963" customWidth="1"/>
    <col min="4636" max="4636" width="44" style="1963" customWidth="1"/>
    <col min="4637" max="4639" width="47.33203125" style="1963" customWidth="1"/>
    <col min="4640" max="4640" width="43.6640625" style="1963" customWidth="1"/>
    <col min="4641" max="4643" width="47.33203125" style="1963" customWidth="1"/>
    <col min="4644" max="4644" width="43.6640625" style="1963" customWidth="1"/>
    <col min="4645" max="4647" width="47.33203125" style="1963" customWidth="1"/>
    <col min="4648" max="4648" width="43.6640625" style="1963" customWidth="1"/>
    <col min="4649" max="4649" width="193.33203125" style="1963" customWidth="1"/>
    <col min="4650" max="4665" width="56" style="1963" customWidth="1"/>
    <col min="4666" max="4666" width="59" style="1963" customWidth="1"/>
    <col min="4667" max="4667" width="46" style="1963" customWidth="1"/>
    <col min="4668" max="4862" width="9.33203125" style="1963"/>
    <col min="4863" max="4863" width="193.33203125" style="1963" customWidth="1"/>
    <col min="4864" max="4864" width="47.1640625" style="1963" customWidth="1"/>
    <col min="4865" max="4865" width="47.33203125" style="1963" customWidth="1"/>
    <col min="4866" max="4866" width="47.1640625" style="1963" customWidth="1"/>
    <col min="4867" max="4867" width="43.6640625" style="1963" customWidth="1"/>
    <col min="4868" max="4869" width="47.33203125" style="1963" customWidth="1"/>
    <col min="4870" max="4870" width="47.1640625" style="1963" customWidth="1"/>
    <col min="4871" max="4871" width="43.6640625" style="1963" customWidth="1"/>
    <col min="4872" max="4873" width="47.33203125" style="1963" customWidth="1"/>
    <col min="4874" max="4874" width="47.1640625" style="1963" customWidth="1"/>
    <col min="4875" max="4875" width="43.6640625" style="1963" customWidth="1"/>
    <col min="4876" max="4877" width="45" style="1963" customWidth="1"/>
    <col min="4878" max="4878" width="44.83203125" style="1963" customWidth="1"/>
    <col min="4879" max="4879" width="45" style="1963" customWidth="1"/>
    <col min="4880" max="4881" width="47.33203125" style="1963" customWidth="1"/>
    <col min="4882" max="4882" width="47.1640625" style="1963" customWidth="1"/>
    <col min="4883" max="4883" width="43.6640625" style="1963" customWidth="1"/>
    <col min="4884" max="4884" width="193.33203125" style="1963" customWidth="1"/>
    <col min="4885" max="4887" width="47.33203125" style="1963" customWidth="1"/>
    <col min="4888" max="4888" width="43.6640625" style="1963" customWidth="1"/>
    <col min="4889" max="4891" width="47.33203125" style="1963" customWidth="1"/>
    <col min="4892" max="4892" width="44" style="1963" customWidth="1"/>
    <col min="4893" max="4895" width="47.33203125" style="1963" customWidth="1"/>
    <col min="4896" max="4896" width="43.6640625" style="1963" customWidth="1"/>
    <col min="4897" max="4899" width="47.33203125" style="1963" customWidth="1"/>
    <col min="4900" max="4900" width="43.6640625" style="1963" customWidth="1"/>
    <col min="4901" max="4903" width="47.33203125" style="1963" customWidth="1"/>
    <col min="4904" max="4904" width="43.6640625" style="1963" customWidth="1"/>
    <col min="4905" max="4905" width="193.33203125" style="1963" customWidth="1"/>
    <col min="4906" max="4921" width="56" style="1963" customWidth="1"/>
    <col min="4922" max="4922" width="59" style="1963" customWidth="1"/>
    <col min="4923" max="4923" width="46" style="1963" customWidth="1"/>
    <col min="4924" max="5118" width="9.33203125" style="1963"/>
    <col min="5119" max="5119" width="193.33203125" style="1963" customWidth="1"/>
    <col min="5120" max="5120" width="47.1640625" style="1963" customWidth="1"/>
    <col min="5121" max="5121" width="47.33203125" style="1963" customWidth="1"/>
    <col min="5122" max="5122" width="47.1640625" style="1963" customWidth="1"/>
    <col min="5123" max="5123" width="43.6640625" style="1963" customWidth="1"/>
    <col min="5124" max="5125" width="47.33203125" style="1963" customWidth="1"/>
    <col min="5126" max="5126" width="47.1640625" style="1963" customWidth="1"/>
    <col min="5127" max="5127" width="43.6640625" style="1963" customWidth="1"/>
    <col min="5128" max="5129" width="47.33203125" style="1963" customWidth="1"/>
    <col min="5130" max="5130" width="47.1640625" style="1963" customWidth="1"/>
    <col min="5131" max="5131" width="43.6640625" style="1963" customWidth="1"/>
    <col min="5132" max="5133" width="45" style="1963" customWidth="1"/>
    <col min="5134" max="5134" width="44.83203125" style="1963" customWidth="1"/>
    <col min="5135" max="5135" width="45" style="1963" customWidth="1"/>
    <col min="5136" max="5137" width="47.33203125" style="1963" customWidth="1"/>
    <col min="5138" max="5138" width="47.1640625" style="1963" customWidth="1"/>
    <col min="5139" max="5139" width="43.6640625" style="1963" customWidth="1"/>
    <col min="5140" max="5140" width="193.33203125" style="1963" customWidth="1"/>
    <col min="5141" max="5143" width="47.33203125" style="1963" customWidth="1"/>
    <col min="5144" max="5144" width="43.6640625" style="1963" customWidth="1"/>
    <col min="5145" max="5147" width="47.33203125" style="1963" customWidth="1"/>
    <col min="5148" max="5148" width="44" style="1963" customWidth="1"/>
    <col min="5149" max="5151" width="47.33203125" style="1963" customWidth="1"/>
    <col min="5152" max="5152" width="43.6640625" style="1963" customWidth="1"/>
    <col min="5153" max="5155" width="47.33203125" style="1963" customWidth="1"/>
    <col min="5156" max="5156" width="43.6640625" style="1963" customWidth="1"/>
    <col min="5157" max="5159" width="47.33203125" style="1963" customWidth="1"/>
    <col min="5160" max="5160" width="43.6640625" style="1963" customWidth="1"/>
    <col min="5161" max="5161" width="193.33203125" style="1963" customWidth="1"/>
    <col min="5162" max="5177" width="56" style="1963" customWidth="1"/>
    <col min="5178" max="5178" width="59" style="1963" customWidth="1"/>
    <col min="5179" max="5179" width="46" style="1963" customWidth="1"/>
    <col min="5180" max="5374" width="9.33203125" style="1963"/>
    <col min="5375" max="5375" width="193.33203125" style="1963" customWidth="1"/>
    <col min="5376" max="5376" width="47.1640625" style="1963" customWidth="1"/>
    <col min="5377" max="5377" width="47.33203125" style="1963" customWidth="1"/>
    <col min="5378" max="5378" width="47.1640625" style="1963" customWidth="1"/>
    <col min="5379" max="5379" width="43.6640625" style="1963" customWidth="1"/>
    <col min="5380" max="5381" width="47.33203125" style="1963" customWidth="1"/>
    <col min="5382" max="5382" width="47.1640625" style="1963" customWidth="1"/>
    <col min="5383" max="5383" width="43.6640625" style="1963" customWidth="1"/>
    <col min="5384" max="5385" width="47.33203125" style="1963" customWidth="1"/>
    <col min="5386" max="5386" width="47.1640625" style="1963" customWidth="1"/>
    <col min="5387" max="5387" width="43.6640625" style="1963" customWidth="1"/>
    <col min="5388" max="5389" width="45" style="1963" customWidth="1"/>
    <col min="5390" max="5390" width="44.83203125" style="1963" customWidth="1"/>
    <col min="5391" max="5391" width="45" style="1963" customWidth="1"/>
    <col min="5392" max="5393" width="47.33203125" style="1963" customWidth="1"/>
    <col min="5394" max="5394" width="47.1640625" style="1963" customWidth="1"/>
    <col min="5395" max="5395" width="43.6640625" style="1963" customWidth="1"/>
    <col min="5396" max="5396" width="193.33203125" style="1963" customWidth="1"/>
    <col min="5397" max="5399" width="47.33203125" style="1963" customWidth="1"/>
    <col min="5400" max="5400" width="43.6640625" style="1963" customWidth="1"/>
    <col min="5401" max="5403" width="47.33203125" style="1963" customWidth="1"/>
    <col min="5404" max="5404" width="44" style="1963" customWidth="1"/>
    <col min="5405" max="5407" width="47.33203125" style="1963" customWidth="1"/>
    <col min="5408" max="5408" width="43.6640625" style="1963" customWidth="1"/>
    <col min="5409" max="5411" width="47.33203125" style="1963" customWidth="1"/>
    <col min="5412" max="5412" width="43.6640625" style="1963" customWidth="1"/>
    <col min="5413" max="5415" width="47.33203125" style="1963" customWidth="1"/>
    <col min="5416" max="5416" width="43.6640625" style="1963" customWidth="1"/>
    <col min="5417" max="5417" width="193.33203125" style="1963" customWidth="1"/>
    <col min="5418" max="5433" width="56" style="1963" customWidth="1"/>
    <col min="5434" max="5434" width="59" style="1963" customWidth="1"/>
    <col min="5435" max="5435" width="46" style="1963" customWidth="1"/>
    <col min="5436" max="5630" width="9.33203125" style="1963"/>
    <col min="5631" max="5631" width="193.33203125" style="1963" customWidth="1"/>
    <col min="5632" max="5632" width="47.1640625" style="1963" customWidth="1"/>
    <col min="5633" max="5633" width="47.33203125" style="1963" customWidth="1"/>
    <col min="5634" max="5634" width="47.1640625" style="1963" customWidth="1"/>
    <col min="5635" max="5635" width="43.6640625" style="1963" customWidth="1"/>
    <col min="5636" max="5637" width="47.33203125" style="1963" customWidth="1"/>
    <col min="5638" max="5638" width="47.1640625" style="1963" customWidth="1"/>
    <col min="5639" max="5639" width="43.6640625" style="1963" customWidth="1"/>
    <col min="5640" max="5641" width="47.33203125" style="1963" customWidth="1"/>
    <col min="5642" max="5642" width="47.1640625" style="1963" customWidth="1"/>
    <col min="5643" max="5643" width="43.6640625" style="1963" customWidth="1"/>
    <col min="5644" max="5645" width="45" style="1963" customWidth="1"/>
    <col min="5646" max="5646" width="44.83203125" style="1963" customWidth="1"/>
    <col min="5647" max="5647" width="45" style="1963" customWidth="1"/>
    <col min="5648" max="5649" width="47.33203125" style="1963" customWidth="1"/>
    <col min="5650" max="5650" width="47.1640625" style="1963" customWidth="1"/>
    <col min="5651" max="5651" width="43.6640625" style="1963" customWidth="1"/>
    <col min="5652" max="5652" width="193.33203125" style="1963" customWidth="1"/>
    <col min="5653" max="5655" width="47.33203125" style="1963" customWidth="1"/>
    <col min="5656" max="5656" width="43.6640625" style="1963" customWidth="1"/>
    <col min="5657" max="5659" width="47.33203125" style="1963" customWidth="1"/>
    <col min="5660" max="5660" width="44" style="1963" customWidth="1"/>
    <col min="5661" max="5663" width="47.33203125" style="1963" customWidth="1"/>
    <col min="5664" max="5664" width="43.6640625" style="1963" customWidth="1"/>
    <col min="5665" max="5667" width="47.33203125" style="1963" customWidth="1"/>
    <col min="5668" max="5668" width="43.6640625" style="1963" customWidth="1"/>
    <col min="5669" max="5671" width="47.33203125" style="1963" customWidth="1"/>
    <col min="5672" max="5672" width="43.6640625" style="1963" customWidth="1"/>
    <col min="5673" max="5673" width="193.33203125" style="1963" customWidth="1"/>
    <col min="5674" max="5689" width="56" style="1963" customWidth="1"/>
    <col min="5690" max="5690" width="59" style="1963" customWidth="1"/>
    <col min="5691" max="5691" width="46" style="1963" customWidth="1"/>
    <col min="5692" max="5886" width="9.33203125" style="1963"/>
    <col min="5887" max="5887" width="193.33203125" style="1963" customWidth="1"/>
    <col min="5888" max="5888" width="47.1640625" style="1963" customWidth="1"/>
    <col min="5889" max="5889" width="47.33203125" style="1963" customWidth="1"/>
    <col min="5890" max="5890" width="47.1640625" style="1963" customWidth="1"/>
    <col min="5891" max="5891" width="43.6640625" style="1963" customWidth="1"/>
    <col min="5892" max="5893" width="47.33203125" style="1963" customWidth="1"/>
    <col min="5894" max="5894" width="47.1640625" style="1963" customWidth="1"/>
    <col min="5895" max="5895" width="43.6640625" style="1963" customWidth="1"/>
    <col min="5896" max="5897" width="47.33203125" style="1963" customWidth="1"/>
    <col min="5898" max="5898" width="47.1640625" style="1963" customWidth="1"/>
    <col min="5899" max="5899" width="43.6640625" style="1963" customWidth="1"/>
    <col min="5900" max="5901" width="45" style="1963" customWidth="1"/>
    <col min="5902" max="5902" width="44.83203125" style="1963" customWidth="1"/>
    <col min="5903" max="5903" width="45" style="1963" customWidth="1"/>
    <col min="5904" max="5905" width="47.33203125" style="1963" customWidth="1"/>
    <col min="5906" max="5906" width="47.1640625" style="1963" customWidth="1"/>
    <col min="5907" max="5907" width="43.6640625" style="1963" customWidth="1"/>
    <col min="5908" max="5908" width="193.33203125" style="1963" customWidth="1"/>
    <col min="5909" max="5911" width="47.33203125" style="1963" customWidth="1"/>
    <col min="5912" max="5912" width="43.6640625" style="1963" customWidth="1"/>
    <col min="5913" max="5915" width="47.33203125" style="1963" customWidth="1"/>
    <col min="5916" max="5916" width="44" style="1963" customWidth="1"/>
    <col min="5917" max="5919" width="47.33203125" style="1963" customWidth="1"/>
    <col min="5920" max="5920" width="43.6640625" style="1963" customWidth="1"/>
    <col min="5921" max="5923" width="47.33203125" style="1963" customWidth="1"/>
    <col min="5924" max="5924" width="43.6640625" style="1963" customWidth="1"/>
    <col min="5925" max="5927" width="47.33203125" style="1963" customWidth="1"/>
    <col min="5928" max="5928" width="43.6640625" style="1963" customWidth="1"/>
    <col min="5929" max="5929" width="193.33203125" style="1963" customWidth="1"/>
    <col min="5930" max="5945" width="56" style="1963" customWidth="1"/>
    <col min="5946" max="5946" width="59" style="1963" customWidth="1"/>
    <col min="5947" max="5947" width="46" style="1963" customWidth="1"/>
    <col min="5948" max="6142" width="9.33203125" style="1963"/>
    <col min="6143" max="6143" width="193.33203125" style="1963" customWidth="1"/>
    <col min="6144" max="6144" width="47.1640625" style="1963" customWidth="1"/>
    <col min="6145" max="6145" width="47.33203125" style="1963" customWidth="1"/>
    <col min="6146" max="6146" width="47.1640625" style="1963" customWidth="1"/>
    <col min="6147" max="6147" width="43.6640625" style="1963" customWidth="1"/>
    <col min="6148" max="6149" width="47.33203125" style="1963" customWidth="1"/>
    <col min="6150" max="6150" width="47.1640625" style="1963" customWidth="1"/>
    <col min="6151" max="6151" width="43.6640625" style="1963" customWidth="1"/>
    <col min="6152" max="6153" width="47.33203125" style="1963" customWidth="1"/>
    <col min="6154" max="6154" width="47.1640625" style="1963" customWidth="1"/>
    <col min="6155" max="6155" width="43.6640625" style="1963" customWidth="1"/>
    <col min="6156" max="6157" width="45" style="1963" customWidth="1"/>
    <col min="6158" max="6158" width="44.83203125" style="1963" customWidth="1"/>
    <col min="6159" max="6159" width="45" style="1963" customWidth="1"/>
    <col min="6160" max="6161" width="47.33203125" style="1963" customWidth="1"/>
    <col min="6162" max="6162" width="47.1640625" style="1963" customWidth="1"/>
    <col min="6163" max="6163" width="43.6640625" style="1963" customWidth="1"/>
    <col min="6164" max="6164" width="193.33203125" style="1963" customWidth="1"/>
    <col min="6165" max="6167" width="47.33203125" style="1963" customWidth="1"/>
    <col min="6168" max="6168" width="43.6640625" style="1963" customWidth="1"/>
    <col min="6169" max="6171" width="47.33203125" style="1963" customWidth="1"/>
    <col min="6172" max="6172" width="44" style="1963" customWidth="1"/>
    <col min="6173" max="6175" width="47.33203125" style="1963" customWidth="1"/>
    <col min="6176" max="6176" width="43.6640625" style="1963" customWidth="1"/>
    <col min="6177" max="6179" width="47.33203125" style="1963" customWidth="1"/>
    <col min="6180" max="6180" width="43.6640625" style="1963" customWidth="1"/>
    <col min="6181" max="6183" width="47.33203125" style="1963" customWidth="1"/>
    <col min="6184" max="6184" width="43.6640625" style="1963" customWidth="1"/>
    <col min="6185" max="6185" width="193.33203125" style="1963" customWidth="1"/>
    <col min="6186" max="6201" width="56" style="1963" customWidth="1"/>
    <col min="6202" max="6202" width="59" style="1963" customWidth="1"/>
    <col min="6203" max="6203" width="46" style="1963" customWidth="1"/>
    <col min="6204" max="6398" width="9.33203125" style="1963"/>
    <col min="6399" max="6399" width="193.33203125" style="1963" customWidth="1"/>
    <col min="6400" max="6400" width="47.1640625" style="1963" customWidth="1"/>
    <col min="6401" max="6401" width="47.33203125" style="1963" customWidth="1"/>
    <col min="6402" max="6402" width="47.1640625" style="1963" customWidth="1"/>
    <col min="6403" max="6403" width="43.6640625" style="1963" customWidth="1"/>
    <col min="6404" max="6405" width="47.33203125" style="1963" customWidth="1"/>
    <col min="6406" max="6406" width="47.1640625" style="1963" customWidth="1"/>
    <col min="6407" max="6407" width="43.6640625" style="1963" customWidth="1"/>
    <col min="6408" max="6409" width="47.33203125" style="1963" customWidth="1"/>
    <col min="6410" max="6410" width="47.1640625" style="1963" customWidth="1"/>
    <col min="6411" max="6411" width="43.6640625" style="1963" customWidth="1"/>
    <col min="6412" max="6413" width="45" style="1963" customWidth="1"/>
    <col min="6414" max="6414" width="44.83203125" style="1963" customWidth="1"/>
    <col min="6415" max="6415" width="45" style="1963" customWidth="1"/>
    <col min="6416" max="6417" width="47.33203125" style="1963" customWidth="1"/>
    <col min="6418" max="6418" width="47.1640625" style="1963" customWidth="1"/>
    <col min="6419" max="6419" width="43.6640625" style="1963" customWidth="1"/>
    <col min="6420" max="6420" width="193.33203125" style="1963" customWidth="1"/>
    <col min="6421" max="6423" width="47.33203125" style="1963" customWidth="1"/>
    <col min="6424" max="6424" width="43.6640625" style="1963" customWidth="1"/>
    <col min="6425" max="6427" width="47.33203125" style="1963" customWidth="1"/>
    <col min="6428" max="6428" width="44" style="1963" customWidth="1"/>
    <col min="6429" max="6431" width="47.33203125" style="1963" customWidth="1"/>
    <col min="6432" max="6432" width="43.6640625" style="1963" customWidth="1"/>
    <col min="6433" max="6435" width="47.33203125" style="1963" customWidth="1"/>
    <col min="6436" max="6436" width="43.6640625" style="1963" customWidth="1"/>
    <col min="6437" max="6439" width="47.33203125" style="1963" customWidth="1"/>
    <col min="6440" max="6440" width="43.6640625" style="1963" customWidth="1"/>
    <col min="6441" max="6441" width="193.33203125" style="1963" customWidth="1"/>
    <col min="6442" max="6457" width="56" style="1963" customWidth="1"/>
    <col min="6458" max="6458" width="59" style="1963" customWidth="1"/>
    <col min="6459" max="6459" width="46" style="1963" customWidth="1"/>
    <col min="6460" max="6654" width="9.33203125" style="1963"/>
    <col min="6655" max="6655" width="193.33203125" style="1963" customWidth="1"/>
    <col min="6656" max="6656" width="47.1640625" style="1963" customWidth="1"/>
    <col min="6657" max="6657" width="47.33203125" style="1963" customWidth="1"/>
    <col min="6658" max="6658" width="47.1640625" style="1963" customWidth="1"/>
    <col min="6659" max="6659" width="43.6640625" style="1963" customWidth="1"/>
    <col min="6660" max="6661" width="47.33203125" style="1963" customWidth="1"/>
    <col min="6662" max="6662" width="47.1640625" style="1963" customWidth="1"/>
    <col min="6663" max="6663" width="43.6640625" style="1963" customWidth="1"/>
    <col min="6664" max="6665" width="47.33203125" style="1963" customWidth="1"/>
    <col min="6666" max="6666" width="47.1640625" style="1963" customWidth="1"/>
    <col min="6667" max="6667" width="43.6640625" style="1963" customWidth="1"/>
    <col min="6668" max="6669" width="45" style="1963" customWidth="1"/>
    <col min="6670" max="6670" width="44.83203125" style="1963" customWidth="1"/>
    <col min="6671" max="6671" width="45" style="1963" customWidth="1"/>
    <col min="6672" max="6673" width="47.33203125" style="1963" customWidth="1"/>
    <col min="6674" max="6674" width="47.1640625" style="1963" customWidth="1"/>
    <col min="6675" max="6675" width="43.6640625" style="1963" customWidth="1"/>
    <col min="6676" max="6676" width="193.33203125" style="1963" customWidth="1"/>
    <col min="6677" max="6679" width="47.33203125" style="1963" customWidth="1"/>
    <col min="6680" max="6680" width="43.6640625" style="1963" customWidth="1"/>
    <col min="6681" max="6683" width="47.33203125" style="1963" customWidth="1"/>
    <col min="6684" max="6684" width="44" style="1963" customWidth="1"/>
    <col min="6685" max="6687" width="47.33203125" style="1963" customWidth="1"/>
    <col min="6688" max="6688" width="43.6640625" style="1963" customWidth="1"/>
    <col min="6689" max="6691" width="47.33203125" style="1963" customWidth="1"/>
    <col min="6692" max="6692" width="43.6640625" style="1963" customWidth="1"/>
    <col min="6693" max="6695" width="47.33203125" style="1963" customWidth="1"/>
    <col min="6696" max="6696" width="43.6640625" style="1963" customWidth="1"/>
    <col min="6697" max="6697" width="193.33203125" style="1963" customWidth="1"/>
    <col min="6698" max="6713" width="56" style="1963" customWidth="1"/>
    <col min="6714" max="6714" width="59" style="1963" customWidth="1"/>
    <col min="6715" max="6715" width="46" style="1963" customWidth="1"/>
    <col min="6716" max="6910" width="9.33203125" style="1963"/>
    <col min="6911" max="6911" width="193.33203125" style="1963" customWidth="1"/>
    <col min="6912" max="6912" width="47.1640625" style="1963" customWidth="1"/>
    <col min="6913" max="6913" width="47.33203125" style="1963" customWidth="1"/>
    <col min="6914" max="6914" width="47.1640625" style="1963" customWidth="1"/>
    <col min="6915" max="6915" width="43.6640625" style="1963" customWidth="1"/>
    <col min="6916" max="6917" width="47.33203125" style="1963" customWidth="1"/>
    <col min="6918" max="6918" width="47.1640625" style="1963" customWidth="1"/>
    <col min="6919" max="6919" width="43.6640625" style="1963" customWidth="1"/>
    <col min="6920" max="6921" width="47.33203125" style="1963" customWidth="1"/>
    <col min="6922" max="6922" width="47.1640625" style="1963" customWidth="1"/>
    <col min="6923" max="6923" width="43.6640625" style="1963" customWidth="1"/>
    <col min="6924" max="6925" width="45" style="1963" customWidth="1"/>
    <col min="6926" max="6926" width="44.83203125" style="1963" customWidth="1"/>
    <col min="6927" max="6927" width="45" style="1963" customWidth="1"/>
    <col min="6928" max="6929" width="47.33203125" style="1963" customWidth="1"/>
    <col min="6930" max="6930" width="47.1640625" style="1963" customWidth="1"/>
    <col min="6931" max="6931" width="43.6640625" style="1963" customWidth="1"/>
    <col min="6932" max="6932" width="193.33203125" style="1963" customWidth="1"/>
    <col min="6933" max="6935" width="47.33203125" style="1963" customWidth="1"/>
    <col min="6936" max="6936" width="43.6640625" style="1963" customWidth="1"/>
    <col min="6937" max="6939" width="47.33203125" style="1963" customWidth="1"/>
    <col min="6940" max="6940" width="44" style="1963" customWidth="1"/>
    <col min="6941" max="6943" width="47.33203125" style="1963" customWidth="1"/>
    <col min="6944" max="6944" width="43.6640625" style="1963" customWidth="1"/>
    <col min="6945" max="6947" width="47.33203125" style="1963" customWidth="1"/>
    <col min="6948" max="6948" width="43.6640625" style="1963" customWidth="1"/>
    <col min="6949" max="6951" width="47.33203125" style="1963" customWidth="1"/>
    <col min="6952" max="6952" width="43.6640625" style="1963" customWidth="1"/>
    <col min="6953" max="6953" width="193.33203125" style="1963" customWidth="1"/>
    <col min="6954" max="6969" width="56" style="1963" customWidth="1"/>
    <col min="6970" max="6970" width="59" style="1963" customWidth="1"/>
    <col min="6971" max="6971" width="46" style="1963" customWidth="1"/>
    <col min="6972" max="7166" width="9.33203125" style="1963"/>
    <col min="7167" max="7167" width="193.33203125" style="1963" customWidth="1"/>
    <col min="7168" max="7168" width="47.1640625" style="1963" customWidth="1"/>
    <col min="7169" max="7169" width="47.33203125" style="1963" customWidth="1"/>
    <col min="7170" max="7170" width="47.1640625" style="1963" customWidth="1"/>
    <col min="7171" max="7171" width="43.6640625" style="1963" customWidth="1"/>
    <col min="7172" max="7173" width="47.33203125" style="1963" customWidth="1"/>
    <col min="7174" max="7174" width="47.1640625" style="1963" customWidth="1"/>
    <col min="7175" max="7175" width="43.6640625" style="1963" customWidth="1"/>
    <col min="7176" max="7177" width="47.33203125" style="1963" customWidth="1"/>
    <col min="7178" max="7178" width="47.1640625" style="1963" customWidth="1"/>
    <col min="7179" max="7179" width="43.6640625" style="1963" customWidth="1"/>
    <col min="7180" max="7181" width="45" style="1963" customWidth="1"/>
    <col min="7182" max="7182" width="44.83203125" style="1963" customWidth="1"/>
    <col min="7183" max="7183" width="45" style="1963" customWidth="1"/>
    <col min="7184" max="7185" width="47.33203125" style="1963" customWidth="1"/>
    <col min="7186" max="7186" width="47.1640625" style="1963" customWidth="1"/>
    <col min="7187" max="7187" width="43.6640625" style="1963" customWidth="1"/>
    <col min="7188" max="7188" width="193.33203125" style="1963" customWidth="1"/>
    <col min="7189" max="7191" width="47.33203125" style="1963" customWidth="1"/>
    <col min="7192" max="7192" width="43.6640625" style="1963" customWidth="1"/>
    <col min="7193" max="7195" width="47.33203125" style="1963" customWidth="1"/>
    <col min="7196" max="7196" width="44" style="1963" customWidth="1"/>
    <col min="7197" max="7199" width="47.33203125" style="1963" customWidth="1"/>
    <col min="7200" max="7200" width="43.6640625" style="1963" customWidth="1"/>
    <col min="7201" max="7203" width="47.33203125" style="1963" customWidth="1"/>
    <col min="7204" max="7204" width="43.6640625" style="1963" customWidth="1"/>
    <col min="7205" max="7207" width="47.33203125" style="1963" customWidth="1"/>
    <col min="7208" max="7208" width="43.6640625" style="1963" customWidth="1"/>
    <col min="7209" max="7209" width="193.33203125" style="1963" customWidth="1"/>
    <col min="7210" max="7225" width="56" style="1963" customWidth="1"/>
    <col min="7226" max="7226" width="59" style="1963" customWidth="1"/>
    <col min="7227" max="7227" width="46" style="1963" customWidth="1"/>
    <col min="7228" max="7422" width="9.33203125" style="1963"/>
    <col min="7423" max="7423" width="193.33203125" style="1963" customWidth="1"/>
    <col min="7424" max="7424" width="47.1640625" style="1963" customWidth="1"/>
    <col min="7425" max="7425" width="47.33203125" style="1963" customWidth="1"/>
    <col min="7426" max="7426" width="47.1640625" style="1963" customWidth="1"/>
    <col min="7427" max="7427" width="43.6640625" style="1963" customWidth="1"/>
    <col min="7428" max="7429" width="47.33203125" style="1963" customWidth="1"/>
    <col min="7430" max="7430" width="47.1640625" style="1963" customWidth="1"/>
    <col min="7431" max="7431" width="43.6640625" style="1963" customWidth="1"/>
    <col min="7432" max="7433" width="47.33203125" style="1963" customWidth="1"/>
    <col min="7434" max="7434" width="47.1640625" style="1963" customWidth="1"/>
    <col min="7435" max="7435" width="43.6640625" style="1963" customWidth="1"/>
    <col min="7436" max="7437" width="45" style="1963" customWidth="1"/>
    <col min="7438" max="7438" width="44.83203125" style="1963" customWidth="1"/>
    <col min="7439" max="7439" width="45" style="1963" customWidth="1"/>
    <col min="7440" max="7441" width="47.33203125" style="1963" customWidth="1"/>
    <col min="7442" max="7442" width="47.1640625" style="1963" customWidth="1"/>
    <col min="7443" max="7443" width="43.6640625" style="1963" customWidth="1"/>
    <col min="7444" max="7444" width="193.33203125" style="1963" customWidth="1"/>
    <col min="7445" max="7447" width="47.33203125" style="1963" customWidth="1"/>
    <col min="7448" max="7448" width="43.6640625" style="1963" customWidth="1"/>
    <col min="7449" max="7451" width="47.33203125" style="1963" customWidth="1"/>
    <col min="7452" max="7452" width="44" style="1963" customWidth="1"/>
    <col min="7453" max="7455" width="47.33203125" style="1963" customWidth="1"/>
    <col min="7456" max="7456" width="43.6640625" style="1963" customWidth="1"/>
    <col min="7457" max="7459" width="47.33203125" style="1963" customWidth="1"/>
    <col min="7460" max="7460" width="43.6640625" style="1963" customWidth="1"/>
    <col min="7461" max="7463" width="47.33203125" style="1963" customWidth="1"/>
    <col min="7464" max="7464" width="43.6640625" style="1963" customWidth="1"/>
    <col min="7465" max="7465" width="193.33203125" style="1963" customWidth="1"/>
    <col min="7466" max="7481" width="56" style="1963" customWidth="1"/>
    <col min="7482" max="7482" width="59" style="1963" customWidth="1"/>
    <col min="7483" max="7483" width="46" style="1963" customWidth="1"/>
    <col min="7484" max="7678" width="9.33203125" style="1963"/>
    <col min="7679" max="7679" width="193.33203125" style="1963" customWidth="1"/>
    <col min="7680" max="7680" width="47.1640625" style="1963" customWidth="1"/>
    <col min="7681" max="7681" width="47.33203125" style="1963" customWidth="1"/>
    <col min="7682" max="7682" width="47.1640625" style="1963" customWidth="1"/>
    <col min="7683" max="7683" width="43.6640625" style="1963" customWidth="1"/>
    <col min="7684" max="7685" width="47.33203125" style="1963" customWidth="1"/>
    <col min="7686" max="7686" width="47.1640625" style="1963" customWidth="1"/>
    <col min="7687" max="7687" width="43.6640625" style="1963" customWidth="1"/>
    <col min="7688" max="7689" width="47.33203125" style="1963" customWidth="1"/>
    <col min="7690" max="7690" width="47.1640625" style="1963" customWidth="1"/>
    <col min="7691" max="7691" width="43.6640625" style="1963" customWidth="1"/>
    <col min="7692" max="7693" width="45" style="1963" customWidth="1"/>
    <col min="7694" max="7694" width="44.83203125" style="1963" customWidth="1"/>
    <col min="7695" max="7695" width="45" style="1963" customWidth="1"/>
    <col min="7696" max="7697" width="47.33203125" style="1963" customWidth="1"/>
    <col min="7698" max="7698" width="47.1640625" style="1963" customWidth="1"/>
    <col min="7699" max="7699" width="43.6640625" style="1963" customWidth="1"/>
    <col min="7700" max="7700" width="193.33203125" style="1963" customWidth="1"/>
    <col min="7701" max="7703" width="47.33203125" style="1963" customWidth="1"/>
    <col min="7704" max="7704" width="43.6640625" style="1963" customWidth="1"/>
    <col min="7705" max="7707" width="47.33203125" style="1963" customWidth="1"/>
    <col min="7708" max="7708" width="44" style="1963" customWidth="1"/>
    <col min="7709" max="7711" width="47.33203125" style="1963" customWidth="1"/>
    <col min="7712" max="7712" width="43.6640625" style="1963" customWidth="1"/>
    <col min="7713" max="7715" width="47.33203125" style="1963" customWidth="1"/>
    <col min="7716" max="7716" width="43.6640625" style="1963" customWidth="1"/>
    <col min="7717" max="7719" width="47.33203125" style="1963" customWidth="1"/>
    <col min="7720" max="7720" width="43.6640625" style="1963" customWidth="1"/>
    <col min="7721" max="7721" width="193.33203125" style="1963" customWidth="1"/>
    <col min="7722" max="7737" width="56" style="1963" customWidth="1"/>
    <col min="7738" max="7738" width="59" style="1963" customWidth="1"/>
    <col min="7739" max="7739" width="46" style="1963" customWidth="1"/>
    <col min="7740" max="7934" width="9.33203125" style="1963"/>
    <col min="7935" max="7935" width="193.33203125" style="1963" customWidth="1"/>
    <col min="7936" max="7936" width="47.1640625" style="1963" customWidth="1"/>
    <col min="7937" max="7937" width="47.33203125" style="1963" customWidth="1"/>
    <col min="7938" max="7938" width="47.1640625" style="1963" customWidth="1"/>
    <col min="7939" max="7939" width="43.6640625" style="1963" customWidth="1"/>
    <col min="7940" max="7941" width="47.33203125" style="1963" customWidth="1"/>
    <col min="7942" max="7942" width="47.1640625" style="1963" customWidth="1"/>
    <col min="7943" max="7943" width="43.6640625" style="1963" customWidth="1"/>
    <col min="7944" max="7945" width="47.33203125" style="1963" customWidth="1"/>
    <col min="7946" max="7946" width="47.1640625" style="1963" customWidth="1"/>
    <col min="7947" max="7947" width="43.6640625" style="1963" customWidth="1"/>
    <col min="7948" max="7949" width="45" style="1963" customWidth="1"/>
    <col min="7950" max="7950" width="44.83203125" style="1963" customWidth="1"/>
    <col min="7951" max="7951" width="45" style="1963" customWidth="1"/>
    <col min="7952" max="7953" width="47.33203125" style="1963" customWidth="1"/>
    <col min="7954" max="7954" width="47.1640625" style="1963" customWidth="1"/>
    <col min="7955" max="7955" width="43.6640625" style="1963" customWidth="1"/>
    <col min="7956" max="7956" width="193.33203125" style="1963" customWidth="1"/>
    <col min="7957" max="7959" width="47.33203125" style="1963" customWidth="1"/>
    <col min="7960" max="7960" width="43.6640625" style="1963" customWidth="1"/>
    <col min="7961" max="7963" width="47.33203125" style="1963" customWidth="1"/>
    <col min="7964" max="7964" width="44" style="1963" customWidth="1"/>
    <col min="7965" max="7967" width="47.33203125" style="1963" customWidth="1"/>
    <col min="7968" max="7968" width="43.6640625" style="1963" customWidth="1"/>
    <col min="7969" max="7971" width="47.33203125" style="1963" customWidth="1"/>
    <col min="7972" max="7972" width="43.6640625" style="1963" customWidth="1"/>
    <col min="7973" max="7975" width="47.33203125" style="1963" customWidth="1"/>
    <col min="7976" max="7976" width="43.6640625" style="1963" customWidth="1"/>
    <col min="7977" max="7977" width="193.33203125" style="1963" customWidth="1"/>
    <col min="7978" max="7993" width="56" style="1963" customWidth="1"/>
    <col min="7994" max="7994" width="59" style="1963" customWidth="1"/>
    <col min="7995" max="7995" width="46" style="1963" customWidth="1"/>
    <col min="7996" max="8190" width="9.33203125" style="1963"/>
    <col min="8191" max="8191" width="193.33203125" style="1963" customWidth="1"/>
    <col min="8192" max="8192" width="47.1640625" style="1963" customWidth="1"/>
    <col min="8193" max="8193" width="47.33203125" style="1963" customWidth="1"/>
    <col min="8194" max="8194" width="47.1640625" style="1963" customWidth="1"/>
    <col min="8195" max="8195" width="43.6640625" style="1963" customWidth="1"/>
    <col min="8196" max="8197" width="47.33203125" style="1963" customWidth="1"/>
    <col min="8198" max="8198" width="47.1640625" style="1963" customWidth="1"/>
    <col min="8199" max="8199" width="43.6640625" style="1963" customWidth="1"/>
    <col min="8200" max="8201" width="47.33203125" style="1963" customWidth="1"/>
    <col min="8202" max="8202" width="47.1640625" style="1963" customWidth="1"/>
    <col min="8203" max="8203" width="43.6640625" style="1963" customWidth="1"/>
    <col min="8204" max="8205" width="45" style="1963" customWidth="1"/>
    <col min="8206" max="8206" width="44.83203125" style="1963" customWidth="1"/>
    <col min="8207" max="8207" width="45" style="1963" customWidth="1"/>
    <col min="8208" max="8209" width="47.33203125" style="1963" customWidth="1"/>
    <col min="8210" max="8210" width="47.1640625" style="1963" customWidth="1"/>
    <col min="8211" max="8211" width="43.6640625" style="1963" customWidth="1"/>
    <col min="8212" max="8212" width="193.33203125" style="1963" customWidth="1"/>
    <col min="8213" max="8215" width="47.33203125" style="1963" customWidth="1"/>
    <col min="8216" max="8216" width="43.6640625" style="1963" customWidth="1"/>
    <col min="8217" max="8219" width="47.33203125" style="1963" customWidth="1"/>
    <col min="8220" max="8220" width="44" style="1963" customWidth="1"/>
    <col min="8221" max="8223" width="47.33203125" style="1963" customWidth="1"/>
    <col min="8224" max="8224" width="43.6640625" style="1963" customWidth="1"/>
    <col min="8225" max="8227" width="47.33203125" style="1963" customWidth="1"/>
    <col min="8228" max="8228" width="43.6640625" style="1963" customWidth="1"/>
    <col min="8229" max="8231" width="47.33203125" style="1963" customWidth="1"/>
    <col min="8232" max="8232" width="43.6640625" style="1963" customWidth="1"/>
    <col min="8233" max="8233" width="193.33203125" style="1963" customWidth="1"/>
    <col min="8234" max="8249" width="56" style="1963" customWidth="1"/>
    <col min="8250" max="8250" width="59" style="1963" customWidth="1"/>
    <col min="8251" max="8251" width="46" style="1963" customWidth="1"/>
    <col min="8252" max="8446" width="9.33203125" style="1963"/>
    <col min="8447" max="8447" width="193.33203125" style="1963" customWidth="1"/>
    <col min="8448" max="8448" width="47.1640625" style="1963" customWidth="1"/>
    <col min="8449" max="8449" width="47.33203125" style="1963" customWidth="1"/>
    <col min="8450" max="8450" width="47.1640625" style="1963" customWidth="1"/>
    <col min="8451" max="8451" width="43.6640625" style="1963" customWidth="1"/>
    <col min="8452" max="8453" width="47.33203125" style="1963" customWidth="1"/>
    <col min="8454" max="8454" width="47.1640625" style="1963" customWidth="1"/>
    <col min="8455" max="8455" width="43.6640625" style="1963" customWidth="1"/>
    <col min="8456" max="8457" width="47.33203125" style="1963" customWidth="1"/>
    <col min="8458" max="8458" width="47.1640625" style="1963" customWidth="1"/>
    <col min="8459" max="8459" width="43.6640625" style="1963" customWidth="1"/>
    <col min="8460" max="8461" width="45" style="1963" customWidth="1"/>
    <col min="8462" max="8462" width="44.83203125" style="1963" customWidth="1"/>
    <col min="8463" max="8463" width="45" style="1963" customWidth="1"/>
    <col min="8464" max="8465" width="47.33203125" style="1963" customWidth="1"/>
    <col min="8466" max="8466" width="47.1640625" style="1963" customWidth="1"/>
    <col min="8467" max="8467" width="43.6640625" style="1963" customWidth="1"/>
    <col min="8468" max="8468" width="193.33203125" style="1963" customWidth="1"/>
    <col min="8469" max="8471" width="47.33203125" style="1963" customWidth="1"/>
    <col min="8472" max="8472" width="43.6640625" style="1963" customWidth="1"/>
    <col min="8473" max="8475" width="47.33203125" style="1963" customWidth="1"/>
    <col min="8476" max="8476" width="44" style="1963" customWidth="1"/>
    <col min="8477" max="8479" width="47.33203125" style="1963" customWidth="1"/>
    <col min="8480" max="8480" width="43.6640625" style="1963" customWidth="1"/>
    <col min="8481" max="8483" width="47.33203125" style="1963" customWidth="1"/>
    <col min="8484" max="8484" width="43.6640625" style="1963" customWidth="1"/>
    <col min="8485" max="8487" width="47.33203125" style="1963" customWidth="1"/>
    <col min="8488" max="8488" width="43.6640625" style="1963" customWidth="1"/>
    <col min="8489" max="8489" width="193.33203125" style="1963" customWidth="1"/>
    <col min="8490" max="8505" width="56" style="1963" customWidth="1"/>
    <col min="8506" max="8506" width="59" style="1963" customWidth="1"/>
    <col min="8507" max="8507" width="46" style="1963" customWidth="1"/>
    <col min="8508" max="8702" width="9.33203125" style="1963"/>
    <col min="8703" max="8703" width="193.33203125" style="1963" customWidth="1"/>
    <col min="8704" max="8704" width="47.1640625" style="1963" customWidth="1"/>
    <col min="8705" max="8705" width="47.33203125" style="1963" customWidth="1"/>
    <col min="8706" max="8706" width="47.1640625" style="1963" customWidth="1"/>
    <col min="8707" max="8707" width="43.6640625" style="1963" customWidth="1"/>
    <col min="8708" max="8709" width="47.33203125" style="1963" customWidth="1"/>
    <col min="8710" max="8710" width="47.1640625" style="1963" customWidth="1"/>
    <col min="8711" max="8711" width="43.6640625" style="1963" customWidth="1"/>
    <col min="8712" max="8713" width="47.33203125" style="1963" customWidth="1"/>
    <col min="8714" max="8714" width="47.1640625" style="1963" customWidth="1"/>
    <col min="8715" max="8715" width="43.6640625" style="1963" customWidth="1"/>
    <col min="8716" max="8717" width="45" style="1963" customWidth="1"/>
    <col min="8718" max="8718" width="44.83203125" style="1963" customWidth="1"/>
    <col min="8719" max="8719" width="45" style="1963" customWidth="1"/>
    <col min="8720" max="8721" width="47.33203125" style="1963" customWidth="1"/>
    <col min="8722" max="8722" width="47.1640625" style="1963" customWidth="1"/>
    <col min="8723" max="8723" width="43.6640625" style="1963" customWidth="1"/>
    <col min="8724" max="8724" width="193.33203125" style="1963" customWidth="1"/>
    <col min="8725" max="8727" width="47.33203125" style="1963" customWidth="1"/>
    <col min="8728" max="8728" width="43.6640625" style="1963" customWidth="1"/>
    <col min="8729" max="8731" width="47.33203125" style="1963" customWidth="1"/>
    <col min="8732" max="8732" width="44" style="1963" customWidth="1"/>
    <col min="8733" max="8735" width="47.33203125" style="1963" customWidth="1"/>
    <col min="8736" max="8736" width="43.6640625" style="1963" customWidth="1"/>
    <col min="8737" max="8739" width="47.33203125" style="1963" customWidth="1"/>
    <col min="8740" max="8740" width="43.6640625" style="1963" customWidth="1"/>
    <col min="8741" max="8743" width="47.33203125" style="1963" customWidth="1"/>
    <col min="8744" max="8744" width="43.6640625" style="1963" customWidth="1"/>
    <col min="8745" max="8745" width="193.33203125" style="1963" customWidth="1"/>
    <col min="8746" max="8761" width="56" style="1963" customWidth="1"/>
    <col min="8762" max="8762" width="59" style="1963" customWidth="1"/>
    <col min="8763" max="8763" width="46" style="1963" customWidth="1"/>
    <col min="8764" max="8958" width="9.33203125" style="1963"/>
    <col min="8959" max="8959" width="193.33203125" style="1963" customWidth="1"/>
    <col min="8960" max="8960" width="47.1640625" style="1963" customWidth="1"/>
    <col min="8961" max="8961" width="47.33203125" style="1963" customWidth="1"/>
    <col min="8962" max="8962" width="47.1640625" style="1963" customWidth="1"/>
    <col min="8963" max="8963" width="43.6640625" style="1963" customWidth="1"/>
    <col min="8964" max="8965" width="47.33203125" style="1963" customWidth="1"/>
    <col min="8966" max="8966" width="47.1640625" style="1963" customWidth="1"/>
    <col min="8967" max="8967" width="43.6640625" style="1963" customWidth="1"/>
    <col min="8968" max="8969" width="47.33203125" style="1963" customWidth="1"/>
    <col min="8970" max="8970" width="47.1640625" style="1963" customWidth="1"/>
    <col min="8971" max="8971" width="43.6640625" style="1963" customWidth="1"/>
    <col min="8972" max="8973" width="45" style="1963" customWidth="1"/>
    <col min="8974" max="8974" width="44.83203125" style="1963" customWidth="1"/>
    <col min="8975" max="8975" width="45" style="1963" customWidth="1"/>
    <col min="8976" max="8977" width="47.33203125" style="1963" customWidth="1"/>
    <col min="8978" max="8978" width="47.1640625" style="1963" customWidth="1"/>
    <col min="8979" max="8979" width="43.6640625" style="1963" customWidth="1"/>
    <col min="8980" max="8980" width="193.33203125" style="1963" customWidth="1"/>
    <col min="8981" max="8983" width="47.33203125" style="1963" customWidth="1"/>
    <col min="8984" max="8984" width="43.6640625" style="1963" customWidth="1"/>
    <col min="8985" max="8987" width="47.33203125" style="1963" customWidth="1"/>
    <col min="8988" max="8988" width="44" style="1963" customWidth="1"/>
    <col min="8989" max="8991" width="47.33203125" style="1963" customWidth="1"/>
    <col min="8992" max="8992" width="43.6640625" style="1963" customWidth="1"/>
    <col min="8993" max="8995" width="47.33203125" style="1963" customWidth="1"/>
    <col min="8996" max="8996" width="43.6640625" style="1963" customWidth="1"/>
    <col min="8997" max="8999" width="47.33203125" style="1963" customWidth="1"/>
    <col min="9000" max="9000" width="43.6640625" style="1963" customWidth="1"/>
    <col min="9001" max="9001" width="193.33203125" style="1963" customWidth="1"/>
    <col min="9002" max="9017" width="56" style="1963" customWidth="1"/>
    <col min="9018" max="9018" width="59" style="1963" customWidth="1"/>
    <col min="9019" max="9019" width="46" style="1963" customWidth="1"/>
    <col min="9020" max="9214" width="9.33203125" style="1963"/>
    <col min="9215" max="9215" width="193.33203125" style="1963" customWidth="1"/>
    <col min="9216" max="9216" width="47.1640625" style="1963" customWidth="1"/>
    <col min="9217" max="9217" width="47.33203125" style="1963" customWidth="1"/>
    <col min="9218" max="9218" width="47.1640625" style="1963" customWidth="1"/>
    <col min="9219" max="9219" width="43.6640625" style="1963" customWidth="1"/>
    <col min="9220" max="9221" width="47.33203125" style="1963" customWidth="1"/>
    <col min="9222" max="9222" width="47.1640625" style="1963" customWidth="1"/>
    <col min="9223" max="9223" width="43.6640625" style="1963" customWidth="1"/>
    <col min="9224" max="9225" width="47.33203125" style="1963" customWidth="1"/>
    <col min="9226" max="9226" width="47.1640625" style="1963" customWidth="1"/>
    <col min="9227" max="9227" width="43.6640625" style="1963" customWidth="1"/>
    <col min="9228" max="9229" width="45" style="1963" customWidth="1"/>
    <col min="9230" max="9230" width="44.83203125" style="1963" customWidth="1"/>
    <col min="9231" max="9231" width="45" style="1963" customWidth="1"/>
    <col min="9232" max="9233" width="47.33203125" style="1963" customWidth="1"/>
    <col min="9234" max="9234" width="47.1640625" style="1963" customWidth="1"/>
    <col min="9235" max="9235" width="43.6640625" style="1963" customWidth="1"/>
    <col min="9236" max="9236" width="193.33203125" style="1963" customWidth="1"/>
    <col min="9237" max="9239" width="47.33203125" style="1963" customWidth="1"/>
    <col min="9240" max="9240" width="43.6640625" style="1963" customWidth="1"/>
    <col min="9241" max="9243" width="47.33203125" style="1963" customWidth="1"/>
    <col min="9244" max="9244" width="44" style="1963" customWidth="1"/>
    <col min="9245" max="9247" width="47.33203125" style="1963" customWidth="1"/>
    <col min="9248" max="9248" width="43.6640625" style="1963" customWidth="1"/>
    <col min="9249" max="9251" width="47.33203125" style="1963" customWidth="1"/>
    <col min="9252" max="9252" width="43.6640625" style="1963" customWidth="1"/>
    <col min="9253" max="9255" width="47.33203125" style="1963" customWidth="1"/>
    <col min="9256" max="9256" width="43.6640625" style="1963" customWidth="1"/>
    <col min="9257" max="9257" width="193.33203125" style="1963" customWidth="1"/>
    <col min="9258" max="9273" width="56" style="1963" customWidth="1"/>
    <col min="9274" max="9274" width="59" style="1963" customWidth="1"/>
    <col min="9275" max="9275" width="46" style="1963" customWidth="1"/>
    <col min="9276" max="9470" width="9.33203125" style="1963"/>
    <col min="9471" max="9471" width="193.33203125" style="1963" customWidth="1"/>
    <col min="9472" max="9472" width="47.1640625" style="1963" customWidth="1"/>
    <col min="9473" max="9473" width="47.33203125" style="1963" customWidth="1"/>
    <col min="9474" max="9474" width="47.1640625" style="1963" customWidth="1"/>
    <col min="9475" max="9475" width="43.6640625" style="1963" customWidth="1"/>
    <col min="9476" max="9477" width="47.33203125" style="1963" customWidth="1"/>
    <col min="9478" max="9478" width="47.1640625" style="1963" customWidth="1"/>
    <col min="9479" max="9479" width="43.6640625" style="1963" customWidth="1"/>
    <col min="9480" max="9481" width="47.33203125" style="1963" customWidth="1"/>
    <col min="9482" max="9482" width="47.1640625" style="1963" customWidth="1"/>
    <col min="9483" max="9483" width="43.6640625" style="1963" customWidth="1"/>
    <col min="9484" max="9485" width="45" style="1963" customWidth="1"/>
    <col min="9486" max="9486" width="44.83203125" style="1963" customWidth="1"/>
    <col min="9487" max="9487" width="45" style="1963" customWidth="1"/>
    <col min="9488" max="9489" width="47.33203125" style="1963" customWidth="1"/>
    <col min="9490" max="9490" width="47.1640625" style="1963" customWidth="1"/>
    <col min="9491" max="9491" width="43.6640625" style="1963" customWidth="1"/>
    <col min="9492" max="9492" width="193.33203125" style="1963" customWidth="1"/>
    <col min="9493" max="9495" width="47.33203125" style="1963" customWidth="1"/>
    <col min="9496" max="9496" width="43.6640625" style="1963" customWidth="1"/>
    <col min="9497" max="9499" width="47.33203125" style="1963" customWidth="1"/>
    <col min="9500" max="9500" width="44" style="1963" customWidth="1"/>
    <col min="9501" max="9503" width="47.33203125" style="1963" customWidth="1"/>
    <col min="9504" max="9504" width="43.6640625" style="1963" customWidth="1"/>
    <col min="9505" max="9507" width="47.33203125" style="1963" customWidth="1"/>
    <col min="9508" max="9508" width="43.6640625" style="1963" customWidth="1"/>
    <col min="9509" max="9511" width="47.33203125" style="1963" customWidth="1"/>
    <col min="9512" max="9512" width="43.6640625" style="1963" customWidth="1"/>
    <col min="9513" max="9513" width="193.33203125" style="1963" customWidth="1"/>
    <col min="9514" max="9529" width="56" style="1963" customWidth="1"/>
    <col min="9530" max="9530" width="59" style="1963" customWidth="1"/>
    <col min="9531" max="9531" width="46" style="1963" customWidth="1"/>
    <col min="9532" max="9726" width="9.33203125" style="1963"/>
    <col min="9727" max="9727" width="193.33203125" style="1963" customWidth="1"/>
    <col min="9728" max="9728" width="47.1640625" style="1963" customWidth="1"/>
    <col min="9729" max="9729" width="47.33203125" style="1963" customWidth="1"/>
    <col min="9730" max="9730" width="47.1640625" style="1963" customWidth="1"/>
    <col min="9731" max="9731" width="43.6640625" style="1963" customWidth="1"/>
    <col min="9732" max="9733" width="47.33203125" style="1963" customWidth="1"/>
    <col min="9734" max="9734" width="47.1640625" style="1963" customWidth="1"/>
    <col min="9735" max="9735" width="43.6640625" style="1963" customWidth="1"/>
    <col min="9736" max="9737" width="47.33203125" style="1963" customWidth="1"/>
    <col min="9738" max="9738" width="47.1640625" style="1963" customWidth="1"/>
    <col min="9739" max="9739" width="43.6640625" style="1963" customWidth="1"/>
    <col min="9740" max="9741" width="45" style="1963" customWidth="1"/>
    <col min="9742" max="9742" width="44.83203125" style="1963" customWidth="1"/>
    <col min="9743" max="9743" width="45" style="1963" customWidth="1"/>
    <col min="9744" max="9745" width="47.33203125" style="1963" customWidth="1"/>
    <col min="9746" max="9746" width="47.1640625" style="1963" customWidth="1"/>
    <col min="9747" max="9747" width="43.6640625" style="1963" customWidth="1"/>
    <col min="9748" max="9748" width="193.33203125" style="1963" customWidth="1"/>
    <col min="9749" max="9751" width="47.33203125" style="1963" customWidth="1"/>
    <col min="9752" max="9752" width="43.6640625" style="1963" customWidth="1"/>
    <col min="9753" max="9755" width="47.33203125" style="1963" customWidth="1"/>
    <col min="9756" max="9756" width="44" style="1963" customWidth="1"/>
    <col min="9757" max="9759" width="47.33203125" style="1963" customWidth="1"/>
    <col min="9760" max="9760" width="43.6640625" style="1963" customWidth="1"/>
    <col min="9761" max="9763" width="47.33203125" style="1963" customWidth="1"/>
    <col min="9764" max="9764" width="43.6640625" style="1963" customWidth="1"/>
    <col min="9765" max="9767" width="47.33203125" style="1963" customWidth="1"/>
    <col min="9768" max="9768" width="43.6640625" style="1963" customWidth="1"/>
    <col min="9769" max="9769" width="193.33203125" style="1963" customWidth="1"/>
    <col min="9770" max="9785" width="56" style="1963" customWidth="1"/>
    <col min="9786" max="9786" width="59" style="1963" customWidth="1"/>
    <col min="9787" max="9787" width="46" style="1963" customWidth="1"/>
    <col min="9788" max="9982" width="9.33203125" style="1963"/>
    <col min="9983" max="9983" width="193.33203125" style="1963" customWidth="1"/>
    <col min="9984" max="9984" width="47.1640625" style="1963" customWidth="1"/>
    <col min="9985" max="9985" width="47.33203125" style="1963" customWidth="1"/>
    <col min="9986" max="9986" width="47.1640625" style="1963" customWidth="1"/>
    <col min="9987" max="9987" width="43.6640625" style="1963" customWidth="1"/>
    <col min="9988" max="9989" width="47.33203125" style="1963" customWidth="1"/>
    <col min="9990" max="9990" width="47.1640625" style="1963" customWidth="1"/>
    <col min="9991" max="9991" width="43.6640625" style="1963" customWidth="1"/>
    <col min="9992" max="9993" width="47.33203125" style="1963" customWidth="1"/>
    <col min="9994" max="9994" width="47.1640625" style="1963" customWidth="1"/>
    <col min="9995" max="9995" width="43.6640625" style="1963" customWidth="1"/>
    <col min="9996" max="9997" width="45" style="1963" customWidth="1"/>
    <col min="9998" max="9998" width="44.83203125" style="1963" customWidth="1"/>
    <col min="9999" max="9999" width="45" style="1963" customWidth="1"/>
    <col min="10000" max="10001" width="47.33203125" style="1963" customWidth="1"/>
    <col min="10002" max="10002" width="47.1640625" style="1963" customWidth="1"/>
    <col min="10003" max="10003" width="43.6640625" style="1963" customWidth="1"/>
    <col min="10004" max="10004" width="193.33203125" style="1963" customWidth="1"/>
    <col min="10005" max="10007" width="47.33203125" style="1963" customWidth="1"/>
    <col min="10008" max="10008" width="43.6640625" style="1963" customWidth="1"/>
    <col min="10009" max="10011" width="47.33203125" style="1963" customWidth="1"/>
    <col min="10012" max="10012" width="44" style="1963" customWidth="1"/>
    <col min="10013" max="10015" width="47.33203125" style="1963" customWidth="1"/>
    <col min="10016" max="10016" width="43.6640625" style="1963" customWidth="1"/>
    <col min="10017" max="10019" width="47.33203125" style="1963" customWidth="1"/>
    <col min="10020" max="10020" width="43.6640625" style="1963" customWidth="1"/>
    <col min="10021" max="10023" width="47.33203125" style="1963" customWidth="1"/>
    <col min="10024" max="10024" width="43.6640625" style="1963" customWidth="1"/>
    <col min="10025" max="10025" width="193.33203125" style="1963" customWidth="1"/>
    <col min="10026" max="10041" width="56" style="1963" customWidth="1"/>
    <col min="10042" max="10042" width="59" style="1963" customWidth="1"/>
    <col min="10043" max="10043" width="46" style="1963" customWidth="1"/>
    <col min="10044" max="10238" width="9.33203125" style="1963"/>
    <col min="10239" max="10239" width="193.33203125" style="1963" customWidth="1"/>
    <col min="10240" max="10240" width="47.1640625" style="1963" customWidth="1"/>
    <col min="10241" max="10241" width="47.33203125" style="1963" customWidth="1"/>
    <col min="10242" max="10242" width="47.1640625" style="1963" customWidth="1"/>
    <col min="10243" max="10243" width="43.6640625" style="1963" customWidth="1"/>
    <col min="10244" max="10245" width="47.33203125" style="1963" customWidth="1"/>
    <col min="10246" max="10246" width="47.1640625" style="1963" customWidth="1"/>
    <col min="10247" max="10247" width="43.6640625" style="1963" customWidth="1"/>
    <col min="10248" max="10249" width="47.33203125" style="1963" customWidth="1"/>
    <col min="10250" max="10250" width="47.1640625" style="1963" customWidth="1"/>
    <col min="10251" max="10251" width="43.6640625" style="1963" customWidth="1"/>
    <col min="10252" max="10253" width="45" style="1963" customWidth="1"/>
    <col min="10254" max="10254" width="44.83203125" style="1963" customWidth="1"/>
    <col min="10255" max="10255" width="45" style="1963" customWidth="1"/>
    <col min="10256" max="10257" width="47.33203125" style="1963" customWidth="1"/>
    <col min="10258" max="10258" width="47.1640625" style="1963" customWidth="1"/>
    <col min="10259" max="10259" width="43.6640625" style="1963" customWidth="1"/>
    <col min="10260" max="10260" width="193.33203125" style="1963" customWidth="1"/>
    <col min="10261" max="10263" width="47.33203125" style="1963" customWidth="1"/>
    <col min="10264" max="10264" width="43.6640625" style="1963" customWidth="1"/>
    <col min="10265" max="10267" width="47.33203125" style="1963" customWidth="1"/>
    <col min="10268" max="10268" width="44" style="1963" customWidth="1"/>
    <col min="10269" max="10271" width="47.33203125" style="1963" customWidth="1"/>
    <col min="10272" max="10272" width="43.6640625" style="1963" customWidth="1"/>
    <col min="10273" max="10275" width="47.33203125" style="1963" customWidth="1"/>
    <col min="10276" max="10276" width="43.6640625" style="1963" customWidth="1"/>
    <col min="10277" max="10279" width="47.33203125" style="1963" customWidth="1"/>
    <col min="10280" max="10280" width="43.6640625" style="1963" customWidth="1"/>
    <col min="10281" max="10281" width="193.33203125" style="1963" customWidth="1"/>
    <col min="10282" max="10297" width="56" style="1963" customWidth="1"/>
    <col min="10298" max="10298" width="59" style="1963" customWidth="1"/>
    <col min="10299" max="10299" width="46" style="1963" customWidth="1"/>
    <col min="10300" max="10494" width="9.33203125" style="1963"/>
    <col min="10495" max="10495" width="193.33203125" style="1963" customWidth="1"/>
    <col min="10496" max="10496" width="47.1640625" style="1963" customWidth="1"/>
    <col min="10497" max="10497" width="47.33203125" style="1963" customWidth="1"/>
    <col min="10498" max="10498" width="47.1640625" style="1963" customWidth="1"/>
    <col min="10499" max="10499" width="43.6640625" style="1963" customWidth="1"/>
    <col min="10500" max="10501" width="47.33203125" style="1963" customWidth="1"/>
    <col min="10502" max="10502" width="47.1640625" style="1963" customWidth="1"/>
    <col min="10503" max="10503" width="43.6640625" style="1963" customWidth="1"/>
    <col min="10504" max="10505" width="47.33203125" style="1963" customWidth="1"/>
    <col min="10506" max="10506" width="47.1640625" style="1963" customWidth="1"/>
    <col min="10507" max="10507" width="43.6640625" style="1963" customWidth="1"/>
    <col min="10508" max="10509" width="45" style="1963" customWidth="1"/>
    <col min="10510" max="10510" width="44.83203125" style="1963" customWidth="1"/>
    <col min="10511" max="10511" width="45" style="1963" customWidth="1"/>
    <col min="10512" max="10513" width="47.33203125" style="1963" customWidth="1"/>
    <col min="10514" max="10514" width="47.1640625" style="1963" customWidth="1"/>
    <col min="10515" max="10515" width="43.6640625" style="1963" customWidth="1"/>
    <col min="10516" max="10516" width="193.33203125" style="1963" customWidth="1"/>
    <col min="10517" max="10519" width="47.33203125" style="1963" customWidth="1"/>
    <col min="10520" max="10520" width="43.6640625" style="1963" customWidth="1"/>
    <col min="10521" max="10523" width="47.33203125" style="1963" customWidth="1"/>
    <col min="10524" max="10524" width="44" style="1963" customWidth="1"/>
    <col min="10525" max="10527" width="47.33203125" style="1963" customWidth="1"/>
    <col min="10528" max="10528" width="43.6640625" style="1963" customWidth="1"/>
    <col min="10529" max="10531" width="47.33203125" style="1963" customWidth="1"/>
    <col min="10532" max="10532" width="43.6640625" style="1963" customWidth="1"/>
    <col min="10533" max="10535" width="47.33203125" style="1963" customWidth="1"/>
    <col min="10536" max="10536" width="43.6640625" style="1963" customWidth="1"/>
    <col min="10537" max="10537" width="193.33203125" style="1963" customWidth="1"/>
    <col min="10538" max="10553" width="56" style="1963" customWidth="1"/>
    <col min="10554" max="10554" width="59" style="1963" customWidth="1"/>
    <col min="10555" max="10555" width="46" style="1963" customWidth="1"/>
    <col min="10556" max="10750" width="9.33203125" style="1963"/>
    <col min="10751" max="10751" width="193.33203125" style="1963" customWidth="1"/>
    <col min="10752" max="10752" width="47.1640625" style="1963" customWidth="1"/>
    <col min="10753" max="10753" width="47.33203125" style="1963" customWidth="1"/>
    <col min="10754" max="10754" width="47.1640625" style="1963" customWidth="1"/>
    <col min="10755" max="10755" width="43.6640625" style="1963" customWidth="1"/>
    <col min="10756" max="10757" width="47.33203125" style="1963" customWidth="1"/>
    <col min="10758" max="10758" width="47.1640625" style="1963" customWidth="1"/>
    <col min="10759" max="10759" width="43.6640625" style="1963" customWidth="1"/>
    <col min="10760" max="10761" width="47.33203125" style="1963" customWidth="1"/>
    <col min="10762" max="10762" width="47.1640625" style="1963" customWidth="1"/>
    <col min="10763" max="10763" width="43.6640625" style="1963" customWidth="1"/>
    <col min="10764" max="10765" width="45" style="1963" customWidth="1"/>
    <col min="10766" max="10766" width="44.83203125" style="1963" customWidth="1"/>
    <col min="10767" max="10767" width="45" style="1963" customWidth="1"/>
    <col min="10768" max="10769" width="47.33203125" style="1963" customWidth="1"/>
    <col min="10770" max="10770" width="47.1640625" style="1963" customWidth="1"/>
    <col min="10771" max="10771" width="43.6640625" style="1963" customWidth="1"/>
    <col min="10772" max="10772" width="193.33203125" style="1963" customWidth="1"/>
    <col min="10773" max="10775" width="47.33203125" style="1963" customWidth="1"/>
    <col min="10776" max="10776" width="43.6640625" style="1963" customWidth="1"/>
    <col min="10777" max="10779" width="47.33203125" style="1963" customWidth="1"/>
    <col min="10780" max="10780" width="44" style="1963" customWidth="1"/>
    <col min="10781" max="10783" width="47.33203125" style="1963" customWidth="1"/>
    <col min="10784" max="10784" width="43.6640625" style="1963" customWidth="1"/>
    <col min="10785" max="10787" width="47.33203125" style="1963" customWidth="1"/>
    <col min="10788" max="10788" width="43.6640625" style="1963" customWidth="1"/>
    <col min="10789" max="10791" width="47.33203125" style="1963" customWidth="1"/>
    <col min="10792" max="10792" width="43.6640625" style="1963" customWidth="1"/>
    <col min="10793" max="10793" width="193.33203125" style="1963" customWidth="1"/>
    <col min="10794" max="10809" width="56" style="1963" customWidth="1"/>
    <col min="10810" max="10810" width="59" style="1963" customWidth="1"/>
    <col min="10811" max="10811" width="46" style="1963" customWidth="1"/>
    <col min="10812" max="11006" width="9.33203125" style="1963"/>
    <col min="11007" max="11007" width="193.33203125" style="1963" customWidth="1"/>
    <col min="11008" max="11008" width="47.1640625" style="1963" customWidth="1"/>
    <col min="11009" max="11009" width="47.33203125" style="1963" customWidth="1"/>
    <col min="11010" max="11010" width="47.1640625" style="1963" customWidth="1"/>
    <col min="11011" max="11011" width="43.6640625" style="1963" customWidth="1"/>
    <col min="11012" max="11013" width="47.33203125" style="1963" customWidth="1"/>
    <col min="11014" max="11014" width="47.1640625" style="1963" customWidth="1"/>
    <col min="11015" max="11015" width="43.6640625" style="1963" customWidth="1"/>
    <col min="11016" max="11017" width="47.33203125" style="1963" customWidth="1"/>
    <col min="11018" max="11018" width="47.1640625" style="1963" customWidth="1"/>
    <col min="11019" max="11019" width="43.6640625" style="1963" customWidth="1"/>
    <col min="11020" max="11021" width="45" style="1963" customWidth="1"/>
    <col min="11022" max="11022" width="44.83203125" style="1963" customWidth="1"/>
    <col min="11023" max="11023" width="45" style="1963" customWidth="1"/>
    <col min="11024" max="11025" width="47.33203125" style="1963" customWidth="1"/>
    <col min="11026" max="11026" width="47.1640625" style="1963" customWidth="1"/>
    <col min="11027" max="11027" width="43.6640625" style="1963" customWidth="1"/>
    <col min="11028" max="11028" width="193.33203125" style="1963" customWidth="1"/>
    <col min="11029" max="11031" width="47.33203125" style="1963" customWidth="1"/>
    <col min="11032" max="11032" width="43.6640625" style="1963" customWidth="1"/>
    <col min="11033" max="11035" width="47.33203125" style="1963" customWidth="1"/>
    <col min="11036" max="11036" width="44" style="1963" customWidth="1"/>
    <col min="11037" max="11039" width="47.33203125" style="1963" customWidth="1"/>
    <col min="11040" max="11040" width="43.6640625" style="1963" customWidth="1"/>
    <col min="11041" max="11043" width="47.33203125" style="1963" customWidth="1"/>
    <col min="11044" max="11044" width="43.6640625" style="1963" customWidth="1"/>
    <col min="11045" max="11047" width="47.33203125" style="1963" customWidth="1"/>
    <col min="11048" max="11048" width="43.6640625" style="1963" customWidth="1"/>
    <col min="11049" max="11049" width="193.33203125" style="1963" customWidth="1"/>
    <col min="11050" max="11065" width="56" style="1963" customWidth="1"/>
    <col min="11066" max="11066" width="59" style="1963" customWidth="1"/>
    <col min="11067" max="11067" width="46" style="1963" customWidth="1"/>
    <col min="11068" max="11262" width="9.33203125" style="1963"/>
    <col min="11263" max="11263" width="193.33203125" style="1963" customWidth="1"/>
    <col min="11264" max="11264" width="47.1640625" style="1963" customWidth="1"/>
    <col min="11265" max="11265" width="47.33203125" style="1963" customWidth="1"/>
    <col min="11266" max="11266" width="47.1640625" style="1963" customWidth="1"/>
    <col min="11267" max="11267" width="43.6640625" style="1963" customWidth="1"/>
    <col min="11268" max="11269" width="47.33203125" style="1963" customWidth="1"/>
    <col min="11270" max="11270" width="47.1640625" style="1963" customWidth="1"/>
    <col min="11271" max="11271" width="43.6640625" style="1963" customWidth="1"/>
    <col min="11272" max="11273" width="47.33203125" style="1963" customWidth="1"/>
    <col min="11274" max="11274" width="47.1640625" style="1963" customWidth="1"/>
    <col min="11275" max="11275" width="43.6640625" style="1963" customWidth="1"/>
    <col min="11276" max="11277" width="45" style="1963" customWidth="1"/>
    <col min="11278" max="11278" width="44.83203125" style="1963" customWidth="1"/>
    <col min="11279" max="11279" width="45" style="1963" customWidth="1"/>
    <col min="11280" max="11281" width="47.33203125" style="1963" customWidth="1"/>
    <col min="11282" max="11282" width="47.1640625" style="1963" customWidth="1"/>
    <col min="11283" max="11283" width="43.6640625" style="1963" customWidth="1"/>
    <col min="11284" max="11284" width="193.33203125" style="1963" customWidth="1"/>
    <col min="11285" max="11287" width="47.33203125" style="1963" customWidth="1"/>
    <col min="11288" max="11288" width="43.6640625" style="1963" customWidth="1"/>
    <col min="11289" max="11291" width="47.33203125" style="1963" customWidth="1"/>
    <col min="11292" max="11292" width="44" style="1963" customWidth="1"/>
    <col min="11293" max="11295" width="47.33203125" style="1963" customWidth="1"/>
    <col min="11296" max="11296" width="43.6640625" style="1963" customWidth="1"/>
    <col min="11297" max="11299" width="47.33203125" style="1963" customWidth="1"/>
    <col min="11300" max="11300" width="43.6640625" style="1963" customWidth="1"/>
    <col min="11301" max="11303" width="47.33203125" style="1963" customWidth="1"/>
    <col min="11304" max="11304" width="43.6640625" style="1963" customWidth="1"/>
    <col min="11305" max="11305" width="193.33203125" style="1963" customWidth="1"/>
    <col min="11306" max="11321" width="56" style="1963" customWidth="1"/>
    <col min="11322" max="11322" width="59" style="1963" customWidth="1"/>
    <col min="11323" max="11323" width="46" style="1963" customWidth="1"/>
    <col min="11324" max="11518" width="9.33203125" style="1963"/>
    <col min="11519" max="11519" width="193.33203125" style="1963" customWidth="1"/>
    <col min="11520" max="11520" width="47.1640625" style="1963" customWidth="1"/>
    <col min="11521" max="11521" width="47.33203125" style="1963" customWidth="1"/>
    <col min="11522" max="11522" width="47.1640625" style="1963" customWidth="1"/>
    <col min="11523" max="11523" width="43.6640625" style="1963" customWidth="1"/>
    <col min="11524" max="11525" width="47.33203125" style="1963" customWidth="1"/>
    <col min="11526" max="11526" width="47.1640625" style="1963" customWidth="1"/>
    <col min="11527" max="11527" width="43.6640625" style="1963" customWidth="1"/>
    <col min="11528" max="11529" width="47.33203125" style="1963" customWidth="1"/>
    <col min="11530" max="11530" width="47.1640625" style="1963" customWidth="1"/>
    <col min="11531" max="11531" width="43.6640625" style="1963" customWidth="1"/>
    <col min="11532" max="11533" width="45" style="1963" customWidth="1"/>
    <col min="11534" max="11534" width="44.83203125" style="1963" customWidth="1"/>
    <col min="11535" max="11535" width="45" style="1963" customWidth="1"/>
    <col min="11536" max="11537" width="47.33203125" style="1963" customWidth="1"/>
    <col min="11538" max="11538" width="47.1640625" style="1963" customWidth="1"/>
    <col min="11539" max="11539" width="43.6640625" style="1963" customWidth="1"/>
    <col min="11540" max="11540" width="193.33203125" style="1963" customWidth="1"/>
    <col min="11541" max="11543" width="47.33203125" style="1963" customWidth="1"/>
    <col min="11544" max="11544" width="43.6640625" style="1963" customWidth="1"/>
    <col min="11545" max="11547" width="47.33203125" style="1963" customWidth="1"/>
    <col min="11548" max="11548" width="44" style="1963" customWidth="1"/>
    <col min="11549" max="11551" width="47.33203125" style="1963" customWidth="1"/>
    <col min="11552" max="11552" width="43.6640625" style="1963" customWidth="1"/>
    <col min="11553" max="11555" width="47.33203125" style="1963" customWidth="1"/>
    <col min="11556" max="11556" width="43.6640625" style="1963" customWidth="1"/>
    <col min="11557" max="11559" width="47.33203125" style="1963" customWidth="1"/>
    <col min="11560" max="11560" width="43.6640625" style="1963" customWidth="1"/>
    <col min="11561" max="11561" width="193.33203125" style="1963" customWidth="1"/>
    <col min="11562" max="11577" width="56" style="1963" customWidth="1"/>
    <col min="11578" max="11578" width="59" style="1963" customWidth="1"/>
    <col min="11579" max="11579" width="46" style="1963" customWidth="1"/>
    <col min="11580" max="11774" width="9.33203125" style="1963"/>
    <col min="11775" max="11775" width="193.33203125" style="1963" customWidth="1"/>
    <col min="11776" max="11776" width="47.1640625" style="1963" customWidth="1"/>
    <col min="11777" max="11777" width="47.33203125" style="1963" customWidth="1"/>
    <col min="11778" max="11778" width="47.1640625" style="1963" customWidth="1"/>
    <col min="11779" max="11779" width="43.6640625" style="1963" customWidth="1"/>
    <col min="11780" max="11781" width="47.33203125" style="1963" customWidth="1"/>
    <col min="11782" max="11782" width="47.1640625" style="1963" customWidth="1"/>
    <col min="11783" max="11783" width="43.6640625" style="1963" customWidth="1"/>
    <col min="11784" max="11785" width="47.33203125" style="1963" customWidth="1"/>
    <col min="11786" max="11786" width="47.1640625" style="1963" customWidth="1"/>
    <col min="11787" max="11787" width="43.6640625" style="1963" customWidth="1"/>
    <col min="11788" max="11789" width="45" style="1963" customWidth="1"/>
    <col min="11790" max="11790" width="44.83203125" style="1963" customWidth="1"/>
    <col min="11791" max="11791" width="45" style="1963" customWidth="1"/>
    <col min="11792" max="11793" width="47.33203125" style="1963" customWidth="1"/>
    <col min="11794" max="11794" width="47.1640625" style="1963" customWidth="1"/>
    <col min="11795" max="11795" width="43.6640625" style="1963" customWidth="1"/>
    <col min="11796" max="11796" width="193.33203125" style="1963" customWidth="1"/>
    <col min="11797" max="11799" width="47.33203125" style="1963" customWidth="1"/>
    <col min="11800" max="11800" width="43.6640625" style="1963" customWidth="1"/>
    <col min="11801" max="11803" width="47.33203125" style="1963" customWidth="1"/>
    <col min="11804" max="11804" width="44" style="1963" customWidth="1"/>
    <col min="11805" max="11807" width="47.33203125" style="1963" customWidth="1"/>
    <col min="11808" max="11808" width="43.6640625" style="1963" customWidth="1"/>
    <col min="11809" max="11811" width="47.33203125" style="1963" customWidth="1"/>
    <col min="11812" max="11812" width="43.6640625" style="1963" customWidth="1"/>
    <col min="11813" max="11815" width="47.33203125" style="1963" customWidth="1"/>
    <col min="11816" max="11816" width="43.6640625" style="1963" customWidth="1"/>
    <col min="11817" max="11817" width="193.33203125" style="1963" customWidth="1"/>
    <col min="11818" max="11833" width="56" style="1963" customWidth="1"/>
    <col min="11834" max="11834" width="59" style="1963" customWidth="1"/>
    <col min="11835" max="11835" width="46" style="1963" customWidth="1"/>
    <col min="11836" max="12030" width="9.33203125" style="1963"/>
    <col min="12031" max="12031" width="193.33203125" style="1963" customWidth="1"/>
    <col min="12032" max="12032" width="47.1640625" style="1963" customWidth="1"/>
    <col min="12033" max="12033" width="47.33203125" style="1963" customWidth="1"/>
    <col min="12034" max="12034" width="47.1640625" style="1963" customWidth="1"/>
    <col min="12035" max="12035" width="43.6640625" style="1963" customWidth="1"/>
    <col min="12036" max="12037" width="47.33203125" style="1963" customWidth="1"/>
    <col min="12038" max="12038" width="47.1640625" style="1963" customWidth="1"/>
    <col min="12039" max="12039" width="43.6640625" style="1963" customWidth="1"/>
    <col min="12040" max="12041" width="47.33203125" style="1963" customWidth="1"/>
    <col min="12042" max="12042" width="47.1640625" style="1963" customWidth="1"/>
    <col min="12043" max="12043" width="43.6640625" style="1963" customWidth="1"/>
    <col min="12044" max="12045" width="45" style="1963" customWidth="1"/>
    <col min="12046" max="12046" width="44.83203125" style="1963" customWidth="1"/>
    <col min="12047" max="12047" width="45" style="1963" customWidth="1"/>
    <col min="12048" max="12049" width="47.33203125" style="1963" customWidth="1"/>
    <col min="12050" max="12050" width="47.1640625" style="1963" customWidth="1"/>
    <col min="12051" max="12051" width="43.6640625" style="1963" customWidth="1"/>
    <col min="12052" max="12052" width="193.33203125" style="1963" customWidth="1"/>
    <col min="12053" max="12055" width="47.33203125" style="1963" customWidth="1"/>
    <col min="12056" max="12056" width="43.6640625" style="1963" customWidth="1"/>
    <col min="12057" max="12059" width="47.33203125" style="1963" customWidth="1"/>
    <col min="12060" max="12060" width="44" style="1963" customWidth="1"/>
    <col min="12061" max="12063" width="47.33203125" style="1963" customWidth="1"/>
    <col min="12064" max="12064" width="43.6640625" style="1963" customWidth="1"/>
    <col min="12065" max="12067" width="47.33203125" style="1963" customWidth="1"/>
    <col min="12068" max="12068" width="43.6640625" style="1963" customWidth="1"/>
    <col min="12069" max="12071" width="47.33203125" style="1963" customWidth="1"/>
    <col min="12072" max="12072" width="43.6640625" style="1963" customWidth="1"/>
    <col min="12073" max="12073" width="193.33203125" style="1963" customWidth="1"/>
    <col min="12074" max="12089" width="56" style="1963" customWidth="1"/>
    <col min="12090" max="12090" width="59" style="1963" customWidth="1"/>
    <col min="12091" max="12091" width="46" style="1963" customWidth="1"/>
    <col min="12092" max="12286" width="9.33203125" style="1963"/>
    <col min="12287" max="12287" width="193.33203125" style="1963" customWidth="1"/>
    <col min="12288" max="12288" width="47.1640625" style="1963" customWidth="1"/>
    <col min="12289" max="12289" width="47.33203125" style="1963" customWidth="1"/>
    <col min="12290" max="12290" width="47.1640625" style="1963" customWidth="1"/>
    <col min="12291" max="12291" width="43.6640625" style="1963" customWidth="1"/>
    <col min="12292" max="12293" width="47.33203125" style="1963" customWidth="1"/>
    <col min="12294" max="12294" width="47.1640625" style="1963" customWidth="1"/>
    <col min="12295" max="12295" width="43.6640625" style="1963" customWidth="1"/>
    <col min="12296" max="12297" width="47.33203125" style="1963" customWidth="1"/>
    <col min="12298" max="12298" width="47.1640625" style="1963" customWidth="1"/>
    <col min="12299" max="12299" width="43.6640625" style="1963" customWidth="1"/>
    <col min="12300" max="12301" width="45" style="1963" customWidth="1"/>
    <col min="12302" max="12302" width="44.83203125" style="1963" customWidth="1"/>
    <col min="12303" max="12303" width="45" style="1963" customWidth="1"/>
    <col min="12304" max="12305" width="47.33203125" style="1963" customWidth="1"/>
    <col min="12306" max="12306" width="47.1640625" style="1963" customWidth="1"/>
    <col min="12307" max="12307" width="43.6640625" style="1963" customWidth="1"/>
    <col min="12308" max="12308" width="193.33203125" style="1963" customWidth="1"/>
    <col min="12309" max="12311" width="47.33203125" style="1963" customWidth="1"/>
    <col min="12312" max="12312" width="43.6640625" style="1963" customWidth="1"/>
    <col min="12313" max="12315" width="47.33203125" style="1963" customWidth="1"/>
    <col min="12316" max="12316" width="44" style="1963" customWidth="1"/>
    <col min="12317" max="12319" width="47.33203125" style="1963" customWidth="1"/>
    <col min="12320" max="12320" width="43.6640625" style="1963" customWidth="1"/>
    <col min="12321" max="12323" width="47.33203125" style="1963" customWidth="1"/>
    <col min="12324" max="12324" width="43.6640625" style="1963" customWidth="1"/>
    <col min="12325" max="12327" width="47.33203125" style="1963" customWidth="1"/>
    <col min="12328" max="12328" width="43.6640625" style="1963" customWidth="1"/>
    <col min="12329" max="12329" width="193.33203125" style="1963" customWidth="1"/>
    <col min="12330" max="12345" width="56" style="1963" customWidth="1"/>
    <col min="12346" max="12346" width="59" style="1963" customWidth="1"/>
    <col min="12347" max="12347" width="46" style="1963" customWidth="1"/>
    <col min="12348" max="12542" width="9.33203125" style="1963"/>
    <col min="12543" max="12543" width="193.33203125" style="1963" customWidth="1"/>
    <col min="12544" max="12544" width="47.1640625" style="1963" customWidth="1"/>
    <col min="12545" max="12545" width="47.33203125" style="1963" customWidth="1"/>
    <col min="12546" max="12546" width="47.1640625" style="1963" customWidth="1"/>
    <col min="12547" max="12547" width="43.6640625" style="1963" customWidth="1"/>
    <col min="12548" max="12549" width="47.33203125" style="1963" customWidth="1"/>
    <col min="12550" max="12550" width="47.1640625" style="1963" customWidth="1"/>
    <col min="12551" max="12551" width="43.6640625" style="1963" customWidth="1"/>
    <col min="12552" max="12553" width="47.33203125" style="1963" customWidth="1"/>
    <col min="12554" max="12554" width="47.1640625" style="1963" customWidth="1"/>
    <col min="12555" max="12555" width="43.6640625" style="1963" customWidth="1"/>
    <col min="12556" max="12557" width="45" style="1963" customWidth="1"/>
    <col min="12558" max="12558" width="44.83203125" style="1963" customWidth="1"/>
    <col min="12559" max="12559" width="45" style="1963" customWidth="1"/>
    <col min="12560" max="12561" width="47.33203125" style="1963" customWidth="1"/>
    <col min="12562" max="12562" width="47.1640625" style="1963" customWidth="1"/>
    <col min="12563" max="12563" width="43.6640625" style="1963" customWidth="1"/>
    <col min="12564" max="12564" width="193.33203125" style="1963" customWidth="1"/>
    <col min="12565" max="12567" width="47.33203125" style="1963" customWidth="1"/>
    <col min="12568" max="12568" width="43.6640625" style="1963" customWidth="1"/>
    <col min="12569" max="12571" width="47.33203125" style="1963" customWidth="1"/>
    <col min="12572" max="12572" width="44" style="1963" customWidth="1"/>
    <col min="12573" max="12575" width="47.33203125" style="1963" customWidth="1"/>
    <col min="12576" max="12576" width="43.6640625" style="1963" customWidth="1"/>
    <col min="12577" max="12579" width="47.33203125" style="1963" customWidth="1"/>
    <col min="12580" max="12580" width="43.6640625" style="1963" customWidth="1"/>
    <col min="12581" max="12583" width="47.33203125" style="1963" customWidth="1"/>
    <col min="12584" max="12584" width="43.6640625" style="1963" customWidth="1"/>
    <col min="12585" max="12585" width="193.33203125" style="1963" customWidth="1"/>
    <col min="12586" max="12601" width="56" style="1963" customWidth="1"/>
    <col min="12602" max="12602" width="59" style="1963" customWidth="1"/>
    <col min="12603" max="12603" width="46" style="1963" customWidth="1"/>
    <col min="12604" max="12798" width="9.33203125" style="1963"/>
    <col min="12799" max="12799" width="193.33203125" style="1963" customWidth="1"/>
    <col min="12800" max="12800" width="47.1640625" style="1963" customWidth="1"/>
    <col min="12801" max="12801" width="47.33203125" style="1963" customWidth="1"/>
    <col min="12802" max="12802" width="47.1640625" style="1963" customWidth="1"/>
    <col min="12803" max="12803" width="43.6640625" style="1963" customWidth="1"/>
    <col min="12804" max="12805" width="47.33203125" style="1963" customWidth="1"/>
    <col min="12806" max="12806" width="47.1640625" style="1963" customWidth="1"/>
    <col min="12807" max="12807" width="43.6640625" style="1963" customWidth="1"/>
    <col min="12808" max="12809" width="47.33203125" style="1963" customWidth="1"/>
    <col min="12810" max="12810" width="47.1640625" style="1963" customWidth="1"/>
    <col min="12811" max="12811" width="43.6640625" style="1963" customWidth="1"/>
    <col min="12812" max="12813" width="45" style="1963" customWidth="1"/>
    <col min="12814" max="12814" width="44.83203125" style="1963" customWidth="1"/>
    <col min="12815" max="12815" width="45" style="1963" customWidth="1"/>
    <col min="12816" max="12817" width="47.33203125" style="1963" customWidth="1"/>
    <col min="12818" max="12818" width="47.1640625" style="1963" customWidth="1"/>
    <col min="12819" max="12819" width="43.6640625" style="1963" customWidth="1"/>
    <col min="12820" max="12820" width="193.33203125" style="1963" customWidth="1"/>
    <col min="12821" max="12823" width="47.33203125" style="1963" customWidth="1"/>
    <col min="12824" max="12824" width="43.6640625" style="1963" customWidth="1"/>
    <col min="12825" max="12827" width="47.33203125" style="1963" customWidth="1"/>
    <col min="12828" max="12828" width="44" style="1963" customWidth="1"/>
    <col min="12829" max="12831" width="47.33203125" style="1963" customWidth="1"/>
    <col min="12832" max="12832" width="43.6640625" style="1963" customWidth="1"/>
    <col min="12833" max="12835" width="47.33203125" style="1963" customWidth="1"/>
    <col min="12836" max="12836" width="43.6640625" style="1963" customWidth="1"/>
    <col min="12837" max="12839" width="47.33203125" style="1963" customWidth="1"/>
    <col min="12840" max="12840" width="43.6640625" style="1963" customWidth="1"/>
    <col min="12841" max="12841" width="193.33203125" style="1963" customWidth="1"/>
    <col min="12842" max="12857" width="56" style="1963" customWidth="1"/>
    <col min="12858" max="12858" width="59" style="1963" customWidth="1"/>
    <col min="12859" max="12859" width="46" style="1963" customWidth="1"/>
    <col min="12860" max="13054" width="9.33203125" style="1963"/>
    <col min="13055" max="13055" width="193.33203125" style="1963" customWidth="1"/>
    <col min="13056" max="13056" width="47.1640625" style="1963" customWidth="1"/>
    <col min="13057" max="13057" width="47.33203125" style="1963" customWidth="1"/>
    <col min="13058" max="13058" width="47.1640625" style="1963" customWidth="1"/>
    <col min="13059" max="13059" width="43.6640625" style="1963" customWidth="1"/>
    <col min="13060" max="13061" width="47.33203125" style="1963" customWidth="1"/>
    <col min="13062" max="13062" width="47.1640625" style="1963" customWidth="1"/>
    <col min="13063" max="13063" width="43.6640625" style="1963" customWidth="1"/>
    <col min="13064" max="13065" width="47.33203125" style="1963" customWidth="1"/>
    <col min="13066" max="13066" width="47.1640625" style="1963" customWidth="1"/>
    <col min="13067" max="13067" width="43.6640625" style="1963" customWidth="1"/>
    <col min="13068" max="13069" width="45" style="1963" customWidth="1"/>
    <col min="13070" max="13070" width="44.83203125" style="1963" customWidth="1"/>
    <col min="13071" max="13071" width="45" style="1963" customWidth="1"/>
    <col min="13072" max="13073" width="47.33203125" style="1963" customWidth="1"/>
    <col min="13074" max="13074" width="47.1640625" style="1963" customWidth="1"/>
    <col min="13075" max="13075" width="43.6640625" style="1963" customWidth="1"/>
    <col min="13076" max="13076" width="193.33203125" style="1963" customWidth="1"/>
    <col min="13077" max="13079" width="47.33203125" style="1963" customWidth="1"/>
    <col min="13080" max="13080" width="43.6640625" style="1963" customWidth="1"/>
    <col min="13081" max="13083" width="47.33203125" style="1963" customWidth="1"/>
    <col min="13084" max="13084" width="44" style="1963" customWidth="1"/>
    <col min="13085" max="13087" width="47.33203125" style="1963" customWidth="1"/>
    <col min="13088" max="13088" width="43.6640625" style="1963" customWidth="1"/>
    <col min="13089" max="13091" width="47.33203125" style="1963" customWidth="1"/>
    <col min="13092" max="13092" width="43.6640625" style="1963" customWidth="1"/>
    <col min="13093" max="13095" width="47.33203125" style="1963" customWidth="1"/>
    <col min="13096" max="13096" width="43.6640625" style="1963" customWidth="1"/>
    <col min="13097" max="13097" width="193.33203125" style="1963" customWidth="1"/>
    <col min="13098" max="13113" width="56" style="1963" customWidth="1"/>
    <col min="13114" max="13114" width="59" style="1963" customWidth="1"/>
    <col min="13115" max="13115" width="46" style="1963" customWidth="1"/>
    <col min="13116" max="13310" width="9.33203125" style="1963"/>
    <col min="13311" max="13311" width="193.33203125" style="1963" customWidth="1"/>
    <col min="13312" max="13312" width="47.1640625" style="1963" customWidth="1"/>
    <col min="13313" max="13313" width="47.33203125" style="1963" customWidth="1"/>
    <col min="13314" max="13314" width="47.1640625" style="1963" customWidth="1"/>
    <col min="13315" max="13315" width="43.6640625" style="1963" customWidth="1"/>
    <col min="13316" max="13317" width="47.33203125" style="1963" customWidth="1"/>
    <col min="13318" max="13318" width="47.1640625" style="1963" customWidth="1"/>
    <col min="13319" max="13319" width="43.6640625" style="1963" customWidth="1"/>
    <col min="13320" max="13321" width="47.33203125" style="1963" customWidth="1"/>
    <col min="13322" max="13322" width="47.1640625" style="1963" customWidth="1"/>
    <col min="13323" max="13323" width="43.6640625" style="1963" customWidth="1"/>
    <col min="13324" max="13325" width="45" style="1963" customWidth="1"/>
    <col min="13326" max="13326" width="44.83203125" style="1963" customWidth="1"/>
    <col min="13327" max="13327" width="45" style="1963" customWidth="1"/>
    <col min="13328" max="13329" width="47.33203125" style="1963" customWidth="1"/>
    <col min="13330" max="13330" width="47.1640625" style="1963" customWidth="1"/>
    <col min="13331" max="13331" width="43.6640625" style="1963" customWidth="1"/>
    <col min="13332" max="13332" width="193.33203125" style="1963" customWidth="1"/>
    <col min="13333" max="13335" width="47.33203125" style="1963" customWidth="1"/>
    <col min="13336" max="13336" width="43.6640625" style="1963" customWidth="1"/>
    <col min="13337" max="13339" width="47.33203125" style="1963" customWidth="1"/>
    <col min="13340" max="13340" width="44" style="1963" customWidth="1"/>
    <col min="13341" max="13343" width="47.33203125" style="1963" customWidth="1"/>
    <col min="13344" max="13344" width="43.6640625" style="1963" customWidth="1"/>
    <col min="13345" max="13347" width="47.33203125" style="1963" customWidth="1"/>
    <col min="13348" max="13348" width="43.6640625" style="1963" customWidth="1"/>
    <col min="13349" max="13351" width="47.33203125" style="1963" customWidth="1"/>
    <col min="13352" max="13352" width="43.6640625" style="1963" customWidth="1"/>
    <col min="13353" max="13353" width="193.33203125" style="1963" customWidth="1"/>
    <col min="13354" max="13369" width="56" style="1963" customWidth="1"/>
    <col min="13370" max="13370" width="59" style="1963" customWidth="1"/>
    <col min="13371" max="13371" width="46" style="1963" customWidth="1"/>
    <col min="13372" max="13566" width="9.33203125" style="1963"/>
    <col min="13567" max="13567" width="193.33203125" style="1963" customWidth="1"/>
    <col min="13568" max="13568" width="47.1640625" style="1963" customWidth="1"/>
    <col min="13569" max="13569" width="47.33203125" style="1963" customWidth="1"/>
    <col min="13570" max="13570" width="47.1640625" style="1963" customWidth="1"/>
    <col min="13571" max="13571" width="43.6640625" style="1963" customWidth="1"/>
    <col min="13572" max="13573" width="47.33203125" style="1963" customWidth="1"/>
    <col min="13574" max="13574" width="47.1640625" style="1963" customWidth="1"/>
    <col min="13575" max="13575" width="43.6640625" style="1963" customWidth="1"/>
    <col min="13576" max="13577" width="47.33203125" style="1963" customWidth="1"/>
    <col min="13578" max="13578" width="47.1640625" style="1963" customWidth="1"/>
    <col min="13579" max="13579" width="43.6640625" style="1963" customWidth="1"/>
    <col min="13580" max="13581" width="45" style="1963" customWidth="1"/>
    <col min="13582" max="13582" width="44.83203125" style="1963" customWidth="1"/>
    <col min="13583" max="13583" width="45" style="1963" customWidth="1"/>
    <col min="13584" max="13585" width="47.33203125" style="1963" customWidth="1"/>
    <col min="13586" max="13586" width="47.1640625" style="1963" customWidth="1"/>
    <col min="13587" max="13587" width="43.6640625" style="1963" customWidth="1"/>
    <col min="13588" max="13588" width="193.33203125" style="1963" customWidth="1"/>
    <col min="13589" max="13591" width="47.33203125" style="1963" customWidth="1"/>
    <col min="13592" max="13592" width="43.6640625" style="1963" customWidth="1"/>
    <col min="13593" max="13595" width="47.33203125" style="1963" customWidth="1"/>
    <col min="13596" max="13596" width="44" style="1963" customWidth="1"/>
    <col min="13597" max="13599" width="47.33203125" style="1963" customWidth="1"/>
    <col min="13600" max="13600" width="43.6640625" style="1963" customWidth="1"/>
    <col min="13601" max="13603" width="47.33203125" style="1963" customWidth="1"/>
    <col min="13604" max="13604" width="43.6640625" style="1963" customWidth="1"/>
    <col min="13605" max="13607" width="47.33203125" style="1963" customWidth="1"/>
    <col min="13608" max="13608" width="43.6640625" style="1963" customWidth="1"/>
    <col min="13609" max="13609" width="193.33203125" style="1963" customWidth="1"/>
    <col min="13610" max="13625" width="56" style="1963" customWidth="1"/>
    <col min="13626" max="13626" width="59" style="1963" customWidth="1"/>
    <col min="13627" max="13627" width="46" style="1963" customWidth="1"/>
    <col min="13628" max="13822" width="9.33203125" style="1963"/>
    <col min="13823" max="13823" width="193.33203125" style="1963" customWidth="1"/>
    <col min="13824" max="13824" width="47.1640625" style="1963" customWidth="1"/>
    <col min="13825" max="13825" width="47.33203125" style="1963" customWidth="1"/>
    <col min="13826" max="13826" width="47.1640625" style="1963" customWidth="1"/>
    <col min="13827" max="13827" width="43.6640625" style="1963" customWidth="1"/>
    <col min="13828" max="13829" width="47.33203125" style="1963" customWidth="1"/>
    <col min="13830" max="13830" width="47.1640625" style="1963" customWidth="1"/>
    <col min="13831" max="13831" width="43.6640625" style="1963" customWidth="1"/>
    <col min="13832" max="13833" width="47.33203125" style="1963" customWidth="1"/>
    <col min="13834" max="13834" width="47.1640625" style="1963" customWidth="1"/>
    <col min="13835" max="13835" width="43.6640625" style="1963" customWidth="1"/>
    <col min="13836" max="13837" width="45" style="1963" customWidth="1"/>
    <col min="13838" max="13838" width="44.83203125" style="1963" customWidth="1"/>
    <col min="13839" max="13839" width="45" style="1963" customWidth="1"/>
    <col min="13840" max="13841" width="47.33203125" style="1963" customWidth="1"/>
    <col min="13842" max="13842" width="47.1640625" style="1963" customWidth="1"/>
    <col min="13843" max="13843" width="43.6640625" style="1963" customWidth="1"/>
    <col min="13844" max="13844" width="193.33203125" style="1963" customWidth="1"/>
    <col min="13845" max="13847" width="47.33203125" style="1963" customWidth="1"/>
    <col min="13848" max="13848" width="43.6640625" style="1963" customWidth="1"/>
    <col min="13849" max="13851" width="47.33203125" style="1963" customWidth="1"/>
    <col min="13852" max="13852" width="44" style="1963" customWidth="1"/>
    <col min="13853" max="13855" width="47.33203125" style="1963" customWidth="1"/>
    <col min="13856" max="13856" width="43.6640625" style="1963" customWidth="1"/>
    <col min="13857" max="13859" width="47.33203125" style="1963" customWidth="1"/>
    <col min="13860" max="13860" width="43.6640625" style="1963" customWidth="1"/>
    <col min="13861" max="13863" width="47.33203125" style="1963" customWidth="1"/>
    <col min="13864" max="13864" width="43.6640625" style="1963" customWidth="1"/>
    <col min="13865" max="13865" width="193.33203125" style="1963" customWidth="1"/>
    <col min="13866" max="13881" width="56" style="1963" customWidth="1"/>
    <col min="13882" max="13882" width="59" style="1963" customWidth="1"/>
    <col min="13883" max="13883" width="46" style="1963" customWidth="1"/>
    <col min="13884" max="14078" width="9.33203125" style="1963"/>
    <col min="14079" max="14079" width="193.33203125" style="1963" customWidth="1"/>
    <col min="14080" max="14080" width="47.1640625" style="1963" customWidth="1"/>
    <col min="14081" max="14081" width="47.33203125" style="1963" customWidth="1"/>
    <col min="14082" max="14082" width="47.1640625" style="1963" customWidth="1"/>
    <col min="14083" max="14083" width="43.6640625" style="1963" customWidth="1"/>
    <col min="14084" max="14085" width="47.33203125" style="1963" customWidth="1"/>
    <col min="14086" max="14086" width="47.1640625" style="1963" customWidth="1"/>
    <col min="14087" max="14087" width="43.6640625" style="1963" customWidth="1"/>
    <col min="14088" max="14089" width="47.33203125" style="1963" customWidth="1"/>
    <col min="14090" max="14090" width="47.1640625" style="1963" customWidth="1"/>
    <col min="14091" max="14091" width="43.6640625" style="1963" customWidth="1"/>
    <col min="14092" max="14093" width="45" style="1963" customWidth="1"/>
    <col min="14094" max="14094" width="44.83203125" style="1963" customWidth="1"/>
    <col min="14095" max="14095" width="45" style="1963" customWidth="1"/>
    <col min="14096" max="14097" width="47.33203125" style="1963" customWidth="1"/>
    <col min="14098" max="14098" width="47.1640625" style="1963" customWidth="1"/>
    <col min="14099" max="14099" width="43.6640625" style="1963" customWidth="1"/>
    <col min="14100" max="14100" width="193.33203125" style="1963" customWidth="1"/>
    <col min="14101" max="14103" width="47.33203125" style="1963" customWidth="1"/>
    <col min="14104" max="14104" width="43.6640625" style="1963" customWidth="1"/>
    <col min="14105" max="14107" width="47.33203125" style="1963" customWidth="1"/>
    <col min="14108" max="14108" width="44" style="1963" customWidth="1"/>
    <col min="14109" max="14111" width="47.33203125" style="1963" customWidth="1"/>
    <col min="14112" max="14112" width="43.6640625" style="1963" customWidth="1"/>
    <col min="14113" max="14115" width="47.33203125" style="1963" customWidth="1"/>
    <col min="14116" max="14116" width="43.6640625" style="1963" customWidth="1"/>
    <col min="14117" max="14119" width="47.33203125" style="1963" customWidth="1"/>
    <col min="14120" max="14120" width="43.6640625" style="1963" customWidth="1"/>
    <col min="14121" max="14121" width="193.33203125" style="1963" customWidth="1"/>
    <col min="14122" max="14137" width="56" style="1963" customWidth="1"/>
    <col min="14138" max="14138" width="59" style="1963" customWidth="1"/>
    <col min="14139" max="14139" width="46" style="1963" customWidth="1"/>
    <col min="14140" max="14334" width="9.33203125" style="1963"/>
    <col min="14335" max="14335" width="193.33203125" style="1963" customWidth="1"/>
    <col min="14336" max="14336" width="47.1640625" style="1963" customWidth="1"/>
    <col min="14337" max="14337" width="47.33203125" style="1963" customWidth="1"/>
    <col min="14338" max="14338" width="47.1640625" style="1963" customWidth="1"/>
    <col min="14339" max="14339" width="43.6640625" style="1963" customWidth="1"/>
    <col min="14340" max="14341" width="47.33203125" style="1963" customWidth="1"/>
    <col min="14342" max="14342" width="47.1640625" style="1963" customWidth="1"/>
    <col min="14343" max="14343" width="43.6640625" style="1963" customWidth="1"/>
    <col min="14344" max="14345" width="47.33203125" style="1963" customWidth="1"/>
    <col min="14346" max="14346" width="47.1640625" style="1963" customWidth="1"/>
    <col min="14347" max="14347" width="43.6640625" style="1963" customWidth="1"/>
    <col min="14348" max="14349" width="45" style="1963" customWidth="1"/>
    <col min="14350" max="14350" width="44.83203125" style="1963" customWidth="1"/>
    <col min="14351" max="14351" width="45" style="1963" customWidth="1"/>
    <col min="14352" max="14353" width="47.33203125" style="1963" customWidth="1"/>
    <col min="14354" max="14354" width="47.1640625" style="1963" customWidth="1"/>
    <col min="14355" max="14355" width="43.6640625" style="1963" customWidth="1"/>
    <col min="14356" max="14356" width="193.33203125" style="1963" customWidth="1"/>
    <col min="14357" max="14359" width="47.33203125" style="1963" customWidth="1"/>
    <col min="14360" max="14360" width="43.6640625" style="1963" customWidth="1"/>
    <col min="14361" max="14363" width="47.33203125" style="1963" customWidth="1"/>
    <col min="14364" max="14364" width="44" style="1963" customWidth="1"/>
    <col min="14365" max="14367" width="47.33203125" style="1963" customWidth="1"/>
    <col min="14368" max="14368" width="43.6640625" style="1963" customWidth="1"/>
    <col min="14369" max="14371" width="47.33203125" style="1963" customWidth="1"/>
    <col min="14372" max="14372" width="43.6640625" style="1963" customWidth="1"/>
    <col min="14373" max="14375" width="47.33203125" style="1963" customWidth="1"/>
    <col min="14376" max="14376" width="43.6640625" style="1963" customWidth="1"/>
    <col min="14377" max="14377" width="193.33203125" style="1963" customWidth="1"/>
    <col min="14378" max="14393" width="56" style="1963" customWidth="1"/>
    <col min="14394" max="14394" width="59" style="1963" customWidth="1"/>
    <col min="14395" max="14395" width="46" style="1963" customWidth="1"/>
    <col min="14396" max="14590" width="9.33203125" style="1963"/>
    <col min="14591" max="14591" width="193.33203125" style="1963" customWidth="1"/>
    <col min="14592" max="14592" width="47.1640625" style="1963" customWidth="1"/>
    <col min="14593" max="14593" width="47.33203125" style="1963" customWidth="1"/>
    <col min="14594" max="14594" width="47.1640625" style="1963" customWidth="1"/>
    <col min="14595" max="14595" width="43.6640625" style="1963" customWidth="1"/>
    <col min="14596" max="14597" width="47.33203125" style="1963" customWidth="1"/>
    <col min="14598" max="14598" width="47.1640625" style="1963" customWidth="1"/>
    <col min="14599" max="14599" width="43.6640625" style="1963" customWidth="1"/>
    <col min="14600" max="14601" width="47.33203125" style="1963" customWidth="1"/>
    <col min="14602" max="14602" width="47.1640625" style="1963" customWidth="1"/>
    <col min="14603" max="14603" width="43.6640625" style="1963" customWidth="1"/>
    <col min="14604" max="14605" width="45" style="1963" customWidth="1"/>
    <col min="14606" max="14606" width="44.83203125" style="1963" customWidth="1"/>
    <col min="14607" max="14607" width="45" style="1963" customWidth="1"/>
    <col min="14608" max="14609" width="47.33203125" style="1963" customWidth="1"/>
    <col min="14610" max="14610" width="47.1640625" style="1963" customWidth="1"/>
    <col min="14611" max="14611" width="43.6640625" style="1963" customWidth="1"/>
    <col min="14612" max="14612" width="193.33203125" style="1963" customWidth="1"/>
    <col min="14613" max="14615" width="47.33203125" style="1963" customWidth="1"/>
    <col min="14616" max="14616" width="43.6640625" style="1963" customWidth="1"/>
    <col min="14617" max="14619" width="47.33203125" style="1963" customWidth="1"/>
    <col min="14620" max="14620" width="44" style="1963" customWidth="1"/>
    <col min="14621" max="14623" width="47.33203125" style="1963" customWidth="1"/>
    <col min="14624" max="14624" width="43.6640625" style="1963" customWidth="1"/>
    <col min="14625" max="14627" width="47.33203125" style="1963" customWidth="1"/>
    <col min="14628" max="14628" width="43.6640625" style="1963" customWidth="1"/>
    <col min="14629" max="14631" width="47.33203125" style="1963" customWidth="1"/>
    <col min="14632" max="14632" width="43.6640625" style="1963" customWidth="1"/>
    <col min="14633" max="14633" width="193.33203125" style="1963" customWidth="1"/>
    <col min="14634" max="14649" width="56" style="1963" customWidth="1"/>
    <col min="14650" max="14650" width="59" style="1963" customWidth="1"/>
    <col min="14651" max="14651" width="46" style="1963" customWidth="1"/>
    <col min="14652" max="14846" width="9.33203125" style="1963"/>
    <col min="14847" max="14847" width="193.33203125" style="1963" customWidth="1"/>
    <col min="14848" max="14848" width="47.1640625" style="1963" customWidth="1"/>
    <col min="14849" max="14849" width="47.33203125" style="1963" customWidth="1"/>
    <col min="14850" max="14850" width="47.1640625" style="1963" customWidth="1"/>
    <col min="14851" max="14851" width="43.6640625" style="1963" customWidth="1"/>
    <col min="14852" max="14853" width="47.33203125" style="1963" customWidth="1"/>
    <col min="14854" max="14854" width="47.1640625" style="1963" customWidth="1"/>
    <col min="14855" max="14855" width="43.6640625" style="1963" customWidth="1"/>
    <col min="14856" max="14857" width="47.33203125" style="1963" customWidth="1"/>
    <col min="14858" max="14858" width="47.1640625" style="1963" customWidth="1"/>
    <col min="14859" max="14859" width="43.6640625" style="1963" customWidth="1"/>
    <col min="14860" max="14861" width="45" style="1963" customWidth="1"/>
    <col min="14862" max="14862" width="44.83203125" style="1963" customWidth="1"/>
    <col min="14863" max="14863" width="45" style="1963" customWidth="1"/>
    <col min="14864" max="14865" width="47.33203125" style="1963" customWidth="1"/>
    <col min="14866" max="14866" width="47.1640625" style="1963" customWidth="1"/>
    <col min="14867" max="14867" width="43.6640625" style="1963" customWidth="1"/>
    <col min="14868" max="14868" width="193.33203125" style="1963" customWidth="1"/>
    <col min="14869" max="14871" width="47.33203125" style="1963" customWidth="1"/>
    <col min="14872" max="14872" width="43.6640625" style="1963" customWidth="1"/>
    <col min="14873" max="14875" width="47.33203125" style="1963" customWidth="1"/>
    <col min="14876" max="14876" width="44" style="1963" customWidth="1"/>
    <col min="14877" max="14879" width="47.33203125" style="1963" customWidth="1"/>
    <col min="14880" max="14880" width="43.6640625" style="1963" customWidth="1"/>
    <col min="14881" max="14883" width="47.33203125" style="1963" customWidth="1"/>
    <col min="14884" max="14884" width="43.6640625" style="1963" customWidth="1"/>
    <col min="14885" max="14887" width="47.33203125" style="1963" customWidth="1"/>
    <col min="14888" max="14888" width="43.6640625" style="1963" customWidth="1"/>
    <col min="14889" max="14889" width="193.33203125" style="1963" customWidth="1"/>
    <col min="14890" max="14905" width="56" style="1963" customWidth="1"/>
    <col min="14906" max="14906" width="59" style="1963" customWidth="1"/>
    <col min="14907" max="14907" width="46" style="1963" customWidth="1"/>
    <col min="14908" max="15102" width="9.33203125" style="1963"/>
    <col min="15103" max="15103" width="193.33203125" style="1963" customWidth="1"/>
    <col min="15104" max="15104" width="47.1640625" style="1963" customWidth="1"/>
    <col min="15105" max="15105" width="47.33203125" style="1963" customWidth="1"/>
    <col min="15106" max="15106" width="47.1640625" style="1963" customWidth="1"/>
    <col min="15107" max="15107" width="43.6640625" style="1963" customWidth="1"/>
    <col min="15108" max="15109" width="47.33203125" style="1963" customWidth="1"/>
    <col min="15110" max="15110" width="47.1640625" style="1963" customWidth="1"/>
    <col min="15111" max="15111" width="43.6640625" style="1963" customWidth="1"/>
    <col min="15112" max="15113" width="47.33203125" style="1963" customWidth="1"/>
    <col min="15114" max="15114" width="47.1640625" style="1963" customWidth="1"/>
    <col min="15115" max="15115" width="43.6640625" style="1963" customWidth="1"/>
    <col min="15116" max="15117" width="45" style="1963" customWidth="1"/>
    <col min="15118" max="15118" width="44.83203125" style="1963" customWidth="1"/>
    <col min="15119" max="15119" width="45" style="1963" customWidth="1"/>
    <col min="15120" max="15121" width="47.33203125" style="1963" customWidth="1"/>
    <col min="15122" max="15122" width="47.1640625" style="1963" customWidth="1"/>
    <col min="15123" max="15123" width="43.6640625" style="1963" customWidth="1"/>
    <col min="15124" max="15124" width="193.33203125" style="1963" customWidth="1"/>
    <col min="15125" max="15127" width="47.33203125" style="1963" customWidth="1"/>
    <col min="15128" max="15128" width="43.6640625" style="1963" customWidth="1"/>
    <col min="15129" max="15131" width="47.33203125" style="1963" customWidth="1"/>
    <col min="15132" max="15132" width="44" style="1963" customWidth="1"/>
    <col min="15133" max="15135" width="47.33203125" style="1963" customWidth="1"/>
    <col min="15136" max="15136" width="43.6640625" style="1963" customWidth="1"/>
    <col min="15137" max="15139" width="47.33203125" style="1963" customWidth="1"/>
    <col min="15140" max="15140" width="43.6640625" style="1963" customWidth="1"/>
    <col min="15141" max="15143" width="47.33203125" style="1963" customWidth="1"/>
    <col min="15144" max="15144" width="43.6640625" style="1963" customWidth="1"/>
    <col min="15145" max="15145" width="193.33203125" style="1963" customWidth="1"/>
    <col min="15146" max="15161" width="56" style="1963" customWidth="1"/>
    <col min="15162" max="15162" width="59" style="1963" customWidth="1"/>
    <col min="15163" max="15163" width="46" style="1963" customWidth="1"/>
    <col min="15164" max="15358" width="9.33203125" style="1963"/>
    <col min="15359" max="15359" width="193.33203125" style="1963" customWidth="1"/>
    <col min="15360" max="15360" width="47.1640625" style="1963" customWidth="1"/>
    <col min="15361" max="15361" width="47.33203125" style="1963" customWidth="1"/>
    <col min="15362" max="15362" width="47.1640625" style="1963" customWidth="1"/>
    <col min="15363" max="15363" width="43.6640625" style="1963" customWidth="1"/>
    <col min="15364" max="15365" width="47.33203125" style="1963" customWidth="1"/>
    <col min="15366" max="15366" width="47.1640625" style="1963" customWidth="1"/>
    <col min="15367" max="15367" width="43.6640625" style="1963" customWidth="1"/>
    <col min="15368" max="15369" width="47.33203125" style="1963" customWidth="1"/>
    <col min="15370" max="15370" width="47.1640625" style="1963" customWidth="1"/>
    <col min="15371" max="15371" width="43.6640625" style="1963" customWidth="1"/>
    <col min="15372" max="15373" width="45" style="1963" customWidth="1"/>
    <col min="15374" max="15374" width="44.83203125" style="1963" customWidth="1"/>
    <col min="15375" max="15375" width="45" style="1963" customWidth="1"/>
    <col min="15376" max="15377" width="47.33203125" style="1963" customWidth="1"/>
    <col min="15378" max="15378" width="47.1640625" style="1963" customWidth="1"/>
    <col min="15379" max="15379" width="43.6640625" style="1963" customWidth="1"/>
    <col min="15380" max="15380" width="193.33203125" style="1963" customWidth="1"/>
    <col min="15381" max="15383" width="47.33203125" style="1963" customWidth="1"/>
    <col min="15384" max="15384" width="43.6640625" style="1963" customWidth="1"/>
    <col min="15385" max="15387" width="47.33203125" style="1963" customWidth="1"/>
    <col min="15388" max="15388" width="44" style="1963" customWidth="1"/>
    <col min="15389" max="15391" width="47.33203125" style="1963" customWidth="1"/>
    <col min="15392" max="15392" width="43.6640625" style="1963" customWidth="1"/>
    <col min="15393" max="15395" width="47.33203125" style="1963" customWidth="1"/>
    <col min="15396" max="15396" width="43.6640625" style="1963" customWidth="1"/>
    <col min="15397" max="15399" width="47.33203125" style="1963" customWidth="1"/>
    <col min="15400" max="15400" width="43.6640625" style="1963" customWidth="1"/>
    <col min="15401" max="15401" width="193.33203125" style="1963" customWidth="1"/>
    <col min="15402" max="15417" width="56" style="1963" customWidth="1"/>
    <col min="15418" max="15418" width="59" style="1963" customWidth="1"/>
    <col min="15419" max="15419" width="46" style="1963" customWidth="1"/>
    <col min="15420" max="15614" width="9.33203125" style="1963"/>
    <col min="15615" max="15615" width="193.33203125" style="1963" customWidth="1"/>
    <col min="15616" max="15616" width="47.1640625" style="1963" customWidth="1"/>
    <col min="15617" max="15617" width="47.33203125" style="1963" customWidth="1"/>
    <col min="15618" max="15618" width="47.1640625" style="1963" customWidth="1"/>
    <col min="15619" max="15619" width="43.6640625" style="1963" customWidth="1"/>
    <col min="15620" max="15621" width="47.33203125" style="1963" customWidth="1"/>
    <col min="15622" max="15622" width="47.1640625" style="1963" customWidth="1"/>
    <col min="15623" max="15623" width="43.6640625" style="1963" customWidth="1"/>
    <col min="15624" max="15625" width="47.33203125" style="1963" customWidth="1"/>
    <col min="15626" max="15626" width="47.1640625" style="1963" customWidth="1"/>
    <col min="15627" max="15627" width="43.6640625" style="1963" customWidth="1"/>
    <col min="15628" max="15629" width="45" style="1963" customWidth="1"/>
    <col min="15630" max="15630" width="44.83203125" style="1963" customWidth="1"/>
    <col min="15631" max="15631" width="45" style="1963" customWidth="1"/>
    <col min="15632" max="15633" width="47.33203125" style="1963" customWidth="1"/>
    <col min="15634" max="15634" width="47.1640625" style="1963" customWidth="1"/>
    <col min="15635" max="15635" width="43.6640625" style="1963" customWidth="1"/>
    <col min="15636" max="15636" width="193.33203125" style="1963" customWidth="1"/>
    <col min="15637" max="15639" width="47.33203125" style="1963" customWidth="1"/>
    <col min="15640" max="15640" width="43.6640625" style="1963" customWidth="1"/>
    <col min="15641" max="15643" width="47.33203125" style="1963" customWidth="1"/>
    <col min="15644" max="15644" width="44" style="1963" customWidth="1"/>
    <col min="15645" max="15647" width="47.33203125" style="1963" customWidth="1"/>
    <col min="15648" max="15648" width="43.6640625" style="1963" customWidth="1"/>
    <col min="15649" max="15651" width="47.33203125" style="1963" customWidth="1"/>
    <col min="15652" max="15652" width="43.6640625" style="1963" customWidth="1"/>
    <col min="15653" max="15655" width="47.33203125" style="1963" customWidth="1"/>
    <col min="15656" max="15656" width="43.6640625" style="1963" customWidth="1"/>
    <col min="15657" max="15657" width="193.33203125" style="1963" customWidth="1"/>
    <col min="15658" max="15673" width="56" style="1963" customWidth="1"/>
    <col min="15674" max="15674" width="59" style="1963" customWidth="1"/>
    <col min="15675" max="15675" width="46" style="1963" customWidth="1"/>
    <col min="15676" max="15870" width="9.33203125" style="1963"/>
    <col min="15871" max="15871" width="193.33203125" style="1963" customWidth="1"/>
    <col min="15872" max="15872" width="47.1640625" style="1963" customWidth="1"/>
    <col min="15873" max="15873" width="47.33203125" style="1963" customWidth="1"/>
    <col min="15874" max="15874" width="47.1640625" style="1963" customWidth="1"/>
    <col min="15875" max="15875" width="43.6640625" style="1963" customWidth="1"/>
    <col min="15876" max="15877" width="47.33203125" style="1963" customWidth="1"/>
    <col min="15878" max="15878" width="47.1640625" style="1963" customWidth="1"/>
    <col min="15879" max="15879" width="43.6640625" style="1963" customWidth="1"/>
    <col min="15880" max="15881" width="47.33203125" style="1963" customWidth="1"/>
    <col min="15882" max="15882" width="47.1640625" style="1963" customWidth="1"/>
    <col min="15883" max="15883" width="43.6640625" style="1963" customWidth="1"/>
    <col min="15884" max="15885" width="45" style="1963" customWidth="1"/>
    <col min="15886" max="15886" width="44.83203125" style="1963" customWidth="1"/>
    <col min="15887" max="15887" width="45" style="1963" customWidth="1"/>
    <col min="15888" max="15889" width="47.33203125" style="1963" customWidth="1"/>
    <col min="15890" max="15890" width="47.1640625" style="1963" customWidth="1"/>
    <col min="15891" max="15891" width="43.6640625" style="1963" customWidth="1"/>
    <col min="15892" max="15892" width="193.33203125" style="1963" customWidth="1"/>
    <col min="15893" max="15895" width="47.33203125" style="1963" customWidth="1"/>
    <col min="15896" max="15896" width="43.6640625" style="1963" customWidth="1"/>
    <col min="15897" max="15899" width="47.33203125" style="1963" customWidth="1"/>
    <col min="15900" max="15900" width="44" style="1963" customWidth="1"/>
    <col min="15901" max="15903" width="47.33203125" style="1963" customWidth="1"/>
    <col min="15904" max="15904" width="43.6640625" style="1963" customWidth="1"/>
    <col min="15905" max="15907" width="47.33203125" style="1963" customWidth="1"/>
    <col min="15908" max="15908" width="43.6640625" style="1963" customWidth="1"/>
    <col min="15909" max="15911" width="47.33203125" style="1963" customWidth="1"/>
    <col min="15912" max="15912" width="43.6640625" style="1963" customWidth="1"/>
    <col min="15913" max="15913" width="193.33203125" style="1963" customWidth="1"/>
    <col min="15914" max="15929" width="56" style="1963" customWidth="1"/>
    <col min="15930" max="15930" width="59" style="1963" customWidth="1"/>
    <col min="15931" max="15931" width="46" style="1963" customWidth="1"/>
    <col min="15932" max="16126" width="9.33203125" style="1963"/>
    <col min="16127" max="16127" width="193.33203125" style="1963" customWidth="1"/>
    <col min="16128" max="16128" width="47.1640625" style="1963" customWidth="1"/>
    <col min="16129" max="16129" width="47.33203125" style="1963" customWidth="1"/>
    <col min="16130" max="16130" width="47.1640625" style="1963" customWidth="1"/>
    <col min="16131" max="16131" width="43.6640625" style="1963" customWidth="1"/>
    <col min="16132" max="16133" width="47.33203125" style="1963" customWidth="1"/>
    <col min="16134" max="16134" width="47.1640625" style="1963" customWidth="1"/>
    <col min="16135" max="16135" width="43.6640625" style="1963" customWidth="1"/>
    <col min="16136" max="16137" width="47.33203125" style="1963" customWidth="1"/>
    <col min="16138" max="16138" width="47.1640625" style="1963" customWidth="1"/>
    <col min="16139" max="16139" width="43.6640625" style="1963" customWidth="1"/>
    <col min="16140" max="16141" width="45" style="1963" customWidth="1"/>
    <col min="16142" max="16142" width="44.83203125" style="1963" customWidth="1"/>
    <col min="16143" max="16143" width="45" style="1963" customWidth="1"/>
    <col min="16144" max="16145" width="47.33203125" style="1963" customWidth="1"/>
    <col min="16146" max="16146" width="47.1640625" style="1963" customWidth="1"/>
    <col min="16147" max="16147" width="43.6640625" style="1963" customWidth="1"/>
    <col min="16148" max="16148" width="193.33203125" style="1963" customWidth="1"/>
    <col min="16149" max="16151" width="47.33203125" style="1963" customWidth="1"/>
    <col min="16152" max="16152" width="43.6640625" style="1963" customWidth="1"/>
    <col min="16153" max="16155" width="47.33203125" style="1963" customWidth="1"/>
    <col min="16156" max="16156" width="44" style="1963" customWidth="1"/>
    <col min="16157" max="16159" width="47.33203125" style="1963" customWidth="1"/>
    <col min="16160" max="16160" width="43.6640625" style="1963" customWidth="1"/>
    <col min="16161" max="16163" width="47.33203125" style="1963" customWidth="1"/>
    <col min="16164" max="16164" width="43.6640625" style="1963" customWidth="1"/>
    <col min="16165" max="16167" width="47.33203125" style="1963" customWidth="1"/>
    <col min="16168" max="16168" width="43.6640625" style="1963" customWidth="1"/>
    <col min="16169" max="16169" width="193.33203125" style="1963" customWidth="1"/>
    <col min="16170" max="16185" width="56" style="1963" customWidth="1"/>
    <col min="16186" max="16186" width="59" style="1963" customWidth="1"/>
    <col min="16187" max="16187" width="46" style="1963" customWidth="1"/>
    <col min="16188" max="16384" width="9.33203125" style="1963"/>
  </cols>
  <sheetData>
    <row r="1" spans="1:65" ht="51.75" customHeight="1" x14ac:dyDescent="0.6"/>
    <row r="2" spans="1:65" ht="51.75" customHeight="1" x14ac:dyDescent="0.6"/>
    <row r="3" spans="1:65" s="1964" customFormat="1" ht="54" customHeight="1" x14ac:dyDescent="0.75">
      <c r="A3" s="2399" t="s">
        <v>713</v>
      </c>
      <c r="B3" s="2399"/>
      <c r="C3" s="2399"/>
      <c r="D3" s="2399"/>
      <c r="E3" s="2399"/>
      <c r="F3" s="2399"/>
      <c r="G3" s="2399"/>
      <c r="H3" s="2399"/>
      <c r="I3" s="2399"/>
      <c r="J3" s="2399"/>
      <c r="K3" s="2399"/>
      <c r="L3" s="2399"/>
      <c r="M3" s="2399"/>
      <c r="N3" s="2399"/>
      <c r="O3" s="2399"/>
      <c r="P3" s="2399"/>
      <c r="Q3" s="2399"/>
      <c r="R3" s="2399"/>
      <c r="S3" s="2399"/>
      <c r="T3" s="2399"/>
      <c r="U3" s="2399"/>
      <c r="V3" s="2400" t="s">
        <v>713</v>
      </c>
      <c r="W3" s="2400"/>
      <c r="X3" s="2400"/>
      <c r="Y3" s="2400"/>
      <c r="Z3" s="2400"/>
      <c r="AA3" s="2400"/>
      <c r="AB3" s="2400"/>
      <c r="AC3" s="2400"/>
      <c r="AD3" s="2400"/>
      <c r="AE3" s="2400"/>
      <c r="AF3" s="2400"/>
      <c r="AG3" s="2400"/>
      <c r="AH3" s="2400"/>
      <c r="AI3" s="2400"/>
      <c r="AJ3" s="2400"/>
      <c r="AK3" s="2400"/>
      <c r="AL3" s="2400"/>
      <c r="AM3" s="2400"/>
      <c r="AN3" s="2400"/>
      <c r="AO3" s="2400"/>
      <c r="AP3" s="2400"/>
      <c r="AQ3" s="2400" t="s">
        <v>713</v>
      </c>
      <c r="AR3" s="2400"/>
      <c r="AS3" s="2400"/>
      <c r="AT3" s="2400"/>
      <c r="AU3" s="2400"/>
      <c r="AV3" s="2400"/>
      <c r="AW3" s="2400"/>
      <c r="AX3" s="2400"/>
      <c r="AY3" s="2400"/>
      <c r="AZ3" s="2400"/>
      <c r="BA3" s="2400"/>
      <c r="BB3" s="2400"/>
      <c r="BC3" s="2400"/>
      <c r="BD3" s="2400"/>
      <c r="BE3" s="2400"/>
      <c r="BF3" s="2400"/>
      <c r="BG3" s="2400"/>
      <c r="BH3" s="2400"/>
      <c r="BI3" s="2400"/>
      <c r="BJ3" s="2400"/>
      <c r="BK3" s="2400"/>
      <c r="BL3" s="2400"/>
      <c r="BM3" s="2400"/>
    </row>
    <row r="4" spans="1:65" s="1964" customFormat="1" ht="36.75" customHeight="1" x14ac:dyDescent="0.75">
      <c r="A4" s="2175"/>
      <c r="B4" s="2175"/>
      <c r="C4" s="2175"/>
      <c r="D4" s="2175"/>
      <c r="E4" s="2175"/>
      <c r="F4" s="2175"/>
      <c r="G4" s="2175"/>
      <c r="H4" s="2175"/>
      <c r="I4" s="2175"/>
      <c r="J4" s="2175"/>
      <c r="K4" s="2175"/>
      <c r="L4" s="2175"/>
      <c r="M4" s="2175"/>
      <c r="N4" s="2175"/>
      <c r="O4" s="2175"/>
      <c r="P4" s="2175"/>
      <c r="Q4" s="2175"/>
      <c r="R4" s="2175"/>
      <c r="S4" s="2175"/>
      <c r="T4" s="2175"/>
      <c r="U4" s="2175"/>
      <c r="V4" s="2176"/>
      <c r="W4" s="2176"/>
      <c r="X4" s="2176"/>
      <c r="Y4" s="2176"/>
      <c r="Z4" s="2176"/>
      <c r="AA4" s="2176"/>
      <c r="AB4" s="2176"/>
      <c r="AC4" s="2176"/>
      <c r="AD4" s="2176"/>
      <c r="AE4" s="2176"/>
      <c r="AF4" s="2176"/>
      <c r="AG4" s="2176"/>
      <c r="AH4" s="2176"/>
      <c r="AI4" s="2176"/>
      <c r="AJ4" s="2176"/>
      <c r="AK4" s="2176"/>
      <c r="AL4" s="2176"/>
      <c r="AM4" s="2176"/>
      <c r="AN4" s="2176"/>
      <c r="AO4" s="2176"/>
      <c r="AP4" s="2176"/>
      <c r="AQ4" s="2176"/>
      <c r="AR4" s="2176"/>
      <c r="AS4" s="2176"/>
      <c r="AT4" s="2176"/>
      <c r="AU4" s="2176"/>
      <c r="AV4" s="2176"/>
      <c r="AW4" s="2176"/>
      <c r="AX4" s="2176"/>
      <c r="AY4" s="2176"/>
      <c r="AZ4" s="2176"/>
      <c r="BA4" s="2176"/>
      <c r="BB4" s="2176"/>
      <c r="BC4" s="2176"/>
      <c r="BD4" s="2176"/>
      <c r="BE4" s="2176"/>
      <c r="BF4" s="2176"/>
      <c r="BG4" s="2176"/>
      <c r="BH4" s="2176"/>
      <c r="BI4" s="2176"/>
      <c r="BJ4" s="2176"/>
      <c r="BK4" s="2176"/>
      <c r="BL4" s="2176"/>
      <c r="BM4" s="2176"/>
    </row>
    <row r="5" spans="1:65" s="1964" customFormat="1" ht="54" customHeight="1" x14ac:dyDescent="0.75">
      <c r="A5" s="2399" t="s">
        <v>1291</v>
      </c>
      <c r="B5" s="2399"/>
      <c r="C5" s="2399"/>
      <c r="D5" s="2399"/>
      <c r="E5" s="2399"/>
      <c r="F5" s="2399"/>
      <c r="G5" s="2399"/>
      <c r="H5" s="2399"/>
      <c r="I5" s="2399"/>
      <c r="J5" s="2399"/>
      <c r="K5" s="2399"/>
      <c r="L5" s="2399"/>
      <c r="M5" s="2399"/>
      <c r="N5" s="2399"/>
      <c r="O5" s="2399"/>
      <c r="P5" s="2399"/>
      <c r="Q5" s="2399"/>
      <c r="R5" s="2399"/>
      <c r="S5" s="2399"/>
      <c r="T5" s="2399"/>
      <c r="U5" s="2399"/>
      <c r="V5" s="2401" t="s">
        <v>1291</v>
      </c>
      <c r="W5" s="2401"/>
      <c r="X5" s="2401"/>
      <c r="Y5" s="2401"/>
      <c r="Z5" s="2401"/>
      <c r="AA5" s="2401"/>
      <c r="AB5" s="2401"/>
      <c r="AC5" s="2401"/>
      <c r="AD5" s="2401"/>
      <c r="AE5" s="2401"/>
      <c r="AF5" s="2401"/>
      <c r="AG5" s="2401"/>
      <c r="AH5" s="2401"/>
      <c r="AI5" s="2401"/>
      <c r="AJ5" s="2401"/>
      <c r="AK5" s="2401"/>
      <c r="AL5" s="2401"/>
      <c r="AM5" s="2401"/>
      <c r="AN5" s="2401"/>
      <c r="AO5" s="2401"/>
      <c r="AP5" s="2401"/>
      <c r="AQ5" s="2400" t="s">
        <v>1291</v>
      </c>
      <c r="AR5" s="2400"/>
      <c r="AS5" s="2400"/>
      <c r="AT5" s="2400"/>
      <c r="AU5" s="2400"/>
      <c r="AV5" s="2400"/>
      <c r="AW5" s="2400"/>
      <c r="AX5" s="2400"/>
      <c r="AY5" s="2400"/>
      <c r="AZ5" s="2400"/>
      <c r="BA5" s="2400"/>
      <c r="BB5" s="2400"/>
      <c r="BC5" s="2400"/>
      <c r="BD5" s="2400"/>
      <c r="BE5" s="2400"/>
      <c r="BF5" s="2400"/>
      <c r="BG5" s="2400"/>
      <c r="BH5" s="2400"/>
      <c r="BI5" s="2400"/>
      <c r="BJ5" s="2400"/>
      <c r="BK5" s="2400"/>
      <c r="BL5" s="2400"/>
      <c r="BM5" s="2400"/>
    </row>
    <row r="6" spans="1:65" ht="42.75" customHeight="1" thickBot="1" x14ac:dyDescent="0.65"/>
    <row r="7" spans="1:65" s="1966" customFormat="1" ht="54.75" customHeight="1" thickBot="1" x14ac:dyDescent="0.65">
      <c r="A7" s="1965"/>
      <c r="B7" s="2387" t="s">
        <v>1292</v>
      </c>
      <c r="C7" s="2388"/>
      <c r="D7" s="2388"/>
      <c r="E7" s="2389"/>
      <c r="F7" s="2378" t="s">
        <v>1191</v>
      </c>
      <c r="G7" s="2379"/>
      <c r="H7" s="2379"/>
      <c r="I7" s="2380"/>
      <c r="J7" s="2387" t="s">
        <v>1293</v>
      </c>
      <c r="K7" s="2388"/>
      <c r="L7" s="2388"/>
      <c r="M7" s="2389"/>
      <c r="N7" s="2387" t="s">
        <v>98</v>
      </c>
      <c r="O7" s="2388"/>
      <c r="P7" s="2388"/>
      <c r="Q7" s="2389"/>
      <c r="R7" s="2378" t="s">
        <v>1206</v>
      </c>
      <c r="S7" s="2379"/>
      <c r="T7" s="2379"/>
      <c r="U7" s="2380"/>
      <c r="V7" s="1965"/>
      <c r="W7" s="2387" t="s">
        <v>185</v>
      </c>
      <c r="X7" s="2388"/>
      <c r="Y7" s="2388"/>
      <c r="Z7" s="2389"/>
      <c r="AA7" s="2378" t="s">
        <v>180</v>
      </c>
      <c r="AB7" s="2379"/>
      <c r="AC7" s="2379"/>
      <c r="AD7" s="2380"/>
      <c r="AE7" s="2387" t="s">
        <v>1215</v>
      </c>
      <c r="AF7" s="2388"/>
      <c r="AG7" s="2388"/>
      <c r="AH7" s="2389"/>
      <c r="AI7" s="2378" t="s">
        <v>1218</v>
      </c>
      <c r="AJ7" s="2379"/>
      <c r="AK7" s="2379"/>
      <c r="AL7" s="2380"/>
      <c r="AM7" s="2393" t="s">
        <v>1294</v>
      </c>
      <c r="AN7" s="2394"/>
      <c r="AO7" s="2394"/>
      <c r="AP7" s="2395"/>
      <c r="AQ7" s="1965"/>
      <c r="AR7" s="2384" t="s">
        <v>1295</v>
      </c>
      <c r="AS7" s="2385"/>
      <c r="AT7" s="2385"/>
      <c r="AU7" s="2385"/>
      <c r="AV7" s="2385"/>
      <c r="AW7" s="2385"/>
      <c r="AX7" s="2385"/>
      <c r="AY7" s="2386"/>
      <c r="AZ7" s="2378" t="s">
        <v>1296</v>
      </c>
      <c r="BA7" s="2379"/>
      <c r="BB7" s="2379"/>
      <c r="BC7" s="2380"/>
      <c r="BD7" s="2387" t="s">
        <v>1297</v>
      </c>
      <c r="BE7" s="2388"/>
      <c r="BF7" s="2388"/>
      <c r="BG7" s="2389"/>
    </row>
    <row r="8" spans="1:65" s="1968" customFormat="1" ht="54.75" customHeight="1" thickBot="1" x14ac:dyDescent="0.65">
      <c r="A8" s="1967" t="s">
        <v>1298</v>
      </c>
      <c r="B8" s="2390"/>
      <c r="C8" s="2391"/>
      <c r="D8" s="2391"/>
      <c r="E8" s="2392"/>
      <c r="F8" s="2381"/>
      <c r="G8" s="2382"/>
      <c r="H8" s="2382"/>
      <c r="I8" s="2383"/>
      <c r="J8" s="2390"/>
      <c r="K8" s="2391"/>
      <c r="L8" s="2391"/>
      <c r="M8" s="2392"/>
      <c r="N8" s="2390"/>
      <c r="O8" s="2391"/>
      <c r="P8" s="2391"/>
      <c r="Q8" s="2392"/>
      <c r="R8" s="2381"/>
      <c r="S8" s="2382"/>
      <c r="T8" s="2382"/>
      <c r="U8" s="2383"/>
      <c r="V8" s="1967" t="s">
        <v>1298</v>
      </c>
      <c r="W8" s="2390"/>
      <c r="X8" s="2391"/>
      <c r="Y8" s="2391"/>
      <c r="Z8" s="2392"/>
      <c r="AA8" s="2381"/>
      <c r="AB8" s="2382"/>
      <c r="AC8" s="2382"/>
      <c r="AD8" s="2383"/>
      <c r="AE8" s="2390"/>
      <c r="AF8" s="2391"/>
      <c r="AG8" s="2391"/>
      <c r="AH8" s="2392"/>
      <c r="AI8" s="2381"/>
      <c r="AJ8" s="2382"/>
      <c r="AK8" s="2382"/>
      <c r="AL8" s="2383"/>
      <c r="AM8" s="2396"/>
      <c r="AN8" s="2397"/>
      <c r="AO8" s="2397"/>
      <c r="AP8" s="2398"/>
      <c r="AQ8" s="1967" t="s">
        <v>1298</v>
      </c>
      <c r="AR8" s="2384" t="s">
        <v>1299</v>
      </c>
      <c r="AS8" s="2385"/>
      <c r="AT8" s="2385"/>
      <c r="AU8" s="2386"/>
      <c r="AV8" s="2384" t="s">
        <v>1300</v>
      </c>
      <c r="AW8" s="2385"/>
      <c r="AX8" s="2385"/>
      <c r="AY8" s="2386"/>
      <c r="AZ8" s="2381"/>
      <c r="BA8" s="2382"/>
      <c r="BB8" s="2382"/>
      <c r="BC8" s="2383"/>
      <c r="BD8" s="2390"/>
      <c r="BE8" s="2391"/>
      <c r="BF8" s="2391"/>
      <c r="BG8" s="2392"/>
    </row>
    <row r="9" spans="1:65" s="1966" customFormat="1" ht="141.75" customHeight="1" thickBot="1" x14ac:dyDescent="0.65">
      <c r="A9" s="1969">
        <v>2021</v>
      </c>
      <c r="B9" s="1970" t="s">
        <v>1301</v>
      </c>
      <c r="C9" s="1970" t="s">
        <v>1302</v>
      </c>
      <c r="D9" s="1970" t="s">
        <v>107</v>
      </c>
      <c r="E9" s="1970" t="s">
        <v>1303</v>
      </c>
      <c r="F9" s="1970" t="s">
        <v>1301</v>
      </c>
      <c r="G9" s="1970" t="s">
        <v>1302</v>
      </c>
      <c r="H9" s="1970" t="s">
        <v>107</v>
      </c>
      <c r="I9" s="1970" t="s">
        <v>1303</v>
      </c>
      <c r="J9" s="1970" t="s">
        <v>1301</v>
      </c>
      <c r="K9" s="1970" t="s">
        <v>1302</v>
      </c>
      <c r="L9" s="1970" t="s">
        <v>107</v>
      </c>
      <c r="M9" s="1970" t="s">
        <v>1303</v>
      </c>
      <c r="N9" s="1970" t="s">
        <v>1301</v>
      </c>
      <c r="O9" s="1970" t="s">
        <v>1302</v>
      </c>
      <c r="P9" s="1970" t="s">
        <v>107</v>
      </c>
      <c r="Q9" s="1970" t="s">
        <v>1303</v>
      </c>
      <c r="R9" s="1970" t="s">
        <v>1301</v>
      </c>
      <c r="S9" s="1970" t="s">
        <v>1302</v>
      </c>
      <c r="T9" s="1970" t="s">
        <v>107</v>
      </c>
      <c r="U9" s="1970" t="s">
        <v>1303</v>
      </c>
      <c r="V9" s="1969">
        <v>2021</v>
      </c>
      <c r="W9" s="1970" t="s">
        <v>1301</v>
      </c>
      <c r="X9" s="1970" t="s">
        <v>1302</v>
      </c>
      <c r="Y9" s="1970" t="s">
        <v>107</v>
      </c>
      <c r="Z9" s="1970" t="s">
        <v>1303</v>
      </c>
      <c r="AA9" s="1970" t="s">
        <v>1301</v>
      </c>
      <c r="AB9" s="1970" t="s">
        <v>1302</v>
      </c>
      <c r="AC9" s="1970" t="s">
        <v>107</v>
      </c>
      <c r="AD9" s="1970" t="s">
        <v>1303</v>
      </c>
      <c r="AE9" s="1970" t="s">
        <v>1301</v>
      </c>
      <c r="AF9" s="1970" t="s">
        <v>1302</v>
      </c>
      <c r="AG9" s="1970" t="s">
        <v>107</v>
      </c>
      <c r="AH9" s="1970" t="s">
        <v>1303</v>
      </c>
      <c r="AI9" s="1970" t="s">
        <v>1301</v>
      </c>
      <c r="AJ9" s="1970" t="s">
        <v>1302</v>
      </c>
      <c r="AK9" s="1970" t="s">
        <v>107</v>
      </c>
      <c r="AL9" s="1970" t="s">
        <v>1303</v>
      </c>
      <c r="AM9" s="1970" t="s">
        <v>1301</v>
      </c>
      <c r="AN9" s="1970" t="s">
        <v>1302</v>
      </c>
      <c r="AO9" s="1970" t="s">
        <v>107</v>
      </c>
      <c r="AP9" s="1970" t="s">
        <v>1303</v>
      </c>
      <c r="AQ9" s="1969">
        <v>2021</v>
      </c>
      <c r="AR9" s="1970" t="s">
        <v>1301</v>
      </c>
      <c r="AS9" s="1970" t="s">
        <v>1302</v>
      </c>
      <c r="AT9" s="1970" t="s">
        <v>107</v>
      </c>
      <c r="AU9" s="1970" t="s">
        <v>1303</v>
      </c>
      <c r="AV9" s="1970" t="s">
        <v>1301</v>
      </c>
      <c r="AW9" s="1970" t="s">
        <v>1302</v>
      </c>
      <c r="AX9" s="1970" t="s">
        <v>107</v>
      </c>
      <c r="AY9" s="1970" t="s">
        <v>1303</v>
      </c>
      <c r="AZ9" s="1970" t="s">
        <v>1301</v>
      </c>
      <c r="BA9" s="1970" t="s">
        <v>1302</v>
      </c>
      <c r="BB9" s="1970" t="s">
        <v>107</v>
      </c>
      <c r="BC9" s="1970" t="s">
        <v>1303</v>
      </c>
      <c r="BD9" s="1970" t="s">
        <v>1301</v>
      </c>
      <c r="BE9" s="1970" t="s">
        <v>1302</v>
      </c>
      <c r="BF9" s="1970" t="s">
        <v>107</v>
      </c>
      <c r="BG9" s="1970" t="s">
        <v>1303</v>
      </c>
    </row>
    <row r="10" spans="1:65" s="1974" customFormat="1" ht="45.75" customHeight="1" x14ac:dyDescent="0.6">
      <c r="A10" s="1971" t="s">
        <v>1304</v>
      </c>
      <c r="B10" s="1972"/>
      <c r="C10" s="1972"/>
      <c r="D10" s="1972"/>
      <c r="E10" s="1972"/>
      <c r="F10" s="1972"/>
      <c r="G10" s="1972"/>
      <c r="H10" s="1972"/>
      <c r="I10" s="1972"/>
      <c r="J10" s="1972"/>
      <c r="K10" s="1972"/>
      <c r="L10" s="1972"/>
      <c r="M10" s="1972"/>
      <c r="N10" s="1972"/>
      <c r="O10" s="1972"/>
      <c r="P10" s="1972"/>
      <c r="Q10" s="1972"/>
      <c r="R10" s="1972"/>
      <c r="S10" s="1972"/>
      <c r="T10" s="1972"/>
      <c r="U10" s="1972"/>
      <c r="V10" s="1971" t="s">
        <v>1304</v>
      </c>
      <c r="W10" s="1972"/>
      <c r="X10" s="1972"/>
      <c r="Y10" s="1972"/>
      <c r="Z10" s="1972"/>
      <c r="AA10" s="1972"/>
      <c r="AB10" s="1972"/>
      <c r="AC10" s="1972"/>
      <c r="AD10" s="1972"/>
      <c r="AE10" s="1972"/>
      <c r="AF10" s="1972"/>
      <c r="AG10" s="1972"/>
      <c r="AH10" s="1972"/>
      <c r="AI10" s="1972"/>
      <c r="AJ10" s="1972"/>
      <c r="AK10" s="1972"/>
      <c r="AL10" s="1972"/>
      <c r="AM10" s="1971"/>
      <c r="AN10" s="1971"/>
      <c r="AO10" s="1971"/>
      <c r="AP10" s="1971"/>
      <c r="AQ10" s="1971" t="s">
        <v>1304</v>
      </c>
      <c r="AR10" s="1971"/>
      <c r="AS10" s="1971"/>
      <c r="AT10" s="1971"/>
      <c r="AU10" s="1971"/>
      <c r="AV10" s="1971"/>
      <c r="AW10" s="1971"/>
      <c r="AX10" s="1971"/>
      <c r="AY10" s="1971"/>
      <c r="AZ10" s="1971"/>
      <c r="BA10" s="1971"/>
      <c r="BB10" s="1973"/>
      <c r="BC10" s="1973"/>
      <c r="BD10" s="1973"/>
      <c r="BE10" s="1973"/>
      <c r="BF10" s="1972"/>
      <c r="BG10" s="1972"/>
    </row>
    <row r="11" spans="1:65" ht="57" customHeight="1" x14ac:dyDescent="0.6">
      <c r="A11" s="1975" t="s">
        <v>1254</v>
      </c>
      <c r="B11" s="1976">
        <f>[4]int.bevételek2021!B9</f>
        <v>483</v>
      </c>
      <c r="C11" s="1976">
        <f>'[5]int.bevételek RM III'!D10</f>
        <v>1119</v>
      </c>
      <c r="D11" s="1976">
        <v>1117</v>
      </c>
      <c r="E11" s="1977">
        <f t="shared" ref="E11:E31" si="0">D11/C11</f>
        <v>0.99821268990169798</v>
      </c>
      <c r="F11" s="1976">
        <f>[4]int.bevételek2021!C9</f>
        <v>0</v>
      </c>
      <c r="G11" s="1976">
        <f>'[5]int.bevételek RM III'!G10</f>
        <v>0</v>
      </c>
      <c r="H11" s="1976"/>
      <c r="I11" s="1977"/>
      <c r="J11" s="1976">
        <f>[4]int.bevételek2021!D9</f>
        <v>0</v>
      </c>
      <c r="K11" s="1976">
        <f>'[5]int.bevételek RM III'!J10</f>
        <v>0</v>
      </c>
      <c r="L11" s="1976"/>
      <c r="M11" s="1977"/>
      <c r="N11" s="1976">
        <f>[4]int.bevételek2021!E9</f>
        <v>0</v>
      </c>
      <c r="O11" s="1976">
        <f>'[5]int.bevételek RM III'!M10</f>
        <v>0</v>
      </c>
      <c r="P11" s="1976"/>
      <c r="Q11" s="1977"/>
      <c r="R11" s="1976">
        <f>B11+F11+J11+N11</f>
        <v>483</v>
      </c>
      <c r="S11" s="1976">
        <f>C11+G11+K11+O11</f>
        <v>1119</v>
      </c>
      <c r="T11" s="1976">
        <f>D11+H11+L11+P11</f>
        <v>1117</v>
      </c>
      <c r="U11" s="1977">
        <f t="shared" ref="U11:U31" si="1">T11/S11</f>
        <v>0.99821268990169798</v>
      </c>
      <c r="V11" s="1975" t="s">
        <v>1254</v>
      </c>
      <c r="W11" s="1976">
        <f>[4]int.bevételek2021!H9</f>
        <v>0</v>
      </c>
      <c r="X11" s="1976">
        <f>'[5]int.bevételek RM III'!T10</f>
        <v>0</v>
      </c>
      <c r="Y11" s="1976"/>
      <c r="Z11" s="1977"/>
      <c r="AA11" s="1976">
        <f>[4]int.bevételek2021!I9</f>
        <v>0</v>
      </c>
      <c r="AB11" s="1976">
        <f>'[5]int.bevételek RM III'!W10</f>
        <v>0</v>
      </c>
      <c r="AC11" s="1976"/>
      <c r="AD11" s="1977"/>
      <c r="AE11" s="1976">
        <f>[4]int.bevételek2021!J9</f>
        <v>0</v>
      </c>
      <c r="AF11" s="1976">
        <f>'[5]int.bevételek RM III'!Z10</f>
        <v>0</v>
      </c>
      <c r="AG11" s="1976"/>
      <c r="AH11" s="1977"/>
      <c r="AI11" s="1976">
        <f t="shared" ref="AI11:AK28" si="2">W11+AA11+AE11</f>
        <v>0</v>
      </c>
      <c r="AJ11" s="1976">
        <f t="shared" si="2"/>
        <v>0</v>
      </c>
      <c r="AK11" s="1976">
        <f t="shared" si="2"/>
        <v>0</v>
      </c>
      <c r="AL11" s="1977"/>
      <c r="AM11" s="1976"/>
      <c r="AN11" s="1976">
        <f>'[5]int.bevételek RM III'!AJ10</f>
        <v>686</v>
      </c>
      <c r="AO11" s="1976">
        <v>686</v>
      </c>
      <c r="AP11" s="1977">
        <f t="shared" ref="AP11:AP31" si="3">AO11/AN11</f>
        <v>1</v>
      </c>
      <c r="AQ11" s="1975" t="s">
        <v>1254</v>
      </c>
      <c r="AR11" s="1976">
        <f>[4]int.bevételek2021!L9</f>
        <v>154117</v>
      </c>
      <c r="AS11" s="1976">
        <f>'[5]int.bevételek RM III'!AM10</f>
        <v>151777</v>
      </c>
      <c r="AT11" s="1976">
        <f>152876+1-7941</f>
        <v>144936</v>
      </c>
      <c r="AU11" s="1977">
        <f t="shared" ref="AU11:AU31" si="4">AT11/AS11</f>
        <v>0.95492729464938697</v>
      </c>
      <c r="AV11" s="1976">
        <f>[4]int.bevételek2021!M9</f>
        <v>0</v>
      </c>
      <c r="AW11" s="1976">
        <f>'[5]int.bevételek RM III'!AP10</f>
        <v>10147</v>
      </c>
      <c r="AX11" s="1976">
        <v>7941</v>
      </c>
      <c r="AY11" s="1977">
        <f t="shared" ref="AY11:AY27" si="5">AX11/AW11</f>
        <v>0.78259584113531089</v>
      </c>
      <c r="AZ11" s="1976">
        <f t="shared" ref="AZ11:BB28" si="6">AR11+AV11</f>
        <v>154117</v>
      </c>
      <c r="BA11" s="1976">
        <f t="shared" si="6"/>
        <v>161924</v>
      </c>
      <c r="BB11" s="1976">
        <f t="shared" si="6"/>
        <v>152877</v>
      </c>
      <c r="BC11" s="1977">
        <f t="shared" ref="BC11:BC31" si="7">BB11/BA11</f>
        <v>0.94412810948346138</v>
      </c>
      <c r="BD11" s="1976">
        <f t="shared" ref="BD11:BF28" si="8">R11+AI11+AM11+AZ11</f>
        <v>154600</v>
      </c>
      <c r="BE11" s="1976">
        <f t="shared" si="8"/>
        <v>163729</v>
      </c>
      <c r="BF11" s="1976">
        <f t="shared" si="8"/>
        <v>154680</v>
      </c>
      <c r="BG11" s="1977">
        <f t="shared" ref="BG11:BG31" si="9">BF11/BE11</f>
        <v>0.94473184347305605</v>
      </c>
    </row>
    <row r="12" spans="1:65" ht="57" customHeight="1" x14ac:dyDescent="0.6">
      <c r="A12" s="1975" t="s">
        <v>1255</v>
      </c>
      <c r="B12" s="1976">
        <f>[4]int.bevételek2021!B10</f>
        <v>472</v>
      </c>
      <c r="C12" s="1976">
        <f>'[5]int.bevételek RM III'!D11</f>
        <v>500</v>
      </c>
      <c r="D12" s="1976">
        <v>499</v>
      </c>
      <c r="E12" s="1977">
        <f t="shared" si="0"/>
        <v>0.998</v>
      </c>
      <c r="F12" s="1976">
        <f>[4]int.bevételek2021!C10</f>
        <v>0</v>
      </c>
      <c r="G12" s="1976">
        <f>'[5]int.bevételek RM III'!G11</f>
        <v>0</v>
      </c>
      <c r="H12" s="1976"/>
      <c r="I12" s="1977"/>
      <c r="J12" s="1976">
        <f>[4]int.bevételek2021!D10</f>
        <v>0</v>
      </c>
      <c r="K12" s="1976">
        <f>'[5]int.bevételek RM III'!J11</f>
        <v>0</v>
      </c>
      <c r="L12" s="1976"/>
      <c r="M12" s="1977"/>
      <c r="N12" s="1976">
        <f>[4]int.bevételek2021!E10</f>
        <v>0</v>
      </c>
      <c r="O12" s="1976">
        <f>'[5]int.bevételek RM III'!M11</f>
        <v>0</v>
      </c>
      <c r="P12" s="1976"/>
      <c r="Q12" s="1977"/>
      <c r="R12" s="1976">
        <f t="shared" ref="R12:T28" si="10">B12+F12+J12+N12</f>
        <v>472</v>
      </c>
      <c r="S12" s="1976">
        <f t="shared" si="10"/>
        <v>500</v>
      </c>
      <c r="T12" s="1976">
        <f t="shared" si="10"/>
        <v>499</v>
      </c>
      <c r="U12" s="1977">
        <f t="shared" si="1"/>
        <v>0.998</v>
      </c>
      <c r="V12" s="1975" t="s">
        <v>1255</v>
      </c>
      <c r="W12" s="1976">
        <f>[4]int.bevételek2021!H10</f>
        <v>0</v>
      </c>
      <c r="X12" s="1976">
        <f>'[5]int.bevételek RM III'!T11</f>
        <v>0</v>
      </c>
      <c r="Y12" s="1976"/>
      <c r="Z12" s="1977"/>
      <c r="AA12" s="1976">
        <f>[4]int.bevételek2021!I10</f>
        <v>0</v>
      </c>
      <c r="AB12" s="1976">
        <f>'[5]int.bevételek RM III'!W11</f>
        <v>0</v>
      </c>
      <c r="AC12" s="1976"/>
      <c r="AD12" s="1977"/>
      <c r="AE12" s="1976">
        <f>[4]int.bevételek2021!J10</f>
        <v>0</v>
      </c>
      <c r="AF12" s="1976">
        <f>'[5]int.bevételek RM III'!Z11</f>
        <v>0</v>
      </c>
      <c r="AG12" s="1976"/>
      <c r="AH12" s="1977"/>
      <c r="AI12" s="1976">
        <f t="shared" si="2"/>
        <v>0</v>
      </c>
      <c r="AJ12" s="1976">
        <f t="shared" si="2"/>
        <v>0</v>
      </c>
      <c r="AK12" s="1976">
        <f t="shared" si="2"/>
        <v>0</v>
      </c>
      <c r="AL12" s="1977"/>
      <c r="AM12" s="1976"/>
      <c r="AN12" s="1976">
        <f>'[5]int.bevételek RM III'!AJ11</f>
        <v>487</v>
      </c>
      <c r="AO12" s="1976">
        <v>487</v>
      </c>
      <c r="AP12" s="1977">
        <f t="shared" si="3"/>
        <v>1</v>
      </c>
      <c r="AQ12" s="1975" t="s">
        <v>1255</v>
      </c>
      <c r="AR12" s="1976">
        <f>[4]int.bevételek2021!L10</f>
        <v>104273</v>
      </c>
      <c r="AS12" s="1976">
        <f>'[5]int.bevételek RM III'!AM11</f>
        <v>106436</v>
      </c>
      <c r="AT12" s="1976">
        <f>98647-1457</f>
        <v>97190</v>
      </c>
      <c r="AU12" s="1977">
        <f t="shared" si="4"/>
        <v>0.91313089556165206</v>
      </c>
      <c r="AV12" s="1976">
        <f>[4]int.bevételek2021!M10</f>
        <v>0</v>
      </c>
      <c r="AW12" s="1976">
        <f>'[5]int.bevételek RM III'!AP11</f>
        <v>2365</v>
      </c>
      <c r="AX12" s="1976">
        <v>1457</v>
      </c>
      <c r="AY12" s="1977">
        <f t="shared" si="5"/>
        <v>0.61606765327695556</v>
      </c>
      <c r="AZ12" s="1976">
        <f t="shared" si="6"/>
        <v>104273</v>
      </c>
      <c r="BA12" s="1976">
        <f t="shared" si="6"/>
        <v>108801</v>
      </c>
      <c r="BB12" s="1976">
        <f t="shared" si="6"/>
        <v>98647</v>
      </c>
      <c r="BC12" s="1977">
        <f t="shared" si="7"/>
        <v>0.90667365189658178</v>
      </c>
      <c r="BD12" s="1976">
        <f t="shared" si="8"/>
        <v>104745</v>
      </c>
      <c r="BE12" s="1976">
        <f t="shared" si="8"/>
        <v>109788</v>
      </c>
      <c r="BF12" s="1976">
        <f t="shared" si="8"/>
        <v>99633</v>
      </c>
      <c r="BG12" s="1977">
        <f t="shared" si="9"/>
        <v>0.90750355230079793</v>
      </c>
    </row>
    <row r="13" spans="1:65" ht="57" customHeight="1" x14ac:dyDescent="0.6">
      <c r="A13" s="1975" t="s">
        <v>1256</v>
      </c>
      <c r="B13" s="1976">
        <f>[4]int.bevételek2021!B11</f>
        <v>399</v>
      </c>
      <c r="C13" s="1976">
        <f>'[5]int.bevételek RM III'!D12</f>
        <v>805</v>
      </c>
      <c r="D13" s="1976">
        <v>802</v>
      </c>
      <c r="E13" s="1977">
        <f t="shared" si="0"/>
        <v>0.99627329192546588</v>
      </c>
      <c r="F13" s="1976">
        <f>[4]int.bevételek2021!C11</f>
        <v>0</v>
      </c>
      <c r="G13" s="1976">
        <f>'[5]int.bevételek RM III'!G12</f>
        <v>400</v>
      </c>
      <c r="H13" s="1976">
        <v>400</v>
      </c>
      <c r="I13" s="1977">
        <f>H13/G13</f>
        <v>1</v>
      </c>
      <c r="J13" s="1976">
        <f>[4]int.bevételek2021!D11</f>
        <v>0</v>
      </c>
      <c r="K13" s="1976">
        <f>'[5]int.bevételek RM III'!J12</f>
        <v>0</v>
      </c>
      <c r="L13" s="1976"/>
      <c r="M13" s="1977"/>
      <c r="N13" s="1976">
        <f>[4]int.bevételek2021!E11</f>
        <v>0</v>
      </c>
      <c r="O13" s="1976">
        <f>'[5]int.bevételek RM III'!M12</f>
        <v>0</v>
      </c>
      <c r="P13" s="1976"/>
      <c r="Q13" s="1977"/>
      <c r="R13" s="1976">
        <f t="shared" si="10"/>
        <v>399</v>
      </c>
      <c r="S13" s="1976">
        <f t="shared" si="10"/>
        <v>1205</v>
      </c>
      <c r="T13" s="1976">
        <f t="shared" si="10"/>
        <v>1202</v>
      </c>
      <c r="U13" s="1977">
        <f t="shared" si="1"/>
        <v>0.99751037344398341</v>
      </c>
      <c r="V13" s="1975" t="s">
        <v>1256</v>
      </c>
      <c r="W13" s="1976">
        <f>[4]int.bevételek2021!H11</f>
        <v>0</v>
      </c>
      <c r="X13" s="1976">
        <f>'[5]int.bevételek RM III'!T12</f>
        <v>0</v>
      </c>
      <c r="Y13" s="1976"/>
      <c r="Z13" s="1977"/>
      <c r="AA13" s="1976">
        <f>[4]int.bevételek2021!I11</f>
        <v>0</v>
      </c>
      <c r="AB13" s="1976">
        <f>'[5]int.bevételek RM III'!W12</f>
        <v>0</v>
      </c>
      <c r="AC13" s="1976"/>
      <c r="AD13" s="1977"/>
      <c r="AE13" s="1976">
        <f>[4]int.bevételek2021!J11</f>
        <v>0</v>
      </c>
      <c r="AF13" s="1976">
        <f>'[5]int.bevételek RM III'!Z12</f>
        <v>0</v>
      </c>
      <c r="AG13" s="1976"/>
      <c r="AH13" s="1977"/>
      <c r="AI13" s="1976">
        <f t="shared" si="2"/>
        <v>0</v>
      </c>
      <c r="AJ13" s="1976">
        <f t="shared" si="2"/>
        <v>0</v>
      </c>
      <c r="AK13" s="1976">
        <f t="shared" si="2"/>
        <v>0</v>
      </c>
      <c r="AL13" s="1977"/>
      <c r="AM13" s="1976"/>
      <c r="AN13" s="1976">
        <f>'[5]int.bevételek RM III'!AJ12</f>
        <v>1870</v>
      </c>
      <c r="AO13" s="1976">
        <v>1870</v>
      </c>
      <c r="AP13" s="1977">
        <f t="shared" si="3"/>
        <v>1</v>
      </c>
      <c r="AQ13" s="1975" t="s">
        <v>1256</v>
      </c>
      <c r="AR13" s="1976">
        <f>[4]int.bevételek2021!L11</f>
        <v>108476</v>
      </c>
      <c r="AS13" s="1976">
        <f>'[5]int.bevételek RM III'!AM12</f>
        <v>111622</v>
      </c>
      <c r="AT13" s="1976">
        <f>104378-2256</f>
        <v>102122</v>
      </c>
      <c r="AU13" s="1977">
        <f t="shared" si="4"/>
        <v>0.9148913296661948</v>
      </c>
      <c r="AV13" s="1976">
        <f>[4]int.bevételek2021!M11</f>
        <v>0</v>
      </c>
      <c r="AW13" s="1976">
        <f>'[5]int.bevételek RM III'!AP12</f>
        <v>2258</v>
      </c>
      <c r="AX13" s="1976">
        <v>2256</v>
      </c>
      <c r="AY13" s="1977">
        <f t="shared" si="5"/>
        <v>0.99911426040744022</v>
      </c>
      <c r="AZ13" s="1976">
        <f t="shared" si="6"/>
        <v>108476</v>
      </c>
      <c r="BA13" s="1976">
        <f t="shared" si="6"/>
        <v>113880</v>
      </c>
      <c r="BB13" s="1976">
        <f t="shared" si="6"/>
        <v>104378</v>
      </c>
      <c r="BC13" s="1977">
        <f t="shared" si="7"/>
        <v>0.9165612925886899</v>
      </c>
      <c r="BD13" s="1976">
        <f t="shared" si="8"/>
        <v>108875</v>
      </c>
      <c r="BE13" s="1976">
        <f t="shared" si="8"/>
        <v>116955</v>
      </c>
      <c r="BF13" s="1976">
        <f t="shared" si="8"/>
        <v>107450</v>
      </c>
      <c r="BG13" s="1977">
        <f t="shared" si="9"/>
        <v>0.91872942584754824</v>
      </c>
    </row>
    <row r="14" spans="1:65" ht="57" customHeight="1" x14ac:dyDescent="0.6">
      <c r="A14" s="1975" t="s">
        <v>1257</v>
      </c>
      <c r="B14" s="1976">
        <f>[4]int.bevételek2021!B12</f>
        <v>420</v>
      </c>
      <c r="C14" s="1976">
        <f>'[5]int.bevételek RM III'!D13</f>
        <v>361</v>
      </c>
      <c r="D14" s="1976">
        <v>360</v>
      </c>
      <c r="E14" s="1977">
        <f t="shared" si="0"/>
        <v>0.99722991689750695</v>
      </c>
      <c r="F14" s="1976">
        <f>[4]int.bevételek2021!C12</f>
        <v>0</v>
      </c>
      <c r="G14" s="1976">
        <f>'[5]int.bevételek RM III'!G13</f>
        <v>0</v>
      </c>
      <c r="H14" s="1976"/>
      <c r="I14" s="1977"/>
      <c r="J14" s="1976">
        <f>[4]int.bevételek2021!D12</f>
        <v>0</v>
      </c>
      <c r="K14" s="1976">
        <f>'[5]int.bevételek RM III'!J13</f>
        <v>0</v>
      </c>
      <c r="L14" s="1976"/>
      <c r="M14" s="1977"/>
      <c r="N14" s="1976">
        <f>[4]int.bevételek2021!E12</f>
        <v>0</v>
      </c>
      <c r="O14" s="1976">
        <f>'[5]int.bevételek RM III'!M13</f>
        <v>0</v>
      </c>
      <c r="P14" s="1976"/>
      <c r="Q14" s="1977"/>
      <c r="R14" s="1976">
        <f t="shared" si="10"/>
        <v>420</v>
      </c>
      <c r="S14" s="1976">
        <f t="shared" si="10"/>
        <v>361</v>
      </c>
      <c r="T14" s="1976">
        <f t="shared" si="10"/>
        <v>360</v>
      </c>
      <c r="U14" s="1977">
        <f t="shared" si="1"/>
        <v>0.99722991689750695</v>
      </c>
      <c r="V14" s="1975" t="s">
        <v>1257</v>
      </c>
      <c r="W14" s="1976">
        <f>[4]int.bevételek2021!H12</f>
        <v>0</v>
      </c>
      <c r="X14" s="1976">
        <f>'[5]int.bevételek RM III'!T13</f>
        <v>0</v>
      </c>
      <c r="Y14" s="1976"/>
      <c r="Z14" s="1977"/>
      <c r="AA14" s="1976">
        <f>[4]int.bevételek2021!I12</f>
        <v>0</v>
      </c>
      <c r="AB14" s="1976">
        <f>'[5]int.bevételek RM III'!W13</f>
        <v>0</v>
      </c>
      <c r="AC14" s="1976"/>
      <c r="AD14" s="1977"/>
      <c r="AE14" s="1976">
        <f>[4]int.bevételek2021!J12</f>
        <v>0</v>
      </c>
      <c r="AF14" s="1976">
        <f>'[5]int.bevételek RM III'!Z13</f>
        <v>0</v>
      </c>
      <c r="AG14" s="1976"/>
      <c r="AH14" s="1977"/>
      <c r="AI14" s="1976">
        <f t="shared" si="2"/>
        <v>0</v>
      </c>
      <c r="AJ14" s="1976">
        <f t="shared" si="2"/>
        <v>0</v>
      </c>
      <c r="AK14" s="1976">
        <f t="shared" si="2"/>
        <v>0</v>
      </c>
      <c r="AL14" s="1977"/>
      <c r="AM14" s="1976"/>
      <c r="AN14" s="1976">
        <f>'[5]int.bevételek RM III'!AJ13</f>
        <v>636</v>
      </c>
      <c r="AO14" s="1976">
        <v>636</v>
      </c>
      <c r="AP14" s="1977">
        <f t="shared" si="3"/>
        <v>1</v>
      </c>
      <c r="AQ14" s="1975" t="s">
        <v>1257</v>
      </c>
      <c r="AR14" s="1976">
        <f>[4]int.bevételek2021!L12</f>
        <v>137047</v>
      </c>
      <c r="AS14" s="1976">
        <f>'[5]int.bevételek RM III'!AM13</f>
        <v>134361</v>
      </c>
      <c r="AT14" s="1976">
        <f>129266-609</f>
        <v>128657</v>
      </c>
      <c r="AU14" s="1977">
        <f t="shared" si="4"/>
        <v>0.95754720491809375</v>
      </c>
      <c r="AV14" s="1976">
        <f>[4]int.bevételek2021!M12</f>
        <v>0</v>
      </c>
      <c r="AW14" s="1976">
        <f>'[5]int.bevételek RM III'!AP13</f>
        <v>609</v>
      </c>
      <c r="AX14" s="1976">
        <v>609</v>
      </c>
      <c r="AY14" s="1977">
        <f t="shared" si="5"/>
        <v>1</v>
      </c>
      <c r="AZ14" s="1976">
        <f t="shared" si="6"/>
        <v>137047</v>
      </c>
      <c r="BA14" s="1976">
        <f t="shared" si="6"/>
        <v>134970</v>
      </c>
      <c r="BB14" s="1976">
        <f t="shared" si="6"/>
        <v>129266</v>
      </c>
      <c r="BC14" s="1977">
        <f t="shared" si="7"/>
        <v>0.9577387567607617</v>
      </c>
      <c r="BD14" s="1976">
        <f t="shared" si="8"/>
        <v>137467</v>
      </c>
      <c r="BE14" s="1976">
        <f t="shared" si="8"/>
        <v>135967</v>
      </c>
      <c r="BF14" s="1976">
        <f t="shared" si="8"/>
        <v>130262</v>
      </c>
      <c r="BG14" s="1977">
        <f t="shared" si="9"/>
        <v>0.95804128943052358</v>
      </c>
    </row>
    <row r="15" spans="1:65" ht="57" customHeight="1" x14ac:dyDescent="0.6">
      <c r="A15" s="1975" t="s">
        <v>1258</v>
      </c>
      <c r="B15" s="1976">
        <f>[4]int.bevételek2021!B13</f>
        <v>388</v>
      </c>
      <c r="C15" s="1976">
        <f>'[5]int.bevételek RM III'!D14</f>
        <v>500</v>
      </c>
      <c r="D15" s="1976">
        <v>498</v>
      </c>
      <c r="E15" s="1977">
        <f t="shared" si="0"/>
        <v>0.996</v>
      </c>
      <c r="F15" s="1976">
        <f>[4]int.bevételek2021!C13</f>
        <v>0</v>
      </c>
      <c r="G15" s="1976">
        <f>'[5]int.bevételek RM III'!G14</f>
        <v>0</v>
      </c>
      <c r="H15" s="1976"/>
      <c r="I15" s="1977"/>
      <c r="J15" s="1976">
        <f>[4]int.bevételek2021!D13</f>
        <v>0</v>
      </c>
      <c r="K15" s="1976">
        <f>'[5]int.bevételek RM III'!J14</f>
        <v>0</v>
      </c>
      <c r="L15" s="1976"/>
      <c r="M15" s="1977"/>
      <c r="N15" s="1976">
        <f>[4]int.bevételek2021!E13</f>
        <v>0</v>
      </c>
      <c r="O15" s="1976">
        <f>'[5]int.bevételek RM III'!M14</f>
        <v>0</v>
      </c>
      <c r="P15" s="1976"/>
      <c r="Q15" s="1977"/>
      <c r="R15" s="1976">
        <f t="shared" si="10"/>
        <v>388</v>
      </c>
      <c r="S15" s="1976">
        <f t="shared" si="10"/>
        <v>500</v>
      </c>
      <c r="T15" s="1976">
        <f t="shared" si="10"/>
        <v>498</v>
      </c>
      <c r="U15" s="1977">
        <f t="shared" si="1"/>
        <v>0.996</v>
      </c>
      <c r="V15" s="1975" t="s">
        <v>1258</v>
      </c>
      <c r="W15" s="1976">
        <f>[4]int.bevételek2021!H13</f>
        <v>0</v>
      </c>
      <c r="X15" s="1976">
        <f>'[5]int.bevételek RM III'!T14</f>
        <v>0</v>
      </c>
      <c r="Y15" s="1976"/>
      <c r="Z15" s="1977"/>
      <c r="AA15" s="1976">
        <f>[4]int.bevételek2021!I13</f>
        <v>0</v>
      </c>
      <c r="AB15" s="1976">
        <f>'[5]int.bevételek RM III'!W14</f>
        <v>0</v>
      </c>
      <c r="AC15" s="1976"/>
      <c r="AD15" s="1977"/>
      <c r="AE15" s="1976">
        <f>[4]int.bevételek2021!J13</f>
        <v>0</v>
      </c>
      <c r="AF15" s="1976">
        <f>'[5]int.bevételek RM III'!Z14</f>
        <v>0</v>
      </c>
      <c r="AG15" s="1976"/>
      <c r="AH15" s="1977"/>
      <c r="AI15" s="1976">
        <f t="shared" si="2"/>
        <v>0</v>
      </c>
      <c r="AJ15" s="1976">
        <f t="shared" si="2"/>
        <v>0</v>
      </c>
      <c r="AK15" s="1976">
        <f t="shared" si="2"/>
        <v>0</v>
      </c>
      <c r="AL15" s="1977"/>
      <c r="AM15" s="1976"/>
      <c r="AN15" s="1976">
        <f>'[5]int.bevételek RM III'!AJ14</f>
        <v>827</v>
      </c>
      <c r="AO15" s="1976">
        <v>827</v>
      </c>
      <c r="AP15" s="1977">
        <f t="shared" si="3"/>
        <v>1</v>
      </c>
      <c r="AQ15" s="1975" t="s">
        <v>1258</v>
      </c>
      <c r="AR15" s="1976">
        <f>[4]int.bevételek2021!L13</f>
        <v>116209</v>
      </c>
      <c r="AS15" s="1976">
        <f>'[5]int.bevételek RM III'!AM14</f>
        <v>117633</v>
      </c>
      <c r="AT15" s="1976">
        <f>115354+1-3777</f>
        <v>111578</v>
      </c>
      <c r="AU15" s="1977">
        <f t="shared" si="4"/>
        <v>0.94852634889869336</v>
      </c>
      <c r="AV15" s="1976">
        <f>[4]int.bevételek2021!M13</f>
        <v>0</v>
      </c>
      <c r="AW15" s="1976">
        <f>'[5]int.bevételek RM III'!AP14</f>
        <v>3778</v>
      </c>
      <c r="AX15" s="1976">
        <v>3777</v>
      </c>
      <c r="AY15" s="1977">
        <f t="shared" si="5"/>
        <v>0.99973530968766544</v>
      </c>
      <c r="AZ15" s="1976">
        <f t="shared" si="6"/>
        <v>116209</v>
      </c>
      <c r="BA15" s="1976">
        <f t="shared" si="6"/>
        <v>121411</v>
      </c>
      <c r="BB15" s="1976">
        <f t="shared" si="6"/>
        <v>115355</v>
      </c>
      <c r="BC15" s="1977">
        <f t="shared" si="7"/>
        <v>0.9501198408710908</v>
      </c>
      <c r="BD15" s="1976">
        <f t="shared" si="8"/>
        <v>116597</v>
      </c>
      <c r="BE15" s="1976">
        <f t="shared" si="8"/>
        <v>122738</v>
      </c>
      <c r="BF15" s="1976">
        <f t="shared" si="8"/>
        <v>116680</v>
      </c>
      <c r="BG15" s="1977">
        <f t="shared" si="9"/>
        <v>0.95064283270054917</v>
      </c>
    </row>
    <row r="16" spans="1:65" ht="57" customHeight="1" x14ac:dyDescent="0.6">
      <c r="A16" s="1975" t="s">
        <v>1259</v>
      </c>
      <c r="B16" s="1976">
        <f>[4]int.bevételek2021!B14</f>
        <v>472</v>
      </c>
      <c r="C16" s="1976">
        <f>'[5]int.bevételek RM III'!D15</f>
        <v>644</v>
      </c>
      <c r="D16" s="1976">
        <v>643</v>
      </c>
      <c r="E16" s="1977">
        <f t="shared" si="0"/>
        <v>0.99844720496894412</v>
      </c>
      <c r="F16" s="1976">
        <f>[4]int.bevételek2021!C14</f>
        <v>0</v>
      </c>
      <c r="G16" s="1976">
        <f>'[5]int.bevételek RM III'!G15</f>
        <v>0</v>
      </c>
      <c r="H16" s="1976"/>
      <c r="I16" s="1977"/>
      <c r="J16" s="1976">
        <f>[4]int.bevételek2021!D14</f>
        <v>0</v>
      </c>
      <c r="K16" s="1976">
        <f>'[5]int.bevételek RM III'!J15</f>
        <v>166</v>
      </c>
      <c r="L16" s="1976">
        <v>165</v>
      </c>
      <c r="M16" s="1977">
        <f>L16/K16</f>
        <v>0.99397590361445787</v>
      </c>
      <c r="N16" s="1976">
        <f>[4]int.bevételek2021!E14</f>
        <v>0</v>
      </c>
      <c r="O16" s="1976">
        <f>'[5]int.bevételek RM III'!M15</f>
        <v>0</v>
      </c>
      <c r="P16" s="1976"/>
      <c r="Q16" s="1977"/>
      <c r="R16" s="1976">
        <f t="shared" si="10"/>
        <v>472</v>
      </c>
      <c r="S16" s="1976">
        <f t="shared" si="10"/>
        <v>810</v>
      </c>
      <c r="T16" s="1976">
        <f t="shared" si="10"/>
        <v>808</v>
      </c>
      <c r="U16" s="1977">
        <f t="shared" si="1"/>
        <v>0.9975308641975309</v>
      </c>
      <c r="V16" s="1975" t="s">
        <v>1259</v>
      </c>
      <c r="W16" s="1976">
        <f>[4]int.bevételek2021!H14</f>
        <v>0</v>
      </c>
      <c r="X16" s="1976">
        <f>'[5]int.bevételek RM III'!T15</f>
        <v>0</v>
      </c>
      <c r="Y16" s="1976"/>
      <c r="Z16" s="1977"/>
      <c r="AA16" s="1976">
        <f>[4]int.bevételek2021!I14</f>
        <v>0</v>
      </c>
      <c r="AB16" s="1976">
        <f>'[5]int.bevételek RM III'!W15</f>
        <v>0</v>
      </c>
      <c r="AC16" s="1976"/>
      <c r="AD16" s="1977"/>
      <c r="AE16" s="1976">
        <f>[4]int.bevételek2021!J14</f>
        <v>0</v>
      </c>
      <c r="AF16" s="1976">
        <f>'[5]int.bevételek RM III'!Z15</f>
        <v>0</v>
      </c>
      <c r="AG16" s="1976"/>
      <c r="AH16" s="1977"/>
      <c r="AI16" s="1976">
        <f t="shared" si="2"/>
        <v>0</v>
      </c>
      <c r="AJ16" s="1976">
        <f t="shared" si="2"/>
        <v>0</v>
      </c>
      <c r="AK16" s="1976">
        <f t="shared" si="2"/>
        <v>0</v>
      </c>
      <c r="AL16" s="1977"/>
      <c r="AM16" s="1976"/>
      <c r="AN16" s="1976">
        <f>'[5]int.bevételek RM III'!AJ15</f>
        <v>1089</v>
      </c>
      <c r="AO16" s="1976">
        <v>1089</v>
      </c>
      <c r="AP16" s="1977">
        <f t="shared" si="3"/>
        <v>1</v>
      </c>
      <c r="AQ16" s="1975" t="s">
        <v>1259</v>
      </c>
      <c r="AR16" s="1976">
        <f>[4]int.bevételek2021!L14</f>
        <v>110169</v>
      </c>
      <c r="AS16" s="1976">
        <f>'[5]int.bevételek RM III'!AM15</f>
        <v>110745</v>
      </c>
      <c r="AT16" s="1976">
        <f>109336+1-3238</f>
        <v>106099</v>
      </c>
      <c r="AU16" s="1977">
        <f t="shared" si="4"/>
        <v>0.95804776739356179</v>
      </c>
      <c r="AV16" s="1976">
        <f>[4]int.bevételek2021!M14</f>
        <v>0</v>
      </c>
      <c r="AW16" s="1976">
        <f>'[5]int.bevételek RM III'!AP15</f>
        <v>3238</v>
      </c>
      <c r="AX16" s="1976">
        <v>3238</v>
      </c>
      <c r="AY16" s="1977">
        <f t="shared" si="5"/>
        <v>1</v>
      </c>
      <c r="AZ16" s="1976">
        <f t="shared" si="6"/>
        <v>110169</v>
      </c>
      <c r="BA16" s="1976">
        <f t="shared" si="6"/>
        <v>113983</v>
      </c>
      <c r="BB16" s="1976">
        <f t="shared" si="6"/>
        <v>109337</v>
      </c>
      <c r="BC16" s="1977">
        <f t="shared" si="7"/>
        <v>0.95923953572023901</v>
      </c>
      <c r="BD16" s="1976">
        <f t="shared" si="8"/>
        <v>110641</v>
      </c>
      <c r="BE16" s="1976">
        <f t="shared" si="8"/>
        <v>115882</v>
      </c>
      <c r="BF16" s="1976">
        <f t="shared" si="8"/>
        <v>111234</v>
      </c>
      <c r="BG16" s="1977">
        <f t="shared" si="9"/>
        <v>0.95989023316822286</v>
      </c>
    </row>
    <row r="17" spans="1:59" ht="57" customHeight="1" x14ac:dyDescent="0.6">
      <c r="A17" s="1975" t="s">
        <v>1260</v>
      </c>
      <c r="B17" s="1976">
        <f>[4]int.bevételek2021!B15</f>
        <v>420</v>
      </c>
      <c r="C17" s="1976">
        <f>'[5]int.bevételek RM III'!D16</f>
        <v>426</v>
      </c>
      <c r="D17" s="1976">
        <v>425</v>
      </c>
      <c r="E17" s="1977">
        <f t="shared" si="0"/>
        <v>0.99765258215962438</v>
      </c>
      <c r="F17" s="1976">
        <f>[4]int.bevételek2021!C15</f>
        <v>0</v>
      </c>
      <c r="G17" s="1976">
        <f>'[5]int.bevételek RM III'!G16</f>
        <v>0</v>
      </c>
      <c r="H17" s="1976"/>
      <c r="I17" s="1977"/>
      <c r="J17" s="1976">
        <f>[4]int.bevételek2021!D15</f>
        <v>0</v>
      </c>
      <c r="K17" s="1976">
        <f>'[5]int.bevételek RM III'!J16</f>
        <v>0</v>
      </c>
      <c r="L17" s="1976"/>
      <c r="M17" s="1977"/>
      <c r="N17" s="1976">
        <f>[4]int.bevételek2021!E15</f>
        <v>0</v>
      </c>
      <c r="O17" s="1976">
        <f>'[5]int.bevételek RM III'!M16</f>
        <v>0</v>
      </c>
      <c r="P17" s="1976"/>
      <c r="Q17" s="1977"/>
      <c r="R17" s="1976">
        <f t="shared" si="10"/>
        <v>420</v>
      </c>
      <c r="S17" s="1976">
        <f t="shared" si="10"/>
        <v>426</v>
      </c>
      <c r="T17" s="1976">
        <f t="shared" si="10"/>
        <v>425</v>
      </c>
      <c r="U17" s="1977">
        <f t="shared" si="1"/>
        <v>0.99765258215962438</v>
      </c>
      <c r="V17" s="1975" t="s">
        <v>1260</v>
      </c>
      <c r="W17" s="1976">
        <f>[4]int.bevételek2021!H15</f>
        <v>0</v>
      </c>
      <c r="X17" s="1976">
        <f>'[5]int.bevételek RM III'!T16</f>
        <v>0</v>
      </c>
      <c r="Y17" s="1976"/>
      <c r="Z17" s="1977"/>
      <c r="AA17" s="1976">
        <f>[4]int.bevételek2021!I15</f>
        <v>0</v>
      </c>
      <c r="AB17" s="1976">
        <f>'[5]int.bevételek RM III'!W16</f>
        <v>0</v>
      </c>
      <c r="AC17" s="1976"/>
      <c r="AD17" s="1977"/>
      <c r="AE17" s="1976">
        <f>[4]int.bevételek2021!J15</f>
        <v>0</v>
      </c>
      <c r="AF17" s="1976">
        <f>'[5]int.bevételek RM III'!Z16</f>
        <v>0</v>
      </c>
      <c r="AG17" s="1976"/>
      <c r="AH17" s="1977"/>
      <c r="AI17" s="1976">
        <f t="shared" si="2"/>
        <v>0</v>
      </c>
      <c r="AJ17" s="1976">
        <f t="shared" si="2"/>
        <v>0</v>
      </c>
      <c r="AK17" s="1976">
        <f t="shared" si="2"/>
        <v>0</v>
      </c>
      <c r="AL17" s="1977"/>
      <c r="AM17" s="1976"/>
      <c r="AN17" s="1976">
        <f>'[5]int.bevételek RM III'!AJ16</f>
        <v>255</v>
      </c>
      <c r="AO17" s="1976">
        <v>255</v>
      </c>
      <c r="AP17" s="1977">
        <f t="shared" si="3"/>
        <v>1</v>
      </c>
      <c r="AQ17" s="1975" t="s">
        <v>1260</v>
      </c>
      <c r="AR17" s="1976">
        <f>[4]int.bevételek2021!L15</f>
        <v>88441</v>
      </c>
      <c r="AS17" s="1976">
        <f>'[5]int.bevételek RM III'!AM16</f>
        <v>88669</v>
      </c>
      <c r="AT17" s="1976">
        <f>80908-383</f>
        <v>80525</v>
      </c>
      <c r="AU17" s="1977">
        <f t="shared" si="4"/>
        <v>0.90815279297161355</v>
      </c>
      <c r="AV17" s="1976">
        <f>[4]int.bevételek2021!M15</f>
        <v>0</v>
      </c>
      <c r="AW17" s="1976">
        <f>'[5]int.bevételek RM III'!AP16</f>
        <v>2244</v>
      </c>
      <c r="AX17" s="1976">
        <v>383</v>
      </c>
      <c r="AY17" s="1977">
        <f t="shared" si="5"/>
        <v>0.17067736185383245</v>
      </c>
      <c r="AZ17" s="1976">
        <f t="shared" si="6"/>
        <v>88441</v>
      </c>
      <c r="BA17" s="1976">
        <f t="shared" si="6"/>
        <v>90913</v>
      </c>
      <c r="BB17" s="1976">
        <f t="shared" si="6"/>
        <v>80908</v>
      </c>
      <c r="BC17" s="1977">
        <f t="shared" si="7"/>
        <v>0.88994973216151707</v>
      </c>
      <c r="BD17" s="1976">
        <f t="shared" si="8"/>
        <v>88861</v>
      </c>
      <c r="BE17" s="1976">
        <f t="shared" si="8"/>
        <v>91594</v>
      </c>
      <c r="BF17" s="1976">
        <f t="shared" si="8"/>
        <v>81588</v>
      </c>
      <c r="BG17" s="1977">
        <f t="shared" si="9"/>
        <v>0.89075703648710614</v>
      </c>
    </row>
    <row r="18" spans="1:59" ht="57" customHeight="1" x14ac:dyDescent="0.6">
      <c r="A18" s="1975" t="s">
        <v>1261</v>
      </c>
      <c r="B18" s="1976">
        <f>[4]int.bevételek2021!B16</f>
        <v>336</v>
      </c>
      <c r="C18" s="1976">
        <f>'[5]int.bevételek RM III'!D17</f>
        <v>562</v>
      </c>
      <c r="D18" s="1976">
        <v>562</v>
      </c>
      <c r="E18" s="1977">
        <f t="shared" si="0"/>
        <v>1</v>
      </c>
      <c r="F18" s="1976">
        <f>[4]int.bevételek2021!C16</f>
        <v>0</v>
      </c>
      <c r="G18" s="1976">
        <f>'[5]int.bevételek RM III'!G17</f>
        <v>0</v>
      </c>
      <c r="H18" s="1976"/>
      <c r="I18" s="1977"/>
      <c r="J18" s="1976">
        <f>[4]int.bevételek2021!D16</f>
        <v>0</v>
      </c>
      <c r="K18" s="1976">
        <f>'[5]int.bevételek RM III'!J17</f>
        <v>0</v>
      </c>
      <c r="L18" s="1976"/>
      <c r="M18" s="1977"/>
      <c r="N18" s="1976">
        <f>[4]int.bevételek2021!E16</f>
        <v>0</v>
      </c>
      <c r="O18" s="1976">
        <f>'[5]int.bevételek RM III'!M17</f>
        <v>0</v>
      </c>
      <c r="P18" s="1976"/>
      <c r="Q18" s="1977"/>
      <c r="R18" s="1976">
        <f t="shared" si="10"/>
        <v>336</v>
      </c>
      <c r="S18" s="1976">
        <f t="shared" si="10"/>
        <v>562</v>
      </c>
      <c r="T18" s="1976">
        <f t="shared" si="10"/>
        <v>562</v>
      </c>
      <c r="U18" s="1977">
        <f t="shared" si="1"/>
        <v>1</v>
      </c>
      <c r="V18" s="1975" t="s">
        <v>1261</v>
      </c>
      <c r="W18" s="1976">
        <f>[4]int.bevételek2021!H16</f>
        <v>0</v>
      </c>
      <c r="X18" s="1976">
        <f>'[5]int.bevételek RM III'!T17</f>
        <v>0</v>
      </c>
      <c r="Y18" s="1976"/>
      <c r="Z18" s="1977"/>
      <c r="AA18" s="1976">
        <f>[4]int.bevételek2021!I16</f>
        <v>0</v>
      </c>
      <c r="AB18" s="1976">
        <f>'[5]int.bevételek RM III'!W17</f>
        <v>0</v>
      </c>
      <c r="AC18" s="1976"/>
      <c r="AD18" s="1977"/>
      <c r="AE18" s="1976">
        <f>[4]int.bevételek2021!J16</f>
        <v>0</v>
      </c>
      <c r="AF18" s="1976">
        <f>'[5]int.bevételek RM III'!Z17</f>
        <v>0</v>
      </c>
      <c r="AG18" s="1976"/>
      <c r="AH18" s="1977"/>
      <c r="AI18" s="1976">
        <f t="shared" si="2"/>
        <v>0</v>
      </c>
      <c r="AJ18" s="1976">
        <f t="shared" si="2"/>
        <v>0</v>
      </c>
      <c r="AK18" s="1976">
        <f t="shared" si="2"/>
        <v>0</v>
      </c>
      <c r="AL18" s="1977"/>
      <c r="AM18" s="1976"/>
      <c r="AN18" s="1976">
        <f>'[5]int.bevételek RM III'!AJ17</f>
        <v>636</v>
      </c>
      <c r="AO18" s="1976">
        <v>636</v>
      </c>
      <c r="AP18" s="1977">
        <f t="shared" si="3"/>
        <v>1</v>
      </c>
      <c r="AQ18" s="1975" t="s">
        <v>1261</v>
      </c>
      <c r="AR18" s="1976">
        <f>[4]int.bevételek2021!L16</f>
        <v>90408</v>
      </c>
      <c r="AS18" s="1976">
        <f>'[5]int.bevételek RM III'!AM17</f>
        <v>93277</v>
      </c>
      <c r="AT18" s="1976">
        <f>86460-1583</f>
        <v>84877</v>
      </c>
      <c r="AU18" s="1977">
        <f t="shared" si="4"/>
        <v>0.90994564576476511</v>
      </c>
      <c r="AV18" s="1976">
        <f>[4]int.bevételek2021!M16</f>
        <v>0</v>
      </c>
      <c r="AW18" s="1976">
        <f>'[5]int.bevételek RM III'!AP17</f>
        <v>2084</v>
      </c>
      <c r="AX18" s="1976">
        <v>1583</v>
      </c>
      <c r="AY18" s="1977">
        <f t="shared" si="5"/>
        <v>0.75959692898272557</v>
      </c>
      <c r="AZ18" s="1976">
        <f t="shared" si="6"/>
        <v>90408</v>
      </c>
      <c r="BA18" s="1976">
        <f t="shared" si="6"/>
        <v>95361</v>
      </c>
      <c r="BB18" s="1976">
        <f t="shared" si="6"/>
        <v>86460</v>
      </c>
      <c r="BC18" s="1977">
        <f t="shared" si="7"/>
        <v>0.90665995532764965</v>
      </c>
      <c r="BD18" s="1976">
        <f t="shared" si="8"/>
        <v>90744</v>
      </c>
      <c r="BE18" s="1976">
        <f t="shared" si="8"/>
        <v>96559</v>
      </c>
      <c r="BF18" s="1976">
        <f t="shared" si="8"/>
        <v>87658</v>
      </c>
      <c r="BG18" s="1977">
        <f t="shared" si="9"/>
        <v>0.90781801799935791</v>
      </c>
    </row>
    <row r="19" spans="1:59" ht="57" customHeight="1" x14ac:dyDescent="0.6">
      <c r="A19" s="1975" t="s">
        <v>1262</v>
      </c>
      <c r="B19" s="1976">
        <f>[4]int.bevételek2021!B17</f>
        <v>210</v>
      </c>
      <c r="C19" s="1976">
        <f>'[5]int.bevételek RM III'!D18</f>
        <v>472</v>
      </c>
      <c r="D19" s="1976">
        <v>471</v>
      </c>
      <c r="E19" s="1977">
        <f t="shared" si="0"/>
        <v>0.9978813559322034</v>
      </c>
      <c r="F19" s="1976">
        <f>[4]int.bevételek2021!C17</f>
        <v>0</v>
      </c>
      <c r="G19" s="1976">
        <f>'[5]int.bevételek RM III'!G18</f>
        <v>0</v>
      </c>
      <c r="H19" s="1976"/>
      <c r="I19" s="1977"/>
      <c r="J19" s="1976">
        <f>[4]int.bevételek2021!D17</f>
        <v>0</v>
      </c>
      <c r="K19" s="1976">
        <f>'[5]int.bevételek RM III'!J18</f>
        <v>0</v>
      </c>
      <c r="L19" s="1976"/>
      <c r="M19" s="1977"/>
      <c r="N19" s="1976">
        <f>[4]int.bevételek2021!E17</f>
        <v>0</v>
      </c>
      <c r="O19" s="1976">
        <f>'[5]int.bevételek RM III'!M18</f>
        <v>0</v>
      </c>
      <c r="P19" s="1976"/>
      <c r="Q19" s="1977"/>
      <c r="R19" s="1976">
        <f t="shared" si="10"/>
        <v>210</v>
      </c>
      <c r="S19" s="1976">
        <f t="shared" si="10"/>
        <v>472</v>
      </c>
      <c r="T19" s="1976">
        <f t="shared" si="10"/>
        <v>471</v>
      </c>
      <c r="U19" s="1977">
        <f t="shared" si="1"/>
        <v>0.9978813559322034</v>
      </c>
      <c r="V19" s="1975" t="s">
        <v>1262</v>
      </c>
      <c r="W19" s="1976">
        <f>[4]int.bevételek2021!H17</f>
        <v>0</v>
      </c>
      <c r="X19" s="1976">
        <f>'[5]int.bevételek RM III'!T18</f>
        <v>0</v>
      </c>
      <c r="Y19" s="1976"/>
      <c r="Z19" s="1977"/>
      <c r="AA19" s="1976">
        <f>[4]int.bevételek2021!I17</f>
        <v>0</v>
      </c>
      <c r="AB19" s="1976">
        <f>'[5]int.bevételek RM III'!W18</f>
        <v>0</v>
      </c>
      <c r="AC19" s="1976"/>
      <c r="AD19" s="1977"/>
      <c r="AE19" s="1976">
        <f>[4]int.bevételek2021!J17</f>
        <v>0</v>
      </c>
      <c r="AF19" s="1976">
        <f>'[5]int.bevételek RM III'!Z18</f>
        <v>0</v>
      </c>
      <c r="AG19" s="1976"/>
      <c r="AH19" s="1977"/>
      <c r="AI19" s="1976">
        <f t="shared" si="2"/>
        <v>0</v>
      </c>
      <c r="AJ19" s="1976">
        <f t="shared" si="2"/>
        <v>0</v>
      </c>
      <c r="AK19" s="1976">
        <f t="shared" si="2"/>
        <v>0</v>
      </c>
      <c r="AL19" s="1977"/>
      <c r="AM19" s="1976"/>
      <c r="AN19" s="1976">
        <f>'[5]int.bevételek RM III'!AJ18</f>
        <v>777</v>
      </c>
      <c r="AO19" s="1976">
        <v>777</v>
      </c>
      <c r="AP19" s="1977">
        <f t="shared" si="3"/>
        <v>1</v>
      </c>
      <c r="AQ19" s="1975" t="s">
        <v>1262</v>
      </c>
      <c r="AR19" s="1976">
        <f>[4]int.bevételek2021!L17</f>
        <v>117995</v>
      </c>
      <c r="AS19" s="1976">
        <f>'[5]int.bevételek RM III'!AM18</f>
        <v>122427</v>
      </c>
      <c r="AT19" s="1976">
        <f>111787-1310</f>
        <v>110477</v>
      </c>
      <c r="AU19" s="1977">
        <f t="shared" si="4"/>
        <v>0.90239081248417419</v>
      </c>
      <c r="AV19" s="1976">
        <f>[4]int.bevételek2021!M17</f>
        <v>0</v>
      </c>
      <c r="AW19" s="1976">
        <f>'[5]int.bevételek RM III'!AP18</f>
        <v>3650</v>
      </c>
      <c r="AX19" s="1976">
        <v>1310</v>
      </c>
      <c r="AY19" s="1977">
        <f t="shared" si="5"/>
        <v>0.35890410958904112</v>
      </c>
      <c r="AZ19" s="1976">
        <f t="shared" si="6"/>
        <v>117995</v>
      </c>
      <c r="BA19" s="1976">
        <f t="shared" si="6"/>
        <v>126077</v>
      </c>
      <c r="BB19" s="1976">
        <f t="shared" si="6"/>
        <v>111787</v>
      </c>
      <c r="BC19" s="1977">
        <f t="shared" si="7"/>
        <v>0.88665656701856799</v>
      </c>
      <c r="BD19" s="1976">
        <f t="shared" si="8"/>
        <v>118205</v>
      </c>
      <c r="BE19" s="1976">
        <f t="shared" si="8"/>
        <v>127326</v>
      </c>
      <c r="BF19" s="1976">
        <f t="shared" si="8"/>
        <v>113035</v>
      </c>
      <c r="BG19" s="1977">
        <f t="shared" si="9"/>
        <v>0.88776055165480738</v>
      </c>
    </row>
    <row r="20" spans="1:59" ht="57" customHeight="1" x14ac:dyDescent="0.6">
      <c r="A20" s="1975" t="s">
        <v>1263</v>
      </c>
      <c r="B20" s="1976">
        <f>[4]int.bevételek2021!B18</f>
        <v>315</v>
      </c>
      <c r="C20" s="1976">
        <f>'[5]int.bevételek RM III'!D19</f>
        <v>1112</v>
      </c>
      <c r="D20" s="1976">
        <v>1112</v>
      </c>
      <c r="E20" s="1977">
        <f t="shared" si="0"/>
        <v>1</v>
      </c>
      <c r="F20" s="1976">
        <f>[4]int.bevételek2021!C18</f>
        <v>0</v>
      </c>
      <c r="G20" s="1976">
        <f>'[5]int.bevételek RM III'!G19</f>
        <v>0</v>
      </c>
      <c r="H20" s="1976"/>
      <c r="I20" s="1977"/>
      <c r="J20" s="1976">
        <f>[4]int.bevételek2021!D18</f>
        <v>0</v>
      </c>
      <c r="K20" s="1976">
        <f>'[5]int.bevételek RM III'!J19</f>
        <v>0</v>
      </c>
      <c r="L20" s="1976"/>
      <c r="M20" s="1977"/>
      <c r="N20" s="1976">
        <f>[4]int.bevételek2021!E18</f>
        <v>0</v>
      </c>
      <c r="O20" s="1976">
        <f>'[5]int.bevételek RM III'!M19</f>
        <v>0</v>
      </c>
      <c r="P20" s="1976"/>
      <c r="Q20" s="1977"/>
      <c r="R20" s="1976">
        <f t="shared" si="10"/>
        <v>315</v>
      </c>
      <c r="S20" s="1976">
        <f t="shared" si="10"/>
        <v>1112</v>
      </c>
      <c r="T20" s="1976">
        <f t="shared" si="10"/>
        <v>1112</v>
      </c>
      <c r="U20" s="1977">
        <f t="shared" si="1"/>
        <v>1</v>
      </c>
      <c r="V20" s="1975" t="s">
        <v>1263</v>
      </c>
      <c r="W20" s="1976">
        <f>[4]int.bevételek2021!H18</f>
        <v>0</v>
      </c>
      <c r="X20" s="1976">
        <f>'[5]int.bevételek RM III'!T19</f>
        <v>0</v>
      </c>
      <c r="Y20" s="1976"/>
      <c r="Z20" s="1977"/>
      <c r="AA20" s="1976">
        <f>[4]int.bevételek2021!I18</f>
        <v>0</v>
      </c>
      <c r="AB20" s="1976">
        <f>'[5]int.bevételek RM III'!W19</f>
        <v>0</v>
      </c>
      <c r="AC20" s="1976"/>
      <c r="AD20" s="1977"/>
      <c r="AE20" s="1976">
        <f>[4]int.bevételek2021!J18</f>
        <v>0</v>
      </c>
      <c r="AF20" s="1976">
        <f>'[5]int.bevételek RM III'!Z19</f>
        <v>0</v>
      </c>
      <c r="AG20" s="1976"/>
      <c r="AH20" s="1977"/>
      <c r="AI20" s="1976">
        <f t="shared" si="2"/>
        <v>0</v>
      </c>
      <c r="AJ20" s="1976">
        <f t="shared" si="2"/>
        <v>0</v>
      </c>
      <c r="AK20" s="1976">
        <f t="shared" si="2"/>
        <v>0</v>
      </c>
      <c r="AL20" s="1977"/>
      <c r="AM20" s="1976"/>
      <c r="AN20" s="1976">
        <f>'[5]int.bevételek RM III'!AJ19</f>
        <v>2298</v>
      </c>
      <c r="AO20" s="1976">
        <v>2298</v>
      </c>
      <c r="AP20" s="1977">
        <f t="shared" si="3"/>
        <v>1</v>
      </c>
      <c r="AQ20" s="1975" t="s">
        <v>1263</v>
      </c>
      <c r="AR20" s="1976">
        <f>[4]int.bevételek2021!L18</f>
        <v>148650</v>
      </c>
      <c r="AS20" s="1976">
        <f>'[5]int.bevételek RM III'!AM19</f>
        <v>149468</v>
      </c>
      <c r="AT20" s="1976">
        <f>145466-1460</f>
        <v>144006</v>
      </c>
      <c r="AU20" s="1977">
        <f t="shared" si="4"/>
        <v>0.96345706104316642</v>
      </c>
      <c r="AV20" s="1976">
        <f>[4]int.bevételek2021!M18</f>
        <v>0</v>
      </c>
      <c r="AW20" s="1976">
        <f>'[5]int.bevételek RM III'!AP19</f>
        <v>2251</v>
      </c>
      <c r="AX20" s="1976">
        <v>1460</v>
      </c>
      <c r="AY20" s="1977">
        <f t="shared" si="5"/>
        <v>0.64860062194580181</v>
      </c>
      <c r="AZ20" s="1976">
        <f t="shared" si="6"/>
        <v>148650</v>
      </c>
      <c r="BA20" s="1976">
        <f t="shared" si="6"/>
        <v>151719</v>
      </c>
      <c r="BB20" s="1976">
        <f t="shared" si="6"/>
        <v>145466</v>
      </c>
      <c r="BC20" s="1977">
        <f t="shared" si="7"/>
        <v>0.95878564978677683</v>
      </c>
      <c r="BD20" s="1976">
        <f t="shared" si="8"/>
        <v>148965</v>
      </c>
      <c r="BE20" s="1976">
        <f t="shared" si="8"/>
        <v>155129</v>
      </c>
      <c r="BF20" s="1976">
        <f t="shared" si="8"/>
        <v>148876</v>
      </c>
      <c r="BG20" s="1977">
        <f t="shared" si="9"/>
        <v>0.95969161149752791</v>
      </c>
    </row>
    <row r="21" spans="1:59" ht="57" customHeight="1" x14ac:dyDescent="0.6">
      <c r="A21" s="1975" t="s">
        <v>1264</v>
      </c>
      <c r="B21" s="1976">
        <f>[4]int.bevételek2021!B19</f>
        <v>231</v>
      </c>
      <c r="C21" s="1976">
        <f>'[5]int.bevételek RM III'!D20</f>
        <v>204</v>
      </c>
      <c r="D21" s="1976">
        <v>201</v>
      </c>
      <c r="E21" s="1977">
        <f t="shared" si="0"/>
        <v>0.98529411764705888</v>
      </c>
      <c r="F21" s="1976">
        <f>[4]int.bevételek2021!C19</f>
        <v>0</v>
      </c>
      <c r="G21" s="1976">
        <f>'[5]int.bevételek RM III'!G20</f>
        <v>0</v>
      </c>
      <c r="H21" s="1976"/>
      <c r="I21" s="1977"/>
      <c r="J21" s="1976">
        <f>[4]int.bevételek2021!D19</f>
        <v>0</v>
      </c>
      <c r="K21" s="1976">
        <f>'[5]int.bevételek RM III'!J20</f>
        <v>0</v>
      </c>
      <c r="L21" s="1976"/>
      <c r="M21" s="1977"/>
      <c r="N21" s="1976">
        <f>[4]int.bevételek2021!E19</f>
        <v>0</v>
      </c>
      <c r="O21" s="1976">
        <f>'[5]int.bevételek RM III'!M20</f>
        <v>0</v>
      </c>
      <c r="P21" s="1976"/>
      <c r="Q21" s="1977"/>
      <c r="R21" s="1976">
        <f t="shared" si="10"/>
        <v>231</v>
      </c>
      <c r="S21" s="1976">
        <f t="shared" si="10"/>
        <v>204</v>
      </c>
      <c r="T21" s="1976">
        <f t="shared" si="10"/>
        <v>201</v>
      </c>
      <c r="U21" s="1977">
        <f t="shared" si="1"/>
        <v>0.98529411764705888</v>
      </c>
      <c r="V21" s="1975" t="s">
        <v>1264</v>
      </c>
      <c r="W21" s="1976">
        <f>[4]int.bevételek2021!H19</f>
        <v>0</v>
      </c>
      <c r="X21" s="1976">
        <f>'[5]int.bevételek RM III'!T20</f>
        <v>0</v>
      </c>
      <c r="Y21" s="1976"/>
      <c r="Z21" s="1977"/>
      <c r="AA21" s="1976">
        <f>[4]int.bevételek2021!I19</f>
        <v>0</v>
      </c>
      <c r="AB21" s="1976">
        <f>'[5]int.bevételek RM III'!W20</f>
        <v>0</v>
      </c>
      <c r="AC21" s="1976"/>
      <c r="AD21" s="1977"/>
      <c r="AE21" s="1976">
        <f>[4]int.bevételek2021!J19</f>
        <v>0</v>
      </c>
      <c r="AF21" s="1976">
        <f>'[5]int.bevételek RM III'!Z20</f>
        <v>0</v>
      </c>
      <c r="AG21" s="1976"/>
      <c r="AH21" s="1977"/>
      <c r="AI21" s="1976">
        <f t="shared" si="2"/>
        <v>0</v>
      </c>
      <c r="AJ21" s="1976">
        <f t="shared" si="2"/>
        <v>0</v>
      </c>
      <c r="AK21" s="1976">
        <f t="shared" si="2"/>
        <v>0</v>
      </c>
      <c r="AL21" s="1977"/>
      <c r="AM21" s="1976"/>
      <c r="AN21" s="1976">
        <f>'[5]int.bevételek RM III'!AJ20</f>
        <v>436</v>
      </c>
      <c r="AO21" s="1976">
        <v>436</v>
      </c>
      <c r="AP21" s="1977">
        <f t="shared" si="3"/>
        <v>1</v>
      </c>
      <c r="AQ21" s="1975" t="s">
        <v>1264</v>
      </c>
      <c r="AR21" s="1976">
        <f>[4]int.bevételek2021!L19</f>
        <v>72608</v>
      </c>
      <c r="AS21" s="1976">
        <f>'[5]int.bevételek RM III'!AM20</f>
        <v>74074</v>
      </c>
      <c r="AT21" s="1976">
        <f>72477+1-2035</f>
        <v>70443</v>
      </c>
      <c r="AU21" s="1977">
        <f t="shared" si="4"/>
        <v>0.95098145098145093</v>
      </c>
      <c r="AV21" s="1976">
        <f>[4]int.bevételek2021!M19</f>
        <v>0</v>
      </c>
      <c r="AW21" s="1976">
        <f>'[5]int.bevételek RM III'!AP20</f>
        <v>2036</v>
      </c>
      <c r="AX21" s="1976">
        <v>2035</v>
      </c>
      <c r="AY21" s="1977">
        <f t="shared" si="5"/>
        <v>0.99950884086444003</v>
      </c>
      <c r="AZ21" s="1976">
        <f t="shared" si="6"/>
        <v>72608</v>
      </c>
      <c r="BA21" s="1976">
        <f t="shared" si="6"/>
        <v>76110</v>
      </c>
      <c r="BB21" s="1976">
        <f t="shared" si="6"/>
        <v>72478</v>
      </c>
      <c r="BC21" s="1977">
        <f t="shared" si="7"/>
        <v>0.95227959532255946</v>
      </c>
      <c r="BD21" s="1976">
        <f t="shared" si="8"/>
        <v>72839</v>
      </c>
      <c r="BE21" s="1976">
        <f t="shared" si="8"/>
        <v>76750</v>
      </c>
      <c r="BF21" s="1976">
        <f t="shared" si="8"/>
        <v>73115</v>
      </c>
      <c r="BG21" s="1977">
        <f t="shared" si="9"/>
        <v>0.95263843648208468</v>
      </c>
    </row>
    <row r="22" spans="1:59" ht="62.25" customHeight="1" x14ac:dyDescent="0.6">
      <c r="A22" s="1975" t="s">
        <v>1265</v>
      </c>
      <c r="B22" s="1976">
        <f>[4]int.bevételek2021!B20</f>
        <v>315</v>
      </c>
      <c r="C22" s="1976">
        <f>'[5]int.bevételek RM III'!D21</f>
        <v>740</v>
      </c>
      <c r="D22" s="1976">
        <v>739</v>
      </c>
      <c r="E22" s="1977">
        <f t="shared" si="0"/>
        <v>0.99864864864864866</v>
      </c>
      <c r="F22" s="1976">
        <f>[4]int.bevételek2021!C20</f>
        <v>0</v>
      </c>
      <c r="G22" s="1976">
        <f>'[5]int.bevételek RM III'!G21</f>
        <v>0</v>
      </c>
      <c r="H22" s="1976"/>
      <c r="I22" s="1977"/>
      <c r="J22" s="1976">
        <f>[4]int.bevételek2021!D20</f>
        <v>0</v>
      </c>
      <c r="K22" s="1976">
        <f>'[5]int.bevételek RM III'!J21</f>
        <v>0</v>
      </c>
      <c r="L22" s="1976"/>
      <c r="M22" s="1977"/>
      <c r="N22" s="1976">
        <f>[4]int.bevételek2021!E20</f>
        <v>0</v>
      </c>
      <c r="O22" s="1976">
        <f>'[5]int.bevételek RM III'!M21</f>
        <v>0</v>
      </c>
      <c r="P22" s="1976"/>
      <c r="Q22" s="1977"/>
      <c r="R22" s="1976">
        <f t="shared" si="10"/>
        <v>315</v>
      </c>
      <c r="S22" s="1976">
        <f t="shared" si="10"/>
        <v>740</v>
      </c>
      <c r="T22" s="1976">
        <f t="shared" si="10"/>
        <v>739</v>
      </c>
      <c r="U22" s="1977">
        <f t="shared" si="1"/>
        <v>0.99864864864864866</v>
      </c>
      <c r="V22" s="1975" t="s">
        <v>1265</v>
      </c>
      <c r="W22" s="1976">
        <f>[4]int.bevételek2021!H20</f>
        <v>0</v>
      </c>
      <c r="X22" s="1976">
        <f>'[5]int.bevételek RM III'!T21</f>
        <v>0</v>
      </c>
      <c r="Y22" s="1976"/>
      <c r="Z22" s="1977"/>
      <c r="AA22" s="1976">
        <f>[4]int.bevételek2021!I20</f>
        <v>0</v>
      </c>
      <c r="AB22" s="1976">
        <f>'[5]int.bevételek RM III'!W21</f>
        <v>0</v>
      </c>
      <c r="AC22" s="1976"/>
      <c r="AD22" s="1977"/>
      <c r="AE22" s="1976">
        <f>[4]int.bevételek2021!J20</f>
        <v>0</v>
      </c>
      <c r="AF22" s="1976">
        <f>'[5]int.bevételek RM III'!Z21</f>
        <v>0</v>
      </c>
      <c r="AG22" s="1976"/>
      <c r="AH22" s="1977"/>
      <c r="AI22" s="1976">
        <f t="shared" si="2"/>
        <v>0</v>
      </c>
      <c r="AJ22" s="1976">
        <f t="shared" si="2"/>
        <v>0</v>
      </c>
      <c r="AK22" s="1976">
        <f t="shared" si="2"/>
        <v>0</v>
      </c>
      <c r="AL22" s="1977"/>
      <c r="AM22" s="1976"/>
      <c r="AN22" s="1976">
        <f>'[5]int.bevételek RM III'!AJ21</f>
        <v>435</v>
      </c>
      <c r="AO22" s="1976">
        <v>435</v>
      </c>
      <c r="AP22" s="1977">
        <f t="shared" si="3"/>
        <v>1</v>
      </c>
      <c r="AQ22" s="1975" t="s">
        <v>1265</v>
      </c>
      <c r="AR22" s="1976">
        <f>[4]int.bevételek2021!L20</f>
        <v>63042</v>
      </c>
      <c r="AS22" s="1976">
        <f>'[5]int.bevételek RM III'!AM21</f>
        <v>64563</v>
      </c>
      <c r="AT22" s="1976">
        <f>60065-1081</f>
        <v>58984</v>
      </c>
      <c r="AU22" s="1977">
        <f t="shared" si="4"/>
        <v>0.91358827811594878</v>
      </c>
      <c r="AV22" s="1976">
        <f>[4]int.bevételek2021!M20</f>
        <v>0</v>
      </c>
      <c r="AW22" s="1976">
        <f>'[5]int.bevételek RM III'!AP21</f>
        <v>1082</v>
      </c>
      <c r="AX22" s="1976">
        <v>1081</v>
      </c>
      <c r="AY22" s="1977">
        <f t="shared" si="5"/>
        <v>0.99907578558225507</v>
      </c>
      <c r="AZ22" s="1976">
        <f t="shared" si="6"/>
        <v>63042</v>
      </c>
      <c r="BA22" s="1976">
        <f t="shared" si="6"/>
        <v>65645</v>
      </c>
      <c r="BB22" s="1976">
        <f t="shared" si="6"/>
        <v>60065</v>
      </c>
      <c r="BC22" s="1977">
        <f t="shared" si="7"/>
        <v>0.9149973341457841</v>
      </c>
      <c r="BD22" s="1976">
        <f t="shared" si="8"/>
        <v>63357</v>
      </c>
      <c r="BE22" s="1976">
        <f t="shared" si="8"/>
        <v>66820</v>
      </c>
      <c r="BF22" s="1976">
        <f t="shared" si="8"/>
        <v>61239</v>
      </c>
      <c r="BG22" s="1977">
        <f t="shared" si="9"/>
        <v>0.91647710266387306</v>
      </c>
    </row>
    <row r="23" spans="1:59" ht="62.25" customHeight="1" x14ac:dyDescent="0.6">
      <c r="A23" s="1975" t="s">
        <v>1266</v>
      </c>
      <c r="B23" s="1976">
        <f>[4]int.bevételek2021!B21</f>
        <v>367</v>
      </c>
      <c r="C23" s="1976">
        <f>'[5]int.bevételek RM III'!D22</f>
        <v>371</v>
      </c>
      <c r="D23" s="1976">
        <v>370</v>
      </c>
      <c r="E23" s="1977">
        <f t="shared" si="0"/>
        <v>0.99730458221024254</v>
      </c>
      <c r="F23" s="1976">
        <f>[4]int.bevételek2021!C21</f>
        <v>0</v>
      </c>
      <c r="G23" s="1976">
        <f>'[5]int.bevételek RM III'!G22</f>
        <v>0</v>
      </c>
      <c r="H23" s="1976"/>
      <c r="I23" s="1977"/>
      <c r="J23" s="1976">
        <f>[4]int.bevételek2021!D21</f>
        <v>0</v>
      </c>
      <c r="K23" s="1976">
        <f>'[5]int.bevételek RM III'!J22</f>
        <v>0</v>
      </c>
      <c r="L23" s="1976"/>
      <c r="M23" s="1977"/>
      <c r="N23" s="1976">
        <f>[4]int.bevételek2021!E21</f>
        <v>0</v>
      </c>
      <c r="O23" s="1976">
        <f>'[5]int.bevételek RM III'!M22</f>
        <v>0</v>
      </c>
      <c r="P23" s="1976"/>
      <c r="Q23" s="1977"/>
      <c r="R23" s="1976">
        <f t="shared" si="10"/>
        <v>367</v>
      </c>
      <c r="S23" s="1976">
        <f t="shared" si="10"/>
        <v>371</v>
      </c>
      <c r="T23" s="1976">
        <f t="shared" si="10"/>
        <v>370</v>
      </c>
      <c r="U23" s="1977">
        <f t="shared" si="1"/>
        <v>0.99730458221024254</v>
      </c>
      <c r="V23" s="1975" t="s">
        <v>1266</v>
      </c>
      <c r="W23" s="1976">
        <f>[4]int.bevételek2021!H21</f>
        <v>0</v>
      </c>
      <c r="X23" s="1976">
        <f>'[5]int.bevételek RM III'!T22</f>
        <v>0</v>
      </c>
      <c r="Y23" s="1976"/>
      <c r="Z23" s="1977"/>
      <c r="AA23" s="1976">
        <f>[4]int.bevételek2021!I21</f>
        <v>0</v>
      </c>
      <c r="AB23" s="1976">
        <f>'[5]int.bevételek RM III'!W22</f>
        <v>0</v>
      </c>
      <c r="AC23" s="1976"/>
      <c r="AD23" s="1977"/>
      <c r="AE23" s="1976">
        <f>[4]int.bevételek2021!J21</f>
        <v>0</v>
      </c>
      <c r="AF23" s="1976">
        <f>'[5]int.bevételek RM III'!Z22</f>
        <v>0</v>
      </c>
      <c r="AG23" s="1976"/>
      <c r="AH23" s="1977"/>
      <c r="AI23" s="1976">
        <f t="shared" si="2"/>
        <v>0</v>
      </c>
      <c r="AJ23" s="1976">
        <f t="shared" si="2"/>
        <v>0</v>
      </c>
      <c r="AK23" s="1976">
        <f t="shared" si="2"/>
        <v>0</v>
      </c>
      <c r="AL23" s="1977"/>
      <c r="AM23" s="1976"/>
      <c r="AN23" s="1976">
        <f>'[5]int.bevételek RM III'!AJ22</f>
        <v>418</v>
      </c>
      <c r="AO23" s="1976">
        <v>418</v>
      </c>
      <c r="AP23" s="1977">
        <f t="shared" si="3"/>
        <v>1</v>
      </c>
      <c r="AQ23" s="1975" t="s">
        <v>1266</v>
      </c>
      <c r="AR23" s="1976">
        <f>[4]int.bevételek2021!L21</f>
        <v>94000</v>
      </c>
      <c r="AS23" s="1976">
        <f>'[5]int.bevételek RM III'!AM22</f>
        <v>96616</v>
      </c>
      <c r="AT23" s="1976">
        <f>86275-331</f>
        <v>85944</v>
      </c>
      <c r="AU23" s="1977">
        <f t="shared" si="4"/>
        <v>0.88954210482735774</v>
      </c>
      <c r="AV23" s="1976">
        <f>[4]int.bevételek2021!M21</f>
        <v>0</v>
      </c>
      <c r="AW23" s="1976">
        <f>'[5]int.bevételek RM III'!AP22</f>
        <v>331</v>
      </c>
      <c r="AX23" s="1976">
        <v>331</v>
      </c>
      <c r="AY23" s="1977">
        <f t="shared" si="5"/>
        <v>1</v>
      </c>
      <c r="AZ23" s="1976">
        <f t="shared" si="6"/>
        <v>94000</v>
      </c>
      <c r="BA23" s="1976">
        <f t="shared" si="6"/>
        <v>96947</v>
      </c>
      <c r="BB23" s="1976">
        <f t="shared" si="6"/>
        <v>86275</v>
      </c>
      <c r="BC23" s="1977">
        <f t="shared" si="7"/>
        <v>0.8899192342207598</v>
      </c>
      <c r="BD23" s="1976">
        <f t="shared" si="8"/>
        <v>94367</v>
      </c>
      <c r="BE23" s="1976">
        <f t="shared" si="8"/>
        <v>97736</v>
      </c>
      <c r="BF23" s="1976">
        <f t="shared" si="8"/>
        <v>87063</v>
      </c>
      <c r="BG23" s="1977">
        <f t="shared" si="9"/>
        <v>0.89079765899975449</v>
      </c>
    </row>
    <row r="24" spans="1:59" ht="62.25" customHeight="1" x14ac:dyDescent="0.6">
      <c r="A24" s="1975" t="s">
        <v>1267</v>
      </c>
      <c r="B24" s="1976">
        <f>[4]int.bevételek2021!B22</f>
        <v>94</v>
      </c>
      <c r="C24" s="1976">
        <f>'[5]int.bevételek RM III'!D23</f>
        <v>801</v>
      </c>
      <c r="D24" s="1976">
        <v>801</v>
      </c>
      <c r="E24" s="1977">
        <f t="shared" si="0"/>
        <v>1</v>
      </c>
      <c r="F24" s="1976">
        <f>[4]int.bevételek2021!C22</f>
        <v>0</v>
      </c>
      <c r="G24" s="1976">
        <f>'[5]int.bevételek RM III'!G23</f>
        <v>400</v>
      </c>
      <c r="H24" s="1976">
        <v>400</v>
      </c>
      <c r="I24" s="1977">
        <f>H24/G24</f>
        <v>1</v>
      </c>
      <c r="J24" s="1976">
        <f>[4]int.bevételek2021!D22</f>
        <v>0</v>
      </c>
      <c r="K24" s="1976">
        <f>'[5]int.bevételek RM III'!J23</f>
        <v>0</v>
      </c>
      <c r="L24" s="1976"/>
      <c r="M24" s="1977"/>
      <c r="N24" s="1976">
        <f>[4]int.bevételek2021!E22</f>
        <v>0</v>
      </c>
      <c r="O24" s="1976">
        <f>'[5]int.bevételek RM III'!M23</f>
        <v>0</v>
      </c>
      <c r="P24" s="1976"/>
      <c r="Q24" s="1977"/>
      <c r="R24" s="1976">
        <f t="shared" si="10"/>
        <v>94</v>
      </c>
      <c r="S24" s="1976">
        <f t="shared" si="10"/>
        <v>1201</v>
      </c>
      <c r="T24" s="1976">
        <f t="shared" si="10"/>
        <v>1201</v>
      </c>
      <c r="U24" s="1977">
        <f t="shared" si="1"/>
        <v>1</v>
      </c>
      <c r="V24" s="1975" t="s">
        <v>1267</v>
      </c>
      <c r="W24" s="1976">
        <f>[4]int.bevételek2021!H22</f>
        <v>0</v>
      </c>
      <c r="X24" s="1976">
        <f>'[5]int.bevételek RM III'!T23</f>
        <v>0</v>
      </c>
      <c r="Y24" s="1976"/>
      <c r="Z24" s="1977"/>
      <c r="AA24" s="1976">
        <f>[4]int.bevételek2021!I22</f>
        <v>0</v>
      </c>
      <c r="AB24" s="1976">
        <f>'[5]int.bevételek RM III'!W23</f>
        <v>0</v>
      </c>
      <c r="AC24" s="1976"/>
      <c r="AD24" s="1977"/>
      <c r="AE24" s="1976">
        <f>[4]int.bevételek2021!J22</f>
        <v>0</v>
      </c>
      <c r="AF24" s="1976">
        <f>'[5]int.bevételek RM III'!Z23</f>
        <v>0</v>
      </c>
      <c r="AG24" s="1976"/>
      <c r="AH24" s="1977"/>
      <c r="AI24" s="1976">
        <f t="shared" si="2"/>
        <v>0</v>
      </c>
      <c r="AJ24" s="1976">
        <f t="shared" si="2"/>
        <v>0</v>
      </c>
      <c r="AK24" s="1976">
        <f t="shared" si="2"/>
        <v>0</v>
      </c>
      <c r="AL24" s="1977"/>
      <c r="AM24" s="1976"/>
      <c r="AN24" s="1976">
        <f>'[5]int.bevételek RM III'!AJ23</f>
        <v>797</v>
      </c>
      <c r="AO24" s="1976">
        <v>797</v>
      </c>
      <c r="AP24" s="1977">
        <f t="shared" si="3"/>
        <v>1</v>
      </c>
      <c r="AQ24" s="1975" t="s">
        <v>1267</v>
      </c>
      <c r="AR24" s="1976">
        <f>[4]int.bevételek2021!L22</f>
        <v>100825</v>
      </c>
      <c r="AS24" s="1976">
        <f>'[5]int.bevételek RM III'!AM23</f>
        <v>101028</v>
      </c>
      <c r="AT24" s="1976">
        <f>97314-4729</f>
        <v>92585</v>
      </c>
      <c r="AU24" s="1977">
        <f t="shared" si="4"/>
        <v>0.9164291087619274</v>
      </c>
      <c r="AV24" s="1976">
        <f>[4]int.bevételek2021!M22</f>
        <v>0</v>
      </c>
      <c r="AW24" s="1976">
        <f>'[5]int.bevételek RM III'!AP23</f>
        <v>4731</v>
      </c>
      <c r="AX24" s="1976">
        <v>4729</v>
      </c>
      <c r="AY24" s="1977">
        <f t="shared" si="5"/>
        <v>0.99957725639399708</v>
      </c>
      <c r="AZ24" s="1976">
        <f t="shared" si="6"/>
        <v>100825</v>
      </c>
      <c r="BA24" s="1976">
        <f t="shared" si="6"/>
        <v>105759</v>
      </c>
      <c r="BB24" s="1976">
        <f t="shared" si="6"/>
        <v>97314</v>
      </c>
      <c r="BC24" s="1977">
        <f t="shared" si="7"/>
        <v>0.92014863983207107</v>
      </c>
      <c r="BD24" s="1976">
        <f t="shared" si="8"/>
        <v>100919</v>
      </c>
      <c r="BE24" s="1976">
        <f t="shared" si="8"/>
        <v>107757</v>
      </c>
      <c r="BF24" s="1976">
        <f t="shared" si="8"/>
        <v>99312</v>
      </c>
      <c r="BG24" s="1977">
        <f t="shared" si="9"/>
        <v>0.92162922130348846</v>
      </c>
    </row>
    <row r="25" spans="1:59" ht="62.25" customHeight="1" x14ac:dyDescent="0.6">
      <c r="A25" s="1975" t="s">
        <v>1268</v>
      </c>
      <c r="B25" s="1976">
        <f>[4]int.bevételek2021!B23</f>
        <v>514</v>
      </c>
      <c r="C25" s="1976">
        <f>'[5]int.bevételek RM III'!D24</f>
        <v>775</v>
      </c>
      <c r="D25" s="1976">
        <v>775</v>
      </c>
      <c r="E25" s="1977">
        <f t="shared" si="0"/>
        <v>1</v>
      </c>
      <c r="F25" s="1976">
        <f>[4]int.bevételek2021!C23</f>
        <v>0</v>
      </c>
      <c r="G25" s="1976">
        <f>'[5]int.bevételek RM III'!G24</f>
        <v>0</v>
      </c>
      <c r="H25" s="1976"/>
      <c r="I25" s="1977"/>
      <c r="J25" s="1976">
        <f>[4]int.bevételek2021!D23</f>
        <v>0</v>
      </c>
      <c r="K25" s="1976">
        <f>'[5]int.bevételek RM III'!J24</f>
        <v>0</v>
      </c>
      <c r="L25" s="1976"/>
      <c r="M25" s="1977"/>
      <c r="N25" s="1976">
        <f>[4]int.bevételek2021!E23</f>
        <v>0</v>
      </c>
      <c r="O25" s="1976">
        <f>'[5]int.bevételek RM III'!M24</f>
        <v>0</v>
      </c>
      <c r="P25" s="1976"/>
      <c r="Q25" s="1977"/>
      <c r="R25" s="1976">
        <f t="shared" si="10"/>
        <v>514</v>
      </c>
      <c r="S25" s="1976">
        <f t="shared" si="10"/>
        <v>775</v>
      </c>
      <c r="T25" s="1976">
        <f t="shared" si="10"/>
        <v>775</v>
      </c>
      <c r="U25" s="1977">
        <f t="shared" si="1"/>
        <v>1</v>
      </c>
      <c r="V25" s="1975" t="s">
        <v>1268</v>
      </c>
      <c r="W25" s="1976">
        <f>[4]int.bevételek2021!H23</f>
        <v>0</v>
      </c>
      <c r="X25" s="1976">
        <f>'[5]int.bevételek RM III'!T24</f>
        <v>0</v>
      </c>
      <c r="Y25" s="1976"/>
      <c r="Z25" s="1977"/>
      <c r="AA25" s="1976">
        <f>[4]int.bevételek2021!I23</f>
        <v>0</v>
      </c>
      <c r="AB25" s="1976">
        <f>'[5]int.bevételek RM III'!W24</f>
        <v>0</v>
      </c>
      <c r="AC25" s="1976"/>
      <c r="AD25" s="1977"/>
      <c r="AE25" s="1976">
        <f>[4]int.bevételek2021!J23</f>
        <v>0</v>
      </c>
      <c r="AF25" s="1976">
        <f>'[5]int.bevételek RM III'!Z24</f>
        <v>0</v>
      </c>
      <c r="AG25" s="1976"/>
      <c r="AH25" s="1977"/>
      <c r="AI25" s="1976">
        <f t="shared" si="2"/>
        <v>0</v>
      </c>
      <c r="AJ25" s="1976">
        <f t="shared" si="2"/>
        <v>0</v>
      </c>
      <c r="AK25" s="1976">
        <f t="shared" si="2"/>
        <v>0</v>
      </c>
      <c r="AL25" s="1977"/>
      <c r="AM25" s="1976"/>
      <c r="AN25" s="1976">
        <f>'[5]int.bevételek RM III'!AJ24</f>
        <v>1745</v>
      </c>
      <c r="AO25" s="1976">
        <v>1745</v>
      </c>
      <c r="AP25" s="1977">
        <f t="shared" si="3"/>
        <v>1</v>
      </c>
      <c r="AQ25" s="1975" t="s">
        <v>1268</v>
      </c>
      <c r="AR25" s="1976">
        <f>[4]int.bevételek2021!L23</f>
        <v>129721</v>
      </c>
      <c r="AS25" s="1976">
        <f>'[5]int.bevételek RM III'!AM24</f>
        <v>134880</v>
      </c>
      <c r="AT25" s="1976">
        <f>133994-4011</f>
        <v>129983</v>
      </c>
      <c r="AU25" s="1977">
        <f t="shared" si="4"/>
        <v>0.96369365361803083</v>
      </c>
      <c r="AV25" s="1976">
        <f>[4]int.bevételek2021!M23</f>
        <v>0</v>
      </c>
      <c r="AW25" s="1976">
        <f>'[5]int.bevételek RM III'!AP24</f>
        <v>4012</v>
      </c>
      <c r="AX25" s="1976">
        <v>4011</v>
      </c>
      <c r="AY25" s="1977">
        <f t="shared" si="5"/>
        <v>0.99975074775672979</v>
      </c>
      <c r="AZ25" s="1976">
        <f t="shared" si="6"/>
        <v>129721</v>
      </c>
      <c r="BA25" s="1976">
        <f t="shared" si="6"/>
        <v>138892</v>
      </c>
      <c r="BB25" s="1976">
        <f t="shared" si="6"/>
        <v>133994</v>
      </c>
      <c r="BC25" s="1977">
        <f t="shared" si="7"/>
        <v>0.96473518993174556</v>
      </c>
      <c r="BD25" s="1976">
        <f t="shared" si="8"/>
        <v>130235</v>
      </c>
      <c r="BE25" s="1976">
        <f t="shared" si="8"/>
        <v>141412</v>
      </c>
      <c r="BF25" s="1976">
        <f t="shared" si="8"/>
        <v>136514</v>
      </c>
      <c r="BG25" s="1977">
        <f t="shared" si="9"/>
        <v>0.96536361836336382</v>
      </c>
    </row>
    <row r="26" spans="1:59" ht="62.25" customHeight="1" x14ac:dyDescent="0.6">
      <c r="A26" s="1975" t="s">
        <v>1305</v>
      </c>
      <c r="B26" s="1976">
        <f>[4]int.bevételek2021!B24</f>
        <v>315</v>
      </c>
      <c r="C26" s="1976">
        <f>'[5]int.bevételek RM III'!D25</f>
        <v>375</v>
      </c>
      <c r="D26" s="1976">
        <v>373</v>
      </c>
      <c r="E26" s="1977">
        <f t="shared" si="0"/>
        <v>0.9946666666666667</v>
      </c>
      <c r="F26" s="1976">
        <f>[4]int.bevételek2021!C24</f>
        <v>0</v>
      </c>
      <c r="G26" s="1976">
        <f>'[5]int.bevételek RM III'!G25</f>
        <v>0</v>
      </c>
      <c r="H26" s="1976"/>
      <c r="I26" s="1977"/>
      <c r="J26" s="1976">
        <f>[4]int.bevételek2021!D24</f>
        <v>0</v>
      </c>
      <c r="K26" s="1976">
        <f>'[5]int.bevételek RM III'!J25</f>
        <v>0</v>
      </c>
      <c r="L26" s="1976"/>
      <c r="M26" s="1977"/>
      <c r="N26" s="1976">
        <f>[4]int.bevételek2021!E24</f>
        <v>0</v>
      </c>
      <c r="O26" s="1976">
        <f>'[5]int.bevételek RM III'!M25</f>
        <v>0</v>
      </c>
      <c r="P26" s="1976"/>
      <c r="Q26" s="1977"/>
      <c r="R26" s="1976">
        <f t="shared" si="10"/>
        <v>315</v>
      </c>
      <c r="S26" s="1976">
        <f t="shared" si="10"/>
        <v>375</v>
      </c>
      <c r="T26" s="1976">
        <f t="shared" si="10"/>
        <v>373</v>
      </c>
      <c r="U26" s="1977">
        <f t="shared" si="1"/>
        <v>0.9946666666666667</v>
      </c>
      <c r="V26" s="1975" t="s">
        <v>1305</v>
      </c>
      <c r="W26" s="1976">
        <f>[4]int.bevételek2021!H24</f>
        <v>0</v>
      </c>
      <c r="X26" s="1976">
        <f>'[5]int.bevételek RM III'!T25</f>
        <v>0</v>
      </c>
      <c r="Y26" s="1976"/>
      <c r="Z26" s="1977"/>
      <c r="AA26" s="1976">
        <f>[4]int.bevételek2021!I24</f>
        <v>0</v>
      </c>
      <c r="AB26" s="1976">
        <f>'[5]int.bevételek RM III'!W25</f>
        <v>0</v>
      </c>
      <c r="AC26" s="1976"/>
      <c r="AD26" s="1977"/>
      <c r="AE26" s="1976">
        <f>[4]int.bevételek2021!J24</f>
        <v>0</v>
      </c>
      <c r="AF26" s="1976">
        <f>'[5]int.bevételek RM III'!Z25</f>
        <v>0</v>
      </c>
      <c r="AG26" s="1976"/>
      <c r="AH26" s="1977"/>
      <c r="AI26" s="1976">
        <f t="shared" si="2"/>
        <v>0</v>
      </c>
      <c r="AJ26" s="1976">
        <f t="shared" si="2"/>
        <v>0</v>
      </c>
      <c r="AK26" s="1976">
        <f t="shared" si="2"/>
        <v>0</v>
      </c>
      <c r="AL26" s="1977"/>
      <c r="AM26" s="1976"/>
      <c r="AN26" s="1976">
        <f>'[5]int.bevételek RM III'!AJ25</f>
        <v>1135</v>
      </c>
      <c r="AO26" s="1976">
        <v>1135</v>
      </c>
      <c r="AP26" s="1977">
        <f t="shared" si="3"/>
        <v>1</v>
      </c>
      <c r="AQ26" s="1975" t="s">
        <v>1305</v>
      </c>
      <c r="AR26" s="1976">
        <f>[4]int.bevételek2021!L24</f>
        <v>117226</v>
      </c>
      <c r="AS26" s="1976">
        <f>'[5]int.bevételek RM III'!AM25</f>
        <v>122775</v>
      </c>
      <c r="AT26" s="1976">
        <f>111039-2857</f>
        <v>108182</v>
      </c>
      <c r="AU26" s="1977">
        <f t="shared" si="4"/>
        <v>0.88114029729179388</v>
      </c>
      <c r="AV26" s="1976">
        <f>[4]int.bevételek2021!M24</f>
        <v>0</v>
      </c>
      <c r="AW26" s="1976">
        <f>'[5]int.bevételek RM III'!AP25</f>
        <v>2859</v>
      </c>
      <c r="AX26" s="1976">
        <v>2857</v>
      </c>
      <c r="AY26" s="1977">
        <f t="shared" si="5"/>
        <v>0.99930045470444206</v>
      </c>
      <c r="AZ26" s="1976">
        <f t="shared" si="6"/>
        <v>117226</v>
      </c>
      <c r="BA26" s="1976">
        <f t="shared" si="6"/>
        <v>125634</v>
      </c>
      <c r="BB26" s="1976">
        <f t="shared" si="6"/>
        <v>111039</v>
      </c>
      <c r="BC26" s="1977">
        <f t="shared" si="7"/>
        <v>0.88382921820526295</v>
      </c>
      <c r="BD26" s="1976">
        <f t="shared" si="8"/>
        <v>117541</v>
      </c>
      <c r="BE26" s="1976">
        <f t="shared" si="8"/>
        <v>127144</v>
      </c>
      <c r="BF26" s="1976">
        <f t="shared" si="8"/>
        <v>112547</v>
      </c>
      <c r="BG26" s="1977">
        <f t="shared" si="9"/>
        <v>0.88519316680299498</v>
      </c>
    </row>
    <row r="27" spans="1:59" ht="62.25" customHeight="1" x14ac:dyDescent="0.6">
      <c r="A27" s="1975" t="s">
        <v>1290</v>
      </c>
      <c r="B27" s="1976">
        <f>[4]int.bevételek2021!B25</f>
        <v>178</v>
      </c>
      <c r="C27" s="1976">
        <f>'[5]int.bevételek RM III'!D26</f>
        <v>677</v>
      </c>
      <c r="D27" s="1976">
        <v>676</v>
      </c>
      <c r="E27" s="1977">
        <f t="shared" si="0"/>
        <v>0.99852289512555392</v>
      </c>
      <c r="F27" s="1976">
        <f>[4]int.bevételek2021!C25</f>
        <v>0</v>
      </c>
      <c r="G27" s="1976">
        <f>'[5]int.bevételek RM III'!G26</f>
        <v>0</v>
      </c>
      <c r="H27" s="1976"/>
      <c r="I27" s="1977"/>
      <c r="J27" s="1976">
        <f>[4]int.bevételek2021!D25</f>
        <v>0</v>
      </c>
      <c r="K27" s="1976">
        <f>'[5]int.bevételek RM III'!J26</f>
        <v>0</v>
      </c>
      <c r="L27" s="1976"/>
      <c r="M27" s="1977"/>
      <c r="N27" s="1976">
        <f>[4]int.bevételek2021!E25</f>
        <v>0</v>
      </c>
      <c r="O27" s="1976">
        <f>'[5]int.bevételek RM III'!M26</f>
        <v>0</v>
      </c>
      <c r="P27" s="1976"/>
      <c r="Q27" s="1977"/>
      <c r="R27" s="1976">
        <f t="shared" si="10"/>
        <v>178</v>
      </c>
      <c r="S27" s="1976">
        <f t="shared" si="10"/>
        <v>677</v>
      </c>
      <c r="T27" s="1976">
        <f t="shared" si="10"/>
        <v>676</v>
      </c>
      <c r="U27" s="1977">
        <f t="shared" si="1"/>
        <v>0.99852289512555392</v>
      </c>
      <c r="V27" s="1975" t="s">
        <v>1290</v>
      </c>
      <c r="W27" s="1976">
        <f>[4]int.bevételek2021!H25</f>
        <v>0</v>
      </c>
      <c r="X27" s="1976">
        <f>'[5]int.bevételek RM III'!T26</f>
        <v>0</v>
      </c>
      <c r="Y27" s="1976"/>
      <c r="Z27" s="1977"/>
      <c r="AA27" s="1976">
        <f>[4]int.bevételek2021!I25</f>
        <v>0</v>
      </c>
      <c r="AB27" s="1976">
        <f>'[5]int.bevételek RM III'!W26</f>
        <v>0</v>
      </c>
      <c r="AC27" s="1976"/>
      <c r="AD27" s="1977"/>
      <c r="AE27" s="1976">
        <f>[4]int.bevételek2021!J25</f>
        <v>0</v>
      </c>
      <c r="AF27" s="1976">
        <f>'[5]int.bevételek RM III'!Z26</f>
        <v>0</v>
      </c>
      <c r="AG27" s="1976"/>
      <c r="AH27" s="1977"/>
      <c r="AI27" s="1976">
        <f t="shared" si="2"/>
        <v>0</v>
      </c>
      <c r="AJ27" s="1976">
        <f t="shared" si="2"/>
        <v>0</v>
      </c>
      <c r="AK27" s="1976">
        <f t="shared" si="2"/>
        <v>0</v>
      </c>
      <c r="AL27" s="1977"/>
      <c r="AM27" s="1976"/>
      <c r="AN27" s="1976">
        <f>'[5]int.bevételek RM III'!AJ26</f>
        <v>536</v>
      </c>
      <c r="AO27" s="1976">
        <v>536</v>
      </c>
      <c r="AP27" s="1977">
        <f t="shared" si="3"/>
        <v>1</v>
      </c>
      <c r="AQ27" s="1975" t="s">
        <v>1290</v>
      </c>
      <c r="AR27" s="1976">
        <f>[4]int.bevételek2021!L25</f>
        <v>78522</v>
      </c>
      <c r="AS27" s="1976">
        <f>'[5]int.bevételek RM III'!AM26</f>
        <v>77950</v>
      </c>
      <c r="AT27" s="1976">
        <f>73865-1498</f>
        <v>72367</v>
      </c>
      <c r="AU27" s="1977">
        <f t="shared" si="4"/>
        <v>0.92837716484926236</v>
      </c>
      <c r="AV27" s="1976">
        <f>[4]int.bevételek2021!M25</f>
        <v>0</v>
      </c>
      <c r="AW27" s="1976">
        <f>'[5]int.bevételek RM III'!AP26</f>
        <v>2480</v>
      </c>
      <c r="AX27" s="1976">
        <v>1498</v>
      </c>
      <c r="AY27" s="1977">
        <f t="shared" si="5"/>
        <v>0.6040322580645161</v>
      </c>
      <c r="AZ27" s="1976">
        <f t="shared" si="6"/>
        <v>78522</v>
      </c>
      <c r="BA27" s="1976">
        <f t="shared" si="6"/>
        <v>80430</v>
      </c>
      <c r="BB27" s="1976">
        <f t="shared" si="6"/>
        <v>73865</v>
      </c>
      <c r="BC27" s="1977">
        <f t="shared" si="7"/>
        <v>0.9183762277757056</v>
      </c>
      <c r="BD27" s="1976">
        <f t="shared" si="8"/>
        <v>78700</v>
      </c>
      <c r="BE27" s="1976">
        <f t="shared" si="8"/>
        <v>81643</v>
      </c>
      <c r="BF27" s="1976">
        <f t="shared" si="8"/>
        <v>75077</v>
      </c>
      <c r="BG27" s="1977">
        <f t="shared" si="9"/>
        <v>0.91957669365407935</v>
      </c>
    </row>
    <row r="28" spans="1:59" ht="62.25" customHeight="1" thickBot="1" x14ac:dyDescent="0.65">
      <c r="A28" s="1978" t="s">
        <v>1270</v>
      </c>
      <c r="B28" s="1979">
        <f>[4]int.bevételek2021!B26</f>
        <v>231</v>
      </c>
      <c r="C28" s="1976">
        <f>'[5]int.bevételek RM III'!D27</f>
        <v>420</v>
      </c>
      <c r="D28" s="1979">
        <v>419</v>
      </c>
      <c r="E28" s="1980">
        <f t="shared" si="0"/>
        <v>0.99761904761904763</v>
      </c>
      <c r="F28" s="1979">
        <f>[4]int.bevételek2021!C26</f>
        <v>0</v>
      </c>
      <c r="G28" s="1976">
        <f>'[5]int.bevételek RM III'!G27</f>
        <v>0</v>
      </c>
      <c r="H28" s="1979"/>
      <c r="I28" s="1980"/>
      <c r="J28" s="1979">
        <f>[4]int.bevételek2021!D26</f>
        <v>0</v>
      </c>
      <c r="K28" s="1976">
        <f>'[5]int.bevételek RM III'!J27</f>
        <v>0</v>
      </c>
      <c r="L28" s="1979"/>
      <c r="M28" s="1980"/>
      <c r="N28" s="1979">
        <f>[4]int.bevételek2021!E26</f>
        <v>0</v>
      </c>
      <c r="O28" s="1979">
        <f>'[5]int.bevételek RM III'!M27</f>
        <v>0</v>
      </c>
      <c r="P28" s="1976"/>
      <c r="Q28" s="1980"/>
      <c r="R28" s="1976">
        <f t="shared" si="10"/>
        <v>231</v>
      </c>
      <c r="S28" s="1976">
        <f t="shared" si="10"/>
        <v>420</v>
      </c>
      <c r="T28" s="1976">
        <f t="shared" si="10"/>
        <v>419</v>
      </c>
      <c r="U28" s="1980">
        <f t="shared" si="1"/>
        <v>0.99761904761904763</v>
      </c>
      <c r="V28" s="1978" t="s">
        <v>1270</v>
      </c>
      <c r="W28" s="1979">
        <f>[4]int.bevételek2021!H26</f>
        <v>0</v>
      </c>
      <c r="X28" s="1979">
        <f>'[5]int.bevételek RM III'!T27</f>
        <v>0</v>
      </c>
      <c r="Y28" s="1979"/>
      <c r="Z28" s="1980"/>
      <c r="AA28" s="1979">
        <f>[4]int.bevételek2021!I26</f>
        <v>0</v>
      </c>
      <c r="AB28" s="1979">
        <f>'[5]int.bevételek RM III'!W27</f>
        <v>0</v>
      </c>
      <c r="AC28" s="1976"/>
      <c r="AD28" s="1980"/>
      <c r="AE28" s="1979">
        <f>[4]int.bevételek2021!J26</f>
        <v>0</v>
      </c>
      <c r="AF28" s="1979">
        <f>'[5]int.bevételek RM III'!Z27</f>
        <v>0</v>
      </c>
      <c r="AG28" s="1979"/>
      <c r="AH28" s="1981"/>
      <c r="AI28" s="1976">
        <f t="shared" si="2"/>
        <v>0</v>
      </c>
      <c r="AJ28" s="1976">
        <f t="shared" si="2"/>
        <v>0</v>
      </c>
      <c r="AK28" s="1976">
        <f t="shared" si="2"/>
        <v>0</v>
      </c>
      <c r="AL28" s="1980"/>
      <c r="AM28" s="1979"/>
      <c r="AN28" s="1976">
        <f>'[5]int.bevételek RM III'!AJ27</f>
        <v>362</v>
      </c>
      <c r="AO28" s="1979">
        <v>362</v>
      </c>
      <c r="AP28" s="1980">
        <f t="shared" si="3"/>
        <v>1</v>
      </c>
      <c r="AQ28" s="1978" t="s">
        <v>1270</v>
      </c>
      <c r="AR28" s="1979">
        <f>[4]int.bevételek2021!L26</f>
        <v>62010</v>
      </c>
      <c r="AS28" s="1976">
        <f>'[5]int.bevételek RM III'!AM27</f>
        <v>64497</v>
      </c>
      <c r="AT28" s="1979">
        <f>64528-1397</f>
        <v>63131</v>
      </c>
      <c r="AU28" s="1980">
        <f t="shared" si="4"/>
        <v>0.97882072034358192</v>
      </c>
      <c r="AV28" s="1979">
        <f>[4]int.bevételek2021!M26</f>
        <v>0</v>
      </c>
      <c r="AW28" s="1976">
        <f>'[5]int.bevételek RM III'!AP27</f>
        <v>1707</v>
      </c>
      <c r="AX28" s="1979">
        <v>1397</v>
      </c>
      <c r="AY28" s="1980">
        <f>AX28/AW28</f>
        <v>0.8183948447568834</v>
      </c>
      <c r="AZ28" s="1976">
        <f t="shared" si="6"/>
        <v>62010</v>
      </c>
      <c r="BA28" s="1976">
        <f t="shared" si="6"/>
        <v>66204</v>
      </c>
      <c r="BB28" s="1976">
        <f t="shared" si="6"/>
        <v>64528</v>
      </c>
      <c r="BC28" s="1980">
        <f t="shared" si="7"/>
        <v>0.97468430910518999</v>
      </c>
      <c r="BD28" s="1976">
        <f t="shared" si="8"/>
        <v>62241</v>
      </c>
      <c r="BE28" s="1976">
        <f t="shared" si="8"/>
        <v>66986</v>
      </c>
      <c r="BF28" s="1976">
        <f t="shared" si="8"/>
        <v>65309</v>
      </c>
      <c r="BG28" s="1980">
        <f t="shared" si="9"/>
        <v>0.97496491804257601</v>
      </c>
    </row>
    <row r="29" spans="1:59" ht="62.25" customHeight="1" thickBot="1" x14ac:dyDescent="0.65">
      <c r="A29" s="1982" t="s">
        <v>1306</v>
      </c>
      <c r="B29" s="1983">
        <f>SUM(B11:B28)</f>
        <v>6160</v>
      </c>
      <c r="C29" s="1983">
        <f>SUM(C11:C28)</f>
        <v>10864</v>
      </c>
      <c r="D29" s="1983">
        <f>SUM(D11:D28)</f>
        <v>10843</v>
      </c>
      <c r="E29" s="1984">
        <f t="shared" si="0"/>
        <v>0.99806701030927836</v>
      </c>
      <c r="F29" s="1983">
        <f>SUM(F11:F28)</f>
        <v>0</v>
      </c>
      <c r="G29" s="1983">
        <f>SUM(G11:G28)</f>
        <v>800</v>
      </c>
      <c r="H29" s="1983">
        <f>SUM(H11:H28)</f>
        <v>800</v>
      </c>
      <c r="I29" s="1984">
        <f>H29/G29</f>
        <v>1</v>
      </c>
      <c r="J29" s="1983">
        <f>SUM(J11:J28)</f>
        <v>0</v>
      </c>
      <c r="K29" s="1983">
        <f>SUM(K11:K28)</f>
        <v>166</v>
      </c>
      <c r="L29" s="1983">
        <f>SUM(L11:L28)</f>
        <v>165</v>
      </c>
      <c r="M29" s="1984">
        <f>L29/K29</f>
        <v>0.99397590361445787</v>
      </c>
      <c r="N29" s="1983">
        <f>SUM(N11:N28)</f>
        <v>0</v>
      </c>
      <c r="O29" s="1983">
        <f>SUM(O11:O28)</f>
        <v>0</v>
      </c>
      <c r="P29" s="1983">
        <f>SUM(P11:P28)</f>
        <v>0</v>
      </c>
      <c r="Q29" s="1984"/>
      <c r="R29" s="1983">
        <f>SUM(R11:R28)</f>
        <v>6160</v>
      </c>
      <c r="S29" s="1983">
        <f>SUM(S11:S28)</f>
        <v>11830</v>
      </c>
      <c r="T29" s="1983">
        <f>SUM(T11:T28)</f>
        <v>11808</v>
      </c>
      <c r="U29" s="1984">
        <f t="shared" si="1"/>
        <v>0.99814032121724428</v>
      </c>
      <c r="V29" s="1982" t="s">
        <v>1306</v>
      </c>
      <c r="W29" s="1983">
        <f>SUM(W11:W28)</f>
        <v>0</v>
      </c>
      <c r="X29" s="1983">
        <f>SUM(X11:X28)</f>
        <v>0</v>
      </c>
      <c r="Y29" s="1983">
        <f>SUM(Y11:Y28)</f>
        <v>0</v>
      </c>
      <c r="Z29" s="1984"/>
      <c r="AA29" s="1983">
        <f>SUM(AA11:AA28)</f>
        <v>0</v>
      </c>
      <c r="AB29" s="1983">
        <f>SUM(AB11:AB28)</f>
        <v>0</v>
      </c>
      <c r="AC29" s="1983">
        <f>SUM(AC11:AC28)</f>
        <v>0</v>
      </c>
      <c r="AD29" s="1984"/>
      <c r="AE29" s="1983">
        <f>SUM(AE11:AE28)</f>
        <v>0</v>
      </c>
      <c r="AF29" s="1983">
        <f>SUM(AF11:AF28)</f>
        <v>0</v>
      </c>
      <c r="AG29" s="1983">
        <f>SUM(AG11:AG28)</f>
        <v>0</v>
      </c>
      <c r="AH29" s="1984"/>
      <c r="AI29" s="1983">
        <f>SUM(AI11:AI28)</f>
        <v>0</v>
      </c>
      <c r="AJ29" s="1983">
        <f>SUM(AJ11:AJ28)</f>
        <v>0</v>
      </c>
      <c r="AK29" s="1983">
        <f>SUM(AK11:AK28)</f>
        <v>0</v>
      </c>
      <c r="AL29" s="1984"/>
      <c r="AM29" s="1983">
        <f>SUM(AM11:AM28)</f>
        <v>0</v>
      </c>
      <c r="AN29" s="1983">
        <f>SUM(AN11:AN28)</f>
        <v>15425</v>
      </c>
      <c r="AO29" s="1983">
        <f>SUM(AO11:AO28)</f>
        <v>15425</v>
      </c>
      <c r="AP29" s="1984">
        <f t="shared" si="3"/>
        <v>1</v>
      </c>
      <c r="AQ29" s="1982" t="s">
        <v>1306</v>
      </c>
      <c r="AR29" s="1983">
        <f>SUM(AR11:AR28)</f>
        <v>1893739</v>
      </c>
      <c r="AS29" s="1983">
        <f>SUM(AS11:AS28)</f>
        <v>1922798</v>
      </c>
      <c r="AT29" s="1983">
        <f>SUM(AT11:AT28)</f>
        <v>1792086</v>
      </c>
      <c r="AU29" s="1984">
        <f t="shared" si="4"/>
        <v>0.93201990016632008</v>
      </c>
      <c r="AV29" s="1983">
        <f>SUM(AV11:AV28)</f>
        <v>0</v>
      </c>
      <c r="AW29" s="1983">
        <f>SUM(AW11:AW28)</f>
        <v>51862</v>
      </c>
      <c r="AX29" s="1983">
        <f>SUM(AX11:AX28)</f>
        <v>41953</v>
      </c>
      <c r="AY29" s="1984">
        <f>AX29/AW29</f>
        <v>0.80893525124368515</v>
      </c>
      <c r="AZ29" s="1983">
        <f>SUM(AZ11:AZ28)</f>
        <v>1893739</v>
      </c>
      <c r="BA29" s="1983">
        <f>SUM(BA11:BA28)</f>
        <v>1974660</v>
      </c>
      <c r="BB29" s="1983">
        <f>SUM(BB11:BB28)</f>
        <v>1834039</v>
      </c>
      <c r="BC29" s="1984">
        <f t="shared" si="7"/>
        <v>0.92878723425804943</v>
      </c>
      <c r="BD29" s="1983">
        <f>SUM(BD11:BD28)</f>
        <v>1899899</v>
      </c>
      <c r="BE29" s="1983">
        <f>SUM(BE11:BE28)</f>
        <v>2001915</v>
      </c>
      <c r="BF29" s="1983">
        <f>SUM(BF11:BF28)</f>
        <v>1861272</v>
      </c>
      <c r="BG29" s="1984">
        <f t="shared" si="9"/>
        <v>0.9297457684267314</v>
      </c>
    </row>
    <row r="30" spans="1:59" ht="62.25" customHeight="1" thickBot="1" x14ac:dyDescent="0.65">
      <c r="A30" s="1982" t="s">
        <v>144</v>
      </c>
      <c r="B30" s="1983">
        <f>[4]int.bevételek2021!B28</f>
        <v>324805</v>
      </c>
      <c r="C30" s="1976">
        <f>'[5]int.bevételek RM III'!D29</f>
        <v>308104</v>
      </c>
      <c r="D30" s="1983">
        <v>307957</v>
      </c>
      <c r="E30" s="1984">
        <f t="shared" si="0"/>
        <v>0.99952288837535375</v>
      </c>
      <c r="F30" s="1983">
        <f>[4]int.bevételek2021!C28</f>
        <v>0</v>
      </c>
      <c r="G30" s="1976">
        <f>'[5]int.bevételek RM III'!G29</f>
        <v>7494</v>
      </c>
      <c r="H30" s="1983">
        <v>7494</v>
      </c>
      <c r="I30" s="1984">
        <f>H30/G30</f>
        <v>1</v>
      </c>
      <c r="J30" s="1983">
        <f>[4]int.bevételek2021!D28</f>
        <v>0</v>
      </c>
      <c r="K30" s="1976">
        <f>'[5]int.bevételek RM III'!J29</f>
        <v>0</v>
      </c>
      <c r="L30" s="1983"/>
      <c r="M30" s="1984"/>
      <c r="N30" s="1983">
        <f>[4]int.bevételek2021!E28</f>
        <v>0</v>
      </c>
      <c r="O30" s="1983">
        <f>'[5]int.bevételek RM III'!M29</f>
        <v>0</v>
      </c>
      <c r="P30" s="1983"/>
      <c r="Q30" s="1984"/>
      <c r="R30" s="1976">
        <f>B30+F30+J30+N30</f>
        <v>324805</v>
      </c>
      <c r="S30" s="1976">
        <f>C30+G30+K30+O30</f>
        <v>315598</v>
      </c>
      <c r="T30" s="1976">
        <f>D30+H30+L30+P30</f>
        <v>315451</v>
      </c>
      <c r="U30" s="1984">
        <f t="shared" si="1"/>
        <v>0.99953421758059302</v>
      </c>
      <c r="V30" s="1982" t="s">
        <v>144</v>
      </c>
      <c r="W30" s="1983">
        <f>[4]int.bevételek2021!H28</f>
        <v>0</v>
      </c>
      <c r="X30" s="1983">
        <f>'[5]int.bevételek RM III'!T29</f>
        <v>0</v>
      </c>
      <c r="Y30" s="1983"/>
      <c r="Z30" s="1984"/>
      <c r="AA30" s="1983">
        <f>[4]int.bevételek2021!I28</f>
        <v>0</v>
      </c>
      <c r="AB30" s="1983">
        <f>'[5]int.bevételek RM III'!W29</f>
        <v>0</v>
      </c>
      <c r="AC30" s="1983"/>
      <c r="AD30" s="1984"/>
      <c r="AE30" s="1983">
        <f>[4]int.bevételek2021!J28</f>
        <v>0</v>
      </c>
      <c r="AF30" s="1983">
        <f>'[5]int.bevételek RM III'!Z29</f>
        <v>0</v>
      </c>
      <c r="AG30" s="1983"/>
      <c r="AH30" s="1984"/>
      <c r="AI30" s="1976">
        <f>W30+AA30+AE30</f>
        <v>0</v>
      </c>
      <c r="AJ30" s="1976">
        <f>X30+AB30+AF30</f>
        <v>0</v>
      </c>
      <c r="AK30" s="1976">
        <f>Y30+AC30+AG30</f>
        <v>0</v>
      </c>
      <c r="AL30" s="1984"/>
      <c r="AM30" s="1983"/>
      <c r="AN30" s="1976">
        <f>'[5]int.bevételek RM III'!AJ29</f>
        <v>3510</v>
      </c>
      <c r="AO30" s="1983">
        <v>3510</v>
      </c>
      <c r="AP30" s="1984">
        <f t="shared" si="3"/>
        <v>1</v>
      </c>
      <c r="AQ30" s="1982" t="s">
        <v>144</v>
      </c>
      <c r="AR30" s="1983">
        <f>[4]int.bevételek2021!L28</f>
        <v>1062874</v>
      </c>
      <c r="AS30" s="1976">
        <f>'[5]int.bevételek RM III'!AM29</f>
        <v>1110213</v>
      </c>
      <c r="AT30" s="1983">
        <f>974520-63560</f>
        <v>910960</v>
      </c>
      <c r="AU30" s="1984">
        <f t="shared" si="4"/>
        <v>0.82052723216175638</v>
      </c>
      <c r="AV30" s="1983">
        <f>[4]int.bevételek2021!M28</f>
        <v>0</v>
      </c>
      <c r="AW30" s="1976">
        <f>'[5]int.bevételek RM III'!AP29</f>
        <v>73677</v>
      </c>
      <c r="AX30" s="1983">
        <v>63560</v>
      </c>
      <c r="AY30" s="1984">
        <f>AX30/AW30</f>
        <v>0.86268441983251221</v>
      </c>
      <c r="AZ30" s="1976">
        <f>AR30+AV30</f>
        <v>1062874</v>
      </c>
      <c r="BA30" s="1976">
        <f>AS30+AW30</f>
        <v>1183890</v>
      </c>
      <c r="BB30" s="1976">
        <f>AT30+AX30</f>
        <v>974520</v>
      </c>
      <c r="BC30" s="1984">
        <f t="shared" si="7"/>
        <v>0.82315079948306014</v>
      </c>
      <c r="BD30" s="1976">
        <f>R30+AI30+AM30+AZ30</f>
        <v>1387679</v>
      </c>
      <c r="BE30" s="1976">
        <f>S30+AJ30+AN30+BA30</f>
        <v>1502998</v>
      </c>
      <c r="BF30" s="1976">
        <f>T30+AK30+AO30+BB30</f>
        <v>1293481</v>
      </c>
      <c r="BG30" s="1984">
        <f t="shared" si="9"/>
        <v>0.8606006129083339</v>
      </c>
    </row>
    <row r="31" spans="1:59" ht="62.25" customHeight="1" thickBot="1" x14ac:dyDescent="0.65">
      <c r="A31" s="1982" t="s">
        <v>1307</v>
      </c>
      <c r="B31" s="1983">
        <f>SUM(B29:B30)</f>
        <v>330965</v>
      </c>
      <c r="C31" s="1983">
        <f>SUM(C29:C30)</f>
        <v>318968</v>
      </c>
      <c r="D31" s="1983">
        <f>SUM(D29:D30)</f>
        <v>318800</v>
      </c>
      <c r="E31" s="1985">
        <f t="shared" si="0"/>
        <v>0.9994733013970053</v>
      </c>
      <c r="F31" s="1983">
        <f>SUM(F29:F30)</f>
        <v>0</v>
      </c>
      <c r="G31" s="1983">
        <f>SUM(G29:G30)</f>
        <v>8294</v>
      </c>
      <c r="H31" s="1983">
        <f>SUM(H29:H30)</f>
        <v>8294</v>
      </c>
      <c r="I31" s="1985">
        <f>H31/G31</f>
        <v>1</v>
      </c>
      <c r="J31" s="1983">
        <f>SUM(J29:J30)</f>
        <v>0</v>
      </c>
      <c r="K31" s="1983">
        <f>SUM(K29:K30)</f>
        <v>166</v>
      </c>
      <c r="L31" s="1983">
        <f>SUM(L29:L30)</f>
        <v>165</v>
      </c>
      <c r="M31" s="1985">
        <f>L31/K31</f>
        <v>0.99397590361445787</v>
      </c>
      <c r="N31" s="1983">
        <f>SUM(N29:N30)</f>
        <v>0</v>
      </c>
      <c r="O31" s="1983">
        <f>SUM(O29:O30)</f>
        <v>0</v>
      </c>
      <c r="P31" s="1983">
        <f>SUM(P29:P30)</f>
        <v>0</v>
      </c>
      <c r="Q31" s="1985"/>
      <c r="R31" s="1983">
        <f>SUM(R29:R30)</f>
        <v>330965</v>
      </c>
      <c r="S31" s="1983">
        <f>SUM(S29:S30)</f>
        <v>327428</v>
      </c>
      <c r="T31" s="1983">
        <f>SUM(T29:T30)</f>
        <v>327259</v>
      </c>
      <c r="U31" s="1985">
        <f t="shared" si="1"/>
        <v>0.9994838559927679</v>
      </c>
      <c r="V31" s="1982" t="s">
        <v>1307</v>
      </c>
      <c r="W31" s="1983">
        <f>SUM(W29:W30)</f>
        <v>0</v>
      </c>
      <c r="X31" s="1983">
        <f>SUM(X29:X30)</f>
        <v>0</v>
      </c>
      <c r="Y31" s="1983">
        <f>SUM(Y29:Y30)</f>
        <v>0</v>
      </c>
      <c r="Z31" s="1985"/>
      <c r="AA31" s="1983">
        <f>SUM(AA29:AA30)</f>
        <v>0</v>
      </c>
      <c r="AB31" s="1983">
        <f>SUM(AB29:AB30)</f>
        <v>0</v>
      </c>
      <c r="AC31" s="1983">
        <f>SUM(AC29:AC30)</f>
        <v>0</v>
      </c>
      <c r="AD31" s="1985"/>
      <c r="AE31" s="1983">
        <f>SUM(AE29:AE30)</f>
        <v>0</v>
      </c>
      <c r="AF31" s="1983">
        <f>SUM(AF29:AF30)</f>
        <v>0</v>
      </c>
      <c r="AG31" s="1983">
        <f>SUM(AG29:AG30)</f>
        <v>0</v>
      </c>
      <c r="AH31" s="1984"/>
      <c r="AI31" s="1983">
        <f>AI29+AI30</f>
        <v>0</v>
      </c>
      <c r="AJ31" s="1983">
        <f>AJ29+AJ30</f>
        <v>0</v>
      </c>
      <c r="AK31" s="1983">
        <f>AK29+AK30</f>
        <v>0</v>
      </c>
      <c r="AL31" s="1985"/>
      <c r="AM31" s="1983">
        <f>SUM(AM29:AM30)</f>
        <v>0</v>
      </c>
      <c r="AN31" s="1983">
        <f>SUM(AN29:AN30)</f>
        <v>18935</v>
      </c>
      <c r="AO31" s="1983">
        <f>SUM(AO29:AO30)</f>
        <v>18935</v>
      </c>
      <c r="AP31" s="1985">
        <f t="shared" si="3"/>
        <v>1</v>
      </c>
      <c r="AQ31" s="1982" t="s">
        <v>1307</v>
      </c>
      <c r="AR31" s="1983">
        <f>SUM(AR29:AR30)</f>
        <v>2956613</v>
      </c>
      <c r="AS31" s="1983">
        <f>SUM(AS29:AS30)</f>
        <v>3033011</v>
      </c>
      <c r="AT31" s="1983">
        <f>SUM(AT29:AT30)</f>
        <v>2703046</v>
      </c>
      <c r="AU31" s="1985">
        <f t="shared" si="4"/>
        <v>0.89120876910766234</v>
      </c>
      <c r="AV31" s="1983">
        <f>SUM(AV29:AV30)</f>
        <v>0</v>
      </c>
      <c r="AW31" s="1983">
        <f>SUM(AW29:AW30)</f>
        <v>125539</v>
      </c>
      <c r="AX31" s="1983">
        <f>SUM(AX29:AX30)</f>
        <v>105513</v>
      </c>
      <c r="AY31" s="1985">
        <f>AX31/AW31</f>
        <v>0.84047985088299249</v>
      </c>
      <c r="AZ31" s="1983">
        <f>AZ29+AZ30</f>
        <v>2956613</v>
      </c>
      <c r="BA31" s="1983">
        <f>BA29+BA30</f>
        <v>3158550</v>
      </c>
      <c r="BB31" s="1983">
        <f>BB29+BB30</f>
        <v>2808559</v>
      </c>
      <c r="BC31" s="1985">
        <f t="shared" si="7"/>
        <v>0.88919250922100335</v>
      </c>
      <c r="BD31" s="1983">
        <f>BD29+BD30</f>
        <v>3287578</v>
      </c>
      <c r="BE31" s="1983">
        <f>BE29+BE30</f>
        <v>3504913</v>
      </c>
      <c r="BF31" s="1983">
        <f>BF29+BF30</f>
        <v>3154753</v>
      </c>
      <c r="BG31" s="1985">
        <f t="shared" si="9"/>
        <v>0.9000945244575258</v>
      </c>
    </row>
    <row r="32" spans="1:59" ht="62.25" customHeight="1" x14ac:dyDescent="0.6">
      <c r="A32" s="1986" t="s">
        <v>1273</v>
      </c>
      <c r="B32" s="1979"/>
      <c r="C32" s="1979"/>
      <c r="D32" s="1979"/>
      <c r="E32" s="1979"/>
      <c r="F32" s="1979"/>
      <c r="G32" s="1979"/>
      <c r="H32" s="1979"/>
      <c r="I32" s="1979"/>
      <c r="J32" s="1979"/>
      <c r="K32" s="1979"/>
      <c r="L32" s="1979"/>
      <c r="M32" s="1979"/>
      <c r="N32" s="1979"/>
      <c r="O32" s="1979"/>
      <c r="P32" s="1979"/>
      <c r="Q32" s="1979"/>
      <c r="R32" s="1979"/>
      <c r="S32" s="1979"/>
      <c r="T32" s="1979"/>
      <c r="U32" s="1979"/>
      <c r="V32" s="1986" t="s">
        <v>1273</v>
      </c>
      <c r="W32" s="1979"/>
      <c r="X32" s="1979"/>
      <c r="Y32" s="1979"/>
      <c r="Z32" s="1979"/>
      <c r="AA32" s="1979"/>
      <c r="AB32" s="1979"/>
      <c r="AC32" s="1979"/>
      <c r="AD32" s="1979"/>
      <c r="AE32" s="1979"/>
      <c r="AF32" s="1979"/>
      <c r="AG32" s="1979"/>
      <c r="AH32" s="1979"/>
      <c r="AI32" s="1979"/>
      <c r="AJ32" s="1979"/>
      <c r="AK32" s="1979"/>
      <c r="AL32" s="1979"/>
      <c r="AM32" s="1979"/>
      <c r="AN32" s="1979"/>
      <c r="AO32" s="1979"/>
      <c r="AP32" s="1979"/>
      <c r="AQ32" s="1986" t="s">
        <v>1273</v>
      </c>
      <c r="AR32" s="1979"/>
      <c r="AS32" s="1979"/>
      <c r="AT32" s="1979"/>
      <c r="AU32" s="1979"/>
      <c r="AV32" s="1979"/>
      <c r="AW32" s="1979"/>
      <c r="AX32" s="1979"/>
      <c r="AY32" s="1979"/>
      <c r="AZ32" s="1979"/>
      <c r="BA32" s="1979"/>
      <c r="BB32" s="1979"/>
      <c r="BC32" s="1979"/>
      <c r="BD32" s="1979"/>
      <c r="BE32" s="1979"/>
      <c r="BF32" s="1979"/>
      <c r="BG32" s="1979"/>
    </row>
    <row r="33" spans="1:59" ht="62.25" customHeight="1" x14ac:dyDescent="0.6">
      <c r="A33" s="1987" t="s">
        <v>1308</v>
      </c>
      <c r="B33" s="1979"/>
      <c r="C33" s="1979"/>
      <c r="D33" s="1979"/>
      <c r="E33" s="1979"/>
      <c r="F33" s="1979"/>
      <c r="G33" s="1979"/>
      <c r="H33" s="1979"/>
      <c r="I33" s="1979"/>
      <c r="J33" s="1979"/>
      <c r="K33" s="1979"/>
      <c r="L33" s="1979"/>
      <c r="M33" s="1979"/>
      <c r="N33" s="1979"/>
      <c r="O33" s="1979"/>
      <c r="P33" s="1979"/>
      <c r="Q33" s="1979"/>
      <c r="R33" s="1979"/>
      <c r="S33" s="1979"/>
      <c r="T33" s="1979"/>
      <c r="U33" s="1979"/>
      <c r="V33" s="1987" t="s">
        <v>1308</v>
      </c>
      <c r="W33" s="1979"/>
      <c r="X33" s="1979"/>
      <c r="Y33" s="1979"/>
      <c r="Z33" s="1979"/>
      <c r="AA33" s="1979"/>
      <c r="AB33" s="1979"/>
      <c r="AC33" s="1979"/>
      <c r="AD33" s="1979"/>
      <c r="AE33" s="1979"/>
      <c r="AF33" s="1979"/>
      <c r="AG33" s="1979"/>
      <c r="AH33" s="1979"/>
      <c r="AI33" s="1979"/>
      <c r="AJ33" s="1979"/>
      <c r="AK33" s="1979"/>
      <c r="AL33" s="1979"/>
      <c r="AM33" s="1979"/>
      <c r="AN33" s="1979"/>
      <c r="AO33" s="1979"/>
      <c r="AP33" s="1979"/>
      <c r="AQ33" s="1987" t="s">
        <v>1308</v>
      </c>
      <c r="AR33" s="1979"/>
      <c r="AS33" s="1979"/>
      <c r="AT33" s="1979"/>
      <c r="AU33" s="1979"/>
      <c r="AV33" s="1979"/>
      <c r="AW33" s="1979"/>
      <c r="AX33" s="1979"/>
      <c r="AY33" s="1979"/>
      <c r="AZ33" s="1979"/>
      <c r="BA33" s="1979"/>
      <c r="BB33" s="1979"/>
      <c r="BC33" s="1979"/>
      <c r="BD33" s="1979"/>
      <c r="BE33" s="1979"/>
      <c r="BF33" s="1979"/>
      <c r="BG33" s="1979"/>
    </row>
    <row r="34" spans="1:59" ht="62.25" customHeight="1" x14ac:dyDescent="0.6">
      <c r="A34" s="1988" t="s">
        <v>1275</v>
      </c>
      <c r="B34" s="1979">
        <f>[4]int.bevételek2021!B32</f>
        <v>224317</v>
      </c>
      <c r="C34" s="1976">
        <f>'[5]int.bevételek RM III'!D33</f>
        <v>127799</v>
      </c>
      <c r="D34" s="1979">
        <v>127795</v>
      </c>
      <c r="E34" s="1977">
        <f t="shared" ref="E34:E39" si="11">D34/C34</f>
        <v>0.99996870085055434</v>
      </c>
      <c r="F34" s="1979">
        <f>[4]int.bevételek2021!C32</f>
        <v>0</v>
      </c>
      <c r="G34" s="1976">
        <f>'[5]int.bevételek RM III'!G33</f>
        <v>13136</v>
      </c>
      <c r="H34" s="1979">
        <v>13136</v>
      </c>
      <c r="I34" s="1977">
        <f t="shared" ref="I34:I39" si="12">H34/G34</f>
        <v>1</v>
      </c>
      <c r="J34" s="1979">
        <f>[4]int.bevételek2021!D32</f>
        <v>0</v>
      </c>
      <c r="K34" s="1976">
        <f>'[5]int.bevételek RM III'!J33</f>
        <v>5070</v>
      </c>
      <c r="L34" s="1979">
        <v>5071</v>
      </c>
      <c r="M34" s="1977">
        <f>L34/K34</f>
        <v>1.0001972386587772</v>
      </c>
      <c r="N34" s="1979">
        <f>[4]int.bevételek2021!E32</f>
        <v>0</v>
      </c>
      <c r="O34" s="1979">
        <f>'[5]int.bevételek RM III'!M33</f>
        <v>0</v>
      </c>
      <c r="P34" s="1976"/>
      <c r="Q34" s="1977"/>
      <c r="R34" s="1976">
        <f t="shared" ref="R34:T38" si="13">B34+F34+J34+N34</f>
        <v>224317</v>
      </c>
      <c r="S34" s="1976">
        <f t="shared" si="13"/>
        <v>146005</v>
      </c>
      <c r="T34" s="1976">
        <f t="shared" si="13"/>
        <v>146002</v>
      </c>
      <c r="U34" s="1977">
        <f t="shared" ref="U34:U39" si="14">T34/S34</f>
        <v>0.99997945275846722</v>
      </c>
      <c r="V34" s="1988" t="s">
        <v>1275</v>
      </c>
      <c r="W34" s="1979">
        <f>[4]int.bevételek2021!H32</f>
        <v>0</v>
      </c>
      <c r="X34" s="1979">
        <f>'[5]int.bevételek RM III'!T33</f>
        <v>0</v>
      </c>
      <c r="Y34" s="1979"/>
      <c r="Z34" s="1977"/>
      <c r="AA34" s="1979">
        <f>[4]int.bevételek2021!I32</f>
        <v>0</v>
      </c>
      <c r="AB34" s="1979">
        <f>'[5]int.bevételek RM III'!W33</f>
        <v>3260</v>
      </c>
      <c r="AC34" s="1979">
        <v>3260</v>
      </c>
      <c r="AD34" s="1977">
        <f t="shared" ref="AD34:AD39" si="15">AC34/AB34</f>
        <v>1</v>
      </c>
      <c r="AE34" s="1979">
        <f>[4]int.bevételek2021!J32</f>
        <v>0</v>
      </c>
      <c r="AF34" s="1979">
        <f>'[5]int.bevételek RM III'!Z33</f>
        <v>4148</v>
      </c>
      <c r="AG34" s="1979">
        <v>4148</v>
      </c>
      <c r="AH34" s="1977">
        <f>AG34/AF34</f>
        <v>1</v>
      </c>
      <c r="AI34" s="1976">
        <f t="shared" ref="AI34:AK38" si="16">W34+AA34+AE34</f>
        <v>0</v>
      </c>
      <c r="AJ34" s="1976">
        <f t="shared" si="16"/>
        <v>7408</v>
      </c>
      <c r="AK34" s="1976">
        <f t="shared" si="16"/>
        <v>7408</v>
      </c>
      <c r="AL34" s="1977">
        <f t="shared" ref="AL34:AL39" si="17">AK34/AJ34</f>
        <v>1</v>
      </c>
      <c r="AM34" s="1979"/>
      <c r="AN34" s="1976">
        <f>'[5]int.bevételek RM III'!AJ33</f>
        <v>107037</v>
      </c>
      <c r="AO34" s="1979">
        <v>107037</v>
      </c>
      <c r="AP34" s="1977">
        <f t="shared" ref="AP34:AP39" si="18">AO34/AN34</f>
        <v>1</v>
      </c>
      <c r="AQ34" s="1988" t="s">
        <v>1275</v>
      </c>
      <c r="AR34" s="1979">
        <f>[4]int.bevételek2021!L32</f>
        <v>84254</v>
      </c>
      <c r="AS34" s="1976">
        <f>'[5]int.bevételek RM III'!AM33</f>
        <v>114709</v>
      </c>
      <c r="AT34" s="1979">
        <f>128581-13871</f>
        <v>114710</v>
      </c>
      <c r="AU34" s="1977">
        <f t="shared" ref="AU34:AU39" si="19">AT34/AS34</f>
        <v>1.0000087177117749</v>
      </c>
      <c r="AV34" s="1979">
        <f>[4]int.bevételek2021!M32</f>
        <v>0</v>
      </c>
      <c r="AW34" s="1976">
        <f>'[5]int.bevételek RM III'!AP33</f>
        <v>13872</v>
      </c>
      <c r="AX34" s="1979">
        <v>13871</v>
      </c>
      <c r="AY34" s="1977">
        <f t="shared" ref="AY34:AY39" si="20">AX34/AW34</f>
        <v>0.9999279123414071</v>
      </c>
      <c r="AZ34" s="1976">
        <f t="shared" ref="AZ34:BB38" si="21">AR34+AV34</f>
        <v>84254</v>
      </c>
      <c r="BA34" s="1976">
        <f t="shared" si="21"/>
        <v>128581</v>
      </c>
      <c r="BB34" s="1976">
        <f t="shared" si="21"/>
        <v>128581</v>
      </c>
      <c r="BC34" s="1977">
        <f t="shared" ref="BC34:BC39" si="22">BB34/BA34</f>
        <v>1</v>
      </c>
      <c r="BD34" s="1976">
        <f t="shared" ref="BD34:BF38" si="23">R34+AI34+AM34+AZ34</f>
        <v>308571</v>
      </c>
      <c r="BE34" s="1976">
        <f t="shared" si="23"/>
        <v>389031</v>
      </c>
      <c r="BF34" s="1976">
        <f t="shared" si="23"/>
        <v>389028</v>
      </c>
      <c r="BG34" s="1977">
        <f t="shared" ref="BG34:BG39" si="24">BF34/BE34</f>
        <v>0.9999922885322764</v>
      </c>
    </row>
    <row r="35" spans="1:59" ht="62.25" customHeight="1" x14ac:dyDescent="0.6">
      <c r="A35" s="1989" t="s">
        <v>245</v>
      </c>
      <c r="B35" s="1990">
        <f>[4]int.bevételek2021!B33</f>
        <v>25400</v>
      </c>
      <c r="C35" s="1976">
        <f>'[5]int.bevételek RM III'!D34</f>
        <v>33759</v>
      </c>
      <c r="D35" s="1990">
        <v>33760</v>
      </c>
      <c r="E35" s="1977">
        <f t="shared" si="11"/>
        <v>1.0000296217305016</v>
      </c>
      <c r="F35" s="1990">
        <f>[4]int.bevételek2021!C33</f>
        <v>0</v>
      </c>
      <c r="G35" s="1976">
        <f>'[5]int.bevételek RM III'!G34</f>
        <v>8321</v>
      </c>
      <c r="H35" s="1990">
        <v>8321</v>
      </c>
      <c r="I35" s="1977">
        <f t="shared" si="12"/>
        <v>1</v>
      </c>
      <c r="J35" s="1990">
        <f>[4]int.bevételek2021!D33</f>
        <v>0</v>
      </c>
      <c r="K35" s="1976">
        <f>'[5]int.bevételek RM III'!J34</f>
        <v>0</v>
      </c>
      <c r="L35" s="1990"/>
      <c r="M35" s="1977"/>
      <c r="N35" s="1990">
        <f>[4]int.bevételek2021!E33</f>
        <v>0</v>
      </c>
      <c r="O35" s="1990">
        <f>'[5]int.bevételek RM III'!M34</f>
        <v>0</v>
      </c>
      <c r="P35" s="1976"/>
      <c r="Q35" s="1977"/>
      <c r="R35" s="1976">
        <f t="shared" si="13"/>
        <v>25400</v>
      </c>
      <c r="S35" s="1976">
        <f t="shared" si="13"/>
        <v>42080</v>
      </c>
      <c r="T35" s="1976">
        <f t="shared" si="13"/>
        <v>42081</v>
      </c>
      <c r="U35" s="1977">
        <f t="shared" si="14"/>
        <v>1.0000237642585552</v>
      </c>
      <c r="V35" s="1989" t="s">
        <v>245</v>
      </c>
      <c r="W35" s="1990">
        <f>[4]int.bevételek2021!H33</f>
        <v>0</v>
      </c>
      <c r="X35" s="1990">
        <f>'[5]int.bevételek RM III'!T34</f>
        <v>0</v>
      </c>
      <c r="Y35" s="1990"/>
      <c r="Z35" s="1977"/>
      <c r="AA35" s="1990">
        <f>[4]int.bevételek2021!I33</f>
        <v>0</v>
      </c>
      <c r="AB35" s="1990">
        <f>'[5]int.bevételek RM III'!W34</f>
        <v>11929</v>
      </c>
      <c r="AC35" s="1990">
        <v>11929</v>
      </c>
      <c r="AD35" s="1977">
        <f t="shared" si="15"/>
        <v>1</v>
      </c>
      <c r="AE35" s="1990">
        <f>[4]int.bevételek2021!J33</f>
        <v>0</v>
      </c>
      <c r="AF35" s="1990">
        <f>'[5]int.bevételek RM III'!Z34</f>
        <v>0</v>
      </c>
      <c r="AG35" s="1990"/>
      <c r="AH35" s="1977"/>
      <c r="AI35" s="1976">
        <f t="shared" si="16"/>
        <v>0</v>
      </c>
      <c r="AJ35" s="1976">
        <f t="shared" si="16"/>
        <v>11929</v>
      </c>
      <c r="AK35" s="1976">
        <f t="shared" si="16"/>
        <v>11929</v>
      </c>
      <c r="AL35" s="1977">
        <f t="shared" si="17"/>
        <v>1</v>
      </c>
      <c r="AM35" s="1990"/>
      <c r="AN35" s="1976">
        <f>'[5]int.bevételek RM III'!AJ34</f>
        <v>2182</v>
      </c>
      <c r="AO35" s="1990">
        <v>2182</v>
      </c>
      <c r="AP35" s="1977">
        <f t="shared" si="18"/>
        <v>1</v>
      </c>
      <c r="AQ35" s="1989" t="s">
        <v>245</v>
      </c>
      <c r="AR35" s="1990">
        <f>[4]int.bevételek2021!L33</f>
        <v>96672</v>
      </c>
      <c r="AS35" s="1976">
        <f>'[5]int.bevételek RM III'!AM34</f>
        <v>120694</v>
      </c>
      <c r="AT35" s="1990">
        <f>113672</f>
        <v>113672</v>
      </c>
      <c r="AU35" s="1977">
        <f t="shared" si="19"/>
        <v>0.94181980877259852</v>
      </c>
      <c r="AV35" s="1990">
        <f>[4]int.bevételek2021!M33</f>
        <v>0</v>
      </c>
      <c r="AW35" s="1976">
        <f>'[5]int.bevételek RM III'!AP34</f>
        <v>7963</v>
      </c>
      <c r="AX35" s="1990"/>
      <c r="AY35" s="1977">
        <f t="shared" si="20"/>
        <v>0</v>
      </c>
      <c r="AZ35" s="1976">
        <f t="shared" si="21"/>
        <v>96672</v>
      </c>
      <c r="BA35" s="1976">
        <f t="shared" si="21"/>
        <v>128657</v>
      </c>
      <c r="BB35" s="1976">
        <f t="shared" si="21"/>
        <v>113672</v>
      </c>
      <c r="BC35" s="1977">
        <f t="shared" si="22"/>
        <v>0.88352751890686088</v>
      </c>
      <c r="BD35" s="1976">
        <f t="shared" si="23"/>
        <v>122072</v>
      </c>
      <c r="BE35" s="1976">
        <f t="shared" si="23"/>
        <v>184848</v>
      </c>
      <c r="BF35" s="1976">
        <f t="shared" si="23"/>
        <v>169864</v>
      </c>
      <c r="BG35" s="1977">
        <f t="shared" si="24"/>
        <v>0.91893880377391157</v>
      </c>
    </row>
    <row r="36" spans="1:59" ht="62.25" customHeight="1" x14ac:dyDescent="0.6">
      <c r="A36" s="1989" t="s">
        <v>1276</v>
      </c>
      <c r="B36" s="1990">
        <f>[4]int.bevételek2021!B34</f>
        <v>68788</v>
      </c>
      <c r="C36" s="1976">
        <f>'[5]int.bevételek RM III'!D35</f>
        <v>60634</v>
      </c>
      <c r="D36" s="1990">
        <v>60633</v>
      </c>
      <c r="E36" s="1977">
        <f t="shared" si="11"/>
        <v>0.99998350760299504</v>
      </c>
      <c r="F36" s="1990">
        <f>[4]int.bevételek2021!C34</f>
        <v>0</v>
      </c>
      <c r="G36" s="1976">
        <f>'[5]int.bevételek RM III'!G35</f>
        <v>120650</v>
      </c>
      <c r="H36" s="1990">
        <v>120650</v>
      </c>
      <c r="I36" s="1977">
        <f t="shared" si="12"/>
        <v>1</v>
      </c>
      <c r="J36" s="1990">
        <f>[4]int.bevételek2021!D34</f>
        <v>0</v>
      </c>
      <c r="K36" s="1976">
        <f>'[5]int.bevételek RM III'!J35</f>
        <v>5000</v>
      </c>
      <c r="L36" s="1990">
        <v>5000</v>
      </c>
      <c r="M36" s="1991">
        <f>L36/K36</f>
        <v>1</v>
      </c>
      <c r="N36" s="1990">
        <f>[4]int.bevételek2021!E34</f>
        <v>0</v>
      </c>
      <c r="O36" s="1990">
        <f>'[5]int.bevételek RM III'!M35</f>
        <v>0</v>
      </c>
      <c r="P36" s="1976"/>
      <c r="Q36" s="1977"/>
      <c r="R36" s="1976">
        <f t="shared" si="13"/>
        <v>68788</v>
      </c>
      <c r="S36" s="1976">
        <f t="shared" si="13"/>
        <v>186284</v>
      </c>
      <c r="T36" s="1976">
        <f t="shared" si="13"/>
        <v>186283</v>
      </c>
      <c r="U36" s="1977">
        <f t="shared" si="14"/>
        <v>0.99999463185244031</v>
      </c>
      <c r="V36" s="1989" t="s">
        <v>1276</v>
      </c>
      <c r="W36" s="1990">
        <f>[4]int.bevételek2021!H34</f>
        <v>0</v>
      </c>
      <c r="X36" s="1990">
        <f>'[5]int.bevételek RM III'!T35</f>
        <v>236</v>
      </c>
      <c r="Y36" s="1990">
        <v>236</v>
      </c>
      <c r="Z36" s="1977">
        <f>Y36/X36</f>
        <v>1</v>
      </c>
      <c r="AA36" s="1990">
        <f>[4]int.bevételek2021!I34</f>
        <v>0</v>
      </c>
      <c r="AB36" s="1990">
        <f>'[5]int.bevételek RM III'!W35</f>
        <v>24000</v>
      </c>
      <c r="AC36" s="1990">
        <v>24000</v>
      </c>
      <c r="AD36" s="1977">
        <f t="shared" si="15"/>
        <v>1</v>
      </c>
      <c r="AE36" s="1990">
        <f>[4]int.bevételek2021!J34</f>
        <v>0</v>
      </c>
      <c r="AF36" s="1990">
        <f>'[5]int.bevételek RM III'!Z35</f>
        <v>0</v>
      </c>
      <c r="AG36" s="1990"/>
      <c r="AH36" s="1977"/>
      <c r="AI36" s="1976">
        <f t="shared" si="16"/>
        <v>0</v>
      </c>
      <c r="AJ36" s="1976">
        <f t="shared" si="16"/>
        <v>24236</v>
      </c>
      <c r="AK36" s="1976">
        <f t="shared" si="16"/>
        <v>24236</v>
      </c>
      <c r="AL36" s="1977">
        <f t="shared" si="17"/>
        <v>1</v>
      </c>
      <c r="AM36" s="1990"/>
      <c r="AN36" s="1976">
        <f>'[5]int.bevételek RM III'!AJ35</f>
        <v>100966</v>
      </c>
      <c r="AO36" s="1990">
        <v>100966</v>
      </c>
      <c r="AP36" s="1977">
        <f t="shared" si="18"/>
        <v>1</v>
      </c>
      <c r="AQ36" s="1989" t="s">
        <v>1276</v>
      </c>
      <c r="AR36" s="1990">
        <f>[4]int.bevételek2021!L34</f>
        <v>356192</v>
      </c>
      <c r="AS36" s="1976">
        <f>'[5]int.bevételek RM III'!AM35</f>
        <v>458314</v>
      </c>
      <c r="AT36" s="1990">
        <f>425632-4996</f>
        <v>420636</v>
      </c>
      <c r="AU36" s="1977">
        <f t="shared" si="19"/>
        <v>0.91778998677762402</v>
      </c>
      <c r="AV36" s="1990">
        <f>[4]int.bevételek2021!M34</f>
        <v>0</v>
      </c>
      <c r="AW36" s="1976">
        <f>'[5]int.bevételek RM III'!AP35</f>
        <v>48696</v>
      </c>
      <c r="AX36" s="1990">
        <v>4996</v>
      </c>
      <c r="AY36" s="1977">
        <f t="shared" si="20"/>
        <v>0.1025956957450304</v>
      </c>
      <c r="AZ36" s="1976">
        <f t="shared" si="21"/>
        <v>356192</v>
      </c>
      <c r="BA36" s="1976">
        <f t="shared" si="21"/>
        <v>507010</v>
      </c>
      <c r="BB36" s="1976">
        <f t="shared" si="21"/>
        <v>425632</v>
      </c>
      <c r="BC36" s="1977">
        <f t="shared" si="22"/>
        <v>0.83949429005345066</v>
      </c>
      <c r="BD36" s="1976">
        <f t="shared" si="23"/>
        <v>424980</v>
      </c>
      <c r="BE36" s="1976">
        <f t="shared" si="23"/>
        <v>818496</v>
      </c>
      <c r="BF36" s="1976">
        <f t="shared" si="23"/>
        <v>737117</v>
      </c>
      <c r="BG36" s="1977">
        <f t="shared" si="24"/>
        <v>0.90057495699429202</v>
      </c>
    </row>
    <row r="37" spans="1:59" ht="113.25" customHeight="1" x14ac:dyDescent="0.6">
      <c r="A37" s="2064" t="s">
        <v>1277</v>
      </c>
      <c r="B37" s="1990">
        <f>[4]int.bevételek2021!B35</f>
        <v>24000</v>
      </c>
      <c r="C37" s="1976">
        <f>'[5]int.bevételek RM III'!D36</f>
        <v>30902</v>
      </c>
      <c r="D37" s="1990">
        <v>30902</v>
      </c>
      <c r="E37" s="1977">
        <f t="shared" si="11"/>
        <v>1</v>
      </c>
      <c r="F37" s="1990">
        <f>[4]int.bevételek2021!C35</f>
        <v>0</v>
      </c>
      <c r="G37" s="1976">
        <f>'[5]int.bevételek RM III'!G36</f>
        <v>18778</v>
      </c>
      <c r="H37" s="1990">
        <v>18778</v>
      </c>
      <c r="I37" s="1977">
        <f t="shared" si="12"/>
        <v>1</v>
      </c>
      <c r="J37" s="1990">
        <f>[4]int.bevételek2021!D35</f>
        <v>0</v>
      </c>
      <c r="K37" s="1976">
        <f>'[5]int.bevételek RM III'!J36</f>
        <v>0</v>
      </c>
      <c r="L37" s="1990"/>
      <c r="M37" s="1991"/>
      <c r="N37" s="1990">
        <f>[4]int.bevételek2021!E35</f>
        <v>0</v>
      </c>
      <c r="O37" s="1990">
        <f>'[5]int.bevételek RM III'!M36</f>
        <v>0</v>
      </c>
      <c r="P37" s="1976"/>
      <c r="Q37" s="1977"/>
      <c r="R37" s="1976">
        <f t="shared" si="13"/>
        <v>24000</v>
      </c>
      <c r="S37" s="1976">
        <f t="shared" si="13"/>
        <v>49680</v>
      </c>
      <c r="T37" s="1976">
        <f t="shared" si="13"/>
        <v>49680</v>
      </c>
      <c r="U37" s="1977">
        <f t="shared" si="14"/>
        <v>1</v>
      </c>
      <c r="V37" s="1989" t="s">
        <v>1277</v>
      </c>
      <c r="W37" s="1990">
        <f>[4]int.bevételek2021!H35</f>
        <v>0</v>
      </c>
      <c r="X37" s="1990">
        <f>'[5]int.bevételek RM III'!T36</f>
        <v>0</v>
      </c>
      <c r="Y37" s="1990"/>
      <c r="Z37" s="1992"/>
      <c r="AA37" s="1990">
        <f>[4]int.bevételek2021!I35</f>
        <v>0</v>
      </c>
      <c r="AB37" s="1990">
        <f>'[5]int.bevételek RM III'!W36</f>
        <v>0</v>
      </c>
      <c r="AC37" s="1990"/>
      <c r="AD37" s="1977"/>
      <c r="AE37" s="1990">
        <f>[4]int.bevételek2021!J35</f>
        <v>0</v>
      </c>
      <c r="AF37" s="1990">
        <f>'[5]int.bevételek RM III'!Z36</f>
        <v>0</v>
      </c>
      <c r="AG37" s="1990"/>
      <c r="AH37" s="1977"/>
      <c r="AI37" s="1976">
        <f t="shared" si="16"/>
        <v>0</v>
      </c>
      <c r="AJ37" s="1976">
        <f t="shared" si="16"/>
        <v>0</v>
      </c>
      <c r="AK37" s="1976">
        <f t="shared" si="16"/>
        <v>0</v>
      </c>
      <c r="AL37" s="1977"/>
      <c r="AM37" s="1990"/>
      <c r="AN37" s="1976">
        <f>'[5]int.bevételek RM III'!AJ36</f>
        <v>66530</v>
      </c>
      <c r="AO37" s="1990">
        <v>66530</v>
      </c>
      <c r="AP37" s="1977">
        <f t="shared" si="18"/>
        <v>1</v>
      </c>
      <c r="AQ37" s="1989" t="s">
        <v>1277</v>
      </c>
      <c r="AR37" s="1990">
        <f>[4]int.bevételek2021!L35</f>
        <v>213576</v>
      </c>
      <c r="AS37" s="1976">
        <f>'[5]int.bevételek RM III'!AM36</f>
        <v>379463</v>
      </c>
      <c r="AT37" s="1990">
        <f>374707-41278</f>
        <v>333429</v>
      </c>
      <c r="AU37" s="1977">
        <f t="shared" si="19"/>
        <v>0.87868645954941593</v>
      </c>
      <c r="AV37" s="1990">
        <f>[4]int.bevételek2021!M35</f>
        <v>0</v>
      </c>
      <c r="AW37" s="1976">
        <f>'[5]int.bevételek RM III'!AP36</f>
        <v>43773</v>
      </c>
      <c r="AX37" s="1990">
        <v>41278</v>
      </c>
      <c r="AY37" s="1977">
        <f t="shared" si="20"/>
        <v>0.94300139355310353</v>
      </c>
      <c r="AZ37" s="1976">
        <f t="shared" si="21"/>
        <v>213576</v>
      </c>
      <c r="BA37" s="1976">
        <f t="shared" si="21"/>
        <v>423236</v>
      </c>
      <c r="BB37" s="1976">
        <f t="shared" si="21"/>
        <v>374707</v>
      </c>
      <c r="BC37" s="1977">
        <f t="shared" si="22"/>
        <v>0.88533820374448302</v>
      </c>
      <c r="BD37" s="1976">
        <f t="shared" si="23"/>
        <v>237576</v>
      </c>
      <c r="BE37" s="1976">
        <f t="shared" si="23"/>
        <v>539446</v>
      </c>
      <c r="BF37" s="1976">
        <f t="shared" si="23"/>
        <v>490917</v>
      </c>
      <c r="BG37" s="1977">
        <f t="shared" si="24"/>
        <v>0.91003918835249498</v>
      </c>
    </row>
    <row r="38" spans="1:59" ht="62.25" customHeight="1" thickBot="1" x14ac:dyDescent="0.65">
      <c r="A38" s="1993" t="s">
        <v>1278</v>
      </c>
      <c r="B38" s="1990">
        <f>[4]int.bevételek2021!B36</f>
        <v>175509</v>
      </c>
      <c r="C38" s="1976">
        <f>'[5]int.bevételek RM III'!D37</f>
        <v>141711</v>
      </c>
      <c r="D38" s="1990">
        <v>141710</v>
      </c>
      <c r="E38" s="1980">
        <f t="shared" si="11"/>
        <v>0.99999294338477607</v>
      </c>
      <c r="F38" s="1990">
        <f>[4]int.bevételek2021!C36</f>
        <v>14324</v>
      </c>
      <c r="G38" s="1976">
        <f>'[5]int.bevételek RM III'!G37</f>
        <v>41699</v>
      </c>
      <c r="H38" s="1990">
        <v>41699</v>
      </c>
      <c r="I38" s="1980">
        <f t="shared" si="12"/>
        <v>1</v>
      </c>
      <c r="J38" s="1990">
        <f>[4]int.bevételek2021!D36</f>
        <v>0</v>
      </c>
      <c r="K38" s="1976">
        <f>'[5]int.bevételek RM III'!J37</f>
        <v>824</v>
      </c>
      <c r="L38" s="1976">
        <f>825-1+1</f>
        <v>825</v>
      </c>
      <c r="M38" s="1980">
        <f>L38/K38</f>
        <v>1.0012135922330097</v>
      </c>
      <c r="N38" s="1994">
        <f>[4]int.bevételek2021!E36</f>
        <v>0</v>
      </c>
      <c r="O38" s="1994">
        <f>'[5]int.bevételek RM III'!M37</f>
        <v>0</v>
      </c>
      <c r="P38" s="1976"/>
      <c r="Q38" s="1980"/>
      <c r="R38" s="1976">
        <f t="shared" si="13"/>
        <v>189833</v>
      </c>
      <c r="S38" s="1976">
        <f t="shared" si="13"/>
        <v>184234</v>
      </c>
      <c r="T38" s="1976">
        <f t="shared" si="13"/>
        <v>184234</v>
      </c>
      <c r="U38" s="1980">
        <f t="shared" si="14"/>
        <v>1</v>
      </c>
      <c r="V38" s="1993" t="s">
        <v>1278</v>
      </c>
      <c r="W38" s="1990">
        <f>[4]int.bevételek2021!H36</f>
        <v>0</v>
      </c>
      <c r="X38" s="1990">
        <f>'[5]int.bevételek RM III'!T37</f>
        <v>451</v>
      </c>
      <c r="Y38" s="1990">
        <f>452-1</f>
        <v>451</v>
      </c>
      <c r="Z38" s="1980">
        <f>Y38/X38</f>
        <v>1</v>
      </c>
      <c r="AA38" s="1990">
        <f>[4]int.bevételek2021!I36</f>
        <v>0</v>
      </c>
      <c r="AB38" s="1990">
        <f>'[5]int.bevételek RM III'!W37</f>
        <v>1000</v>
      </c>
      <c r="AC38" s="1990">
        <v>1000</v>
      </c>
      <c r="AD38" s="1980">
        <f t="shared" si="15"/>
        <v>1</v>
      </c>
      <c r="AE38" s="1990">
        <f>[4]int.bevételek2021!J36</f>
        <v>0</v>
      </c>
      <c r="AF38" s="1990">
        <f>'[5]int.bevételek RM III'!Z37</f>
        <v>0</v>
      </c>
      <c r="AG38" s="1990"/>
      <c r="AH38" s="1980"/>
      <c r="AI38" s="1976">
        <f t="shared" si="16"/>
        <v>0</v>
      </c>
      <c r="AJ38" s="1976">
        <f t="shared" si="16"/>
        <v>1451</v>
      </c>
      <c r="AK38" s="1976">
        <f t="shared" si="16"/>
        <v>1451</v>
      </c>
      <c r="AL38" s="1980">
        <f t="shared" si="17"/>
        <v>1</v>
      </c>
      <c r="AM38" s="1990"/>
      <c r="AN38" s="1976">
        <f>'[5]int.bevételek RM III'!AJ37</f>
        <v>77089</v>
      </c>
      <c r="AO38" s="1990">
        <v>77089</v>
      </c>
      <c r="AP38" s="1980">
        <f t="shared" si="18"/>
        <v>1</v>
      </c>
      <c r="AQ38" s="1993" t="s">
        <v>1278</v>
      </c>
      <c r="AR38" s="1990">
        <f>[4]int.bevételek2021!L36</f>
        <v>317025</v>
      </c>
      <c r="AS38" s="1976">
        <f>'[5]int.bevételek RM III'!AM37</f>
        <v>421752</v>
      </c>
      <c r="AT38" s="1990">
        <f>441259-17263-2244</f>
        <v>421752</v>
      </c>
      <c r="AU38" s="1980">
        <f t="shared" si="19"/>
        <v>1</v>
      </c>
      <c r="AV38" s="1990">
        <f>[4]int.bevételek2021!M36</f>
        <v>0</v>
      </c>
      <c r="AW38" s="1976">
        <f>'[5]int.bevételek RM III'!AP37</f>
        <v>19510</v>
      </c>
      <c r="AX38" s="1990">
        <f>17263+2244</f>
        <v>19507</v>
      </c>
      <c r="AY38" s="1980">
        <f t="shared" si="20"/>
        <v>0.99984623270117889</v>
      </c>
      <c r="AZ38" s="1976">
        <f t="shared" si="21"/>
        <v>317025</v>
      </c>
      <c r="BA38" s="1976">
        <f t="shared" si="21"/>
        <v>441262</v>
      </c>
      <c r="BB38" s="1976">
        <f t="shared" si="21"/>
        <v>441259</v>
      </c>
      <c r="BC38" s="1980">
        <f t="shared" si="22"/>
        <v>0.99999320131803782</v>
      </c>
      <c r="BD38" s="1976">
        <f t="shared" si="23"/>
        <v>506858</v>
      </c>
      <c r="BE38" s="1976">
        <f t="shared" si="23"/>
        <v>704036</v>
      </c>
      <c r="BF38" s="1976">
        <f t="shared" si="23"/>
        <v>704033</v>
      </c>
      <c r="BG38" s="1980">
        <f t="shared" si="24"/>
        <v>0.99999573885426318</v>
      </c>
    </row>
    <row r="39" spans="1:59" ht="62.25" customHeight="1" thickBot="1" x14ac:dyDescent="0.65">
      <c r="A39" s="1995" t="s">
        <v>1309</v>
      </c>
      <c r="B39" s="1983">
        <f>SUM(B34:B38)</f>
        <v>518014</v>
      </c>
      <c r="C39" s="1983">
        <f>SUM(C34:C38)</f>
        <v>394805</v>
      </c>
      <c r="D39" s="1983">
        <f>SUM(D34:D38)</f>
        <v>394800</v>
      </c>
      <c r="E39" s="1984">
        <f t="shared" si="11"/>
        <v>0.99998733552006691</v>
      </c>
      <c r="F39" s="1983">
        <f>SUM(F34:F38)</f>
        <v>14324</v>
      </c>
      <c r="G39" s="1983">
        <f>SUM(G34:G38)</f>
        <v>202584</v>
      </c>
      <c r="H39" s="1983">
        <f>SUM(H34:H38)</f>
        <v>202584</v>
      </c>
      <c r="I39" s="1984">
        <f t="shared" si="12"/>
        <v>1</v>
      </c>
      <c r="J39" s="1983">
        <f>SUM(J34:J38)</f>
        <v>0</v>
      </c>
      <c r="K39" s="1983">
        <f>SUM(K34:K38)</f>
        <v>10894</v>
      </c>
      <c r="L39" s="1983">
        <f>SUM(L34:L38)</f>
        <v>10896</v>
      </c>
      <c r="M39" s="1984">
        <f>L39/K39</f>
        <v>1.0001835872957592</v>
      </c>
      <c r="N39" s="1983">
        <f>SUM(N34:N38)</f>
        <v>0</v>
      </c>
      <c r="O39" s="1983">
        <f>SUM(O34:O38)</f>
        <v>0</v>
      </c>
      <c r="P39" s="1983">
        <f>SUM(P34:P38)</f>
        <v>0</v>
      </c>
      <c r="Q39" s="1984"/>
      <c r="R39" s="1983">
        <f>SUM(R34:R38)</f>
        <v>532338</v>
      </c>
      <c r="S39" s="1983">
        <f>SUM(S34:S38)</f>
        <v>608283</v>
      </c>
      <c r="T39" s="1983">
        <f>SUM(T34:T38)</f>
        <v>608280</v>
      </c>
      <c r="U39" s="1984">
        <f t="shared" si="14"/>
        <v>0.99999506808508543</v>
      </c>
      <c r="V39" s="1995" t="s">
        <v>1309</v>
      </c>
      <c r="W39" s="1983">
        <f>SUM(W34:W38)</f>
        <v>0</v>
      </c>
      <c r="X39" s="1983">
        <f>SUM(X34:X38)</f>
        <v>687</v>
      </c>
      <c r="Y39" s="1983">
        <f>SUM(Y34:Y38)</f>
        <v>687</v>
      </c>
      <c r="Z39" s="1984">
        <f>Y39/X39</f>
        <v>1</v>
      </c>
      <c r="AA39" s="1983">
        <f>SUM(AA34:AA38)</f>
        <v>0</v>
      </c>
      <c r="AB39" s="1983">
        <f>SUM(AB34:AB38)</f>
        <v>40189</v>
      </c>
      <c r="AC39" s="1983">
        <f>SUM(AC34:AC38)</f>
        <v>40189</v>
      </c>
      <c r="AD39" s="1984">
        <f t="shared" si="15"/>
        <v>1</v>
      </c>
      <c r="AE39" s="1983">
        <f>SUM(AE34:AE38)</f>
        <v>0</v>
      </c>
      <c r="AF39" s="1983">
        <f>SUM(AF34:AF38)</f>
        <v>4148</v>
      </c>
      <c r="AG39" s="1983">
        <f>SUM(AG34:AG38)</f>
        <v>4148</v>
      </c>
      <c r="AH39" s="1984">
        <f>AG39/AF39</f>
        <v>1</v>
      </c>
      <c r="AI39" s="1983">
        <f>SUM(AI34:AI38)</f>
        <v>0</v>
      </c>
      <c r="AJ39" s="1983">
        <f>SUM(AJ34:AJ38)</f>
        <v>45024</v>
      </c>
      <c r="AK39" s="1983">
        <f>SUM(AK34:AK38)</f>
        <v>45024</v>
      </c>
      <c r="AL39" s="1984">
        <f t="shared" si="17"/>
        <v>1</v>
      </c>
      <c r="AM39" s="1983">
        <f>SUM(AM34:AM38)</f>
        <v>0</v>
      </c>
      <c r="AN39" s="1983">
        <f>SUM(AN34:AN38)</f>
        <v>353804</v>
      </c>
      <c r="AO39" s="1983">
        <f>SUM(AO34:AO38)</f>
        <v>353804</v>
      </c>
      <c r="AP39" s="1984">
        <f t="shared" si="18"/>
        <v>1</v>
      </c>
      <c r="AQ39" s="1995" t="s">
        <v>1309</v>
      </c>
      <c r="AR39" s="1983">
        <f>SUM(AR34:AR38)</f>
        <v>1067719</v>
      </c>
      <c r="AS39" s="1983">
        <f>SUM(AS34:AS38)</f>
        <v>1494932</v>
      </c>
      <c r="AT39" s="1983">
        <f>SUM(AT34:AT38)</f>
        <v>1404199</v>
      </c>
      <c r="AU39" s="1984">
        <f t="shared" si="19"/>
        <v>0.93930626944904516</v>
      </c>
      <c r="AV39" s="1983">
        <f>SUM(AV34:AV38)</f>
        <v>0</v>
      </c>
      <c r="AW39" s="1983">
        <f>SUM(AW34:AW38)</f>
        <v>133814</v>
      </c>
      <c r="AX39" s="1983">
        <f>SUM(AX34:AX38)</f>
        <v>79652</v>
      </c>
      <c r="AY39" s="1984">
        <f t="shared" si="20"/>
        <v>0.59524414485778765</v>
      </c>
      <c r="AZ39" s="1983">
        <f>SUM(AZ34:AZ38)</f>
        <v>1067719</v>
      </c>
      <c r="BA39" s="1983">
        <f>SUM(BA34:BA38)</f>
        <v>1628746</v>
      </c>
      <c r="BB39" s="1983">
        <f>SUM(BB34:BB38)</f>
        <v>1483851</v>
      </c>
      <c r="BC39" s="1984">
        <f t="shared" si="22"/>
        <v>0.91103892196818903</v>
      </c>
      <c r="BD39" s="1983">
        <f>SUM(BD34:BD38)</f>
        <v>1600057</v>
      </c>
      <c r="BE39" s="1983">
        <f>SUM(BE34:BE38)</f>
        <v>2635857</v>
      </c>
      <c r="BF39" s="1983">
        <f>SUM(BF34:BF38)</f>
        <v>2490959</v>
      </c>
      <c r="BG39" s="1984">
        <f t="shared" si="24"/>
        <v>0.94502812557737392</v>
      </c>
    </row>
    <row r="40" spans="1:59" ht="62.25" customHeight="1" x14ac:dyDescent="0.6">
      <c r="A40" s="1996" t="s">
        <v>1280</v>
      </c>
      <c r="B40" s="1997"/>
      <c r="C40" s="1997"/>
      <c r="D40" s="1997"/>
      <c r="E40" s="1997"/>
      <c r="F40" s="1997"/>
      <c r="G40" s="1997"/>
      <c r="H40" s="1997"/>
      <c r="I40" s="1997"/>
      <c r="J40" s="1997"/>
      <c r="K40" s="1997"/>
      <c r="L40" s="1997"/>
      <c r="M40" s="1997"/>
      <c r="N40" s="1997"/>
      <c r="O40" s="1997"/>
      <c r="P40" s="1997"/>
      <c r="Q40" s="1997"/>
      <c r="R40" s="1997"/>
      <c r="S40" s="1997"/>
      <c r="T40" s="1997"/>
      <c r="U40" s="1997"/>
      <c r="V40" s="1996" t="s">
        <v>1280</v>
      </c>
      <c r="W40" s="1997"/>
      <c r="X40" s="1997"/>
      <c r="Y40" s="1997"/>
      <c r="Z40" s="1997"/>
      <c r="AA40" s="1997"/>
      <c r="AB40" s="1997"/>
      <c r="AC40" s="1997"/>
      <c r="AD40" s="1997"/>
      <c r="AE40" s="1997"/>
      <c r="AF40" s="1997"/>
      <c r="AG40" s="1997"/>
      <c r="AH40" s="1997"/>
      <c r="AI40" s="1997"/>
      <c r="AJ40" s="1997"/>
      <c r="AK40" s="1997"/>
      <c r="AL40" s="1997"/>
      <c r="AM40" s="1997"/>
      <c r="AN40" s="1997"/>
      <c r="AO40" s="1997"/>
      <c r="AP40" s="1997"/>
      <c r="AQ40" s="1996" t="s">
        <v>1280</v>
      </c>
      <c r="AR40" s="1997"/>
      <c r="AS40" s="1997"/>
      <c r="AT40" s="1997"/>
      <c r="AU40" s="1997"/>
      <c r="AV40" s="1997"/>
      <c r="AW40" s="1997"/>
      <c r="AX40" s="1997"/>
      <c r="AY40" s="1997"/>
      <c r="AZ40" s="1997"/>
      <c r="BA40" s="1997"/>
      <c r="BB40" s="1997"/>
      <c r="BC40" s="1997"/>
      <c r="BD40" s="1997"/>
      <c r="BE40" s="1997"/>
      <c r="BF40" s="1997"/>
      <c r="BG40" s="1997"/>
    </row>
    <row r="41" spans="1:59" s="2000" customFormat="1" ht="114" customHeight="1" thickBot="1" x14ac:dyDescent="0.65">
      <c r="A41" s="1998" t="s">
        <v>1281</v>
      </c>
      <c r="B41" s="1976">
        <f>[4]int.bevételek2021!B39</f>
        <v>109773</v>
      </c>
      <c r="C41" s="1976">
        <f>'[5]int.bevételek RM III'!D40</f>
        <v>133268</v>
      </c>
      <c r="D41" s="1976">
        <v>133270</v>
      </c>
      <c r="E41" s="1985">
        <f>D41/C41</f>
        <v>1.0000150073536032</v>
      </c>
      <c r="F41" s="1976">
        <f>[4]int.bevételek2021!C39</f>
        <v>0</v>
      </c>
      <c r="G41" s="1976">
        <f>'[5]int.bevételek RM III'!G40</f>
        <v>15583</v>
      </c>
      <c r="H41" s="1976">
        <v>15582</v>
      </c>
      <c r="I41" s="1985">
        <f>H41/G41</f>
        <v>0.99993582750433163</v>
      </c>
      <c r="J41" s="1976">
        <f>[4]int.bevételek2021!D39</f>
        <v>0</v>
      </c>
      <c r="K41" s="1976">
        <f>'[5]int.bevételek RM III'!J40</f>
        <v>0</v>
      </c>
      <c r="L41" s="1976"/>
      <c r="M41" s="1985"/>
      <c r="N41" s="1979">
        <f>[4]int.bevételek2021!E39</f>
        <v>0</v>
      </c>
      <c r="O41" s="1979">
        <f>'[5]int.bevételek RM III'!M40</f>
        <v>0</v>
      </c>
      <c r="P41" s="1979"/>
      <c r="Q41" s="1985"/>
      <c r="R41" s="1976">
        <f>B41+F41+J41+N41</f>
        <v>109773</v>
      </c>
      <c r="S41" s="1976">
        <f>C41+G41+K41+O41</f>
        <v>148851</v>
      </c>
      <c r="T41" s="1976">
        <f>D41+H41+L41+P41</f>
        <v>148852</v>
      </c>
      <c r="U41" s="1985">
        <f>T41/S41</f>
        <v>1.0000067181275234</v>
      </c>
      <c r="V41" s="1998" t="s">
        <v>1281</v>
      </c>
      <c r="W41" s="1976">
        <f>[4]int.bevételek2021!H39</f>
        <v>0</v>
      </c>
      <c r="X41" s="1976">
        <f>'[5]int.bevételek RM III'!T40</f>
        <v>20</v>
      </c>
      <c r="Y41" s="1976">
        <v>20</v>
      </c>
      <c r="Z41" s="1985">
        <f>Y41/X41</f>
        <v>1</v>
      </c>
      <c r="AA41" s="1976">
        <f>[4]int.bevételek2021!I39</f>
        <v>0</v>
      </c>
      <c r="AB41" s="1976">
        <f>'[5]int.bevételek RM III'!W40</f>
        <v>0</v>
      </c>
      <c r="AC41" s="1976"/>
      <c r="AD41" s="1985"/>
      <c r="AE41" s="1976">
        <f>[4]int.bevételek2021!J39</f>
        <v>0</v>
      </c>
      <c r="AF41" s="1976">
        <f>'[5]int.bevételek RM III'!Z40</f>
        <v>0</v>
      </c>
      <c r="AG41" s="1976"/>
      <c r="AH41" s="1985"/>
      <c r="AI41" s="1976">
        <f>W41+AA41+AE41</f>
        <v>0</v>
      </c>
      <c r="AJ41" s="1976">
        <f>X41+AB41+AF41</f>
        <v>20</v>
      </c>
      <c r="AK41" s="1976">
        <f>Y41+AC41+AG41</f>
        <v>20</v>
      </c>
      <c r="AL41" s="1985">
        <f>AK41/AJ41</f>
        <v>1</v>
      </c>
      <c r="AM41" s="1976"/>
      <c r="AN41" s="1976">
        <f>'[5]int.bevételek RM III'!AJ40</f>
        <v>5047</v>
      </c>
      <c r="AO41" s="1976">
        <v>5047</v>
      </c>
      <c r="AP41" s="1985">
        <f>AO41/AN41</f>
        <v>1</v>
      </c>
      <c r="AQ41" s="1998" t="s">
        <v>1281</v>
      </c>
      <c r="AR41" s="1976">
        <f>[4]int.bevételek2021!L39</f>
        <v>779343</v>
      </c>
      <c r="AS41" s="1976">
        <f>'[5]int.bevételek RM III'!AM40</f>
        <v>933788</v>
      </c>
      <c r="AT41" s="1976">
        <f>985797-89753</f>
        <v>896044</v>
      </c>
      <c r="AU41" s="1985">
        <f>AT41/AS41</f>
        <v>0.95957969046507341</v>
      </c>
      <c r="AV41" s="1976">
        <f>[4]int.bevételek2021!M39</f>
        <v>0</v>
      </c>
      <c r="AW41" s="1976">
        <f>'[5]int.bevételek RM III'!AP40</f>
        <v>89964</v>
      </c>
      <c r="AX41" s="1976">
        <v>89753</v>
      </c>
      <c r="AY41" s="1999">
        <f>AX41/AW41</f>
        <v>0.9976546174025166</v>
      </c>
      <c r="AZ41" s="1976">
        <f>AR41+AV41</f>
        <v>779343</v>
      </c>
      <c r="BA41" s="1976">
        <f>AS41+AW41</f>
        <v>1023752</v>
      </c>
      <c r="BB41" s="1976">
        <f>AT41+AX41</f>
        <v>985797</v>
      </c>
      <c r="BC41" s="1985">
        <f>BB41/BA41</f>
        <v>0.96292559135415612</v>
      </c>
      <c r="BD41" s="1976">
        <f>R41+AI41+AM41+AZ41</f>
        <v>889116</v>
      </c>
      <c r="BE41" s="1976">
        <f>S41+AJ41+AN41+BA41</f>
        <v>1177670</v>
      </c>
      <c r="BF41" s="1976">
        <f>T41+AK41+AO41+BB41</f>
        <v>1139716</v>
      </c>
      <c r="BG41" s="1985">
        <f>BF41/BE41</f>
        <v>0.96777195649035808</v>
      </c>
    </row>
    <row r="42" spans="1:59" ht="62.25" customHeight="1" x14ac:dyDescent="0.6">
      <c r="A42" s="1996" t="s">
        <v>1282</v>
      </c>
      <c r="B42" s="1997"/>
      <c r="C42" s="1997"/>
      <c r="D42" s="1997"/>
      <c r="E42" s="1980"/>
      <c r="F42" s="1997"/>
      <c r="G42" s="1997"/>
      <c r="H42" s="1997"/>
      <c r="I42" s="1980"/>
      <c r="J42" s="1997"/>
      <c r="K42" s="1997"/>
      <c r="L42" s="1997"/>
      <c r="M42" s="1980"/>
      <c r="N42" s="1997"/>
      <c r="O42" s="1997"/>
      <c r="P42" s="1997"/>
      <c r="Q42" s="1980"/>
      <c r="R42" s="1997"/>
      <c r="S42" s="1997"/>
      <c r="T42" s="1997"/>
      <c r="U42" s="1980"/>
      <c r="V42" s="1996" t="s">
        <v>1282</v>
      </c>
      <c r="W42" s="1997"/>
      <c r="X42" s="1997"/>
      <c r="Y42" s="1997"/>
      <c r="Z42" s="1980"/>
      <c r="AA42" s="1997"/>
      <c r="AB42" s="1997"/>
      <c r="AC42" s="1997"/>
      <c r="AD42" s="1980"/>
      <c r="AE42" s="1997"/>
      <c r="AF42" s="1997"/>
      <c r="AG42" s="1997"/>
      <c r="AH42" s="1980"/>
      <c r="AI42" s="1997"/>
      <c r="AJ42" s="1997"/>
      <c r="AK42" s="1997"/>
      <c r="AL42" s="1980"/>
      <c r="AM42" s="1997"/>
      <c r="AN42" s="1997"/>
      <c r="AO42" s="1997"/>
      <c r="AP42" s="1980"/>
      <c r="AQ42" s="1996" t="s">
        <v>1282</v>
      </c>
      <c r="AR42" s="1997"/>
      <c r="AS42" s="1997"/>
      <c r="AT42" s="1997"/>
      <c r="AU42" s="1980"/>
      <c r="AV42" s="1997"/>
      <c r="AW42" s="1997"/>
      <c r="AX42" s="1997"/>
      <c r="AY42" s="1980"/>
      <c r="AZ42" s="1997"/>
      <c r="BA42" s="1997"/>
      <c r="BB42" s="1997"/>
      <c r="BC42" s="1980"/>
      <c r="BD42" s="1997"/>
      <c r="BE42" s="1997"/>
      <c r="BF42" s="1997"/>
      <c r="BG42" s="1980"/>
    </row>
    <row r="43" spans="1:59" ht="62.25" customHeight="1" thickBot="1" x14ac:dyDescent="0.65">
      <c r="A43" s="2001" t="s">
        <v>1283</v>
      </c>
      <c r="B43" s="2002">
        <f>[4]int.bevételek2021!B41</f>
        <v>30503</v>
      </c>
      <c r="C43" s="1976">
        <f>'[5]int.bevételek RM III'!D42</f>
        <v>27686</v>
      </c>
      <c r="D43" s="2002">
        <v>27686</v>
      </c>
      <c r="E43" s="1985">
        <f>D43/C43</f>
        <v>1</v>
      </c>
      <c r="F43" s="2002">
        <f>[4]int.bevételek2021!C41</f>
        <v>496020</v>
      </c>
      <c r="G43" s="1976">
        <f>'[5]int.bevételek RM III'!G42</f>
        <v>661154</v>
      </c>
      <c r="H43" s="2002">
        <v>661154</v>
      </c>
      <c r="I43" s="1985">
        <f>H43/G43</f>
        <v>1</v>
      </c>
      <c r="J43" s="2002">
        <f>[4]int.bevételek2021!D41</f>
        <v>0</v>
      </c>
      <c r="K43" s="1976">
        <f>'[5]int.bevételek RM III'!J42</f>
        <v>0</v>
      </c>
      <c r="L43" s="2002"/>
      <c r="M43" s="1985"/>
      <c r="N43" s="2002">
        <f>[4]int.bevételek2021!E41</f>
        <v>0</v>
      </c>
      <c r="O43" s="2002">
        <f>'[5]int.bevételek RM III'!M42</f>
        <v>0</v>
      </c>
      <c r="P43" s="1976"/>
      <c r="Q43" s="1985"/>
      <c r="R43" s="1976">
        <f>B43+F43+J43+N43</f>
        <v>526523</v>
      </c>
      <c r="S43" s="1976">
        <f>C43+G43+K43+O43</f>
        <v>688840</v>
      </c>
      <c r="T43" s="1976">
        <f>D43+H43+L43+P43</f>
        <v>688840</v>
      </c>
      <c r="U43" s="1985">
        <f>T43/S43</f>
        <v>1</v>
      </c>
      <c r="V43" s="1988" t="s">
        <v>1283</v>
      </c>
      <c r="W43" s="2002">
        <f>[4]int.bevételek2021!H41</f>
        <v>0</v>
      </c>
      <c r="X43" s="2002">
        <f>'[5]int.bevételek RM III'!T42</f>
        <v>174</v>
      </c>
      <c r="Y43" s="2002">
        <v>175</v>
      </c>
      <c r="Z43" s="1985">
        <f>Y43/X43</f>
        <v>1.0057471264367817</v>
      </c>
      <c r="AA43" s="2002">
        <f>[4]int.bevételek2021!I41</f>
        <v>2455</v>
      </c>
      <c r="AB43" s="2002">
        <f>'[5]int.bevételek RM III'!W42</f>
        <v>6650</v>
      </c>
      <c r="AC43" s="2002">
        <v>6651</v>
      </c>
      <c r="AD43" s="1985">
        <f>AC43/AB43</f>
        <v>1.0001503759398496</v>
      </c>
      <c r="AE43" s="2002">
        <f>[4]int.bevételek2021!J41</f>
        <v>0</v>
      </c>
      <c r="AF43" s="2002">
        <f>'[5]int.bevételek RM III'!Z42</f>
        <v>0</v>
      </c>
      <c r="AG43" s="2002"/>
      <c r="AH43" s="1985"/>
      <c r="AI43" s="1976">
        <f>W43+AA43+AE43</f>
        <v>2455</v>
      </c>
      <c r="AJ43" s="1976">
        <f>X43+AB43+AF43</f>
        <v>6824</v>
      </c>
      <c r="AK43" s="1976">
        <f>Y43+AC43+AG43</f>
        <v>6826</v>
      </c>
      <c r="AL43" s="1985">
        <f>AK43/AJ43</f>
        <v>1.0002930832356389</v>
      </c>
      <c r="AM43" s="2002"/>
      <c r="AN43" s="1976">
        <f>'[5]int.bevételek RM III'!AJ42</f>
        <v>36554</v>
      </c>
      <c r="AO43" s="2002">
        <v>36554</v>
      </c>
      <c r="AP43" s="1985">
        <f>AO43/AN43</f>
        <v>1</v>
      </c>
      <c r="AQ43" s="1988" t="s">
        <v>1283</v>
      </c>
      <c r="AR43" s="2002">
        <f>[4]int.bevételek2021!L41</f>
        <v>457710</v>
      </c>
      <c r="AS43" s="1976">
        <f>'[5]int.bevételek RM III'!AM42</f>
        <v>545139</v>
      </c>
      <c r="AT43" s="2002">
        <f>461446-64295</f>
        <v>397151</v>
      </c>
      <c r="AU43" s="1985">
        <f>AT43/AS43</f>
        <v>0.72853162221011525</v>
      </c>
      <c r="AV43" s="2002">
        <f>[4]int.bevételek2021!M41</f>
        <v>1778</v>
      </c>
      <c r="AW43" s="1976">
        <f>'[5]int.bevételek RM III'!AP42</f>
        <v>93112</v>
      </c>
      <c r="AX43" s="2002">
        <v>64295</v>
      </c>
      <c r="AY43" s="1985">
        <f>AX43/AW43</f>
        <v>0.69051250107397544</v>
      </c>
      <c r="AZ43" s="1976">
        <f>AR43+AV43</f>
        <v>459488</v>
      </c>
      <c r="BA43" s="1976">
        <f>AS43+AW43</f>
        <v>638251</v>
      </c>
      <c r="BB43" s="1976">
        <f>AT43+AX43</f>
        <v>461446</v>
      </c>
      <c r="BC43" s="1985">
        <f>BB43/BA43</f>
        <v>0.7229851578767601</v>
      </c>
      <c r="BD43" s="1976">
        <f>R43+AI43+AM43+AZ43</f>
        <v>988466</v>
      </c>
      <c r="BE43" s="1976">
        <f>S43+AJ43+AN43+BA43</f>
        <v>1370469</v>
      </c>
      <c r="BF43" s="1976">
        <f>T43+AK43+AO43+BB43</f>
        <v>1193666</v>
      </c>
      <c r="BG43" s="1985">
        <f>BF43/BE43</f>
        <v>0.87099087976451861</v>
      </c>
    </row>
    <row r="44" spans="1:59" ht="62.25" customHeight="1" x14ac:dyDescent="0.6">
      <c r="A44" s="1996" t="s">
        <v>1284</v>
      </c>
      <c r="B44" s="1997"/>
      <c r="C44" s="1997"/>
      <c r="D44" s="1997"/>
      <c r="E44" s="1980"/>
      <c r="F44" s="1997"/>
      <c r="G44" s="1997"/>
      <c r="H44" s="1997"/>
      <c r="I44" s="1980"/>
      <c r="J44" s="1997"/>
      <c r="K44" s="1997"/>
      <c r="L44" s="1997"/>
      <c r="M44" s="1980"/>
      <c r="N44" s="1997"/>
      <c r="O44" s="1997"/>
      <c r="P44" s="1997"/>
      <c r="Q44" s="1980"/>
      <c r="R44" s="1997"/>
      <c r="S44" s="1997"/>
      <c r="T44" s="1997"/>
      <c r="U44" s="1980"/>
      <c r="V44" s="1996" t="s">
        <v>1284</v>
      </c>
      <c r="W44" s="1997"/>
      <c r="X44" s="1997"/>
      <c r="Y44" s="1997"/>
      <c r="Z44" s="1980"/>
      <c r="AA44" s="1997"/>
      <c r="AB44" s="1997"/>
      <c r="AC44" s="1997"/>
      <c r="AD44" s="1980"/>
      <c r="AE44" s="1997"/>
      <c r="AF44" s="1997"/>
      <c r="AG44" s="1997"/>
      <c r="AH44" s="1980"/>
      <c r="AI44" s="1997"/>
      <c r="AJ44" s="1997"/>
      <c r="AK44" s="1997"/>
      <c r="AL44" s="1980"/>
      <c r="AM44" s="1997"/>
      <c r="AN44" s="1997"/>
      <c r="AO44" s="1997"/>
      <c r="AP44" s="1980"/>
      <c r="AQ44" s="1996" t="s">
        <v>1284</v>
      </c>
      <c r="AR44" s="1997"/>
      <c r="AS44" s="1997"/>
      <c r="AT44" s="1997"/>
      <c r="AU44" s="1980"/>
      <c r="AV44" s="1997"/>
      <c r="AW44" s="1997"/>
      <c r="AX44" s="1997"/>
      <c r="AY44" s="1980"/>
      <c r="AZ44" s="1997"/>
      <c r="BA44" s="1997"/>
      <c r="BB44" s="1997"/>
      <c r="BC44" s="1980"/>
      <c r="BD44" s="1997"/>
      <c r="BE44" s="1997"/>
      <c r="BF44" s="1997"/>
      <c r="BG44" s="1980"/>
    </row>
    <row r="45" spans="1:59" ht="62.25" customHeight="1" thickBot="1" x14ac:dyDescent="0.65">
      <c r="A45" s="2003" t="s">
        <v>1310</v>
      </c>
      <c r="B45" s="1979">
        <f>[4]int.bevételek2021!B43</f>
        <v>59692</v>
      </c>
      <c r="C45" s="1976">
        <f>'[5]int.bevételek RM III'!D44</f>
        <v>66793</v>
      </c>
      <c r="D45" s="1979">
        <v>66793</v>
      </c>
      <c r="E45" s="1977">
        <f>D45/C45</f>
        <v>1</v>
      </c>
      <c r="F45" s="1979">
        <f>[4]int.bevételek2021!C43</f>
        <v>0</v>
      </c>
      <c r="G45" s="1976">
        <f>'[5]int.bevételek RM III'!G44</f>
        <v>14018</v>
      </c>
      <c r="H45" s="1976">
        <f>14019-1</f>
        <v>14018</v>
      </c>
      <c r="I45" s="1977">
        <f>H45/G45</f>
        <v>1</v>
      </c>
      <c r="J45" s="1979">
        <f>[4]int.bevételek2021!D43</f>
        <v>0</v>
      </c>
      <c r="K45" s="1976">
        <f>'[5]int.bevételek RM III'!J44</f>
        <v>0</v>
      </c>
      <c r="L45" s="1976"/>
      <c r="M45" s="1977"/>
      <c r="N45" s="2004">
        <f>[4]int.bevételek2021!E43</f>
        <v>0</v>
      </c>
      <c r="O45" s="1976">
        <f>'[5]int.bevételek RM III'!M44</f>
        <v>0</v>
      </c>
      <c r="P45" s="1976"/>
      <c r="Q45" s="1977"/>
      <c r="R45" s="1976">
        <f>B45+F45+J45+N45</f>
        <v>59692</v>
      </c>
      <c r="S45" s="1976">
        <f>C45+G45+K45+O45</f>
        <v>80811</v>
      </c>
      <c r="T45" s="1976">
        <f>D45+H45+L45+P45</f>
        <v>80811</v>
      </c>
      <c r="U45" s="1977">
        <f>T45/S45</f>
        <v>1</v>
      </c>
      <c r="V45" s="2003" t="s">
        <v>1310</v>
      </c>
      <c r="W45" s="1979">
        <f>[4]int.bevételek2021!H43</f>
        <v>0</v>
      </c>
      <c r="X45" s="1979">
        <f>'[5]int.bevételek RM III'!T44</f>
        <v>75</v>
      </c>
      <c r="Y45" s="1979">
        <v>75</v>
      </c>
      <c r="Z45" s="1985">
        <f>Y45/X45</f>
        <v>1</v>
      </c>
      <c r="AA45" s="1979">
        <f>[4]int.bevételek2021!I43</f>
        <v>0</v>
      </c>
      <c r="AB45" s="1979">
        <f>'[5]int.bevételek RM III'!W44</f>
        <v>0</v>
      </c>
      <c r="AC45" s="1979"/>
      <c r="AD45" s="1977"/>
      <c r="AE45" s="1979">
        <f>[4]int.bevételek2021!J43</f>
        <v>0</v>
      </c>
      <c r="AF45" s="1979">
        <f>'[5]int.bevételek RM III'!Z44</f>
        <v>0</v>
      </c>
      <c r="AG45" s="1979"/>
      <c r="AH45" s="1977"/>
      <c r="AI45" s="1976">
        <f>W45+AA45+AE45</f>
        <v>0</v>
      </c>
      <c r="AJ45" s="1976">
        <f>X45+AB45+AF45</f>
        <v>75</v>
      </c>
      <c r="AK45" s="1976">
        <f>Y45+AC45+AG45</f>
        <v>75</v>
      </c>
      <c r="AL45" s="1977">
        <f>AK45/AJ45</f>
        <v>1</v>
      </c>
      <c r="AM45" s="1979"/>
      <c r="AN45" s="1976">
        <f>'[5]int.bevételek RM III'!AJ44</f>
        <v>714</v>
      </c>
      <c r="AO45" s="1979">
        <v>714</v>
      </c>
      <c r="AP45" s="1977">
        <f>AO45/AN45</f>
        <v>1</v>
      </c>
      <c r="AQ45" s="2003" t="s">
        <v>1310</v>
      </c>
      <c r="AR45" s="1979">
        <f>[4]int.bevételek2021!L43</f>
        <v>903539</v>
      </c>
      <c r="AS45" s="1976">
        <f>'[5]int.bevételek RM III'!AM44</f>
        <v>933836</v>
      </c>
      <c r="AT45" s="1979">
        <f>938961-27028</f>
        <v>911933</v>
      </c>
      <c r="AU45" s="1977">
        <f>AT45/AS45</f>
        <v>0.97654513212170013</v>
      </c>
      <c r="AV45" s="1979">
        <f>[4]int.bevételek2021!M43</f>
        <v>0</v>
      </c>
      <c r="AW45" s="1976">
        <f>'[5]int.bevételek RM III'!AP44</f>
        <v>48910</v>
      </c>
      <c r="AX45" s="1979">
        <v>27028</v>
      </c>
      <c r="AY45" s="1985">
        <f>AX45/AW45</f>
        <v>0.55260682886935186</v>
      </c>
      <c r="AZ45" s="1976">
        <f>AR45+AV45</f>
        <v>903539</v>
      </c>
      <c r="BA45" s="1976">
        <f>AS45+AW45</f>
        <v>982746</v>
      </c>
      <c r="BB45" s="1976">
        <f>AT45+AX45</f>
        <v>938961</v>
      </c>
      <c r="BC45" s="1977">
        <f>BB45/BA45</f>
        <v>0.95544626994157189</v>
      </c>
      <c r="BD45" s="1976">
        <f>R45+AI45+AM45+AZ45</f>
        <v>963231</v>
      </c>
      <c r="BE45" s="1976">
        <f>S45+AJ45+AN45+BA45</f>
        <v>1064346</v>
      </c>
      <c r="BF45" s="1976">
        <f>T45+AK45+AO45+BB45</f>
        <v>1020561</v>
      </c>
      <c r="BG45" s="1977">
        <f>BF45/BE45</f>
        <v>0.95886206177314515</v>
      </c>
    </row>
    <row r="46" spans="1:59" ht="62.25" customHeight="1" x14ac:dyDescent="0.6">
      <c r="A46" s="1996" t="s">
        <v>1286</v>
      </c>
      <c r="B46" s="1997"/>
      <c r="C46" s="1997"/>
      <c r="D46" s="1997"/>
      <c r="E46" s="1997"/>
      <c r="F46" s="1997"/>
      <c r="G46" s="1997"/>
      <c r="H46" s="1997"/>
      <c r="I46" s="1980"/>
      <c r="J46" s="1997"/>
      <c r="K46" s="1997"/>
      <c r="L46" s="1997"/>
      <c r="M46" s="1997"/>
      <c r="N46" s="1997"/>
      <c r="O46" s="1997"/>
      <c r="P46" s="1997"/>
      <c r="Q46" s="1997"/>
      <c r="R46" s="1997"/>
      <c r="S46" s="1997"/>
      <c r="T46" s="1997"/>
      <c r="U46" s="1997"/>
      <c r="V46" s="1996" t="s">
        <v>1286</v>
      </c>
      <c r="W46" s="1997"/>
      <c r="X46" s="1997"/>
      <c r="Y46" s="1997"/>
      <c r="Z46" s="1980"/>
      <c r="AA46" s="1997"/>
      <c r="AB46" s="1997"/>
      <c r="AC46" s="1997"/>
      <c r="AD46" s="1997"/>
      <c r="AE46" s="1997"/>
      <c r="AF46" s="1997"/>
      <c r="AG46" s="1997"/>
      <c r="AH46" s="1997"/>
      <c r="AI46" s="1997"/>
      <c r="AJ46" s="1997"/>
      <c r="AK46" s="1997"/>
      <c r="AL46" s="1997"/>
      <c r="AM46" s="1997"/>
      <c r="AN46" s="1997"/>
      <c r="AO46" s="1997"/>
      <c r="AP46" s="1997"/>
      <c r="AQ46" s="1996" t="s">
        <v>1286</v>
      </c>
      <c r="AR46" s="1997"/>
      <c r="AS46" s="1997"/>
      <c r="AT46" s="1997"/>
      <c r="AU46" s="1997"/>
      <c r="AV46" s="1997"/>
      <c r="AW46" s="1997"/>
      <c r="AX46" s="1997"/>
      <c r="AY46" s="1980"/>
      <c r="AZ46" s="1997"/>
      <c r="BA46" s="1997"/>
      <c r="BB46" s="1997"/>
      <c r="BC46" s="1997"/>
      <c r="BD46" s="1997"/>
      <c r="BE46" s="1997"/>
      <c r="BF46" s="1997"/>
      <c r="BG46" s="1997"/>
    </row>
    <row r="47" spans="1:59" ht="62.25" customHeight="1" x14ac:dyDescent="0.6">
      <c r="A47" s="2005" t="s">
        <v>1287</v>
      </c>
      <c r="B47" s="1976">
        <f>[4]int.bevételek2021!B45</f>
        <v>104347</v>
      </c>
      <c r="C47" s="1976">
        <f>'[5]int.bevételek RM III'!D46</f>
        <v>64797</v>
      </c>
      <c r="D47" s="1976">
        <v>64797</v>
      </c>
      <c r="E47" s="1977">
        <f>D47/C47</f>
        <v>1</v>
      </c>
      <c r="F47" s="1976">
        <f>[4]int.bevételek2021!C45</f>
        <v>0</v>
      </c>
      <c r="G47" s="1976">
        <f>'[5]int.bevételek RM III'!G46</f>
        <v>99</v>
      </c>
      <c r="H47" s="1976">
        <v>99</v>
      </c>
      <c r="I47" s="1977">
        <f>H47/G47</f>
        <v>1</v>
      </c>
      <c r="J47" s="1976">
        <f>[4]int.bevételek2021!D45</f>
        <v>0</v>
      </c>
      <c r="K47" s="1976">
        <f>'[5]int.bevételek RM III'!J46</f>
        <v>0</v>
      </c>
      <c r="L47" s="1976"/>
      <c r="M47" s="1977"/>
      <c r="N47" s="1976">
        <f>[4]int.bevételek2021!E45</f>
        <v>0</v>
      </c>
      <c r="O47" s="1976">
        <f>'[5]int.bevételek RM III'!M46</f>
        <v>0</v>
      </c>
      <c r="P47" s="1976"/>
      <c r="Q47" s="1977"/>
      <c r="R47" s="1976">
        <f t="shared" ref="R47:T48" si="25">B47+F47+J47+N47</f>
        <v>104347</v>
      </c>
      <c r="S47" s="1976">
        <f t="shared" si="25"/>
        <v>64896</v>
      </c>
      <c r="T47" s="1976">
        <f t="shared" si="25"/>
        <v>64896</v>
      </c>
      <c r="U47" s="1977">
        <f>T47/S47</f>
        <v>1</v>
      </c>
      <c r="V47" s="2005" t="s">
        <v>1287</v>
      </c>
      <c r="W47" s="1976">
        <f>[4]int.bevételek2021!H45</f>
        <v>0</v>
      </c>
      <c r="X47" s="1976">
        <f>'[5]int.bevételek RM III'!T46</f>
        <v>0</v>
      </c>
      <c r="Y47" s="1976"/>
      <c r="Z47" s="1977"/>
      <c r="AA47" s="1976">
        <f>[4]int.bevételek2021!I45</f>
        <v>0</v>
      </c>
      <c r="AB47" s="1976">
        <f>'[5]int.bevételek RM III'!W46</f>
        <v>0</v>
      </c>
      <c r="AC47" s="1976"/>
      <c r="AD47" s="1977"/>
      <c r="AE47" s="1976">
        <f>[4]int.bevételek2021!J45</f>
        <v>0</v>
      </c>
      <c r="AF47" s="1976">
        <f>'[5]int.bevételek RM III'!Z46</f>
        <v>0</v>
      </c>
      <c r="AG47" s="1976"/>
      <c r="AH47" s="1977"/>
      <c r="AI47" s="1976">
        <f t="shared" ref="AI47:AK48" si="26">W47+AA47+AE47</f>
        <v>0</v>
      </c>
      <c r="AJ47" s="1976">
        <f t="shared" si="26"/>
        <v>0</v>
      </c>
      <c r="AK47" s="1976">
        <f t="shared" si="26"/>
        <v>0</v>
      </c>
      <c r="AL47" s="1977"/>
      <c r="AM47" s="1976"/>
      <c r="AN47" s="1976">
        <f>'[5]int.bevételek RM III'!AJ46</f>
        <v>22225</v>
      </c>
      <c r="AO47" s="1976">
        <v>22225</v>
      </c>
      <c r="AP47" s="1977">
        <f>AO47/AN47</f>
        <v>1</v>
      </c>
      <c r="AQ47" s="2005" t="s">
        <v>1287</v>
      </c>
      <c r="AR47" s="1976">
        <f>[4]int.bevételek2021!L45</f>
        <v>0</v>
      </c>
      <c r="AS47" s="1976">
        <f>'[5]int.bevételek RM III'!AM46</f>
        <v>0</v>
      </c>
      <c r="AT47" s="1976"/>
      <c r="AU47" s="1977"/>
      <c r="AV47" s="1976">
        <f>[4]int.bevételek2021!M45</f>
        <v>0</v>
      </c>
      <c r="AW47" s="1976">
        <f>'[5]int.bevételek RM III'!AP46</f>
        <v>45482</v>
      </c>
      <c r="AX47" s="1976">
        <v>40584</v>
      </c>
      <c r="AY47" s="1977">
        <f>AX47/AW47</f>
        <v>0.8923090453366167</v>
      </c>
      <c r="AZ47" s="1976">
        <f t="shared" ref="AZ47:BB48" si="27">AR47+AV47</f>
        <v>0</v>
      </c>
      <c r="BA47" s="1976">
        <f t="shared" si="27"/>
        <v>45482</v>
      </c>
      <c r="BB47" s="1976">
        <f t="shared" si="27"/>
        <v>40584</v>
      </c>
      <c r="BC47" s="1977">
        <f>BB47/BA47</f>
        <v>0.8923090453366167</v>
      </c>
      <c r="BD47" s="1976">
        <f t="shared" ref="BD47:BF48" si="28">R47+AI47+AM47+AZ47</f>
        <v>104347</v>
      </c>
      <c r="BE47" s="1976">
        <f t="shared" si="28"/>
        <v>132603</v>
      </c>
      <c r="BF47" s="1976">
        <f t="shared" si="28"/>
        <v>127705</v>
      </c>
      <c r="BG47" s="1977">
        <f>BF47/BE47</f>
        <v>0.96306267580673133</v>
      </c>
    </row>
    <row r="48" spans="1:59" s="2000" customFormat="1" ht="62.25" customHeight="1" thickBot="1" x14ac:dyDescent="0.65">
      <c r="A48" s="2006" t="s">
        <v>47</v>
      </c>
      <c r="B48" s="2007">
        <f>[4]int.bevételek2021!B46</f>
        <v>14550</v>
      </c>
      <c r="C48" s="2007">
        <f>'[5]int.bevételek RM III'!D47</f>
        <v>16935</v>
      </c>
      <c r="D48" s="2007">
        <v>16012</v>
      </c>
      <c r="E48" s="1981">
        <f>D48/C48</f>
        <v>0.94549749040448772</v>
      </c>
      <c r="F48" s="2007">
        <f>[4]int.bevételek2021!C46</f>
        <v>0</v>
      </c>
      <c r="G48" s="2007">
        <f>'[5]int.bevételek RM III'!G47</f>
        <v>64426</v>
      </c>
      <c r="H48" s="2007">
        <v>64426</v>
      </c>
      <c r="I48" s="1981">
        <f>H48/G48</f>
        <v>1</v>
      </c>
      <c r="J48" s="2007">
        <f>[4]int.bevételek2021!D46</f>
        <v>0</v>
      </c>
      <c r="K48" s="2007">
        <f>'[5]int.bevételek RM III'!J47</f>
        <v>0</v>
      </c>
      <c r="L48" s="2007"/>
      <c r="M48" s="1981"/>
      <c r="N48" s="2007">
        <f>[4]int.bevételek2021!E46</f>
        <v>1850</v>
      </c>
      <c r="O48" s="2007">
        <f>'[5]int.bevételek RM III'!M47</f>
        <v>1850</v>
      </c>
      <c r="P48" s="2007">
        <v>1602</v>
      </c>
      <c r="Q48" s="1981">
        <f>P48/O48</f>
        <v>0.86594594594594598</v>
      </c>
      <c r="R48" s="2007">
        <f t="shared" si="25"/>
        <v>16400</v>
      </c>
      <c r="S48" s="2007">
        <f t="shared" si="25"/>
        <v>83211</v>
      </c>
      <c r="T48" s="2007">
        <f t="shared" si="25"/>
        <v>82040</v>
      </c>
      <c r="U48" s="1981">
        <f>T48/S48</f>
        <v>0.98592734133708282</v>
      </c>
      <c r="V48" s="2006" t="s">
        <v>47</v>
      </c>
      <c r="W48" s="2007">
        <f>[4]int.bevételek2021!H46</f>
        <v>0</v>
      </c>
      <c r="X48" s="2007">
        <f>'[5]int.bevételek RM III'!T47</f>
        <v>314</v>
      </c>
      <c r="Y48" s="2007">
        <v>314</v>
      </c>
      <c r="Z48" s="1981">
        <f>Y48/X48</f>
        <v>1</v>
      </c>
      <c r="AA48" s="2007">
        <f>[4]int.bevételek2021!I46</f>
        <v>0</v>
      </c>
      <c r="AB48" s="2007">
        <f>'[5]int.bevételek RM III'!W47</f>
        <v>0</v>
      </c>
      <c r="AC48" s="2007"/>
      <c r="AD48" s="1981"/>
      <c r="AE48" s="2007">
        <f>[4]int.bevételek2021!J46</f>
        <v>0</v>
      </c>
      <c r="AF48" s="2007">
        <f>'[5]int.bevételek RM III'!Z47</f>
        <v>0</v>
      </c>
      <c r="AG48" s="2007"/>
      <c r="AH48" s="1981"/>
      <c r="AI48" s="2007">
        <f t="shared" si="26"/>
        <v>0</v>
      </c>
      <c r="AJ48" s="2007">
        <f t="shared" si="26"/>
        <v>314</v>
      </c>
      <c r="AK48" s="2007">
        <f t="shared" si="26"/>
        <v>314</v>
      </c>
      <c r="AL48" s="1981">
        <f>AK48/AJ48</f>
        <v>1</v>
      </c>
      <c r="AM48" s="2007"/>
      <c r="AN48" s="2007">
        <f>'[5]int.bevételek RM III'!AJ47</f>
        <v>58946</v>
      </c>
      <c r="AO48" s="2007">
        <v>58946</v>
      </c>
      <c r="AP48" s="1981">
        <f>AO48/AN48</f>
        <v>1</v>
      </c>
      <c r="AQ48" s="2006" t="s">
        <v>47</v>
      </c>
      <c r="AR48" s="2007">
        <f>[4]int.bevételek2021!L46</f>
        <v>2012120</v>
      </c>
      <c r="AS48" s="2007">
        <f>'[5]int.bevételek RM III'!AM47</f>
        <v>2188990</v>
      </c>
      <c r="AT48" s="2007">
        <f>1923002-24445</f>
        <v>1898557</v>
      </c>
      <c r="AU48" s="1981">
        <f>AT48/AS48</f>
        <v>0.86732100192326145</v>
      </c>
      <c r="AV48" s="2007">
        <f>[4]int.bevételek2021!M46</f>
        <v>0</v>
      </c>
      <c r="AW48" s="2007">
        <f>'[5]int.bevételek RM III'!AP47</f>
        <v>38479</v>
      </c>
      <c r="AX48" s="2007">
        <v>24445</v>
      </c>
      <c r="AY48" s="2008">
        <f>AX48/AW48</f>
        <v>0.63528158216169861</v>
      </c>
      <c r="AZ48" s="2007">
        <f t="shared" si="27"/>
        <v>2012120</v>
      </c>
      <c r="BA48" s="2007">
        <f t="shared" si="27"/>
        <v>2227469</v>
      </c>
      <c r="BB48" s="2007">
        <f t="shared" si="27"/>
        <v>1923002</v>
      </c>
      <c r="BC48" s="1981">
        <f>BB48/BA48</f>
        <v>0.8633125758428063</v>
      </c>
      <c r="BD48" s="2007">
        <f t="shared" si="28"/>
        <v>2028520</v>
      </c>
      <c r="BE48" s="2007">
        <f t="shared" si="28"/>
        <v>2369940</v>
      </c>
      <c r="BF48" s="2007">
        <f t="shared" si="28"/>
        <v>2064302</v>
      </c>
      <c r="BG48" s="1981">
        <f>BF48/BE48</f>
        <v>0.87103555364270824</v>
      </c>
    </row>
    <row r="49" spans="1:59" ht="62.25" customHeight="1" thickBot="1" x14ac:dyDescent="0.65">
      <c r="A49" s="2009" t="s">
        <v>1311</v>
      </c>
      <c r="B49" s="2010">
        <f>SUM(B47:B48)</f>
        <v>118897</v>
      </c>
      <c r="C49" s="2010">
        <f>SUM(C47:C48)</f>
        <v>81732</v>
      </c>
      <c r="D49" s="2010">
        <f>SUM(D47:D48)</f>
        <v>80809</v>
      </c>
      <c r="E49" s="1985">
        <f>D49/C49</f>
        <v>0.98870699358880243</v>
      </c>
      <c r="F49" s="2010">
        <f>SUM(F47:F48)</f>
        <v>0</v>
      </c>
      <c r="G49" s="2010">
        <f>SUM(G47:G48)</f>
        <v>64525</v>
      </c>
      <c r="H49" s="2010">
        <f>SUM(H47:H48)</f>
        <v>64525</v>
      </c>
      <c r="I49" s="1985">
        <f>H49/G49</f>
        <v>1</v>
      </c>
      <c r="J49" s="2010">
        <f>SUM(J47:J48)</f>
        <v>0</v>
      </c>
      <c r="K49" s="2010">
        <f>SUM(K47:K48)</f>
        <v>0</v>
      </c>
      <c r="L49" s="2010">
        <f>SUM(L47:L48)</f>
        <v>0</v>
      </c>
      <c r="M49" s="1985"/>
      <c r="N49" s="2010">
        <f>SUM(N47:N48)</f>
        <v>1850</v>
      </c>
      <c r="O49" s="2010">
        <f>SUM(O47:O48)</f>
        <v>1850</v>
      </c>
      <c r="P49" s="2010">
        <f>SUM(P47:P48)</f>
        <v>1602</v>
      </c>
      <c r="Q49" s="1985">
        <f>P49/O49</f>
        <v>0.86594594594594598</v>
      </c>
      <c r="R49" s="2010">
        <f>SUM(R47:R48)</f>
        <v>120747</v>
      </c>
      <c r="S49" s="2010">
        <f>SUM(S47:S48)</f>
        <v>148107</v>
      </c>
      <c r="T49" s="2010">
        <f>SUM(T47:T48)</f>
        <v>146936</v>
      </c>
      <c r="U49" s="1985">
        <f>T49/S49</f>
        <v>0.99209355398461918</v>
      </c>
      <c r="V49" s="2009" t="s">
        <v>1311</v>
      </c>
      <c r="W49" s="2010">
        <f>SUM(W47:W48)</f>
        <v>0</v>
      </c>
      <c r="X49" s="2010">
        <f>SUM(X47:X48)</f>
        <v>314</v>
      </c>
      <c r="Y49" s="2010">
        <f>SUM(Y47:Y48)</f>
        <v>314</v>
      </c>
      <c r="Z49" s="1985">
        <f>Y49/X49</f>
        <v>1</v>
      </c>
      <c r="AA49" s="2010">
        <f>SUM(AA47:AA48)</f>
        <v>0</v>
      </c>
      <c r="AB49" s="2010">
        <f>SUM(AB47:AB48)</f>
        <v>0</v>
      </c>
      <c r="AC49" s="2010">
        <f>SUM(AC47:AC48)</f>
        <v>0</v>
      </c>
      <c r="AD49" s="1985"/>
      <c r="AE49" s="2010">
        <f>SUM(AE47:AE48)</f>
        <v>0</v>
      </c>
      <c r="AF49" s="2010">
        <f>SUM(AF47:AF48)</f>
        <v>0</v>
      </c>
      <c r="AG49" s="2010">
        <f>SUM(AG47:AG48)</f>
        <v>0</v>
      </c>
      <c r="AH49" s="1985"/>
      <c r="AI49" s="2010">
        <f>SUM(AI47:AI48)</f>
        <v>0</v>
      </c>
      <c r="AJ49" s="2010">
        <f>SUM(AJ47:AJ48)</f>
        <v>314</v>
      </c>
      <c r="AK49" s="2010">
        <f>SUM(AK47:AK48)</f>
        <v>314</v>
      </c>
      <c r="AL49" s="1985">
        <f>AK49/AJ49</f>
        <v>1</v>
      </c>
      <c r="AM49" s="2010">
        <f>SUM(AM47:AM48)</f>
        <v>0</v>
      </c>
      <c r="AN49" s="2010">
        <f>SUM(AN47:AN48)</f>
        <v>81171</v>
      </c>
      <c r="AO49" s="2010">
        <f>SUM(AO47:AO48)</f>
        <v>81171</v>
      </c>
      <c r="AP49" s="1985">
        <f>AO49/AN49</f>
        <v>1</v>
      </c>
      <c r="AQ49" s="2009" t="s">
        <v>1311</v>
      </c>
      <c r="AR49" s="2010">
        <f>SUM(AR47:AR48)</f>
        <v>2012120</v>
      </c>
      <c r="AS49" s="2010">
        <f>SUM(AS47:AS48)</f>
        <v>2188990</v>
      </c>
      <c r="AT49" s="2010">
        <f>SUM(AT47:AT48)</f>
        <v>1898557</v>
      </c>
      <c r="AU49" s="1985">
        <f>AT49/AS49</f>
        <v>0.86732100192326145</v>
      </c>
      <c r="AV49" s="2010">
        <f>SUM(AV47:AV48)</f>
        <v>0</v>
      </c>
      <c r="AW49" s="2010">
        <f>SUM(AW47:AW48)</f>
        <v>83961</v>
      </c>
      <c r="AX49" s="2010">
        <f>SUM(AX47:AX48)</f>
        <v>65029</v>
      </c>
      <c r="AY49" s="1985">
        <f>AX49/AW49</f>
        <v>0.77451435785662393</v>
      </c>
      <c r="AZ49" s="2010">
        <f>SUM(AZ47:AZ48)</f>
        <v>2012120</v>
      </c>
      <c r="BA49" s="2010">
        <f>SUM(BA47:BA48)</f>
        <v>2272951</v>
      </c>
      <c r="BB49" s="2010">
        <f>SUM(BB47:BB48)</f>
        <v>1963586</v>
      </c>
      <c r="BC49" s="1985">
        <f>BB49/BA49</f>
        <v>0.86389279839292621</v>
      </c>
      <c r="BD49" s="2010">
        <f>SUM(BD47:BD48)</f>
        <v>2132867</v>
      </c>
      <c r="BE49" s="2010">
        <f>SUM(BE47:BE48)</f>
        <v>2502543</v>
      </c>
      <c r="BF49" s="2010">
        <f>SUM(BF47:BF48)</f>
        <v>2192007</v>
      </c>
      <c r="BG49" s="1985">
        <f>BF49/BE49</f>
        <v>0.87591182249415889</v>
      </c>
    </row>
    <row r="50" spans="1:59" ht="62.25" customHeight="1" thickBot="1" x14ac:dyDescent="0.65">
      <c r="A50" s="2009" t="s">
        <v>1288</v>
      </c>
      <c r="B50" s="2007">
        <f>B39+B41+B43+B45+B49</f>
        <v>836879</v>
      </c>
      <c r="C50" s="2007">
        <f>C39+C41+C43+C45+C49</f>
        <v>704284</v>
      </c>
      <c r="D50" s="2007">
        <f>D39+D41+D43+D45+D49</f>
        <v>703358</v>
      </c>
      <c r="E50" s="1984">
        <f>D50/C50</f>
        <v>0.99868518949741869</v>
      </c>
      <c r="F50" s="2007">
        <f>F39+F41+F43+F45+F49</f>
        <v>510344</v>
      </c>
      <c r="G50" s="2007">
        <f>G39+G41+G43+G45+G49</f>
        <v>957864</v>
      </c>
      <c r="H50" s="2007">
        <f>H39+H41+H43+H45+H49</f>
        <v>957863</v>
      </c>
      <c r="I50" s="1984">
        <f>H50/G50</f>
        <v>0.99999895601045663</v>
      </c>
      <c r="J50" s="2007">
        <f>J39+J41+J43+J45+J49</f>
        <v>0</v>
      </c>
      <c r="K50" s="2007">
        <f>K39+K41+K43+K45+K49</f>
        <v>10894</v>
      </c>
      <c r="L50" s="2007">
        <f>L39+L41+L43+L45+L49</f>
        <v>10896</v>
      </c>
      <c r="M50" s="1984">
        <f>L50/K50</f>
        <v>1.0001835872957592</v>
      </c>
      <c r="N50" s="2007">
        <f>N39+N41+N43+N45+N49</f>
        <v>1850</v>
      </c>
      <c r="O50" s="2007">
        <f>O39+O41+O43+O45+O49</f>
        <v>1850</v>
      </c>
      <c r="P50" s="2007">
        <f>P39+P41+P43+P45+P49</f>
        <v>1602</v>
      </c>
      <c r="Q50" s="1984">
        <f>P50/O50</f>
        <v>0.86594594594594598</v>
      </c>
      <c r="R50" s="2007">
        <f>R39+R41+R43+R45+R49</f>
        <v>1349073</v>
      </c>
      <c r="S50" s="2007">
        <f>S39+S41+S43+S45+S49</f>
        <v>1674892</v>
      </c>
      <c r="T50" s="2007">
        <f>T39+T41+T43+T45+T49</f>
        <v>1673719</v>
      </c>
      <c r="U50" s="1984">
        <f>T50/S50</f>
        <v>0.99929965633605033</v>
      </c>
      <c r="V50" s="2009" t="s">
        <v>1288</v>
      </c>
      <c r="W50" s="2007">
        <f>W39+W41+W43+W45+W49</f>
        <v>0</v>
      </c>
      <c r="X50" s="2007">
        <f>X39+X41+X43+X45+X49</f>
        <v>1270</v>
      </c>
      <c r="Y50" s="2007">
        <f>Y39+Y41+Y43+Y45+Y49</f>
        <v>1271</v>
      </c>
      <c r="Z50" s="1984">
        <f>Y50/X50</f>
        <v>1.0007874015748031</v>
      </c>
      <c r="AA50" s="2007">
        <f>AA39+AA41+AA43+AA45+AA49</f>
        <v>2455</v>
      </c>
      <c r="AB50" s="2007">
        <f>AB39+AB41+AB43+AB45+AB49</f>
        <v>46839</v>
      </c>
      <c r="AC50" s="2007">
        <f>AC39+AC41+AC43+AC45+AC49</f>
        <v>46840</v>
      </c>
      <c r="AD50" s="1984">
        <f>AC50/AB50</f>
        <v>1.000021349729926</v>
      </c>
      <c r="AE50" s="2007">
        <f>AE39+AE41+AE43+AE45+AE49</f>
        <v>0</v>
      </c>
      <c r="AF50" s="2007">
        <f>AF39+AF41+AF43+AF45+AF49</f>
        <v>4148</v>
      </c>
      <c r="AG50" s="2007">
        <f>AG39+AG41+AG43+AG45+AG49</f>
        <v>4148</v>
      </c>
      <c r="AH50" s="1984">
        <f>AG50/AF50</f>
        <v>1</v>
      </c>
      <c r="AI50" s="2007">
        <f>AI39+AI41+AI43+AI45+AI49</f>
        <v>2455</v>
      </c>
      <c r="AJ50" s="2007">
        <f>AJ39+AJ41+AJ43+AJ45+AJ49</f>
        <v>52257</v>
      </c>
      <c r="AK50" s="2007">
        <f>AK39+AK41+AK43+AK45+AK49</f>
        <v>52259</v>
      </c>
      <c r="AL50" s="1984">
        <f>AK50/AJ50</f>
        <v>1.0000382723845609</v>
      </c>
      <c r="AM50" s="2007">
        <f>AM39+AM41+AM43+AM45+AM49</f>
        <v>0</v>
      </c>
      <c r="AN50" s="2007">
        <f>AN39+AN41+AN43+AN45+AN49</f>
        <v>477290</v>
      </c>
      <c r="AO50" s="2007">
        <f>AO39+AO41+AO43+AO45+AO49</f>
        <v>477290</v>
      </c>
      <c r="AP50" s="1984">
        <f>AO50/AN50</f>
        <v>1</v>
      </c>
      <c r="AQ50" s="2009" t="s">
        <v>1288</v>
      </c>
      <c r="AR50" s="2007">
        <f>AR39+AR41+AR43+AR45+AR49</f>
        <v>5220431</v>
      </c>
      <c r="AS50" s="2007">
        <f>AS39+AS41+AS43+AS45+AS49</f>
        <v>6096685</v>
      </c>
      <c r="AT50" s="2007">
        <f>AT39+AT41+AT43+AT45+AT49</f>
        <v>5507884</v>
      </c>
      <c r="AU50" s="1984">
        <f>AT50/AS50</f>
        <v>0.90342276171394786</v>
      </c>
      <c r="AV50" s="2007">
        <f>AV39+AV41+AV43+AV45+AV49</f>
        <v>1778</v>
      </c>
      <c r="AW50" s="2007">
        <f>AW39+AW41+AW43+AW45+AW49</f>
        <v>449761</v>
      </c>
      <c r="AX50" s="2007">
        <f>AX39+AX41+AX43+AX45+AX49</f>
        <v>325757</v>
      </c>
      <c r="AY50" s="1984">
        <f>AX50/AW50</f>
        <v>0.72428912244503196</v>
      </c>
      <c r="AZ50" s="2007">
        <f>AZ39+AZ41+AZ43+AZ45+AZ49</f>
        <v>5222209</v>
      </c>
      <c r="BA50" s="2007">
        <f>BA39+BA41+BA43+BA45+BA49</f>
        <v>6546446</v>
      </c>
      <c r="BB50" s="2007">
        <f>BB39+BB41+BB43+BB45+BB49</f>
        <v>5833641</v>
      </c>
      <c r="BC50" s="1984">
        <f>BB50/BA50</f>
        <v>0.89111572905359637</v>
      </c>
      <c r="BD50" s="2007">
        <f>BD39+BD41+BD43+BD45+BD49</f>
        <v>6573737</v>
      </c>
      <c r="BE50" s="2007">
        <f>BE39+BE41+BE43+BE45+BE49</f>
        <v>8750885</v>
      </c>
      <c r="BF50" s="2007">
        <f>BF39+BF41+BF43+BF45+BF49</f>
        <v>8036909</v>
      </c>
      <c r="BG50" s="1984">
        <f>BF50/BE50</f>
        <v>0.91841099500221979</v>
      </c>
    </row>
    <row r="51" spans="1:59" ht="62.25" customHeight="1" thickBot="1" x14ac:dyDescent="0.65">
      <c r="A51" s="1995" t="s">
        <v>1289</v>
      </c>
      <c r="B51" s="1983">
        <f>B31+B50</f>
        <v>1167844</v>
      </c>
      <c r="C51" s="1983">
        <f>C31+C50</f>
        <v>1023252</v>
      </c>
      <c r="D51" s="1983">
        <f>D31+D50</f>
        <v>1022158</v>
      </c>
      <c r="E51" s="1977">
        <f>D51/C51</f>
        <v>0.99893085965138595</v>
      </c>
      <c r="F51" s="1983">
        <f>F31+F50</f>
        <v>510344</v>
      </c>
      <c r="G51" s="1983">
        <f>G31+G50</f>
        <v>966158</v>
      </c>
      <c r="H51" s="1983">
        <f>H31+H50</f>
        <v>966157</v>
      </c>
      <c r="I51" s="1984">
        <f>H51/G51</f>
        <v>0.99999896497260288</v>
      </c>
      <c r="J51" s="1983">
        <f>J31+J50</f>
        <v>0</v>
      </c>
      <c r="K51" s="1983">
        <f>K31+K50</f>
        <v>11060</v>
      </c>
      <c r="L51" s="1983">
        <f>L31+L50</f>
        <v>11061</v>
      </c>
      <c r="M51" s="1984">
        <f>L51/K51</f>
        <v>1.0000904159132007</v>
      </c>
      <c r="N51" s="1983">
        <f>N31+N50</f>
        <v>1850</v>
      </c>
      <c r="O51" s="1983">
        <f>O31+O50</f>
        <v>1850</v>
      </c>
      <c r="P51" s="1983">
        <f>P31+P50</f>
        <v>1602</v>
      </c>
      <c r="Q51" s="1984">
        <f>P51/O51</f>
        <v>0.86594594594594598</v>
      </c>
      <c r="R51" s="1983">
        <f>R31+R50</f>
        <v>1680038</v>
      </c>
      <c r="S51" s="1983">
        <f>S31+S50</f>
        <v>2002320</v>
      </c>
      <c r="T51" s="1983">
        <f>T31+T50</f>
        <v>2000978</v>
      </c>
      <c r="U51" s="1984">
        <f>T51/S51</f>
        <v>0.99932977745814855</v>
      </c>
      <c r="V51" s="2011" t="s">
        <v>1289</v>
      </c>
      <c r="W51" s="1983">
        <f>W31+W50</f>
        <v>0</v>
      </c>
      <c r="X51" s="1983">
        <f>X31+X50</f>
        <v>1270</v>
      </c>
      <c r="Y51" s="1983">
        <f>Y31+Y50</f>
        <v>1271</v>
      </c>
      <c r="Z51" s="1984">
        <f>Y51/X51</f>
        <v>1.0007874015748031</v>
      </c>
      <c r="AA51" s="1983">
        <f>AA31+AA50</f>
        <v>2455</v>
      </c>
      <c r="AB51" s="1983">
        <f>AB31+AB50</f>
        <v>46839</v>
      </c>
      <c r="AC51" s="1983">
        <f>AC31+AC50</f>
        <v>46840</v>
      </c>
      <c r="AD51" s="1984">
        <f>AC51/AB51</f>
        <v>1.000021349729926</v>
      </c>
      <c r="AE51" s="1983">
        <f>AE31+AE50</f>
        <v>0</v>
      </c>
      <c r="AF51" s="1983">
        <f>AF31+AF50</f>
        <v>4148</v>
      </c>
      <c r="AG51" s="1983">
        <f>AG31+AG50</f>
        <v>4148</v>
      </c>
      <c r="AH51" s="1984">
        <f>AG51/AF51</f>
        <v>1</v>
      </c>
      <c r="AI51" s="1983">
        <f>AI31+AI50</f>
        <v>2455</v>
      </c>
      <c r="AJ51" s="1983">
        <f>AJ31+AJ50</f>
        <v>52257</v>
      </c>
      <c r="AK51" s="1983">
        <f>AK31+AK50</f>
        <v>52259</v>
      </c>
      <c r="AL51" s="1984">
        <f>AK51/AJ51</f>
        <v>1.0000382723845609</v>
      </c>
      <c r="AM51" s="1983">
        <f>AM31+AM50</f>
        <v>0</v>
      </c>
      <c r="AN51" s="1983">
        <f>AN31+AN50</f>
        <v>496225</v>
      </c>
      <c r="AO51" s="1983">
        <f>AO31+AO50</f>
        <v>496225</v>
      </c>
      <c r="AP51" s="1984">
        <f>AO51/AN51</f>
        <v>1</v>
      </c>
      <c r="AQ51" s="2011" t="s">
        <v>1289</v>
      </c>
      <c r="AR51" s="1983">
        <f>AR31+AR50</f>
        <v>8177044</v>
      </c>
      <c r="AS51" s="1983">
        <f>AS31+AS50</f>
        <v>9129696</v>
      </c>
      <c r="AT51" s="1983">
        <f>AT31+AT50</f>
        <v>8210930</v>
      </c>
      <c r="AU51" s="1984">
        <f>AT51/AS51</f>
        <v>0.89936510481838605</v>
      </c>
      <c r="AV51" s="1983">
        <f>AV31+AV50</f>
        <v>1778</v>
      </c>
      <c r="AW51" s="1983">
        <f>AW31+AW50</f>
        <v>575300</v>
      </c>
      <c r="AX51" s="1983">
        <f>AX31+AX50</f>
        <v>431270</v>
      </c>
      <c r="AY51" s="1984">
        <f>AX51/AW51</f>
        <v>0.74964366417521289</v>
      </c>
      <c r="AZ51" s="1983">
        <f>AZ31+AZ50</f>
        <v>8178822</v>
      </c>
      <c r="BA51" s="1983">
        <f>BA31+BA50</f>
        <v>9704996</v>
      </c>
      <c r="BB51" s="1983">
        <f>BB31+BB50</f>
        <v>8642200</v>
      </c>
      <c r="BC51" s="1984">
        <f>BB51/BA51</f>
        <v>0.89048980545690071</v>
      </c>
      <c r="BD51" s="1983">
        <f>BD31+BD50</f>
        <v>9861315</v>
      </c>
      <c r="BE51" s="1983">
        <f>BE31+BE50</f>
        <v>12255798</v>
      </c>
      <c r="BF51" s="1983">
        <f>BF31+BF50</f>
        <v>11191662</v>
      </c>
      <c r="BG51" s="1984">
        <f>BF51/BE51</f>
        <v>0.91317285092329359</v>
      </c>
    </row>
    <row r="52" spans="1:59" s="2312" customFormat="1" ht="49.5" customHeight="1" x14ac:dyDescent="0.6">
      <c r="A52" s="2306"/>
      <c r="B52" s="2309"/>
      <c r="C52" s="2309"/>
      <c r="D52" s="2309"/>
      <c r="E52" s="2309"/>
      <c r="F52" s="2309"/>
      <c r="G52" s="2309"/>
      <c r="H52" s="2309"/>
      <c r="I52" s="2309"/>
      <c r="J52" s="2309"/>
      <c r="K52" s="2309"/>
      <c r="L52" s="2309"/>
      <c r="M52" s="2309"/>
      <c r="N52" s="2309"/>
      <c r="O52" s="2309"/>
      <c r="P52" s="2309"/>
      <c r="Q52" s="2309"/>
      <c r="R52" s="2309"/>
      <c r="S52" s="2309"/>
      <c r="T52" s="2309"/>
      <c r="U52" s="2309"/>
      <c r="V52" s="2307"/>
      <c r="W52" s="2309"/>
      <c r="X52" s="2309"/>
      <c r="Y52" s="2309"/>
      <c r="Z52" s="2309"/>
      <c r="AA52" s="2309"/>
      <c r="AB52" s="2309"/>
      <c r="AC52" s="2309"/>
      <c r="AD52" s="2309"/>
      <c r="AE52" s="2309"/>
      <c r="AF52" s="2309"/>
      <c r="AG52" s="2309"/>
      <c r="AH52" s="2309"/>
      <c r="AI52" s="2309"/>
      <c r="AJ52" s="2309"/>
      <c r="AK52" s="2309"/>
      <c r="AL52" s="2309"/>
      <c r="AM52" s="2307"/>
      <c r="AN52" s="2307"/>
      <c r="AO52" s="2307"/>
      <c r="AP52" s="2307"/>
      <c r="AQ52" s="2307"/>
      <c r="AR52" s="2307"/>
      <c r="AS52" s="2307"/>
      <c r="AT52" s="2307"/>
      <c r="AU52" s="2307"/>
      <c r="AV52" s="2307"/>
      <c r="AW52" s="2307"/>
      <c r="AX52" s="2307"/>
      <c r="AY52" s="2307"/>
      <c r="AZ52" s="2307"/>
      <c r="BA52" s="2307"/>
      <c r="BB52" s="2311"/>
      <c r="BC52" s="2311"/>
      <c r="BD52" s="2311"/>
      <c r="BE52" s="2311"/>
      <c r="BF52" s="2317"/>
      <c r="BG52" s="2317"/>
    </row>
    <row r="53" spans="1:59" s="2312" customFormat="1" ht="47.25" customHeight="1" x14ac:dyDescent="0.6">
      <c r="A53" s="2318"/>
      <c r="B53" s="2309"/>
      <c r="C53" s="2309"/>
      <c r="D53" s="2309"/>
      <c r="E53" s="2309"/>
      <c r="F53" s="2309"/>
      <c r="G53" s="2309"/>
      <c r="H53" s="2309"/>
      <c r="I53" s="2309"/>
      <c r="J53" s="2309"/>
      <c r="K53" s="2309"/>
      <c r="L53" s="2309"/>
      <c r="M53" s="2309"/>
      <c r="N53" s="2309"/>
      <c r="O53" s="2309"/>
      <c r="P53" s="2309"/>
      <c r="Q53" s="2309"/>
      <c r="R53" s="2309"/>
      <c r="S53" s="2309"/>
      <c r="T53" s="2309"/>
      <c r="U53" s="2309"/>
      <c r="V53" s="2319"/>
      <c r="W53" s="2309"/>
      <c r="X53" s="2309"/>
      <c r="Y53" s="2309"/>
      <c r="Z53" s="2309"/>
      <c r="AA53" s="2309"/>
      <c r="AB53" s="2309"/>
      <c r="AC53" s="2309"/>
      <c r="AD53" s="2309"/>
      <c r="AE53" s="2309"/>
      <c r="AF53" s="2309"/>
      <c r="AG53" s="2309"/>
      <c r="AH53" s="2309"/>
      <c r="AI53" s="2309"/>
      <c r="AJ53" s="2309"/>
      <c r="AK53" s="2309"/>
      <c r="AL53" s="2309"/>
      <c r="AM53" s="2319"/>
      <c r="AN53" s="2320"/>
      <c r="AO53" s="2320"/>
      <c r="AP53" s="2319"/>
      <c r="AQ53" s="2319"/>
      <c r="AR53" s="2320"/>
      <c r="AS53" s="2320"/>
      <c r="AT53" s="2320"/>
      <c r="AU53" s="2319"/>
      <c r="AV53" s="2320"/>
      <c r="AW53" s="2320"/>
      <c r="AX53" s="2320"/>
      <c r="AY53" s="2319"/>
      <c r="AZ53" s="2320"/>
      <c r="BA53" s="2320"/>
      <c r="BB53" s="2311"/>
      <c r="BC53" s="2311"/>
      <c r="BD53" s="2309"/>
      <c r="BE53" s="2309"/>
      <c r="BF53" s="2309"/>
      <c r="BG53" s="2309"/>
    </row>
    <row r="54" spans="1:59" s="2312" customFormat="1" ht="47.25" customHeight="1" x14ac:dyDescent="0.6">
      <c r="A54" s="2318"/>
      <c r="B54" s="2309"/>
      <c r="C54" s="2309"/>
      <c r="D54" s="2309"/>
      <c r="E54" s="2309"/>
      <c r="F54" s="2309"/>
      <c r="G54" s="2309"/>
      <c r="H54" s="2309"/>
      <c r="I54" s="2309"/>
      <c r="J54" s="2309"/>
      <c r="K54" s="2309"/>
      <c r="L54" s="2309"/>
      <c r="M54" s="2309"/>
      <c r="N54" s="2309"/>
      <c r="O54" s="2309"/>
      <c r="P54" s="2309"/>
      <c r="Q54" s="2309"/>
      <c r="R54" s="2309"/>
      <c r="S54" s="2309"/>
      <c r="T54" s="2309"/>
      <c r="U54" s="2309"/>
      <c r="V54" s="2309"/>
      <c r="W54" s="2309"/>
      <c r="X54" s="2309"/>
      <c r="Y54" s="2309"/>
      <c r="Z54" s="2309"/>
      <c r="AA54" s="2309"/>
      <c r="AB54" s="2309"/>
      <c r="AC54" s="2309"/>
      <c r="AD54" s="2309"/>
      <c r="AE54" s="2309"/>
      <c r="AF54" s="2309"/>
      <c r="AG54" s="2309"/>
      <c r="AH54" s="2309"/>
      <c r="AI54" s="2309"/>
      <c r="AJ54" s="2309"/>
      <c r="AK54" s="2309"/>
      <c r="AL54" s="2309"/>
      <c r="AM54" s="2309"/>
      <c r="AN54" s="2309"/>
      <c r="AO54" s="2309"/>
      <c r="AP54" s="2309"/>
      <c r="AQ54" s="2309"/>
      <c r="AR54" s="2309"/>
      <c r="AS54" s="2309"/>
      <c r="AT54" s="2309"/>
      <c r="AU54" s="2309"/>
      <c r="AV54" s="2309"/>
      <c r="AW54" s="2309"/>
      <c r="AX54" s="2309"/>
      <c r="AY54" s="2309"/>
      <c r="AZ54" s="2309"/>
      <c r="BA54" s="2309"/>
      <c r="BB54" s="2309"/>
      <c r="BC54" s="2309"/>
      <c r="BD54" s="2309"/>
      <c r="BE54" s="2309"/>
      <c r="BF54" s="2309"/>
      <c r="BG54" s="2309"/>
    </row>
    <row r="55" spans="1:59" s="2312" customFormat="1" ht="35.1" customHeight="1" x14ac:dyDescent="0.6">
      <c r="A55" s="2308"/>
      <c r="B55" s="2309"/>
      <c r="C55" s="2309"/>
      <c r="D55" s="2309"/>
      <c r="E55" s="2309"/>
      <c r="F55" s="2309"/>
      <c r="G55" s="2309"/>
      <c r="H55" s="2309"/>
      <c r="I55" s="2309"/>
      <c r="J55" s="2309"/>
      <c r="K55" s="2309"/>
      <c r="L55" s="2309"/>
      <c r="M55" s="2309"/>
      <c r="N55" s="2309"/>
      <c r="O55" s="2309"/>
      <c r="P55" s="2309"/>
      <c r="Q55" s="2309"/>
      <c r="R55" s="2309"/>
      <c r="S55" s="2309"/>
      <c r="T55" s="2309"/>
      <c r="U55" s="2309"/>
      <c r="V55" s="2310"/>
      <c r="W55" s="2309"/>
      <c r="X55" s="2309"/>
      <c r="Y55" s="2309"/>
      <c r="Z55" s="2309"/>
      <c r="AA55" s="2309"/>
      <c r="AB55" s="2309"/>
      <c r="AC55" s="2309"/>
      <c r="AD55" s="2309"/>
      <c r="AE55" s="2309"/>
      <c r="AF55" s="2309"/>
      <c r="AG55" s="2309"/>
      <c r="AH55" s="2309"/>
      <c r="AI55" s="2309"/>
      <c r="AJ55" s="2309"/>
      <c r="AK55" s="2309"/>
      <c r="AL55" s="2309"/>
      <c r="AM55" s="2310"/>
      <c r="AN55" s="2310"/>
      <c r="AO55" s="2310"/>
      <c r="AP55" s="2310"/>
      <c r="AQ55" s="2310"/>
      <c r="AR55" s="2310"/>
      <c r="AS55" s="2310"/>
      <c r="AT55" s="2310"/>
      <c r="AU55" s="2310"/>
      <c r="AV55" s="2310"/>
      <c r="AW55" s="2310"/>
      <c r="AX55" s="2310"/>
      <c r="AY55" s="2310"/>
      <c r="AZ55" s="2310"/>
      <c r="BA55" s="2310"/>
      <c r="BB55" s="2311"/>
      <c r="BC55" s="2311"/>
      <c r="BD55" s="2311"/>
      <c r="BE55" s="2311"/>
      <c r="BF55" s="2309"/>
      <c r="BG55" s="2309"/>
    </row>
    <row r="56" spans="1:59" s="2312" customFormat="1" ht="54.75" customHeight="1" x14ac:dyDescent="0.6">
      <c r="A56" s="2308"/>
      <c r="B56" s="2309"/>
      <c r="C56" s="2309"/>
      <c r="D56" s="2309"/>
      <c r="E56" s="2309"/>
      <c r="F56" s="2309"/>
      <c r="G56" s="2309"/>
      <c r="H56" s="2309"/>
      <c r="I56" s="2309"/>
      <c r="J56" s="2309"/>
      <c r="K56" s="2309"/>
      <c r="L56" s="2309"/>
      <c r="M56" s="2309"/>
      <c r="N56" s="2309"/>
      <c r="O56" s="2309"/>
      <c r="P56" s="2309"/>
      <c r="Q56" s="2309"/>
      <c r="R56" s="2309"/>
      <c r="S56" s="2309"/>
      <c r="T56" s="2309"/>
      <c r="U56" s="2309"/>
      <c r="V56" s="2310"/>
      <c r="W56" s="2309"/>
      <c r="X56" s="2309"/>
      <c r="Y56" s="2309"/>
      <c r="Z56" s="2309"/>
      <c r="AA56" s="2309"/>
      <c r="AB56" s="2309"/>
      <c r="AC56" s="2309"/>
      <c r="AD56" s="2309"/>
      <c r="AE56" s="2309"/>
      <c r="AF56" s="2309"/>
      <c r="AG56" s="2309"/>
      <c r="AH56" s="2309"/>
      <c r="AI56" s="2309"/>
      <c r="AJ56" s="2309"/>
      <c r="AK56" s="2309"/>
      <c r="AL56" s="2309"/>
      <c r="AM56" s="2310"/>
      <c r="AN56" s="2310"/>
      <c r="AO56" s="2310"/>
      <c r="AP56" s="2310"/>
      <c r="AQ56" s="2310"/>
      <c r="AR56" s="2310"/>
      <c r="AS56" s="2310"/>
      <c r="AT56" s="2310"/>
      <c r="AU56" s="2310"/>
      <c r="AV56" s="2310"/>
      <c r="AW56" s="2310"/>
      <c r="AX56" s="2310"/>
      <c r="AY56" s="2310"/>
      <c r="AZ56" s="2310"/>
      <c r="BA56" s="2310"/>
      <c r="BB56" s="2311"/>
      <c r="BC56" s="2311"/>
      <c r="BD56" s="2311"/>
      <c r="BE56" s="2311"/>
      <c r="BF56" s="2309"/>
      <c r="BG56" s="2309"/>
    </row>
    <row r="57" spans="1:59" s="2312" customFormat="1" ht="26.45" customHeight="1" x14ac:dyDescent="0.6">
      <c r="A57" s="2308"/>
      <c r="B57" s="2309"/>
      <c r="C57" s="2309"/>
      <c r="D57" s="2309"/>
      <c r="E57" s="2309"/>
      <c r="F57" s="2309"/>
      <c r="G57" s="2309"/>
      <c r="H57" s="2309"/>
      <c r="I57" s="2309"/>
      <c r="J57" s="2309"/>
      <c r="K57" s="2309"/>
      <c r="L57" s="2309"/>
      <c r="M57" s="2309"/>
      <c r="N57" s="2309"/>
      <c r="O57" s="2309"/>
      <c r="P57" s="2309"/>
      <c r="Q57" s="2309"/>
      <c r="R57" s="2309"/>
      <c r="S57" s="2309"/>
      <c r="T57" s="2309"/>
      <c r="U57" s="2309"/>
      <c r="V57" s="2310"/>
      <c r="W57" s="2309"/>
      <c r="X57" s="2309"/>
      <c r="Y57" s="2309"/>
      <c r="Z57" s="2309"/>
      <c r="AA57" s="2309"/>
      <c r="AB57" s="2309"/>
      <c r="AC57" s="2309"/>
      <c r="AD57" s="2309"/>
      <c r="AE57" s="2309"/>
      <c r="AF57" s="2309"/>
      <c r="AG57" s="2309"/>
      <c r="AH57" s="2309"/>
      <c r="AI57" s="2309"/>
      <c r="AJ57" s="2309"/>
      <c r="AK57" s="2309"/>
      <c r="AL57" s="2309"/>
      <c r="AM57" s="2310"/>
      <c r="AN57" s="2310"/>
      <c r="AO57" s="2310"/>
      <c r="AP57" s="2310"/>
      <c r="AQ57" s="2310"/>
      <c r="AR57" s="2310"/>
      <c r="AS57" s="2310"/>
      <c r="AT57" s="2310"/>
      <c r="AU57" s="2310"/>
      <c r="AV57" s="2310"/>
      <c r="AW57" s="2310"/>
      <c r="AX57" s="2310"/>
      <c r="AY57" s="2310"/>
      <c r="AZ57" s="2310"/>
      <c r="BA57" s="2310"/>
      <c r="BB57" s="2311"/>
      <c r="BC57" s="2311"/>
      <c r="BD57" s="2311"/>
      <c r="BE57" s="2311"/>
      <c r="BF57" s="2309"/>
      <c r="BG57" s="2309"/>
    </row>
    <row r="58" spans="1:59" s="2312" customFormat="1" ht="26.45" customHeight="1" x14ac:dyDescent="0.6">
      <c r="A58" s="2308"/>
      <c r="B58" s="2309"/>
      <c r="C58" s="2309"/>
      <c r="D58" s="2309"/>
      <c r="E58" s="2309"/>
      <c r="F58" s="2309"/>
      <c r="G58" s="2309"/>
      <c r="H58" s="2309"/>
      <c r="I58" s="2309"/>
      <c r="J58" s="2309"/>
      <c r="K58" s="2309"/>
      <c r="L58" s="2309"/>
      <c r="M58" s="2309"/>
      <c r="N58" s="2309"/>
      <c r="O58" s="2309"/>
      <c r="P58" s="2309"/>
      <c r="Q58" s="2309"/>
      <c r="R58" s="2309"/>
      <c r="S58" s="2309"/>
      <c r="T58" s="2309"/>
      <c r="U58" s="2309"/>
      <c r="V58" s="2310"/>
      <c r="W58" s="2309"/>
      <c r="X58" s="2309"/>
      <c r="Y58" s="2309"/>
      <c r="Z58" s="2309"/>
      <c r="AA58" s="2309"/>
      <c r="AB58" s="2309"/>
      <c r="AC58" s="2309"/>
      <c r="AD58" s="2309"/>
      <c r="AE58" s="2309"/>
      <c r="AF58" s="2309"/>
      <c r="AG58" s="2309"/>
      <c r="AH58" s="2309"/>
      <c r="AI58" s="2309"/>
      <c r="AJ58" s="2309"/>
      <c r="AK58" s="2309"/>
      <c r="AL58" s="2309"/>
      <c r="AM58" s="2310"/>
      <c r="AN58" s="2310"/>
      <c r="AO58" s="2310"/>
      <c r="AP58" s="2310"/>
      <c r="AQ58" s="2310"/>
      <c r="AR58" s="2310"/>
      <c r="AS58" s="2310"/>
      <c r="AT58" s="2310"/>
      <c r="AU58" s="2310"/>
      <c r="AV58" s="2310"/>
      <c r="AW58" s="2310"/>
      <c r="AX58" s="2310"/>
      <c r="AY58" s="2310"/>
      <c r="AZ58" s="2310"/>
      <c r="BA58" s="2310"/>
      <c r="BB58" s="2311"/>
      <c r="BC58" s="2311"/>
      <c r="BD58" s="2311"/>
      <c r="BE58" s="2311"/>
      <c r="BF58" s="2309"/>
      <c r="BG58" s="2309"/>
    </row>
    <row r="59" spans="1:59" s="2312" customFormat="1" ht="26.45" customHeight="1" x14ac:dyDescent="0.6">
      <c r="A59" s="2313"/>
      <c r="B59" s="2314"/>
      <c r="C59" s="2314"/>
      <c r="D59" s="2314"/>
      <c r="E59" s="2314"/>
      <c r="F59" s="2314"/>
      <c r="G59" s="2314"/>
      <c r="H59" s="2314"/>
      <c r="I59" s="2314"/>
      <c r="J59" s="2314"/>
      <c r="K59" s="2314"/>
      <c r="L59" s="2314"/>
      <c r="M59" s="2314"/>
      <c r="N59" s="2314"/>
      <c r="O59" s="2314"/>
      <c r="P59" s="2314"/>
      <c r="Q59" s="2314"/>
      <c r="R59" s="2314"/>
      <c r="S59" s="2314"/>
      <c r="T59" s="2314"/>
      <c r="U59" s="2314"/>
      <c r="V59" s="2315"/>
      <c r="W59" s="2314"/>
      <c r="X59" s="2314"/>
      <c r="Y59" s="2314"/>
      <c r="Z59" s="2314"/>
      <c r="AA59" s="2314"/>
      <c r="AB59" s="2314"/>
      <c r="AC59" s="2314"/>
      <c r="AD59" s="2314"/>
      <c r="AE59" s="2314"/>
      <c r="AF59" s="2314"/>
      <c r="AG59" s="2314"/>
      <c r="AH59" s="2314"/>
      <c r="AI59" s="2314"/>
      <c r="AJ59" s="2314"/>
      <c r="AK59" s="2314"/>
      <c r="AL59" s="2314"/>
      <c r="AM59" s="2313"/>
      <c r="AN59" s="2313"/>
      <c r="AO59" s="2313"/>
      <c r="AP59" s="2313"/>
      <c r="AQ59" s="2315"/>
      <c r="AR59" s="2313"/>
      <c r="AS59" s="2313"/>
      <c r="AT59" s="2313"/>
      <c r="AU59" s="2313"/>
      <c r="AV59" s="2313"/>
      <c r="AW59" s="2313"/>
      <c r="AX59" s="2313"/>
      <c r="AY59" s="2313"/>
      <c r="AZ59" s="2313"/>
      <c r="BA59" s="2313"/>
      <c r="BB59" s="2316"/>
      <c r="BC59" s="2316"/>
      <c r="BD59" s="2316"/>
      <c r="BE59" s="2316"/>
      <c r="BF59" s="2314"/>
      <c r="BG59" s="2314"/>
    </row>
    <row r="60" spans="1:59" s="2312" customFormat="1" ht="26.45" customHeight="1" x14ac:dyDescent="0.6">
      <c r="A60" s="2313"/>
      <c r="B60" s="2314"/>
      <c r="C60" s="2314"/>
      <c r="D60" s="2314"/>
      <c r="E60" s="2314"/>
      <c r="F60" s="2314"/>
      <c r="G60" s="2314"/>
      <c r="H60" s="2314"/>
      <c r="I60" s="2314"/>
      <c r="J60" s="2314"/>
      <c r="K60" s="2314"/>
      <c r="L60" s="2314"/>
      <c r="M60" s="2314"/>
      <c r="N60" s="2314"/>
      <c r="O60" s="2314"/>
      <c r="P60" s="2314"/>
      <c r="Q60" s="2314"/>
      <c r="R60" s="2314"/>
      <c r="S60" s="2314"/>
      <c r="T60" s="2314"/>
      <c r="U60" s="2314"/>
      <c r="V60" s="2315"/>
      <c r="W60" s="2314"/>
      <c r="X60" s="2314"/>
      <c r="Y60" s="2314"/>
      <c r="Z60" s="2314"/>
      <c r="AA60" s="2314"/>
      <c r="AB60" s="2314"/>
      <c r="AC60" s="2314"/>
      <c r="AD60" s="2314"/>
      <c r="AE60" s="2314"/>
      <c r="AF60" s="2314"/>
      <c r="AG60" s="2314"/>
      <c r="AH60" s="2314"/>
      <c r="AI60" s="2314"/>
      <c r="AJ60" s="2314"/>
      <c r="AK60" s="2314"/>
      <c r="AL60" s="2314"/>
      <c r="AM60" s="2313"/>
      <c r="AN60" s="2313"/>
      <c r="AO60" s="2313"/>
      <c r="AP60" s="2313"/>
      <c r="AQ60" s="2315"/>
      <c r="AR60" s="2313"/>
      <c r="AS60" s="2313"/>
      <c r="AT60" s="2313"/>
      <c r="AU60" s="2313"/>
      <c r="AV60" s="2313"/>
      <c r="AW60" s="2313"/>
      <c r="AX60" s="2313"/>
      <c r="AY60" s="2313"/>
      <c r="AZ60" s="2313"/>
      <c r="BA60" s="2313"/>
      <c r="BB60" s="2316"/>
      <c r="BC60" s="2316"/>
      <c r="BD60" s="2316"/>
      <c r="BE60" s="2316"/>
      <c r="BF60" s="2314"/>
      <c r="BG60" s="2314"/>
    </row>
    <row r="61" spans="1:59" s="2312" customFormat="1" ht="26.45" customHeight="1" x14ac:dyDescent="0.6">
      <c r="A61" s="2313"/>
      <c r="B61" s="2314"/>
      <c r="C61" s="2314"/>
      <c r="D61" s="2314"/>
      <c r="E61" s="2314"/>
      <c r="F61" s="2314"/>
      <c r="G61" s="2314"/>
      <c r="H61" s="2314"/>
      <c r="I61" s="2314"/>
      <c r="J61" s="2314"/>
      <c r="K61" s="2314"/>
      <c r="L61" s="2314"/>
      <c r="M61" s="2314"/>
      <c r="N61" s="2314"/>
      <c r="O61" s="2314"/>
      <c r="P61" s="2314"/>
      <c r="Q61" s="2314"/>
      <c r="R61" s="2314"/>
      <c r="S61" s="2314"/>
      <c r="T61" s="2314"/>
      <c r="U61" s="2314"/>
      <c r="V61" s="2315"/>
      <c r="W61" s="2314"/>
      <c r="X61" s="2314"/>
      <c r="Y61" s="2314"/>
      <c r="Z61" s="2314"/>
      <c r="AA61" s="2314"/>
      <c r="AB61" s="2314"/>
      <c r="AC61" s="2314"/>
      <c r="AD61" s="2314"/>
      <c r="AE61" s="2314"/>
      <c r="AF61" s="2314"/>
      <c r="AG61" s="2314"/>
      <c r="AH61" s="2314"/>
      <c r="AI61" s="2314"/>
      <c r="AJ61" s="2314"/>
      <c r="AK61" s="2314"/>
      <c r="AL61" s="2314"/>
      <c r="AM61" s="2313"/>
      <c r="AN61" s="2313"/>
      <c r="AO61" s="2313"/>
      <c r="AP61" s="2313"/>
      <c r="AQ61" s="2315"/>
      <c r="AR61" s="2313"/>
      <c r="AS61" s="2313"/>
      <c r="AT61" s="2313"/>
      <c r="AU61" s="2313"/>
      <c r="AV61" s="2313"/>
      <c r="AW61" s="2313"/>
      <c r="AX61" s="2313"/>
      <c r="AY61" s="2313"/>
      <c r="AZ61" s="2313"/>
      <c r="BA61" s="2313"/>
      <c r="BB61" s="2316"/>
      <c r="BC61" s="2316"/>
      <c r="BD61" s="2316"/>
      <c r="BE61" s="2316"/>
      <c r="BF61" s="2314"/>
      <c r="BG61" s="2314"/>
    </row>
  </sheetData>
  <mergeCells count="23">
    <mergeCell ref="W7:Z8"/>
    <mergeCell ref="A3:U3"/>
    <mergeCell ref="V3:AP3"/>
    <mergeCell ref="AQ3:BG3"/>
    <mergeCell ref="BH3:BM3"/>
    <mergeCell ref="A5:U5"/>
    <mergeCell ref="V5:AP5"/>
    <mergeCell ref="AQ5:BG5"/>
    <mergeCell ref="BH5:BM5"/>
    <mergeCell ref="B7:E8"/>
    <mergeCell ref="F7:I8"/>
    <mergeCell ref="J7:M8"/>
    <mergeCell ref="N7:Q8"/>
    <mergeCell ref="R7:U8"/>
    <mergeCell ref="BD7:BG8"/>
    <mergeCell ref="AR8:AU8"/>
    <mergeCell ref="AZ7:BC8"/>
    <mergeCell ref="AV8:AY8"/>
    <mergeCell ref="AA7:AD8"/>
    <mergeCell ref="AE7:AH8"/>
    <mergeCell ref="AI7:AL8"/>
    <mergeCell ref="AM7:AP8"/>
    <mergeCell ref="AR7:AY7"/>
  </mergeCells>
  <printOptions horizontalCentered="1" verticalCentered="1"/>
  <pageMargins left="0" right="0" top="0" bottom="0" header="0" footer="0"/>
  <pageSetup paperSize="9" scale="15" orientation="landscape" r:id="rId1"/>
  <headerFooter alignWithMargins="0">
    <oddHeader xml:space="preserve">&amp;L&amp;20
&amp;R&amp;"Arial,Félkövér"&amp;48
4. melléklet a .../2022. (........) önkormányzati rendelethez 
</oddHeader>
    <oddFooter xml:space="preserve">&amp;C &amp;R
&amp;36 &amp;10
</oddFooter>
  </headerFooter>
  <colBreaks count="2" manualBreakCount="2">
    <brk id="21" min="2" max="49" man="1"/>
    <brk id="42" min="2" max="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5"/>
  <sheetViews>
    <sheetView zoomScale="65" zoomScaleNormal="65" workbookViewId="0">
      <selection activeCell="R13" sqref="R13"/>
    </sheetView>
  </sheetViews>
  <sheetFormatPr defaultColWidth="12.1640625" defaultRowHeight="15.75" x14ac:dyDescent="0.25"/>
  <cols>
    <col min="1" max="1" width="155.1640625" style="2075" customWidth="1"/>
    <col min="2" max="5" width="35.83203125" style="2076" customWidth="1"/>
    <col min="6" max="256" width="12.1640625" style="2074"/>
    <col min="257" max="257" width="102.83203125" style="2074" customWidth="1"/>
    <col min="258" max="260" width="23.6640625" style="2074" customWidth="1"/>
    <col min="261" max="512" width="12.1640625" style="2074"/>
    <col min="513" max="513" width="102.83203125" style="2074" customWidth="1"/>
    <col min="514" max="516" width="23.6640625" style="2074" customWidth="1"/>
    <col min="517" max="768" width="12.1640625" style="2074"/>
    <col min="769" max="769" width="102.83203125" style="2074" customWidth="1"/>
    <col min="770" max="772" width="23.6640625" style="2074" customWidth="1"/>
    <col min="773" max="1024" width="12.1640625" style="2074"/>
    <col min="1025" max="1025" width="102.83203125" style="2074" customWidth="1"/>
    <col min="1026" max="1028" width="23.6640625" style="2074" customWidth="1"/>
    <col min="1029" max="1280" width="12.1640625" style="2074"/>
    <col min="1281" max="1281" width="102.83203125" style="2074" customWidth="1"/>
    <col min="1282" max="1284" width="23.6640625" style="2074" customWidth="1"/>
    <col min="1285" max="1536" width="12.1640625" style="2074"/>
    <col min="1537" max="1537" width="102.83203125" style="2074" customWidth="1"/>
    <col min="1538" max="1540" width="23.6640625" style="2074" customWidth="1"/>
    <col min="1541" max="1792" width="12.1640625" style="2074"/>
    <col min="1793" max="1793" width="102.83203125" style="2074" customWidth="1"/>
    <col min="1794" max="1796" width="23.6640625" style="2074" customWidth="1"/>
    <col min="1797" max="2048" width="12.1640625" style="2074"/>
    <col min="2049" max="2049" width="102.83203125" style="2074" customWidth="1"/>
    <col min="2050" max="2052" width="23.6640625" style="2074" customWidth="1"/>
    <col min="2053" max="2304" width="12.1640625" style="2074"/>
    <col min="2305" max="2305" width="102.83203125" style="2074" customWidth="1"/>
    <col min="2306" max="2308" width="23.6640625" style="2074" customWidth="1"/>
    <col min="2309" max="2560" width="12.1640625" style="2074"/>
    <col min="2561" max="2561" width="102.83203125" style="2074" customWidth="1"/>
    <col min="2562" max="2564" width="23.6640625" style="2074" customWidth="1"/>
    <col min="2565" max="2816" width="12.1640625" style="2074"/>
    <col min="2817" max="2817" width="102.83203125" style="2074" customWidth="1"/>
    <col min="2818" max="2820" width="23.6640625" style="2074" customWidth="1"/>
    <col min="2821" max="3072" width="12.1640625" style="2074"/>
    <col min="3073" max="3073" width="102.83203125" style="2074" customWidth="1"/>
    <col min="3074" max="3076" width="23.6640625" style="2074" customWidth="1"/>
    <col min="3077" max="3328" width="12.1640625" style="2074"/>
    <col min="3329" max="3329" width="102.83203125" style="2074" customWidth="1"/>
    <col min="3330" max="3332" width="23.6640625" style="2074" customWidth="1"/>
    <col min="3333" max="3584" width="12.1640625" style="2074"/>
    <col min="3585" max="3585" width="102.83203125" style="2074" customWidth="1"/>
    <col min="3586" max="3588" width="23.6640625" style="2074" customWidth="1"/>
    <col min="3589" max="3840" width="12.1640625" style="2074"/>
    <col min="3841" max="3841" width="102.83203125" style="2074" customWidth="1"/>
    <col min="3842" max="3844" width="23.6640625" style="2074" customWidth="1"/>
    <col min="3845" max="4096" width="12.1640625" style="2074"/>
    <col min="4097" max="4097" width="102.83203125" style="2074" customWidth="1"/>
    <col min="4098" max="4100" width="23.6640625" style="2074" customWidth="1"/>
    <col min="4101" max="4352" width="12.1640625" style="2074"/>
    <col min="4353" max="4353" width="102.83203125" style="2074" customWidth="1"/>
    <col min="4354" max="4356" width="23.6640625" style="2074" customWidth="1"/>
    <col min="4357" max="4608" width="12.1640625" style="2074"/>
    <col min="4609" max="4609" width="102.83203125" style="2074" customWidth="1"/>
    <col min="4610" max="4612" width="23.6640625" style="2074" customWidth="1"/>
    <col min="4613" max="4864" width="12.1640625" style="2074"/>
    <col min="4865" max="4865" width="102.83203125" style="2074" customWidth="1"/>
    <col min="4866" max="4868" width="23.6640625" style="2074" customWidth="1"/>
    <col min="4869" max="5120" width="12.1640625" style="2074"/>
    <col min="5121" max="5121" width="102.83203125" style="2074" customWidth="1"/>
    <col min="5122" max="5124" width="23.6640625" style="2074" customWidth="1"/>
    <col min="5125" max="5376" width="12.1640625" style="2074"/>
    <col min="5377" max="5377" width="102.83203125" style="2074" customWidth="1"/>
    <col min="5378" max="5380" width="23.6640625" style="2074" customWidth="1"/>
    <col min="5381" max="5632" width="12.1640625" style="2074"/>
    <col min="5633" max="5633" width="102.83203125" style="2074" customWidth="1"/>
    <col min="5634" max="5636" width="23.6640625" style="2074" customWidth="1"/>
    <col min="5637" max="5888" width="12.1640625" style="2074"/>
    <col min="5889" max="5889" width="102.83203125" style="2074" customWidth="1"/>
    <col min="5890" max="5892" width="23.6640625" style="2074" customWidth="1"/>
    <col min="5893" max="6144" width="12.1640625" style="2074"/>
    <col min="6145" max="6145" width="102.83203125" style="2074" customWidth="1"/>
    <col min="6146" max="6148" width="23.6640625" style="2074" customWidth="1"/>
    <col min="6149" max="6400" width="12.1640625" style="2074"/>
    <col min="6401" max="6401" width="102.83203125" style="2074" customWidth="1"/>
    <col min="6402" max="6404" width="23.6640625" style="2074" customWidth="1"/>
    <col min="6405" max="6656" width="12.1640625" style="2074"/>
    <col min="6657" max="6657" width="102.83203125" style="2074" customWidth="1"/>
    <col min="6658" max="6660" width="23.6640625" style="2074" customWidth="1"/>
    <col min="6661" max="6912" width="12.1640625" style="2074"/>
    <col min="6913" max="6913" width="102.83203125" style="2074" customWidth="1"/>
    <col min="6914" max="6916" width="23.6640625" style="2074" customWidth="1"/>
    <col min="6917" max="7168" width="12.1640625" style="2074"/>
    <col min="7169" max="7169" width="102.83203125" style="2074" customWidth="1"/>
    <col min="7170" max="7172" width="23.6640625" style="2074" customWidth="1"/>
    <col min="7173" max="7424" width="12.1640625" style="2074"/>
    <col min="7425" max="7425" width="102.83203125" style="2074" customWidth="1"/>
    <col min="7426" max="7428" width="23.6640625" style="2074" customWidth="1"/>
    <col min="7429" max="7680" width="12.1640625" style="2074"/>
    <col min="7681" max="7681" width="102.83203125" style="2074" customWidth="1"/>
    <col min="7682" max="7684" width="23.6640625" style="2074" customWidth="1"/>
    <col min="7685" max="7936" width="12.1640625" style="2074"/>
    <col min="7937" max="7937" width="102.83203125" style="2074" customWidth="1"/>
    <col min="7938" max="7940" width="23.6640625" style="2074" customWidth="1"/>
    <col min="7941" max="8192" width="12.1640625" style="2074"/>
    <col min="8193" max="8193" width="102.83203125" style="2074" customWidth="1"/>
    <col min="8194" max="8196" width="23.6640625" style="2074" customWidth="1"/>
    <col min="8197" max="8448" width="12.1640625" style="2074"/>
    <col min="8449" max="8449" width="102.83203125" style="2074" customWidth="1"/>
    <col min="8450" max="8452" width="23.6640625" style="2074" customWidth="1"/>
    <col min="8453" max="8704" width="12.1640625" style="2074"/>
    <col min="8705" max="8705" width="102.83203125" style="2074" customWidth="1"/>
    <col min="8706" max="8708" width="23.6640625" style="2074" customWidth="1"/>
    <col min="8709" max="8960" width="12.1640625" style="2074"/>
    <col min="8961" max="8961" width="102.83203125" style="2074" customWidth="1"/>
    <col min="8962" max="8964" width="23.6640625" style="2074" customWidth="1"/>
    <col min="8965" max="9216" width="12.1640625" style="2074"/>
    <col min="9217" max="9217" width="102.83203125" style="2074" customWidth="1"/>
    <col min="9218" max="9220" width="23.6640625" style="2074" customWidth="1"/>
    <col min="9221" max="9472" width="12.1640625" style="2074"/>
    <col min="9473" max="9473" width="102.83203125" style="2074" customWidth="1"/>
    <col min="9474" max="9476" width="23.6640625" style="2074" customWidth="1"/>
    <col min="9477" max="9728" width="12.1640625" style="2074"/>
    <col min="9729" max="9729" width="102.83203125" style="2074" customWidth="1"/>
    <col min="9730" max="9732" width="23.6640625" style="2074" customWidth="1"/>
    <col min="9733" max="9984" width="12.1640625" style="2074"/>
    <col min="9985" max="9985" width="102.83203125" style="2074" customWidth="1"/>
    <col min="9986" max="9988" width="23.6640625" style="2074" customWidth="1"/>
    <col min="9989" max="10240" width="12.1640625" style="2074"/>
    <col min="10241" max="10241" width="102.83203125" style="2074" customWidth="1"/>
    <col min="10242" max="10244" width="23.6640625" style="2074" customWidth="1"/>
    <col min="10245" max="10496" width="12.1640625" style="2074"/>
    <col min="10497" max="10497" width="102.83203125" style="2074" customWidth="1"/>
    <col min="10498" max="10500" width="23.6640625" style="2074" customWidth="1"/>
    <col min="10501" max="10752" width="12.1640625" style="2074"/>
    <col min="10753" max="10753" width="102.83203125" style="2074" customWidth="1"/>
    <col min="10754" max="10756" width="23.6640625" style="2074" customWidth="1"/>
    <col min="10757" max="11008" width="12.1640625" style="2074"/>
    <col min="11009" max="11009" width="102.83203125" style="2074" customWidth="1"/>
    <col min="11010" max="11012" width="23.6640625" style="2074" customWidth="1"/>
    <col min="11013" max="11264" width="12.1640625" style="2074"/>
    <col min="11265" max="11265" width="102.83203125" style="2074" customWidth="1"/>
    <col min="11266" max="11268" width="23.6640625" style="2074" customWidth="1"/>
    <col min="11269" max="11520" width="12.1640625" style="2074"/>
    <col min="11521" max="11521" width="102.83203125" style="2074" customWidth="1"/>
    <col min="11522" max="11524" width="23.6640625" style="2074" customWidth="1"/>
    <col min="11525" max="11776" width="12.1640625" style="2074"/>
    <col min="11777" max="11777" width="102.83203125" style="2074" customWidth="1"/>
    <col min="11778" max="11780" width="23.6640625" style="2074" customWidth="1"/>
    <col min="11781" max="12032" width="12.1640625" style="2074"/>
    <col min="12033" max="12033" width="102.83203125" style="2074" customWidth="1"/>
    <col min="12034" max="12036" width="23.6640625" style="2074" customWidth="1"/>
    <col min="12037" max="12288" width="12.1640625" style="2074"/>
    <col min="12289" max="12289" width="102.83203125" style="2074" customWidth="1"/>
    <col min="12290" max="12292" width="23.6640625" style="2074" customWidth="1"/>
    <col min="12293" max="12544" width="12.1640625" style="2074"/>
    <col min="12545" max="12545" width="102.83203125" style="2074" customWidth="1"/>
    <col min="12546" max="12548" width="23.6640625" style="2074" customWidth="1"/>
    <col min="12549" max="12800" width="12.1640625" style="2074"/>
    <col min="12801" max="12801" width="102.83203125" style="2074" customWidth="1"/>
    <col min="12802" max="12804" width="23.6640625" style="2074" customWidth="1"/>
    <col min="12805" max="13056" width="12.1640625" style="2074"/>
    <col min="13057" max="13057" width="102.83203125" style="2074" customWidth="1"/>
    <col min="13058" max="13060" width="23.6640625" style="2074" customWidth="1"/>
    <col min="13061" max="13312" width="12.1640625" style="2074"/>
    <col min="13313" max="13313" width="102.83203125" style="2074" customWidth="1"/>
    <col min="13314" max="13316" width="23.6640625" style="2074" customWidth="1"/>
    <col min="13317" max="13568" width="12.1640625" style="2074"/>
    <col min="13569" max="13569" width="102.83203125" style="2074" customWidth="1"/>
    <col min="13570" max="13572" width="23.6640625" style="2074" customWidth="1"/>
    <col min="13573" max="13824" width="12.1640625" style="2074"/>
    <col min="13825" max="13825" width="102.83203125" style="2074" customWidth="1"/>
    <col min="13826" max="13828" width="23.6640625" style="2074" customWidth="1"/>
    <col min="13829" max="14080" width="12.1640625" style="2074"/>
    <col min="14081" max="14081" width="102.83203125" style="2074" customWidth="1"/>
    <col min="14082" max="14084" width="23.6640625" style="2074" customWidth="1"/>
    <col min="14085" max="14336" width="12.1640625" style="2074"/>
    <col min="14337" max="14337" width="102.83203125" style="2074" customWidth="1"/>
    <col min="14338" max="14340" width="23.6640625" style="2074" customWidth="1"/>
    <col min="14341" max="14592" width="12.1640625" style="2074"/>
    <col min="14593" max="14593" width="102.83203125" style="2074" customWidth="1"/>
    <col min="14594" max="14596" width="23.6640625" style="2074" customWidth="1"/>
    <col min="14597" max="14848" width="12.1640625" style="2074"/>
    <col min="14849" max="14849" width="102.83203125" style="2074" customWidth="1"/>
    <col min="14850" max="14852" width="23.6640625" style="2074" customWidth="1"/>
    <col min="14853" max="15104" width="12.1640625" style="2074"/>
    <col min="15105" max="15105" width="102.83203125" style="2074" customWidth="1"/>
    <col min="15106" max="15108" width="23.6640625" style="2074" customWidth="1"/>
    <col min="15109" max="15360" width="12.1640625" style="2074"/>
    <col min="15361" max="15361" width="102.83203125" style="2074" customWidth="1"/>
    <col min="15362" max="15364" width="23.6640625" style="2074" customWidth="1"/>
    <col min="15365" max="15616" width="12.1640625" style="2074"/>
    <col min="15617" max="15617" width="102.83203125" style="2074" customWidth="1"/>
    <col min="15618" max="15620" width="23.6640625" style="2074" customWidth="1"/>
    <col min="15621" max="15872" width="12.1640625" style="2074"/>
    <col min="15873" max="15873" width="102.83203125" style="2074" customWidth="1"/>
    <col min="15874" max="15876" width="23.6640625" style="2074" customWidth="1"/>
    <col min="15877" max="16128" width="12.1640625" style="2074"/>
    <col min="16129" max="16129" width="102.83203125" style="2074" customWidth="1"/>
    <col min="16130" max="16132" width="23.6640625" style="2074" customWidth="1"/>
    <col min="16133" max="16384" width="12.1640625" style="2074"/>
  </cols>
  <sheetData>
    <row r="1" spans="1:5" s="2073" customFormat="1" ht="21.75" x14ac:dyDescent="0.3">
      <c r="A1" s="2402" t="s">
        <v>713</v>
      </c>
      <c r="B1" s="2402"/>
      <c r="C1" s="2402"/>
      <c r="D1" s="2402"/>
      <c r="E1" s="2402"/>
    </row>
    <row r="2" spans="1:5" ht="21.75" x14ac:dyDescent="0.3">
      <c r="A2" s="2402" t="s">
        <v>1320</v>
      </c>
      <c r="B2" s="2402"/>
      <c r="C2" s="2402"/>
      <c r="D2" s="2402"/>
      <c r="E2" s="2402"/>
    </row>
    <row r="3" spans="1:5" ht="21.75" x14ac:dyDescent="0.3">
      <c r="A3" s="2402" t="s">
        <v>1321</v>
      </c>
      <c r="B3" s="2402"/>
      <c r="C3" s="2402"/>
      <c r="D3" s="2402"/>
      <c r="E3" s="2402"/>
    </row>
    <row r="4" spans="1:5" ht="16.5" thickBot="1" x14ac:dyDescent="0.3">
      <c r="E4" s="2076" t="s">
        <v>19</v>
      </c>
    </row>
    <row r="5" spans="1:5" s="2073" customFormat="1" ht="72" customHeight="1" x14ac:dyDescent="0.3">
      <c r="A5" s="2077" t="s">
        <v>1322</v>
      </c>
      <c r="B5" s="2078" t="s">
        <v>1323</v>
      </c>
      <c r="C5" s="2078" t="s">
        <v>1324</v>
      </c>
      <c r="D5" s="2078" t="s">
        <v>1325</v>
      </c>
      <c r="E5" s="2078" t="s">
        <v>1326</v>
      </c>
    </row>
    <row r="6" spans="1:5" s="2089" customFormat="1" ht="39.75" customHeight="1" x14ac:dyDescent="0.3">
      <c r="A6" s="2164" t="s">
        <v>1327</v>
      </c>
      <c r="B6" s="2092"/>
      <c r="C6" s="2165"/>
      <c r="D6" s="2092"/>
      <c r="E6" s="2092"/>
    </row>
    <row r="7" spans="1:5" ht="26.25" customHeight="1" x14ac:dyDescent="0.3">
      <c r="A7" s="2079" t="s">
        <v>1328</v>
      </c>
      <c r="B7" s="2080">
        <v>893192</v>
      </c>
      <c r="C7" s="2080">
        <v>895965</v>
      </c>
      <c r="D7" s="2080">
        <v>895965</v>
      </c>
      <c r="E7" s="2080">
        <f>D7-C7</f>
        <v>0</v>
      </c>
    </row>
    <row r="8" spans="1:5" ht="26.25" customHeight="1" x14ac:dyDescent="0.3">
      <c r="A8" s="2079" t="s">
        <v>1329</v>
      </c>
      <c r="B8" s="2080">
        <v>80542</v>
      </c>
      <c r="C8" s="2080">
        <f t="shared" ref="C8:C13" si="0">SUM(A8:B8)</f>
        <v>80542</v>
      </c>
      <c r="D8" s="2080">
        <v>80542</v>
      </c>
      <c r="E8" s="2080">
        <f t="shared" ref="E8:E14" si="1">D8-C8</f>
        <v>0</v>
      </c>
    </row>
    <row r="9" spans="1:5" ht="26.25" customHeight="1" x14ac:dyDescent="0.3">
      <c r="A9" s="2079" t="s">
        <v>1330</v>
      </c>
      <c r="B9" s="2080">
        <v>208081</v>
      </c>
      <c r="C9" s="2080">
        <f t="shared" si="0"/>
        <v>208081</v>
      </c>
      <c r="D9" s="2080">
        <v>208081</v>
      </c>
      <c r="E9" s="2080">
        <f t="shared" si="1"/>
        <v>0</v>
      </c>
    </row>
    <row r="10" spans="1:5" ht="27.75" customHeight="1" x14ac:dyDescent="0.3">
      <c r="A10" s="2079" t="s">
        <v>1331</v>
      </c>
      <c r="B10" s="2080">
        <v>25261</v>
      </c>
      <c r="C10" s="2080">
        <f t="shared" si="0"/>
        <v>25261</v>
      </c>
      <c r="D10" s="2080">
        <v>25261</v>
      </c>
      <c r="E10" s="2080">
        <f t="shared" si="1"/>
        <v>0</v>
      </c>
    </row>
    <row r="11" spans="1:5" ht="26.25" customHeight="1" x14ac:dyDescent="0.3">
      <c r="A11" s="2079" t="s">
        <v>1332</v>
      </c>
      <c r="B11" s="2080">
        <v>126166</v>
      </c>
      <c r="C11" s="2080">
        <v>128850</v>
      </c>
      <c r="D11" s="2080">
        <v>128850</v>
      </c>
      <c r="E11" s="2080">
        <f t="shared" si="1"/>
        <v>0</v>
      </c>
    </row>
    <row r="12" spans="1:5" ht="26.25" customHeight="1" x14ac:dyDescent="0.3">
      <c r="A12" s="2079" t="s">
        <v>1333</v>
      </c>
      <c r="B12" s="2080">
        <v>205430</v>
      </c>
      <c r="C12" s="2080">
        <f t="shared" si="0"/>
        <v>205430</v>
      </c>
      <c r="D12" s="2080">
        <v>205430</v>
      </c>
      <c r="E12" s="2080">
        <f t="shared" si="1"/>
        <v>0</v>
      </c>
    </row>
    <row r="13" spans="1:5" ht="26.25" customHeight="1" x14ac:dyDescent="0.3">
      <c r="A13" s="2079" t="s">
        <v>1334</v>
      </c>
      <c r="B13" s="2080">
        <v>97</v>
      </c>
      <c r="C13" s="2080">
        <f t="shared" si="0"/>
        <v>97</v>
      </c>
      <c r="D13" s="2080">
        <v>97</v>
      </c>
      <c r="E13" s="2080">
        <f t="shared" si="1"/>
        <v>0</v>
      </c>
    </row>
    <row r="14" spans="1:5" ht="26.25" customHeight="1" thickBot="1" x14ac:dyDescent="0.35">
      <c r="A14" s="2079" t="s">
        <v>1335</v>
      </c>
      <c r="B14" s="2080">
        <v>90</v>
      </c>
      <c r="C14" s="2080">
        <v>28</v>
      </c>
      <c r="D14" s="2080">
        <v>37</v>
      </c>
      <c r="E14" s="2080">
        <f t="shared" si="1"/>
        <v>9</v>
      </c>
    </row>
    <row r="15" spans="1:5" s="2117" customFormat="1" ht="55.5" customHeight="1" thickTop="1" thickBot="1" x14ac:dyDescent="0.35">
      <c r="A15" s="2114" t="s">
        <v>1336</v>
      </c>
      <c r="B15" s="2116">
        <f>SUM(B6:B14)</f>
        <v>1538859</v>
      </c>
      <c r="C15" s="2116">
        <f>SUM(C6:C14)</f>
        <v>1544254</v>
      </c>
      <c r="D15" s="2116">
        <f>SUM(D6:D14)</f>
        <v>1544263</v>
      </c>
      <c r="E15" s="2116">
        <f>SUM(E6:E14)</f>
        <v>9</v>
      </c>
    </row>
    <row r="16" spans="1:5" s="2086" customFormat="1" ht="44.25" customHeight="1" thickTop="1" x14ac:dyDescent="0.3">
      <c r="A16" s="2084" t="s">
        <v>1337</v>
      </c>
      <c r="B16" s="2085"/>
      <c r="C16" s="2085"/>
      <c r="D16" s="2085"/>
      <c r="E16" s="2085"/>
    </row>
    <row r="17" spans="1:5" s="2089" customFormat="1" ht="27.75" customHeight="1" x14ac:dyDescent="0.3">
      <c r="A17" s="2087" t="s">
        <v>1338</v>
      </c>
      <c r="B17" s="2088"/>
      <c r="C17" s="2088"/>
      <c r="D17" s="2088"/>
      <c r="E17" s="2088"/>
    </row>
    <row r="18" spans="1:5" s="2091" customFormat="1" ht="27.75" customHeight="1" x14ac:dyDescent="0.3">
      <c r="A18" s="2090" t="s">
        <v>1339</v>
      </c>
      <c r="B18" s="2080">
        <v>236361</v>
      </c>
      <c r="C18" s="2080">
        <v>232075</v>
      </c>
      <c r="D18" s="2080">
        <v>232172</v>
      </c>
      <c r="E18" s="2080">
        <f t="shared" ref="E18:E45" si="2">D18-C18</f>
        <v>97</v>
      </c>
    </row>
    <row r="19" spans="1:5" s="2089" customFormat="1" ht="27.75" customHeight="1" x14ac:dyDescent="0.3">
      <c r="A19" s="2084" t="s">
        <v>1340</v>
      </c>
      <c r="B19" s="2092"/>
      <c r="C19" s="2092"/>
      <c r="D19" s="2092"/>
      <c r="E19" s="2092">
        <f t="shared" si="2"/>
        <v>0</v>
      </c>
    </row>
    <row r="20" spans="1:5" s="2091" customFormat="1" ht="27.75" customHeight="1" x14ac:dyDescent="0.3">
      <c r="A20" s="2093" t="s">
        <v>1341</v>
      </c>
      <c r="B20" s="2080">
        <v>1080225</v>
      </c>
      <c r="C20" s="2080">
        <v>1054946</v>
      </c>
      <c r="D20" s="2080">
        <v>1055918</v>
      </c>
      <c r="E20" s="2080">
        <f t="shared" si="2"/>
        <v>972</v>
      </c>
    </row>
    <row r="21" spans="1:5" s="2096" customFormat="1" ht="27.75" customHeight="1" x14ac:dyDescent="0.3">
      <c r="A21" s="2094" t="s">
        <v>1342</v>
      </c>
      <c r="B21" s="2095"/>
      <c r="C21" s="2095"/>
      <c r="D21" s="2095"/>
      <c r="E21" s="2095">
        <f t="shared" si="2"/>
        <v>0</v>
      </c>
    </row>
    <row r="22" spans="1:5" s="2089" customFormat="1" ht="27.75" customHeight="1" x14ac:dyDescent="0.3">
      <c r="A22" s="2097" t="s">
        <v>1343</v>
      </c>
      <c r="B22" s="2088"/>
      <c r="C22" s="2088"/>
      <c r="D22" s="2088"/>
      <c r="E22" s="2088">
        <f t="shared" si="2"/>
        <v>0</v>
      </c>
    </row>
    <row r="23" spans="1:5" s="2091" customFormat="1" ht="48.75" customHeight="1" x14ac:dyDescent="0.3">
      <c r="A23" s="2098" t="s">
        <v>1344</v>
      </c>
      <c r="B23" s="2080">
        <v>7304</v>
      </c>
      <c r="C23" s="2080">
        <v>7304</v>
      </c>
      <c r="D23" s="2080">
        <v>8116</v>
      </c>
      <c r="E23" s="2080">
        <f t="shared" si="2"/>
        <v>812</v>
      </c>
    </row>
    <row r="24" spans="1:5" s="2096" customFormat="1" ht="48.75" customHeight="1" x14ac:dyDescent="0.3">
      <c r="A24" s="2087" t="s">
        <v>1345</v>
      </c>
      <c r="B24" s="2099"/>
      <c r="C24" s="2099"/>
      <c r="D24" s="2099"/>
      <c r="E24" s="2099">
        <f t="shared" si="2"/>
        <v>0</v>
      </c>
    </row>
    <row r="25" spans="1:5" s="2096" customFormat="1" ht="27.75" customHeight="1" x14ac:dyDescent="0.3">
      <c r="A25" s="2097" t="s">
        <v>1346</v>
      </c>
      <c r="B25" s="2099"/>
      <c r="C25" s="2099"/>
      <c r="D25" s="2099"/>
      <c r="E25" s="2099">
        <f t="shared" si="2"/>
        <v>0</v>
      </c>
    </row>
    <row r="26" spans="1:5" s="2101" customFormat="1" ht="27.75" customHeight="1" x14ac:dyDescent="0.3">
      <c r="A26" s="2100" t="s">
        <v>1347</v>
      </c>
      <c r="B26" s="2080">
        <v>410120</v>
      </c>
      <c r="C26" s="2080">
        <v>467838</v>
      </c>
      <c r="D26" s="2080">
        <v>461866</v>
      </c>
      <c r="E26" s="2080">
        <f t="shared" si="2"/>
        <v>-5972</v>
      </c>
    </row>
    <row r="27" spans="1:5" s="2101" customFormat="1" ht="39.75" customHeight="1" thickBot="1" x14ac:dyDescent="0.35">
      <c r="A27" s="2102" t="s">
        <v>1348</v>
      </c>
      <c r="B27" s="2103">
        <v>34031</v>
      </c>
      <c r="C27" s="2103">
        <v>34031</v>
      </c>
      <c r="D27" s="2103">
        <v>33544</v>
      </c>
      <c r="E27" s="2103">
        <f t="shared" si="2"/>
        <v>-487</v>
      </c>
    </row>
    <row r="28" spans="1:5" s="2105" customFormat="1" ht="48.75" customHeight="1" thickTop="1" x14ac:dyDescent="0.3">
      <c r="A28" s="2104" t="s">
        <v>1349</v>
      </c>
      <c r="B28" s="2099"/>
      <c r="C28" s="2099"/>
      <c r="D28" s="2099"/>
      <c r="E28" s="2099">
        <f t="shared" si="2"/>
        <v>0</v>
      </c>
    </row>
    <row r="29" spans="1:5" s="2106" customFormat="1" ht="27.75" customHeight="1" x14ac:dyDescent="0.3">
      <c r="A29" s="2087" t="s">
        <v>1350</v>
      </c>
      <c r="B29" s="2099"/>
      <c r="C29" s="2099"/>
      <c r="D29" s="2099"/>
      <c r="E29" s="2099">
        <f t="shared" si="2"/>
        <v>0</v>
      </c>
    </row>
    <row r="30" spans="1:5" s="2096" customFormat="1" ht="27.75" customHeight="1" x14ac:dyDescent="0.3">
      <c r="A30" s="2097" t="s">
        <v>1351</v>
      </c>
      <c r="B30" s="2099"/>
      <c r="C30" s="2099"/>
      <c r="D30" s="2099"/>
      <c r="E30" s="2099">
        <f t="shared" si="2"/>
        <v>0</v>
      </c>
    </row>
    <row r="31" spans="1:5" s="2108" customFormat="1" ht="27.75" customHeight="1" x14ac:dyDescent="0.3">
      <c r="A31" s="2107" t="s">
        <v>1352</v>
      </c>
      <c r="B31" s="2088"/>
      <c r="C31" s="2088"/>
      <c r="D31" s="2088"/>
      <c r="E31" s="2088">
        <f t="shared" si="2"/>
        <v>0</v>
      </c>
    </row>
    <row r="32" spans="1:5" s="2091" customFormat="1" ht="48.75" customHeight="1" x14ac:dyDescent="0.3">
      <c r="A32" s="2079" t="s">
        <v>1353</v>
      </c>
      <c r="B32" s="2080">
        <v>27994</v>
      </c>
      <c r="C32" s="2080">
        <v>25099</v>
      </c>
      <c r="D32" s="2080">
        <v>25099</v>
      </c>
      <c r="E32" s="2080">
        <f t="shared" si="2"/>
        <v>0</v>
      </c>
    </row>
    <row r="33" spans="1:5" s="2091" customFormat="1" ht="27.75" customHeight="1" x14ac:dyDescent="0.3">
      <c r="A33" s="2079" t="s">
        <v>1354</v>
      </c>
      <c r="B33" s="2082">
        <v>21104</v>
      </c>
      <c r="C33" s="2082">
        <v>17721</v>
      </c>
      <c r="D33" s="2080">
        <v>17721</v>
      </c>
      <c r="E33" s="2080">
        <f t="shared" si="2"/>
        <v>0</v>
      </c>
    </row>
    <row r="34" spans="1:5" s="2091" customFormat="1" ht="27.75" customHeight="1" x14ac:dyDescent="0.3">
      <c r="A34" s="2109" t="s">
        <v>1355</v>
      </c>
      <c r="B34" s="2092"/>
      <c r="C34" s="2092"/>
      <c r="D34" s="2092"/>
      <c r="E34" s="2092">
        <f t="shared" si="2"/>
        <v>0</v>
      </c>
    </row>
    <row r="35" spans="1:5" s="2091" customFormat="1" ht="48.75" customHeight="1" x14ac:dyDescent="0.3">
      <c r="A35" s="2079" t="s">
        <v>1356</v>
      </c>
      <c r="B35" s="2080">
        <v>1040</v>
      </c>
      <c r="C35" s="2080">
        <v>520</v>
      </c>
      <c r="D35" s="2080">
        <v>520</v>
      </c>
      <c r="E35" s="2080">
        <f t="shared" si="2"/>
        <v>0</v>
      </c>
    </row>
    <row r="36" spans="1:5" s="2091" customFormat="1" ht="27.75" customHeight="1" x14ac:dyDescent="0.3">
      <c r="A36" s="2079" t="s">
        <v>1357</v>
      </c>
      <c r="B36" s="2082">
        <v>1820</v>
      </c>
      <c r="C36" s="2082">
        <v>1820</v>
      </c>
      <c r="D36" s="2080">
        <v>1820</v>
      </c>
      <c r="E36" s="2080">
        <f t="shared" si="2"/>
        <v>0</v>
      </c>
    </row>
    <row r="37" spans="1:5" s="2111" customFormat="1" ht="27.75" customHeight="1" x14ac:dyDescent="0.3">
      <c r="A37" s="2094" t="s">
        <v>1358</v>
      </c>
      <c r="B37" s="2110"/>
      <c r="C37" s="2110"/>
      <c r="D37" s="2110"/>
      <c r="E37" s="2110">
        <f t="shared" si="2"/>
        <v>0</v>
      </c>
    </row>
    <row r="38" spans="1:5" s="2096" customFormat="1" ht="27.75" customHeight="1" x14ac:dyDescent="0.3">
      <c r="A38" s="2097" t="s">
        <v>1359</v>
      </c>
      <c r="B38" s="2099"/>
      <c r="C38" s="2099"/>
      <c r="D38" s="2099"/>
      <c r="E38" s="2099">
        <f t="shared" si="2"/>
        <v>0</v>
      </c>
    </row>
    <row r="39" spans="1:5" s="2108" customFormat="1" ht="27.75" customHeight="1" x14ac:dyDescent="0.3">
      <c r="A39" s="2107" t="s">
        <v>1360</v>
      </c>
      <c r="B39" s="2088"/>
      <c r="C39" s="2088"/>
      <c r="D39" s="2088"/>
      <c r="E39" s="2088">
        <f t="shared" si="2"/>
        <v>0</v>
      </c>
    </row>
    <row r="40" spans="1:5" s="2091" customFormat="1" ht="48.75" customHeight="1" x14ac:dyDescent="0.3">
      <c r="A40" s="2079" t="s">
        <v>1361</v>
      </c>
      <c r="B40" s="2080"/>
      <c r="C40" s="2080">
        <v>3168</v>
      </c>
      <c r="D40" s="2080">
        <v>3168</v>
      </c>
      <c r="E40" s="2080">
        <f t="shared" si="2"/>
        <v>0</v>
      </c>
    </row>
    <row r="41" spans="1:5" s="2091" customFormat="1" ht="27.75" customHeight="1" x14ac:dyDescent="0.3">
      <c r="A41" s="2079" t="s">
        <v>1362</v>
      </c>
      <c r="B41" s="2082"/>
      <c r="C41" s="2082">
        <v>1477</v>
      </c>
      <c r="D41" s="2080">
        <v>1477</v>
      </c>
      <c r="E41" s="2080">
        <f t="shared" si="2"/>
        <v>0</v>
      </c>
    </row>
    <row r="42" spans="1:5" s="2091" customFormat="1" ht="27.75" customHeight="1" x14ac:dyDescent="0.3">
      <c r="A42" s="2109" t="s">
        <v>1363</v>
      </c>
      <c r="B42" s="2092"/>
      <c r="C42" s="2092"/>
      <c r="D42" s="2092"/>
      <c r="E42" s="2092">
        <f t="shared" si="2"/>
        <v>0</v>
      </c>
    </row>
    <row r="43" spans="1:5" s="2091" customFormat="1" ht="48.75" customHeight="1" x14ac:dyDescent="0.3">
      <c r="A43" s="2079" t="s">
        <v>1364</v>
      </c>
      <c r="B43" s="2080"/>
      <c r="C43" s="2080">
        <v>0</v>
      </c>
      <c r="D43" s="2080"/>
      <c r="E43" s="2080">
        <f t="shared" si="2"/>
        <v>0</v>
      </c>
    </row>
    <row r="44" spans="1:5" s="2091" customFormat="1" ht="27.75" customHeight="1" x14ac:dyDescent="0.3">
      <c r="A44" s="2083" t="s">
        <v>1365</v>
      </c>
      <c r="B44" s="2082"/>
      <c r="C44" s="2082">
        <v>1668</v>
      </c>
      <c r="D44" s="2080">
        <v>1668</v>
      </c>
      <c r="E44" s="2080">
        <f t="shared" si="2"/>
        <v>0</v>
      </c>
    </row>
    <row r="45" spans="1:5" s="2091" customFormat="1" ht="27.75" customHeight="1" thickBot="1" x14ac:dyDescent="0.35">
      <c r="A45" s="2112" t="s">
        <v>1366</v>
      </c>
      <c r="B45" s="2082"/>
      <c r="C45" s="2113">
        <v>168</v>
      </c>
      <c r="D45" s="2080">
        <v>48</v>
      </c>
      <c r="E45" s="2080">
        <f t="shared" si="2"/>
        <v>-120</v>
      </c>
    </row>
    <row r="46" spans="1:5" s="2091" customFormat="1" ht="51.75" customHeight="1" thickTop="1" thickBot="1" x14ac:dyDescent="0.35">
      <c r="A46" s="2114" t="s">
        <v>1367</v>
      </c>
      <c r="B46" s="2115">
        <f>SUM(B16:B45)</f>
        <v>1819999</v>
      </c>
      <c r="C46" s="2115">
        <f>SUM(C16:C45)</f>
        <v>1847835</v>
      </c>
      <c r="D46" s="2115">
        <f>SUM(D16:D45)</f>
        <v>1843137</v>
      </c>
      <c r="E46" s="2115">
        <f>SUM(E16:E45)</f>
        <v>-4698</v>
      </c>
    </row>
    <row r="47" spans="1:5" s="2118" customFormat="1" ht="48.75" customHeight="1" thickTop="1" x14ac:dyDescent="0.3">
      <c r="A47" s="2084" t="s">
        <v>1368</v>
      </c>
      <c r="B47" s="2085"/>
      <c r="C47" s="2085"/>
      <c r="D47" s="2085"/>
      <c r="E47" s="2085"/>
    </row>
    <row r="48" spans="1:5" s="2089" customFormat="1" ht="27.75" customHeight="1" x14ac:dyDescent="0.3">
      <c r="A48" s="2107" t="s">
        <v>1369</v>
      </c>
      <c r="B48" s="2088"/>
      <c r="C48" s="2088"/>
      <c r="D48" s="2088"/>
      <c r="E48" s="2088"/>
    </row>
    <row r="49" spans="1:5" s="2091" customFormat="1" ht="27.75" customHeight="1" x14ac:dyDescent="0.3">
      <c r="A49" s="2079" t="s">
        <v>1370</v>
      </c>
      <c r="B49" s="2080">
        <v>63550</v>
      </c>
      <c r="C49" s="2080">
        <v>65971</v>
      </c>
      <c r="D49" s="2080">
        <v>65971</v>
      </c>
      <c r="E49" s="2080">
        <f t="shared" ref="E49:E55" si="3">D49-C49</f>
        <v>0</v>
      </c>
    </row>
    <row r="50" spans="1:5" s="2091" customFormat="1" ht="27.75" customHeight="1" x14ac:dyDescent="0.3">
      <c r="A50" s="2081" t="s">
        <v>1371</v>
      </c>
      <c r="B50" s="2080">
        <v>69350</v>
      </c>
      <c r="C50" s="2080">
        <v>72743</v>
      </c>
      <c r="D50" s="2080">
        <v>72743</v>
      </c>
      <c r="E50" s="2080">
        <f t="shared" si="3"/>
        <v>0</v>
      </c>
    </row>
    <row r="51" spans="1:5" s="2091" customFormat="1" ht="27.75" customHeight="1" x14ac:dyDescent="0.3">
      <c r="A51" s="2081" t="s">
        <v>1372</v>
      </c>
      <c r="B51" s="2080">
        <v>53221</v>
      </c>
      <c r="C51" s="2080">
        <v>53718</v>
      </c>
      <c r="D51" s="2080">
        <v>54124</v>
      </c>
      <c r="E51" s="2080">
        <f t="shared" si="3"/>
        <v>406</v>
      </c>
    </row>
    <row r="52" spans="1:5" s="2091" customFormat="1" ht="27.75" customHeight="1" x14ac:dyDescent="0.3">
      <c r="A52" s="2119" t="s">
        <v>1373</v>
      </c>
      <c r="B52" s="2080">
        <v>275</v>
      </c>
      <c r="C52" s="2080">
        <v>200</v>
      </c>
      <c r="D52" s="2080">
        <v>175</v>
      </c>
      <c r="E52" s="2080">
        <f t="shared" si="3"/>
        <v>-25</v>
      </c>
    </row>
    <row r="53" spans="1:5" s="2091" customFormat="1" ht="27.75" customHeight="1" x14ac:dyDescent="0.3">
      <c r="A53" s="2081" t="s">
        <v>1374</v>
      </c>
      <c r="B53" s="2080">
        <v>37389</v>
      </c>
      <c r="C53" s="2080">
        <v>39324</v>
      </c>
      <c r="D53" s="2080">
        <v>38945</v>
      </c>
      <c r="E53" s="2080">
        <f t="shared" si="3"/>
        <v>-379</v>
      </c>
    </row>
    <row r="54" spans="1:5" s="2121" customFormat="1" ht="27.75" customHeight="1" x14ac:dyDescent="0.3">
      <c r="A54" s="2120" t="s">
        <v>1375</v>
      </c>
      <c r="B54" s="2080">
        <v>28861</v>
      </c>
      <c r="C54" s="2080">
        <v>25333</v>
      </c>
      <c r="D54" s="2080">
        <v>26230</v>
      </c>
      <c r="E54" s="2080">
        <f t="shared" si="3"/>
        <v>897</v>
      </c>
    </row>
    <row r="55" spans="1:5" s="2091" customFormat="1" ht="27.75" customHeight="1" thickBot="1" x14ac:dyDescent="0.35">
      <c r="A55" s="2081" t="s">
        <v>1376</v>
      </c>
      <c r="B55" s="2082">
        <v>6588</v>
      </c>
      <c r="C55" s="2082">
        <v>6719</v>
      </c>
      <c r="D55" s="2080">
        <v>6719</v>
      </c>
      <c r="E55" s="2080">
        <f t="shared" si="3"/>
        <v>0</v>
      </c>
    </row>
    <row r="56" spans="1:5" s="2091" customFormat="1" ht="27.75" customHeight="1" thickTop="1" thickBot="1" x14ac:dyDescent="0.35">
      <c r="A56" s="2122" t="s">
        <v>1369</v>
      </c>
      <c r="B56" s="2123">
        <f>SUM(B49:B55)</f>
        <v>259234</v>
      </c>
      <c r="C56" s="2123">
        <f>SUM(C49:C55)</f>
        <v>264008</v>
      </c>
      <c r="D56" s="2123">
        <f>SUM(D49:D55)</f>
        <v>264907</v>
      </c>
      <c r="E56" s="2123">
        <f>SUM(E49:E55)</f>
        <v>899</v>
      </c>
    </row>
    <row r="57" spans="1:5" s="2089" customFormat="1" ht="27.75" customHeight="1" thickTop="1" x14ac:dyDescent="0.3">
      <c r="A57" s="2107" t="s">
        <v>1377</v>
      </c>
      <c r="B57" s="2088"/>
      <c r="C57" s="2088"/>
      <c r="D57" s="2088"/>
      <c r="E57" s="2088"/>
    </row>
    <row r="58" spans="1:5" s="2089" customFormat="1" ht="27.75" customHeight="1" x14ac:dyDescent="0.3">
      <c r="A58" s="2107" t="s">
        <v>1378</v>
      </c>
      <c r="B58" s="2088"/>
      <c r="C58" s="2088"/>
      <c r="D58" s="2088"/>
      <c r="E58" s="2088"/>
    </row>
    <row r="59" spans="1:5" s="2091" customFormat="1" ht="27.75" customHeight="1" x14ac:dyDescent="0.3">
      <c r="A59" s="2079" t="s">
        <v>1379</v>
      </c>
      <c r="B59" s="2080">
        <v>242250</v>
      </c>
      <c r="C59" s="2080">
        <v>264690</v>
      </c>
      <c r="D59" s="2080">
        <v>266220</v>
      </c>
      <c r="E59" s="2080">
        <f t="shared" ref="E59:E61" si="4">D59-C59</f>
        <v>1530</v>
      </c>
    </row>
    <row r="60" spans="1:5" s="2091" customFormat="1" ht="48.75" customHeight="1" x14ac:dyDescent="0.3">
      <c r="A60" s="2081" t="s">
        <v>1380</v>
      </c>
      <c r="B60" s="2080">
        <v>183180</v>
      </c>
      <c r="C60" s="2080">
        <v>217686</v>
      </c>
      <c r="D60" s="2080">
        <v>216834</v>
      </c>
      <c r="E60" s="2080">
        <f t="shared" si="4"/>
        <v>-852</v>
      </c>
    </row>
    <row r="61" spans="1:5" s="2091" customFormat="1" ht="27.75" customHeight="1" thickBot="1" x14ac:dyDescent="0.35">
      <c r="A61" s="2124" t="s">
        <v>1381</v>
      </c>
      <c r="B61" s="2125">
        <v>159556</v>
      </c>
      <c r="C61" s="2125">
        <v>112786</v>
      </c>
      <c r="D61" s="2080">
        <v>112786</v>
      </c>
      <c r="E61" s="2080">
        <f t="shared" si="4"/>
        <v>0</v>
      </c>
    </row>
    <row r="62" spans="1:5" s="2091" customFormat="1" ht="27.75" customHeight="1" thickTop="1" thickBot="1" x14ac:dyDescent="0.35">
      <c r="A62" s="2122" t="s">
        <v>1382</v>
      </c>
      <c r="B62" s="2123">
        <f>SUM(B59:B61)</f>
        <v>584986</v>
      </c>
      <c r="C62" s="2123">
        <f>SUM(C59:C61)</f>
        <v>595162</v>
      </c>
      <c r="D62" s="2123">
        <f>SUM(D59:D61)</f>
        <v>595840</v>
      </c>
      <c r="E62" s="2123">
        <f>SUM(E59:E61)</f>
        <v>678</v>
      </c>
    </row>
    <row r="63" spans="1:5" s="2089" customFormat="1" ht="48.75" customHeight="1" thickTop="1" x14ac:dyDescent="0.3">
      <c r="A63" s="2126" t="s">
        <v>1383</v>
      </c>
      <c r="B63" s="2127"/>
      <c r="C63" s="2127"/>
      <c r="D63" s="2127"/>
      <c r="E63" s="2127"/>
    </row>
    <row r="64" spans="1:5" s="2091" customFormat="1" ht="27.75" customHeight="1" x14ac:dyDescent="0.3">
      <c r="A64" s="2079" t="s">
        <v>1384</v>
      </c>
      <c r="B64" s="2080">
        <v>50808</v>
      </c>
      <c r="C64" s="2080">
        <v>48862</v>
      </c>
      <c r="D64" s="2080">
        <v>53304</v>
      </c>
      <c r="E64" s="2080">
        <f t="shared" ref="E64:E65" si="5">D64-C64</f>
        <v>4442</v>
      </c>
    </row>
    <row r="65" spans="1:5" s="2091" customFormat="1" ht="27.75" customHeight="1" thickBot="1" x14ac:dyDescent="0.35">
      <c r="A65" s="2081" t="s">
        <v>1385</v>
      </c>
      <c r="B65" s="2125">
        <v>14418</v>
      </c>
      <c r="C65" s="2125">
        <v>14421</v>
      </c>
      <c r="D65" s="2080">
        <v>14421</v>
      </c>
      <c r="E65" s="2080">
        <f t="shared" si="5"/>
        <v>0</v>
      </c>
    </row>
    <row r="66" spans="1:5" s="2091" customFormat="1" ht="48.75" customHeight="1" thickTop="1" thickBot="1" x14ac:dyDescent="0.35">
      <c r="A66" s="2128" t="s">
        <v>1383</v>
      </c>
      <c r="B66" s="2123">
        <f>SUM(B64:B65)</f>
        <v>65226</v>
      </c>
      <c r="C66" s="2123">
        <f t="shared" ref="C66:E66" si="6">SUM(C64:C65)</f>
        <v>63283</v>
      </c>
      <c r="D66" s="2123">
        <f t="shared" si="6"/>
        <v>67725</v>
      </c>
      <c r="E66" s="2123">
        <f t="shared" si="6"/>
        <v>4442</v>
      </c>
    </row>
    <row r="67" spans="1:5" s="2091" customFormat="1" ht="47.25" customHeight="1" thickTop="1" thickBot="1" x14ac:dyDescent="0.35">
      <c r="A67" s="2114" t="s">
        <v>1386</v>
      </c>
      <c r="B67" s="2115">
        <f>B56+B62+B66</f>
        <v>909446</v>
      </c>
      <c r="C67" s="2115">
        <f>C56+C62+C66</f>
        <v>922453</v>
      </c>
      <c r="D67" s="2115">
        <f>D56+D62+D66</f>
        <v>928472</v>
      </c>
      <c r="E67" s="2115">
        <f>E56+E62+E66</f>
        <v>6019</v>
      </c>
    </row>
    <row r="68" spans="1:5" s="2089" customFormat="1" ht="48.75" customHeight="1" thickTop="1" x14ac:dyDescent="0.3">
      <c r="A68" s="2107" t="s">
        <v>1387</v>
      </c>
      <c r="B68" s="2088"/>
      <c r="C68" s="2088"/>
      <c r="D68" s="2088"/>
      <c r="E68" s="2088"/>
    </row>
    <row r="69" spans="1:5" s="2118" customFormat="1" ht="27.75" customHeight="1" x14ac:dyDescent="0.3">
      <c r="A69" s="2084" t="s">
        <v>1388</v>
      </c>
      <c r="B69" s="2085"/>
      <c r="C69" s="2085"/>
      <c r="D69" s="2085"/>
      <c r="E69" s="2085"/>
    </row>
    <row r="70" spans="1:5" s="2091" customFormat="1" ht="27.75" customHeight="1" x14ac:dyDescent="0.3">
      <c r="A70" s="2083" t="s">
        <v>1389</v>
      </c>
      <c r="B70" s="2080">
        <v>211892</v>
      </c>
      <c r="C70" s="2080">
        <v>197364</v>
      </c>
      <c r="D70" s="2080">
        <v>183781</v>
      </c>
      <c r="E70" s="2080">
        <f t="shared" ref="E70:E72" si="7">D70-C70</f>
        <v>-13583</v>
      </c>
    </row>
    <row r="71" spans="1:5" s="2101" customFormat="1" ht="27.75" customHeight="1" x14ac:dyDescent="0.3">
      <c r="A71" s="2129" t="s">
        <v>1390</v>
      </c>
      <c r="B71" s="2125">
        <v>370414</v>
      </c>
      <c r="C71" s="2125">
        <v>372549</v>
      </c>
      <c r="D71" s="2080">
        <v>372548</v>
      </c>
      <c r="E71" s="2080">
        <f t="shared" si="7"/>
        <v>-1</v>
      </c>
    </row>
    <row r="72" spans="1:5" s="2091" customFormat="1" ht="27.75" customHeight="1" thickBot="1" x14ac:dyDescent="0.35">
      <c r="A72" s="2130" t="s">
        <v>1391</v>
      </c>
      <c r="B72" s="2080">
        <v>1203</v>
      </c>
      <c r="C72" s="2080">
        <v>833</v>
      </c>
      <c r="D72" s="2080">
        <v>803</v>
      </c>
      <c r="E72" s="2080">
        <f t="shared" si="7"/>
        <v>-30</v>
      </c>
    </row>
    <row r="73" spans="1:5" s="2091" customFormat="1" ht="46.5" customHeight="1" thickTop="1" thickBot="1" x14ac:dyDescent="0.35">
      <c r="A73" s="2131" t="s">
        <v>1392</v>
      </c>
      <c r="B73" s="2115">
        <f>SUM(B70:B72)</f>
        <v>583509</v>
      </c>
      <c r="C73" s="2115">
        <f>SUM(C70:C72)</f>
        <v>570746</v>
      </c>
      <c r="D73" s="2115">
        <f>SUM(D70:D72)</f>
        <v>557132</v>
      </c>
      <c r="E73" s="2115">
        <f>SUM(E70:E72)</f>
        <v>-13614</v>
      </c>
    </row>
    <row r="74" spans="1:5" s="2089" customFormat="1" ht="40.5" customHeight="1" thickTop="1" x14ac:dyDescent="0.3">
      <c r="A74" s="2126" t="s">
        <v>1393</v>
      </c>
      <c r="B74" s="2127"/>
      <c r="C74" s="2127"/>
      <c r="D74" s="2127"/>
      <c r="E74" s="2127"/>
    </row>
    <row r="75" spans="1:5" s="2101" customFormat="1" ht="27.75" customHeight="1" x14ac:dyDescent="0.3">
      <c r="A75" s="2100" t="s">
        <v>1394</v>
      </c>
      <c r="B75" s="2080">
        <v>72281</v>
      </c>
      <c r="C75" s="2080">
        <v>73118</v>
      </c>
      <c r="D75" s="2080">
        <v>73118</v>
      </c>
      <c r="E75" s="2080">
        <f t="shared" ref="E75:E76" si="8">D75-C75</f>
        <v>0</v>
      </c>
    </row>
    <row r="76" spans="1:5" s="2101" customFormat="1" ht="27.75" customHeight="1" thickBot="1" x14ac:dyDescent="0.35">
      <c r="A76" s="2129" t="s">
        <v>1395</v>
      </c>
      <c r="B76" s="2080">
        <v>142714</v>
      </c>
      <c r="C76" s="2080">
        <v>142714</v>
      </c>
      <c r="D76" s="2080">
        <v>142714</v>
      </c>
      <c r="E76" s="2080">
        <f t="shared" si="8"/>
        <v>0</v>
      </c>
    </row>
    <row r="77" spans="1:5" s="2091" customFormat="1" ht="46.5" customHeight="1" thickTop="1" thickBot="1" x14ac:dyDescent="0.35">
      <c r="A77" s="2131" t="s">
        <v>1396</v>
      </c>
      <c r="B77" s="2115">
        <f>SUM(B75:B76)</f>
        <v>214995</v>
      </c>
      <c r="C77" s="2115">
        <f>SUM(C75:C76)</f>
        <v>215832</v>
      </c>
      <c r="D77" s="2115">
        <f>SUM(D75:D76)</f>
        <v>215832</v>
      </c>
      <c r="E77" s="2115">
        <f>SUM(E75:E76)</f>
        <v>0</v>
      </c>
    </row>
    <row r="78" spans="1:5" s="2091" customFormat="1" ht="48.75" customHeight="1" thickTop="1" thickBot="1" x14ac:dyDescent="0.35">
      <c r="A78" s="2132" t="s">
        <v>1397</v>
      </c>
      <c r="B78" s="2133">
        <f>B15+B46+B67+B73+B77</f>
        <v>5066808</v>
      </c>
      <c r="C78" s="2133">
        <f>C15+C46+C67+C73+C77</f>
        <v>5101120</v>
      </c>
      <c r="D78" s="2133">
        <f>D15+D46+D67+D73+D77</f>
        <v>5088836</v>
      </c>
      <c r="E78" s="2133">
        <f>E15+E46+E67+E73+E77</f>
        <v>-12284</v>
      </c>
    </row>
    <row r="79" spans="1:5" s="2136" customFormat="1" ht="27.75" customHeight="1" x14ac:dyDescent="0.3">
      <c r="A79" s="2134" t="s">
        <v>1398</v>
      </c>
      <c r="B79" s="2135"/>
      <c r="C79" s="2135"/>
      <c r="D79" s="2135"/>
      <c r="E79" s="2135"/>
    </row>
    <row r="80" spans="1:5" s="2136" customFormat="1" ht="45" customHeight="1" x14ac:dyDescent="0.3">
      <c r="A80" s="2137" t="s">
        <v>1399</v>
      </c>
      <c r="B80" s="2085"/>
      <c r="C80" s="2085">
        <v>116667</v>
      </c>
      <c r="D80" s="2080">
        <v>116667</v>
      </c>
      <c r="E80" s="2080">
        <f t="shared" ref="E80:E86" si="9">D80-C80</f>
        <v>0</v>
      </c>
    </row>
    <row r="81" spans="1:5" s="2136" customFormat="1" ht="27.75" customHeight="1" x14ac:dyDescent="0.3">
      <c r="A81" s="2138" t="s">
        <v>1400</v>
      </c>
      <c r="B81" s="2139"/>
      <c r="C81" s="2139">
        <v>186241</v>
      </c>
      <c r="D81" s="2080">
        <v>186241</v>
      </c>
      <c r="E81" s="2080">
        <f t="shared" si="9"/>
        <v>0</v>
      </c>
    </row>
    <row r="82" spans="1:5" s="2091" customFormat="1" ht="27.75" customHeight="1" x14ac:dyDescent="0.3">
      <c r="A82" s="2138" t="s">
        <v>1401</v>
      </c>
      <c r="B82" s="2140">
        <v>72265</v>
      </c>
      <c r="C82" s="2140">
        <v>72265</v>
      </c>
      <c r="D82" s="2080">
        <v>72265</v>
      </c>
      <c r="E82" s="2080">
        <f t="shared" si="9"/>
        <v>0</v>
      </c>
    </row>
    <row r="83" spans="1:5" s="2101" customFormat="1" ht="27.75" customHeight="1" x14ac:dyDescent="0.3">
      <c r="A83" s="2138" t="s">
        <v>1402</v>
      </c>
      <c r="B83" s="2085">
        <v>150760</v>
      </c>
      <c r="C83" s="2085">
        <v>150760</v>
      </c>
      <c r="D83" s="2080">
        <v>150760</v>
      </c>
      <c r="E83" s="2080">
        <f t="shared" si="9"/>
        <v>0</v>
      </c>
    </row>
    <row r="84" spans="1:5" s="2101" customFormat="1" ht="27.75" customHeight="1" x14ac:dyDescent="0.3">
      <c r="A84" s="2138" t="s">
        <v>1403</v>
      </c>
      <c r="B84" s="2139">
        <v>150000</v>
      </c>
      <c r="C84" s="2139">
        <v>150000</v>
      </c>
      <c r="D84" s="2080">
        <v>150000</v>
      </c>
      <c r="E84" s="2080">
        <f t="shared" si="9"/>
        <v>0</v>
      </c>
    </row>
    <row r="85" spans="1:5" s="2101" customFormat="1" ht="27.75" customHeight="1" x14ac:dyDescent="0.3">
      <c r="A85" s="2138" t="s">
        <v>1404</v>
      </c>
      <c r="B85" s="2139"/>
      <c r="C85" s="2139">
        <v>3243</v>
      </c>
      <c r="D85" s="2080">
        <v>3243</v>
      </c>
      <c r="E85" s="2080">
        <f t="shared" si="9"/>
        <v>0</v>
      </c>
    </row>
    <row r="86" spans="1:5" s="2142" customFormat="1" ht="27.75" customHeight="1" thickBot="1" x14ac:dyDescent="0.35">
      <c r="A86" s="2141" t="s">
        <v>1405</v>
      </c>
      <c r="B86" s="2085">
        <v>255350</v>
      </c>
      <c r="C86" s="2085">
        <v>255350</v>
      </c>
      <c r="D86" s="2080">
        <v>255350</v>
      </c>
      <c r="E86" s="2080">
        <f t="shared" si="9"/>
        <v>0</v>
      </c>
    </row>
    <row r="87" spans="1:5" s="2117" customFormat="1" ht="27.75" customHeight="1" thickTop="1" thickBot="1" x14ac:dyDescent="0.35">
      <c r="A87" s="2114" t="s">
        <v>1406</v>
      </c>
      <c r="B87" s="2116">
        <f>SUM(B80:B86)</f>
        <v>628375</v>
      </c>
      <c r="C87" s="2116">
        <f t="shared" ref="C87:E87" si="10">SUM(C80:C86)</f>
        <v>934526</v>
      </c>
      <c r="D87" s="2116">
        <f t="shared" si="10"/>
        <v>934526</v>
      </c>
      <c r="E87" s="2116">
        <f t="shared" si="10"/>
        <v>0</v>
      </c>
    </row>
    <row r="88" spans="1:5" s="2117" customFormat="1" ht="27.75" customHeight="1" thickTop="1" thickBot="1" x14ac:dyDescent="0.35">
      <c r="A88" s="2143" t="s">
        <v>1407</v>
      </c>
      <c r="B88" s="2116">
        <f>B78+B87</f>
        <v>5695183</v>
      </c>
      <c r="C88" s="2116">
        <f>C78+C87</f>
        <v>6035646</v>
      </c>
      <c r="D88" s="2116">
        <f>D78+D87</f>
        <v>6023362</v>
      </c>
      <c r="E88" s="2116">
        <f>E78+E87</f>
        <v>-12284</v>
      </c>
    </row>
    <row r="89" spans="1:5" s="2146" customFormat="1" ht="27.75" customHeight="1" thickTop="1" thickBot="1" x14ac:dyDescent="0.35">
      <c r="A89" s="2144"/>
      <c r="B89" s="2145"/>
      <c r="C89" s="2145"/>
      <c r="D89" s="2145"/>
      <c r="E89" s="2145"/>
    </row>
    <row r="90" spans="1:5" s="2151" customFormat="1" ht="27.75" customHeight="1" thickTop="1" x14ac:dyDescent="0.3">
      <c r="A90" s="2147" t="s">
        <v>1408</v>
      </c>
      <c r="B90" s="2148"/>
      <c r="C90" s="2149"/>
      <c r="D90" s="2150"/>
      <c r="E90" s="2150"/>
    </row>
    <row r="91" spans="1:5" s="2096" customFormat="1" ht="27.75" customHeight="1" x14ac:dyDescent="0.3">
      <c r="A91" s="2152" t="s">
        <v>1409</v>
      </c>
      <c r="B91" s="2153"/>
      <c r="C91" s="2154"/>
      <c r="D91" s="2155"/>
      <c r="E91" s="2155"/>
    </row>
    <row r="92" spans="1:5" s="2101" customFormat="1" ht="27.75" customHeight="1" x14ac:dyDescent="0.3">
      <c r="A92" s="2156" t="s">
        <v>1410</v>
      </c>
      <c r="B92" s="2157">
        <v>53000</v>
      </c>
      <c r="C92" s="2158">
        <v>53000</v>
      </c>
      <c r="D92" s="2080">
        <v>53000</v>
      </c>
      <c r="E92" s="2080">
        <f t="shared" ref="E92:E93" si="11">D92-C92</f>
        <v>0</v>
      </c>
    </row>
    <row r="93" spans="1:5" s="2101" customFormat="1" ht="27.75" customHeight="1" thickBot="1" x14ac:dyDescent="0.35">
      <c r="A93" s="2159" t="s">
        <v>1411</v>
      </c>
      <c r="B93" s="2160">
        <v>302075</v>
      </c>
      <c r="C93" s="2161">
        <v>302075</v>
      </c>
      <c r="D93" s="2080">
        <v>302075</v>
      </c>
      <c r="E93" s="2080">
        <f t="shared" si="11"/>
        <v>0</v>
      </c>
    </row>
    <row r="94" spans="1:5" s="2117" customFormat="1" ht="27.75" customHeight="1" thickTop="1" thickBot="1" x14ac:dyDescent="0.35">
      <c r="A94" s="2162" t="s">
        <v>1412</v>
      </c>
      <c r="B94" s="2116">
        <f>B78+B87+B92+B93</f>
        <v>6050258</v>
      </c>
      <c r="C94" s="2116">
        <f>C78+C87+C92+C93</f>
        <v>6390721</v>
      </c>
      <c r="D94" s="2163">
        <f>D78+D87+D92+D93</f>
        <v>6378437</v>
      </c>
      <c r="E94" s="2163">
        <f>E78+E87+E92+E93</f>
        <v>-12284</v>
      </c>
    </row>
    <row r="95" spans="1:5" ht="16.5" thickTop="1" x14ac:dyDescent="0.25"/>
  </sheetData>
  <mergeCells count="3">
    <mergeCell ref="A1:E1"/>
    <mergeCell ref="A2:E2"/>
    <mergeCell ref="A3:E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>
    <oddHeader xml:space="preserve">&amp;R&amp;"Arial,Félkövér"&amp;18 5. melléklet a .../2022. (........) önkormányzati rendelethez 
</oddHeader>
  </headerFooter>
  <rowBreaks count="1" manualBreakCount="1">
    <brk id="46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56"/>
  <sheetViews>
    <sheetView zoomScale="40" zoomScaleNormal="40" zoomScaleSheetLayoutView="40" workbookViewId="0">
      <pane xSplit="1" ySplit="8" topLeftCell="B9" activePane="bottomRight" state="frozen"/>
      <selection activeCell="R13" sqref="R13"/>
      <selection pane="topRight" activeCell="R13" sqref="R13"/>
      <selection pane="bottomLeft" activeCell="R13" sqref="R13"/>
      <selection pane="bottomRight" activeCell="U56" sqref="U56"/>
    </sheetView>
  </sheetViews>
  <sheetFormatPr defaultRowHeight="26.45" customHeight="1" x14ac:dyDescent="0.3"/>
  <cols>
    <col min="1" max="1" width="203.83203125" style="2013" customWidth="1"/>
    <col min="2" max="13" width="60.83203125" style="2321" customWidth="1"/>
    <col min="14" max="14" width="203.83203125" style="2013" customWidth="1"/>
    <col min="15" max="26" width="60.83203125" style="2321" customWidth="1"/>
    <col min="27" max="27" width="203.83203125" style="2012" customWidth="1"/>
    <col min="28" max="39" width="60.83203125" style="2013" customWidth="1"/>
    <col min="40" max="40" width="220.83203125" style="2012" customWidth="1"/>
    <col min="41" max="48" width="63.33203125" style="2013" customWidth="1"/>
    <col min="49" max="50" width="45.1640625" style="2013" customWidth="1"/>
    <col min="51" max="51" width="36.83203125" style="2013" customWidth="1"/>
    <col min="52" max="256" width="9.33203125" style="2322"/>
    <col min="257" max="257" width="176.6640625" style="2322" customWidth="1"/>
    <col min="258" max="269" width="55" style="2322" customWidth="1"/>
    <col min="270" max="270" width="176.6640625" style="2322" customWidth="1"/>
    <col min="271" max="282" width="53" style="2322" customWidth="1"/>
    <col min="283" max="283" width="176.5" style="2322" customWidth="1"/>
    <col min="284" max="295" width="53" style="2322" customWidth="1"/>
    <col min="296" max="296" width="176.5" style="2322" customWidth="1"/>
    <col min="297" max="304" width="63" style="2322" customWidth="1"/>
    <col min="305" max="306" width="45.1640625" style="2322" customWidth="1"/>
    <col min="307" max="307" width="36.83203125" style="2322" customWidth="1"/>
    <col min="308" max="512" width="9.33203125" style="2322"/>
    <col min="513" max="513" width="176.6640625" style="2322" customWidth="1"/>
    <col min="514" max="525" width="55" style="2322" customWidth="1"/>
    <col min="526" max="526" width="176.6640625" style="2322" customWidth="1"/>
    <col min="527" max="538" width="53" style="2322" customWidth="1"/>
    <col min="539" max="539" width="176.5" style="2322" customWidth="1"/>
    <col min="540" max="551" width="53" style="2322" customWidth="1"/>
    <col min="552" max="552" width="176.5" style="2322" customWidth="1"/>
    <col min="553" max="560" width="63" style="2322" customWidth="1"/>
    <col min="561" max="562" width="45.1640625" style="2322" customWidth="1"/>
    <col min="563" max="563" width="36.83203125" style="2322" customWidth="1"/>
    <col min="564" max="768" width="9.33203125" style="2322"/>
    <col min="769" max="769" width="176.6640625" style="2322" customWidth="1"/>
    <col min="770" max="781" width="55" style="2322" customWidth="1"/>
    <col min="782" max="782" width="176.6640625" style="2322" customWidth="1"/>
    <col min="783" max="794" width="53" style="2322" customWidth="1"/>
    <col min="795" max="795" width="176.5" style="2322" customWidth="1"/>
    <col min="796" max="807" width="53" style="2322" customWidth="1"/>
    <col min="808" max="808" width="176.5" style="2322" customWidth="1"/>
    <col min="809" max="816" width="63" style="2322" customWidth="1"/>
    <col min="817" max="818" width="45.1640625" style="2322" customWidth="1"/>
    <col min="819" max="819" width="36.83203125" style="2322" customWidth="1"/>
    <col min="820" max="1024" width="9.33203125" style="2322"/>
    <col min="1025" max="1025" width="176.6640625" style="2322" customWidth="1"/>
    <col min="1026" max="1037" width="55" style="2322" customWidth="1"/>
    <col min="1038" max="1038" width="176.6640625" style="2322" customWidth="1"/>
    <col min="1039" max="1050" width="53" style="2322" customWidth="1"/>
    <col min="1051" max="1051" width="176.5" style="2322" customWidth="1"/>
    <col min="1052" max="1063" width="53" style="2322" customWidth="1"/>
    <col min="1064" max="1064" width="176.5" style="2322" customWidth="1"/>
    <col min="1065" max="1072" width="63" style="2322" customWidth="1"/>
    <col min="1073" max="1074" width="45.1640625" style="2322" customWidth="1"/>
    <col min="1075" max="1075" width="36.83203125" style="2322" customWidth="1"/>
    <col min="1076" max="1280" width="9.33203125" style="2322"/>
    <col min="1281" max="1281" width="176.6640625" style="2322" customWidth="1"/>
    <col min="1282" max="1293" width="55" style="2322" customWidth="1"/>
    <col min="1294" max="1294" width="176.6640625" style="2322" customWidth="1"/>
    <col min="1295" max="1306" width="53" style="2322" customWidth="1"/>
    <col min="1307" max="1307" width="176.5" style="2322" customWidth="1"/>
    <col min="1308" max="1319" width="53" style="2322" customWidth="1"/>
    <col min="1320" max="1320" width="176.5" style="2322" customWidth="1"/>
    <col min="1321" max="1328" width="63" style="2322" customWidth="1"/>
    <col min="1329" max="1330" width="45.1640625" style="2322" customWidth="1"/>
    <col min="1331" max="1331" width="36.83203125" style="2322" customWidth="1"/>
    <col min="1332" max="1536" width="9.33203125" style="2322"/>
    <col min="1537" max="1537" width="176.6640625" style="2322" customWidth="1"/>
    <col min="1538" max="1549" width="55" style="2322" customWidth="1"/>
    <col min="1550" max="1550" width="176.6640625" style="2322" customWidth="1"/>
    <col min="1551" max="1562" width="53" style="2322" customWidth="1"/>
    <col min="1563" max="1563" width="176.5" style="2322" customWidth="1"/>
    <col min="1564" max="1575" width="53" style="2322" customWidth="1"/>
    <col min="1576" max="1576" width="176.5" style="2322" customWidth="1"/>
    <col min="1577" max="1584" width="63" style="2322" customWidth="1"/>
    <col min="1585" max="1586" width="45.1640625" style="2322" customWidth="1"/>
    <col min="1587" max="1587" width="36.83203125" style="2322" customWidth="1"/>
    <col min="1588" max="1792" width="9.33203125" style="2322"/>
    <col min="1793" max="1793" width="176.6640625" style="2322" customWidth="1"/>
    <col min="1794" max="1805" width="55" style="2322" customWidth="1"/>
    <col min="1806" max="1806" width="176.6640625" style="2322" customWidth="1"/>
    <col min="1807" max="1818" width="53" style="2322" customWidth="1"/>
    <col min="1819" max="1819" width="176.5" style="2322" customWidth="1"/>
    <col min="1820" max="1831" width="53" style="2322" customWidth="1"/>
    <col min="1832" max="1832" width="176.5" style="2322" customWidth="1"/>
    <col min="1833" max="1840" width="63" style="2322" customWidth="1"/>
    <col min="1841" max="1842" width="45.1640625" style="2322" customWidth="1"/>
    <col min="1843" max="1843" width="36.83203125" style="2322" customWidth="1"/>
    <col min="1844" max="2048" width="9.33203125" style="2322"/>
    <col min="2049" max="2049" width="176.6640625" style="2322" customWidth="1"/>
    <col min="2050" max="2061" width="55" style="2322" customWidth="1"/>
    <col min="2062" max="2062" width="176.6640625" style="2322" customWidth="1"/>
    <col min="2063" max="2074" width="53" style="2322" customWidth="1"/>
    <col min="2075" max="2075" width="176.5" style="2322" customWidth="1"/>
    <col min="2076" max="2087" width="53" style="2322" customWidth="1"/>
    <col min="2088" max="2088" width="176.5" style="2322" customWidth="1"/>
    <col min="2089" max="2096" width="63" style="2322" customWidth="1"/>
    <col min="2097" max="2098" width="45.1640625" style="2322" customWidth="1"/>
    <col min="2099" max="2099" width="36.83203125" style="2322" customWidth="1"/>
    <col min="2100" max="2304" width="9.33203125" style="2322"/>
    <col min="2305" max="2305" width="176.6640625" style="2322" customWidth="1"/>
    <col min="2306" max="2317" width="55" style="2322" customWidth="1"/>
    <col min="2318" max="2318" width="176.6640625" style="2322" customWidth="1"/>
    <col min="2319" max="2330" width="53" style="2322" customWidth="1"/>
    <col min="2331" max="2331" width="176.5" style="2322" customWidth="1"/>
    <col min="2332" max="2343" width="53" style="2322" customWidth="1"/>
    <col min="2344" max="2344" width="176.5" style="2322" customWidth="1"/>
    <col min="2345" max="2352" width="63" style="2322" customWidth="1"/>
    <col min="2353" max="2354" width="45.1640625" style="2322" customWidth="1"/>
    <col min="2355" max="2355" width="36.83203125" style="2322" customWidth="1"/>
    <col min="2356" max="2560" width="9.33203125" style="2322"/>
    <col min="2561" max="2561" width="176.6640625" style="2322" customWidth="1"/>
    <col min="2562" max="2573" width="55" style="2322" customWidth="1"/>
    <col min="2574" max="2574" width="176.6640625" style="2322" customWidth="1"/>
    <col min="2575" max="2586" width="53" style="2322" customWidth="1"/>
    <col min="2587" max="2587" width="176.5" style="2322" customWidth="1"/>
    <col min="2588" max="2599" width="53" style="2322" customWidth="1"/>
    <col min="2600" max="2600" width="176.5" style="2322" customWidth="1"/>
    <col min="2601" max="2608" width="63" style="2322" customWidth="1"/>
    <col min="2609" max="2610" width="45.1640625" style="2322" customWidth="1"/>
    <col min="2611" max="2611" width="36.83203125" style="2322" customWidth="1"/>
    <col min="2612" max="2816" width="9.33203125" style="2322"/>
    <col min="2817" max="2817" width="176.6640625" style="2322" customWidth="1"/>
    <col min="2818" max="2829" width="55" style="2322" customWidth="1"/>
    <col min="2830" max="2830" width="176.6640625" style="2322" customWidth="1"/>
    <col min="2831" max="2842" width="53" style="2322" customWidth="1"/>
    <col min="2843" max="2843" width="176.5" style="2322" customWidth="1"/>
    <col min="2844" max="2855" width="53" style="2322" customWidth="1"/>
    <col min="2856" max="2856" width="176.5" style="2322" customWidth="1"/>
    <col min="2857" max="2864" width="63" style="2322" customWidth="1"/>
    <col min="2865" max="2866" width="45.1640625" style="2322" customWidth="1"/>
    <col min="2867" max="2867" width="36.83203125" style="2322" customWidth="1"/>
    <col min="2868" max="3072" width="9.33203125" style="2322"/>
    <col min="3073" max="3073" width="176.6640625" style="2322" customWidth="1"/>
    <col min="3074" max="3085" width="55" style="2322" customWidth="1"/>
    <col min="3086" max="3086" width="176.6640625" style="2322" customWidth="1"/>
    <col min="3087" max="3098" width="53" style="2322" customWidth="1"/>
    <col min="3099" max="3099" width="176.5" style="2322" customWidth="1"/>
    <col min="3100" max="3111" width="53" style="2322" customWidth="1"/>
    <col min="3112" max="3112" width="176.5" style="2322" customWidth="1"/>
    <col min="3113" max="3120" width="63" style="2322" customWidth="1"/>
    <col min="3121" max="3122" width="45.1640625" style="2322" customWidth="1"/>
    <col min="3123" max="3123" width="36.83203125" style="2322" customWidth="1"/>
    <col min="3124" max="3328" width="9.33203125" style="2322"/>
    <col min="3329" max="3329" width="176.6640625" style="2322" customWidth="1"/>
    <col min="3330" max="3341" width="55" style="2322" customWidth="1"/>
    <col min="3342" max="3342" width="176.6640625" style="2322" customWidth="1"/>
    <col min="3343" max="3354" width="53" style="2322" customWidth="1"/>
    <col min="3355" max="3355" width="176.5" style="2322" customWidth="1"/>
    <col min="3356" max="3367" width="53" style="2322" customWidth="1"/>
    <col min="3368" max="3368" width="176.5" style="2322" customWidth="1"/>
    <col min="3369" max="3376" width="63" style="2322" customWidth="1"/>
    <col min="3377" max="3378" width="45.1640625" style="2322" customWidth="1"/>
    <col min="3379" max="3379" width="36.83203125" style="2322" customWidth="1"/>
    <col min="3380" max="3584" width="9.33203125" style="2322"/>
    <col min="3585" max="3585" width="176.6640625" style="2322" customWidth="1"/>
    <col min="3586" max="3597" width="55" style="2322" customWidth="1"/>
    <col min="3598" max="3598" width="176.6640625" style="2322" customWidth="1"/>
    <col min="3599" max="3610" width="53" style="2322" customWidth="1"/>
    <col min="3611" max="3611" width="176.5" style="2322" customWidth="1"/>
    <col min="3612" max="3623" width="53" style="2322" customWidth="1"/>
    <col min="3624" max="3624" width="176.5" style="2322" customWidth="1"/>
    <col min="3625" max="3632" width="63" style="2322" customWidth="1"/>
    <col min="3633" max="3634" width="45.1640625" style="2322" customWidth="1"/>
    <col min="3635" max="3635" width="36.83203125" style="2322" customWidth="1"/>
    <col min="3636" max="3840" width="9.33203125" style="2322"/>
    <col min="3841" max="3841" width="176.6640625" style="2322" customWidth="1"/>
    <col min="3842" max="3853" width="55" style="2322" customWidth="1"/>
    <col min="3854" max="3854" width="176.6640625" style="2322" customWidth="1"/>
    <col min="3855" max="3866" width="53" style="2322" customWidth="1"/>
    <col min="3867" max="3867" width="176.5" style="2322" customWidth="1"/>
    <col min="3868" max="3879" width="53" style="2322" customWidth="1"/>
    <col min="3880" max="3880" width="176.5" style="2322" customWidth="1"/>
    <col min="3881" max="3888" width="63" style="2322" customWidth="1"/>
    <col min="3889" max="3890" width="45.1640625" style="2322" customWidth="1"/>
    <col min="3891" max="3891" width="36.83203125" style="2322" customWidth="1"/>
    <col min="3892" max="4096" width="9.33203125" style="2322"/>
    <col min="4097" max="4097" width="176.6640625" style="2322" customWidth="1"/>
    <col min="4098" max="4109" width="55" style="2322" customWidth="1"/>
    <col min="4110" max="4110" width="176.6640625" style="2322" customWidth="1"/>
    <col min="4111" max="4122" width="53" style="2322" customWidth="1"/>
    <col min="4123" max="4123" width="176.5" style="2322" customWidth="1"/>
    <col min="4124" max="4135" width="53" style="2322" customWidth="1"/>
    <col min="4136" max="4136" width="176.5" style="2322" customWidth="1"/>
    <col min="4137" max="4144" width="63" style="2322" customWidth="1"/>
    <col min="4145" max="4146" width="45.1640625" style="2322" customWidth="1"/>
    <col min="4147" max="4147" width="36.83203125" style="2322" customWidth="1"/>
    <col min="4148" max="4352" width="9.33203125" style="2322"/>
    <col min="4353" max="4353" width="176.6640625" style="2322" customWidth="1"/>
    <col min="4354" max="4365" width="55" style="2322" customWidth="1"/>
    <col min="4366" max="4366" width="176.6640625" style="2322" customWidth="1"/>
    <col min="4367" max="4378" width="53" style="2322" customWidth="1"/>
    <col min="4379" max="4379" width="176.5" style="2322" customWidth="1"/>
    <col min="4380" max="4391" width="53" style="2322" customWidth="1"/>
    <col min="4392" max="4392" width="176.5" style="2322" customWidth="1"/>
    <col min="4393" max="4400" width="63" style="2322" customWidth="1"/>
    <col min="4401" max="4402" width="45.1640625" style="2322" customWidth="1"/>
    <col min="4403" max="4403" width="36.83203125" style="2322" customWidth="1"/>
    <col min="4404" max="4608" width="9.33203125" style="2322"/>
    <col min="4609" max="4609" width="176.6640625" style="2322" customWidth="1"/>
    <col min="4610" max="4621" width="55" style="2322" customWidth="1"/>
    <col min="4622" max="4622" width="176.6640625" style="2322" customWidth="1"/>
    <col min="4623" max="4634" width="53" style="2322" customWidth="1"/>
    <col min="4635" max="4635" width="176.5" style="2322" customWidth="1"/>
    <col min="4636" max="4647" width="53" style="2322" customWidth="1"/>
    <col min="4648" max="4648" width="176.5" style="2322" customWidth="1"/>
    <col min="4649" max="4656" width="63" style="2322" customWidth="1"/>
    <col min="4657" max="4658" width="45.1640625" style="2322" customWidth="1"/>
    <col min="4659" max="4659" width="36.83203125" style="2322" customWidth="1"/>
    <col min="4660" max="4864" width="9.33203125" style="2322"/>
    <col min="4865" max="4865" width="176.6640625" style="2322" customWidth="1"/>
    <col min="4866" max="4877" width="55" style="2322" customWidth="1"/>
    <col min="4878" max="4878" width="176.6640625" style="2322" customWidth="1"/>
    <col min="4879" max="4890" width="53" style="2322" customWidth="1"/>
    <col min="4891" max="4891" width="176.5" style="2322" customWidth="1"/>
    <col min="4892" max="4903" width="53" style="2322" customWidth="1"/>
    <col min="4904" max="4904" width="176.5" style="2322" customWidth="1"/>
    <col min="4905" max="4912" width="63" style="2322" customWidth="1"/>
    <col min="4913" max="4914" width="45.1640625" style="2322" customWidth="1"/>
    <col min="4915" max="4915" width="36.83203125" style="2322" customWidth="1"/>
    <col min="4916" max="5120" width="9.33203125" style="2322"/>
    <col min="5121" max="5121" width="176.6640625" style="2322" customWidth="1"/>
    <col min="5122" max="5133" width="55" style="2322" customWidth="1"/>
    <col min="5134" max="5134" width="176.6640625" style="2322" customWidth="1"/>
    <col min="5135" max="5146" width="53" style="2322" customWidth="1"/>
    <col min="5147" max="5147" width="176.5" style="2322" customWidth="1"/>
    <col min="5148" max="5159" width="53" style="2322" customWidth="1"/>
    <col min="5160" max="5160" width="176.5" style="2322" customWidth="1"/>
    <col min="5161" max="5168" width="63" style="2322" customWidth="1"/>
    <col min="5169" max="5170" width="45.1640625" style="2322" customWidth="1"/>
    <col min="5171" max="5171" width="36.83203125" style="2322" customWidth="1"/>
    <col min="5172" max="5376" width="9.33203125" style="2322"/>
    <col min="5377" max="5377" width="176.6640625" style="2322" customWidth="1"/>
    <col min="5378" max="5389" width="55" style="2322" customWidth="1"/>
    <col min="5390" max="5390" width="176.6640625" style="2322" customWidth="1"/>
    <col min="5391" max="5402" width="53" style="2322" customWidth="1"/>
    <col min="5403" max="5403" width="176.5" style="2322" customWidth="1"/>
    <col min="5404" max="5415" width="53" style="2322" customWidth="1"/>
    <col min="5416" max="5416" width="176.5" style="2322" customWidth="1"/>
    <col min="5417" max="5424" width="63" style="2322" customWidth="1"/>
    <col min="5425" max="5426" width="45.1640625" style="2322" customWidth="1"/>
    <col min="5427" max="5427" width="36.83203125" style="2322" customWidth="1"/>
    <col min="5428" max="5632" width="9.33203125" style="2322"/>
    <col min="5633" max="5633" width="176.6640625" style="2322" customWidth="1"/>
    <col min="5634" max="5645" width="55" style="2322" customWidth="1"/>
    <col min="5646" max="5646" width="176.6640625" style="2322" customWidth="1"/>
    <col min="5647" max="5658" width="53" style="2322" customWidth="1"/>
    <col min="5659" max="5659" width="176.5" style="2322" customWidth="1"/>
    <col min="5660" max="5671" width="53" style="2322" customWidth="1"/>
    <col min="5672" max="5672" width="176.5" style="2322" customWidth="1"/>
    <col min="5673" max="5680" width="63" style="2322" customWidth="1"/>
    <col min="5681" max="5682" width="45.1640625" style="2322" customWidth="1"/>
    <col min="5683" max="5683" width="36.83203125" style="2322" customWidth="1"/>
    <col min="5684" max="5888" width="9.33203125" style="2322"/>
    <col min="5889" max="5889" width="176.6640625" style="2322" customWidth="1"/>
    <col min="5890" max="5901" width="55" style="2322" customWidth="1"/>
    <col min="5902" max="5902" width="176.6640625" style="2322" customWidth="1"/>
    <col min="5903" max="5914" width="53" style="2322" customWidth="1"/>
    <col min="5915" max="5915" width="176.5" style="2322" customWidth="1"/>
    <col min="5916" max="5927" width="53" style="2322" customWidth="1"/>
    <col min="5928" max="5928" width="176.5" style="2322" customWidth="1"/>
    <col min="5929" max="5936" width="63" style="2322" customWidth="1"/>
    <col min="5937" max="5938" width="45.1640625" style="2322" customWidth="1"/>
    <col min="5939" max="5939" width="36.83203125" style="2322" customWidth="1"/>
    <col min="5940" max="6144" width="9.33203125" style="2322"/>
    <col min="6145" max="6145" width="176.6640625" style="2322" customWidth="1"/>
    <col min="6146" max="6157" width="55" style="2322" customWidth="1"/>
    <col min="6158" max="6158" width="176.6640625" style="2322" customWidth="1"/>
    <col min="6159" max="6170" width="53" style="2322" customWidth="1"/>
    <col min="6171" max="6171" width="176.5" style="2322" customWidth="1"/>
    <col min="6172" max="6183" width="53" style="2322" customWidth="1"/>
    <col min="6184" max="6184" width="176.5" style="2322" customWidth="1"/>
    <col min="6185" max="6192" width="63" style="2322" customWidth="1"/>
    <col min="6193" max="6194" width="45.1640625" style="2322" customWidth="1"/>
    <col min="6195" max="6195" width="36.83203125" style="2322" customWidth="1"/>
    <col min="6196" max="6400" width="9.33203125" style="2322"/>
    <col min="6401" max="6401" width="176.6640625" style="2322" customWidth="1"/>
    <col min="6402" max="6413" width="55" style="2322" customWidth="1"/>
    <col min="6414" max="6414" width="176.6640625" style="2322" customWidth="1"/>
    <col min="6415" max="6426" width="53" style="2322" customWidth="1"/>
    <col min="6427" max="6427" width="176.5" style="2322" customWidth="1"/>
    <col min="6428" max="6439" width="53" style="2322" customWidth="1"/>
    <col min="6440" max="6440" width="176.5" style="2322" customWidth="1"/>
    <col min="6441" max="6448" width="63" style="2322" customWidth="1"/>
    <col min="6449" max="6450" width="45.1640625" style="2322" customWidth="1"/>
    <col min="6451" max="6451" width="36.83203125" style="2322" customWidth="1"/>
    <col min="6452" max="6656" width="9.33203125" style="2322"/>
    <col min="6657" max="6657" width="176.6640625" style="2322" customWidth="1"/>
    <col min="6658" max="6669" width="55" style="2322" customWidth="1"/>
    <col min="6670" max="6670" width="176.6640625" style="2322" customWidth="1"/>
    <col min="6671" max="6682" width="53" style="2322" customWidth="1"/>
    <col min="6683" max="6683" width="176.5" style="2322" customWidth="1"/>
    <col min="6684" max="6695" width="53" style="2322" customWidth="1"/>
    <col min="6696" max="6696" width="176.5" style="2322" customWidth="1"/>
    <col min="6697" max="6704" width="63" style="2322" customWidth="1"/>
    <col min="6705" max="6706" width="45.1640625" style="2322" customWidth="1"/>
    <col min="6707" max="6707" width="36.83203125" style="2322" customWidth="1"/>
    <col min="6708" max="6912" width="9.33203125" style="2322"/>
    <col min="6913" max="6913" width="176.6640625" style="2322" customWidth="1"/>
    <col min="6914" max="6925" width="55" style="2322" customWidth="1"/>
    <col min="6926" max="6926" width="176.6640625" style="2322" customWidth="1"/>
    <col min="6927" max="6938" width="53" style="2322" customWidth="1"/>
    <col min="6939" max="6939" width="176.5" style="2322" customWidth="1"/>
    <col min="6940" max="6951" width="53" style="2322" customWidth="1"/>
    <col min="6952" max="6952" width="176.5" style="2322" customWidth="1"/>
    <col min="6953" max="6960" width="63" style="2322" customWidth="1"/>
    <col min="6961" max="6962" width="45.1640625" style="2322" customWidth="1"/>
    <col min="6963" max="6963" width="36.83203125" style="2322" customWidth="1"/>
    <col min="6964" max="7168" width="9.33203125" style="2322"/>
    <col min="7169" max="7169" width="176.6640625" style="2322" customWidth="1"/>
    <col min="7170" max="7181" width="55" style="2322" customWidth="1"/>
    <col min="7182" max="7182" width="176.6640625" style="2322" customWidth="1"/>
    <col min="7183" max="7194" width="53" style="2322" customWidth="1"/>
    <col min="7195" max="7195" width="176.5" style="2322" customWidth="1"/>
    <col min="7196" max="7207" width="53" style="2322" customWidth="1"/>
    <col min="7208" max="7208" width="176.5" style="2322" customWidth="1"/>
    <col min="7209" max="7216" width="63" style="2322" customWidth="1"/>
    <col min="7217" max="7218" width="45.1640625" style="2322" customWidth="1"/>
    <col min="7219" max="7219" width="36.83203125" style="2322" customWidth="1"/>
    <col min="7220" max="7424" width="9.33203125" style="2322"/>
    <col min="7425" max="7425" width="176.6640625" style="2322" customWidth="1"/>
    <col min="7426" max="7437" width="55" style="2322" customWidth="1"/>
    <col min="7438" max="7438" width="176.6640625" style="2322" customWidth="1"/>
    <col min="7439" max="7450" width="53" style="2322" customWidth="1"/>
    <col min="7451" max="7451" width="176.5" style="2322" customWidth="1"/>
    <col min="7452" max="7463" width="53" style="2322" customWidth="1"/>
    <col min="7464" max="7464" width="176.5" style="2322" customWidth="1"/>
    <col min="7465" max="7472" width="63" style="2322" customWidth="1"/>
    <col min="7473" max="7474" width="45.1640625" style="2322" customWidth="1"/>
    <col min="7475" max="7475" width="36.83203125" style="2322" customWidth="1"/>
    <col min="7476" max="7680" width="9.33203125" style="2322"/>
    <col min="7681" max="7681" width="176.6640625" style="2322" customWidth="1"/>
    <col min="7682" max="7693" width="55" style="2322" customWidth="1"/>
    <col min="7694" max="7694" width="176.6640625" style="2322" customWidth="1"/>
    <col min="7695" max="7706" width="53" style="2322" customWidth="1"/>
    <col min="7707" max="7707" width="176.5" style="2322" customWidth="1"/>
    <col min="7708" max="7719" width="53" style="2322" customWidth="1"/>
    <col min="7720" max="7720" width="176.5" style="2322" customWidth="1"/>
    <col min="7721" max="7728" width="63" style="2322" customWidth="1"/>
    <col min="7729" max="7730" width="45.1640625" style="2322" customWidth="1"/>
    <col min="7731" max="7731" width="36.83203125" style="2322" customWidth="1"/>
    <col min="7732" max="7936" width="9.33203125" style="2322"/>
    <col min="7937" max="7937" width="176.6640625" style="2322" customWidth="1"/>
    <col min="7938" max="7949" width="55" style="2322" customWidth="1"/>
    <col min="7950" max="7950" width="176.6640625" style="2322" customWidth="1"/>
    <col min="7951" max="7962" width="53" style="2322" customWidth="1"/>
    <col min="7963" max="7963" width="176.5" style="2322" customWidth="1"/>
    <col min="7964" max="7975" width="53" style="2322" customWidth="1"/>
    <col min="7976" max="7976" width="176.5" style="2322" customWidth="1"/>
    <col min="7977" max="7984" width="63" style="2322" customWidth="1"/>
    <col min="7985" max="7986" width="45.1640625" style="2322" customWidth="1"/>
    <col min="7987" max="7987" width="36.83203125" style="2322" customWidth="1"/>
    <col min="7988" max="8192" width="9.33203125" style="2322"/>
    <col min="8193" max="8193" width="176.6640625" style="2322" customWidth="1"/>
    <col min="8194" max="8205" width="55" style="2322" customWidth="1"/>
    <col min="8206" max="8206" width="176.6640625" style="2322" customWidth="1"/>
    <col min="8207" max="8218" width="53" style="2322" customWidth="1"/>
    <col min="8219" max="8219" width="176.5" style="2322" customWidth="1"/>
    <col min="8220" max="8231" width="53" style="2322" customWidth="1"/>
    <col min="8232" max="8232" width="176.5" style="2322" customWidth="1"/>
    <col min="8233" max="8240" width="63" style="2322" customWidth="1"/>
    <col min="8241" max="8242" width="45.1640625" style="2322" customWidth="1"/>
    <col min="8243" max="8243" width="36.83203125" style="2322" customWidth="1"/>
    <col min="8244" max="8448" width="9.33203125" style="2322"/>
    <col min="8449" max="8449" width="176.6640625" style="2322" customWidth="1"/>
    <col min="8450" max="8461" width="55" style="2322" customWidth="1"/>
    <col min="8462" max="8462" width="176.6640625" style="2322" customWidth="1"/>
    <col min="8463" max="8474" width="53" style="2322" customWidth="1"/>
    <col min="8475" max="8475" width="176.5" style="2322" customWidth="1"/>
    <col min="8476" max="8487" width="53" style="2322" customWidth="1"/>
    <col min="8488" max="8488" width="176.5" style="2322" customWidth="1"/>
    <col min="8489" max="8496" width="63" style="2322" customWidth="1"/>
    <col min="8497" max="8498" width="45.1640625" style="2322" customWidth="1"/>
    <col min="8499" max="8499" width="36.83203125" style="2322" customWidth="1"/>
    <col min="8500" max="8704" width="9.33203125" style="2322"/>
    <col min="8705" max="8705" width="176.6640625" style="2322" customWidth="1"/>
    <col min="8706" max="8717" width="55" style="2322" customWidth="1"/>
    <col min="8718" max="8718" width="176.6640625" style="2322" customWidth="1"/>
    <col min="8719" max="8730" width="53" style="2322" customWidth="1"/>
    <col min="8731" max="8731" width="176.5" style="2322" customWidth="1"/>
    <col min="8732" max="8743" width="53" style="2322" customWidth="1"/>
    <col min="8744" max="8744" width="176.5" style="2322" customWidth="1"/>
    <col min="8745" max="8752" width="63" style="2322" customWidth="1"/>
    <col min="8753" max="8754" width="45.1640625" style="2322" customWidth="1"/>
    <col min="8755" max="8755" width="36.83203125" style="2322" customWidth="1"/>
    <col min="8756" max="8960" width="9.33203125" style="2322"/>
    <col min="8961" max="8961" width="176.6640625" style="2322" customWidth="1"/>
    <col min="8962" max="8973" width="55" style="2322" customWidth="1"/>
    <col min="8974" max="8974" width="176.6640625" style="2322" customWidth="1"/>
    <col min="8975" max="8986" width="53" style="2322" customWidth="1"/>
    <col min="8987" max="8987" width="176.5" style="2322" customWidth="1"/>
    <col min="8988" max="8999" width="53" style="2322" customWidth="1"/>
    <col min="9000" max="9000" width="176.5" style="2322" customWidth="1"/>
    <col min="9001" max="9008" width="63" style="2322" customWidth="1"/>
    <col min="9009" max="9010" width="45.1640625" style="2322" customWidth="1"/>
    <col min="9011" max="9011" width="36.83203125" style="2322" customWidth="1"/>
    <col min="9012" max="9216" width="9.33203125" style="2322"/>
    <col min="9217" max="9217" width="176.6640625" style="2322" customWidth="1"/>
    <col min="9218" max="9229" width="55" style="2322" customWidth="1"/>
    <col min="9230" max="9230" width="176.6640625" style="2322" customWidth="1"/>
    <col min="9231" max="9242" width="53" style="2322" customWidth="1"/>
    <col min="9243" max="9243" width="176.5" style="2322" customWidth="1"/>
    <col min="9244" max="9255" width="53" style="2322" customWidth="1"/>
    <col min="9256" max="9256" width="176.5" style="2322" customWidth="1"/>
    <col min="9257" max="9264" width="63" style="2322" customWidth="1"/>
    <col min="9265" max="9266" width="45.1640625" style="2322" customWidth="1"/>
    <col min="9267" max="9267" width="36.83203125" style="2322" customWidth="1"/>
    <col min="9268" max="9472" width="9.33203125" style="2322"/>
    <col min="9473" max="9473" width="176.6640625" style="2322" customWidth="1"/>
    <col min="9474" max="9485" width="55" style="2322" customWidth="1"/>
    <col min="9486" max="9486" width="176.6640625" style="2322" customWidth="1"/>
    <col min="9487" max="9498" width="53" style="2322" customWidth="1"/>
    <col min="9499" max="9499" width="176.5" style="2322" customWidth="1"/>
    <col min="9500" max="9511" width="53" style="2322" customWidth="1"/>
    <col min="9512" max="9512" width="176.5" style="2322" customWidth="1"/>
    <col min="9513" max="9520" width="63" style="2322" customWidth="1"/>
    <col min="9521" max="9522" width="45.1640625" style="2322" customWidth="1"/>
    <col min="9523" max="9523" width="36.83203125" style="2322" customWidth="1"/>
    <col min="9524" max="9728" width="9.33203125" style="2322"/>
    <col min="9729" max="9729" width="176.6640625" style="2322" customWidth="1"/>
    <col min="9730" max="9741" width="55" style="2322" customWidth="1"/>
    <col min="9742" max="9742" width="176.6640625" style="2322" customWidth="1"/>
    <col min="9743" max="9754" width="53" style="2322" customWidth="1"/>
    <col min="9755" max="9755" width="176.5" style="2322" customWidth="1"/>
    <col min="9756" max="9767" width="53" style="2322" customWidth="1"/>
    <col min="9768" max="9768" width="176.5" style="2322" customWidth="1"/>
    <col min="9769" max="9776" width="63" style="2322" customWidth="1"/>
    <col min="9777" max="9778" width="45.1640625" style="2322" customWidth="1"/>
    <col min="9779" max="9779" width="36.83203125" style="2322" customWidth="1"/>
    <col min="9780" max="9984" width="9.33203125" style="2322"/>
    <col min="9985" max="9985" width="176.6640625" style="2322" customWidth="1"/>
    <col min="9986" max="9997" width="55" style="2322" customWidth="1"/>
    <col min="9998" max="9998" width="176.6640625" style="2322" customWidth="1"/>
    <col min="9999" max="10010" width="53" style="2322" customWidth="1"/>
    <col min="10011" max="10011" width="176.5" style="2322" customWidth="1"/>
    <col min="10012" max="10023" width="53" style="2322" customWidth="1"/>
    <col min="10024" max="10024" width="176.5" style="2322" customWidth="1"/>
    <col min="10025" max="10032" width="63" style="2322" customWidth="1"/>
    <col min="10033" max="10034" width="45.1640625" style="2322" customWidth="1"/>
    <col min="10035" max="10035" width="36.83203125" style="2322" customWidth="1"/>
    <col min="10036" max="10240" width="9.33203125" style="2322"/>
    <col min="10241" max="10241" width="176.6640625" style="2322" customWidth="1"/>
    <col min="10242" max="10253" width="55" style="2322" customWidth="1"/>
    <col min="10254" max="10254" width="176.6640625" style="2322" customWidth="1"/>
    <col min="10255" max="10266" width="53" style="2322" customWidth="1"/>
    <col min="10267" max="10267" width="176.5" style="2322" customWidth="1"/>
    <col min="10268" max="10279" width="53" style="2322" customWidth="1"/>
    <col min="10280" max="10280" width="176.5" style="2322" customWidth="1"/>
    <col min="10281" max="10288" width="63" style="2322" customWidth="1"/>
    <col min="10289" max="10290" width="45.1640625" style="2322" customWidth="1"/>
    <col min="10291" max="10291" width="36.83203125" style="2322" customWidth="1"/>
    <col min="10292" max="10496" width="9.33203125" style="2322"/>
    <col min="10497" max="10497" width="176.6640625" style="2322" customWidth="1"/>
    <col min="10498" max="10509" width="55" style="2322" customWidth="1"/>
    <col min="10510" max="10510" width="176.6640625" style="2322" customWidth="1"/>
    <col min="10511" max="10522" width="53" style="2322" customWidth="1"/>
    <col min="10523" max="10523" width="176.5" style="2322" customWidth="1"/>
    <col min="10524" max="10535" width="53" style="2322" customWidth="1"/>
    <col min="10536" max="10536" width="176.5" style="2322" customWidth="1"/>
    <col min="10537" max="10544" width="63" style="2322" customWidth="1"/>
    <col min="10545" max="10546" width="45.1640625" style="2322" customWidth="1"/>
    <col min="10547" max="10547" width="36.83203125" style="2322" customWidth="1"/>
    <col min="10548" max="10752" width="9.33203125" style="2322"/>
    <col min="10753" max="10753" width="176.6640625" style="2322" customWidth="1"/>
    <col min="10754" max="10765" width="55" style="2322" customWidth="1"/>
    <col min="10766" max="10766" width="176.6640625" style="2322" customWidth="1"/>
    <col min="10767" max="10778" width="53" style="2322" customWidth="1"/>
    <col min="10779" max="10779" width="176.5" style="2322" customWidth="1"/>
    <col min="10780" max="10791" width="53" style="2322" customWidth="1"/>
    <col min="10792" max="10792" width="176.5" style="2322" customWidth="1"/>
    <col min="10793" max="10800" width="63" style="2322" customWidth="1"/>
    <col min="10801" max="10802" width="45.1640625" style="2322" customWidth="1"/>
    <col min="10803" max="10803" width="36.83203125" style="2322" customWidth="1"/>
    <col min="10804" max="11008" width="9.33203125" style="2322"/>
    <col min="11009" max="11009" width="176.6640625" style="2322" customWidth="1"/>
    <col min="11010" max="11021" width="55" style="2322" customWidth="1"/>
    <col min="11022" max="11022" width="176.6640625" style="2322" customWidth="1"/>
    <col min="11023" max="11034" width="53" style="2322" customWidth="1"/>
    <col min="11035" max="11035" width="176.5" style="2322" customWidth="1"/>
    <col min="11036" max="11047" width="53" style="2322" customWidth="1"/>
    <col min="11048" max="11048" width="176.5" style="2322" customWidth="1"/>
    <col min="11049" max="11056" width="63" style="2322" customWidth="1"/>
    <col min="11057" max="11058" width="45.1640625" style="2322" customWidth="1"/>
    <col min="11059" max="11059" width="36.83203125" style="2322" customWidth="1"/>
    <col min="11060" max="11264" width="9.33203125" style="2322"/>
    <col min="11265" max="11265" width="176.6640625" style="2322" customWidth="1"/>
    <col min="11266" max="11277" width="55" style="2322" customWidth="1"/>
    <col min="11278" max="11278" width="176.6640625" style="2322" customWidth="1"/>
    <col min="11279" max="11290" width="53" style="2322" customWidth="1"/>
    <col min="11291" max="11291" width="176.5" style="2322" customWidth="1"/>
    <col min="11292" max="11303" width="53" style="2322" customWidth="1"/>
    <col min="11304" max="11304" width="176.5" style="2322" customWidth="1"/>
    <col min="11305" max="11312" width="63" style="2322" customWidth="1"/>
    <col min="11313" max="11314" width="45.1640625" style="2322" customWidth="1"/>
    <col min="11315" max="11315" width="36.83203125" style="2322" customWidth="1"/>
    <col min="11316" max="11520" width="9.33203125" style="2322"/>
    <col min="11521" max="11521" width="176.6640625" style="2322" customWidth="1"/>
    <col min="11522" max="11533" width="55" style="2322" customWidth="1"/>
    <col min="11534" max="11534" width="176.6640625" style="2322" customWidth="1"/>
    <col min="11535" max="11546" width="53" style="2322" customWidth="1"/>
    <col min="11547" max="11547" width="176.5" style="2322" customWidth="1"/>
    <col min="11548" max="11559" width="53" style="2322" customWidth="1"/>
    <col min="11560" max="11560" width="176.5" style="2322" customWidth="1"/>
    <col min="11561" max="11568" width="63" style="2322" customWidth="1"/>
    <col min="11569" max="11570" width="45.1640625" style="2322" customWidth="1"/>
    <col min="11571" max="11571" width="36.83203125" style="2322" customWidth="1"/>
    <col min="11572" max="11776" width="9.33203125" style="2322"/>
    <col min="11777" max="11777" width="176.6640625" style="2322" customWidth="1"/>
    <col min="11778" max="11789" width="55" style="2322" customWidth="1"/>
    <col min="11790" max="11790" width="176.6640625" style="2322" customWidth="1"/>
    <col min="11791" max="11802" width="53" style="2322" customWidth="1"/>
    <col min="11803" max="11803" width="176.5" style="2322" customWidth="1"/>
    <col min="11804" max="11815" width="53" style="2322" customWidth="1"/>
    <col min="11816" max="11816" width="176.5" style="2322" customWidth="1"/>
    <col min="11817" max="11824" width="63" style="2322" customWidth="1"/>
    <col min="11825" max="11826" width="45.1640625" style="2322" customWidth="1"/>
    <col min="11827" max="11827" width="36.83203125" style="2322" customWidth="1"/>
    <col min="11828" max="12032" width="9.33203125" style="2322"/>
    <col min="12033" max="12033" width="176.6640625" style="2322" customWidth="1"/>
    <col min="12034" max="12045" width="55" style="2322" customWidth="1"/>
    <col min="12046" max="12046" width="176.6640625" style="2322" customWidth="1"/>
    <col min="12047" max="12058" width="53" style="2322" customWidth="1"/>
    <col min="12059" max="12059" width="176.5" style="2322" customWidth="1"/>
    <col min="12060" max="12071" width="53" style="2322" customWidth="1"/>
    <col min="12072" max="12072" width="176.5" style="2322" customWidth="1"/>
    <col min="12073" max="12080" width="63" style="2322" customWidth="1"/>
    <col min="12081" max="12082" width="45.1640625" style="2322" customWidth="1"/>
    <col min="12083" max="12083" width="36.83203125" style="2322" customWidth="1"/>
    <col min="12084" max="12288" width="9.33203125" style="2322"/>
    <col min="12289" max="12289" width="176.6640625" style="2322" customWidth="1"/>
    <col min="12290" max="12301" width="55" style="2322" customWidth="1"/>
    <col min="12302" max="12302" width="176.6640625" style="2322" customWidth="1"/>
    <col min="12303" max="12314" width="53" style="2322" customWidth="1"/>
    <col min="12315" max="12315" width="176.5" style="2322" customWidth="1"/>
    <col min="12316" max="12327" width="53" style="2322" customWidth="1"/>
    <col min="12328" max="12328" width="176.5" style="2322" customWidth="1"/>
    <col min="12329" max="12336" width="63" style="2322" customWidth="1"/>
    <col min="12337" max="12338" width="45.1640625" style="2322" customWidth="1"/>
    <col min="12339" max="12339" width="36.83203125" style="2322" customWidth="1"/>
    <col min="12340" max="12544" width="9.33203125" style="2322"/>
    <col min="12545" max="12545" width="176.6640625" style="2322" customWidth="1"/>
    <col min="12546" max="12557" width="55" style="2322" customWidth="1"/>
    <col min="12558" max="12558" width="176.6640625" style="2322" customWidth="1"/>
    <col min="12559" max="12570" width="53" style="2322" customWidth="1"/>
    <col min="12571" max="12571" width="176.5" style="2322" customWidth="1"/>
    <col min="12572" max="12583" width="53" style="2322" customWidth="1"/>
    <col min="12584" max="12584" width="176.5" style="2322" customWidth="1"/>
    <col min="12585" max="12592" width="63" style="2322" customWidth="1"/>
    <col min="12593" max="12594" width="45.1640625" style="2322" customWidth="1"/>
    <col min="12595" max="12595" width="36.83203125" style="2322" customWidth="1"/>
    <col min="12596" max="12800" width="9.33203125" style="2322"/>
    <col min="12801" max="12801" width="176.6640625" style="2322" customWidth="1"/>
    <col min="12802" max="12813" width="55" style="2322" customWidth="1"/>
    <col min="12814" max="12814" width="176.6640625" style="2322" customWidth="1"/>
    <col min="12815" max="12826" width="53" style="2322" customWidth="1"/>
    <col min="12827" max="12827" width="176.5" style="2322" customWidth="1"/>
    <col min="12828" max="12839" width="53" style="2322" customWidth="1"/>
    <col min="12840" max="12840" width="176.5" style="2322" customWidth="1"/>
    <col min="12841" max="12848" width="63" style="2322" customWidth="1"/>
    <col min="12849" max="12850" width="45.1640625" style="2322" customWidth="1"/>
    <col min="12851" max="12851" width="36.83203125" style="2322" customWidth="1"/>
    <col min="12852" max="13056" width="9.33203125" style="2322"/>
    <col min="13057" max="13057" width="176.6640625" style="2322" customWidth="1"/>
    <col min="13058" max="13069" width="55" style="2322" customWidth="1"/>
    <col min="13070" max="13070" width="176.6640625" style="2322" customWidth="1"/>
    <col min="13071" max="13082" width="53" style="2322" customWidth="1"/>
    <col min="13083" max="13083" width="176.5" style="2322" customWidth="1"/>
    <col min="13084" max="13095" width="53" style="2322" customWidth="1"/>
    <col min="13096" max="13096" width="176.5" style="2322" customWidth="1"/>
    <col min="13097" max="13104" width="63" style="2322" customWidth="1"/>
    <col min="13105" max="13106" width="45.1640625" style="2322" customWidth="1"/>
    <col min="13107" max="13107" width="36.83203125" style="2322" customWidth="1"/>
    <col min="13108" max="13312" width="9.33203125" style="2322"/>
    <col min="13313" max="13313" width="176.6640625" style="2322" customWidth="1"/>
    <col min="13314" max="13325" width="55" style="2322" customWidth="1"/>
    <col min="13326" max="13326" width="176.6640625" style="2322" customWidth="1"/>
    <col min="13327" max="13338" width="53" style="2322" customWidth="1"/>
    <col min="13339" max="13339" width="176.5" style="2322" customWidth="1"/>
    <col min="13340" max="13351" width="53" style="2322" customWidth="1"/>
    <col min="13352" max="13352" width="176.5" style="2322" customWidth="1"/>
    <col min="13353" max="13360" width="63" style="2322" customWidth="1"/>
    <col min="13361" max="13362" width="45.1640625" style="2322" customWidth="1"/>
    <col min="13363" max="13363" width="36.83203125" style="2322" customWidth="1"/>
    <col min="13364" max="13568" width="9.33203125" style="2322"/>
    <col min="13569" max="13569" width="176.6640625" style="2322" customWidth="1"/>
    <col min="13570" max="13581" width="55" style="2322" customWidth="1"/>
    <col min="13582" max="13582" width="176.6640625" style="2322" customWidth="1"/>
    <col min="13583" max="13594" width="53" style="2322" customWidth="1"/>
    <col min="13595" max="13595" width="176.5" style="2322" customWidth="1"/>
    <col min="13596" max="13607" width="53" style="2322" customWidth="1"/>
    <col min="13608" max="13608" width="176.5" style="2322" customWidth="1"/>
    <col min="13609" max="13616" width="63" style="2322" customWidth="1"/>
    <col min="13617" max="13618" width="45.1640625" style="2322" customWidth="1"/>
    <col min="13619" max="13619" width="36.83203125" style="2322" customWidth="1"/>
    <col min="13620" max="13824" width="9.33203125" style="2322"/>
    <col min="13825" max="13825" width="176.6640625" style="2322" customWidth="1"/>
    <col min="13826" max="13837" width="55" style="2322" customWidth="1"/>
    <col min="13838" max="13838" width="176.6640625" style="2322" customWidth="1"/>
    <col min="13839" max="13850" width="53" style="2322" customWidth="1"/>
    <col min="13851" max="13851" width="176.5" style="2322" customWidth="1"/>
    <col min="13852" max="13863" width="53" style="2322" customWidth="1"/>
    <col min="13864" max="13864" width="176.5" style="2322" customWidth="1"/>
    <col min="13865" max="13872" width="63" style="2322" customWidth="1"/>
    <col min="13873" max="13874" width="45.1640625" style="2322" customWidth="1"/>
    <col min="13875" max="13875" width="36.83203125" style="2322" customWidth="1"/>
    <col min="13876" max="14080" width="9.33203125" style="2322"/>
    <col min="14081" max="14081" width="176.6640625" style="2322" customWidth="1"/>
    <col min="14082" max="14093" width="55" style="2322" customWidth="1"/>
    <col min="14094" max="14094" width="176.6640625" style="2322" customWidth="1"/>
    <col min="14095" max="14106" width="53" style="2322" customWidth="1"/>
    <col min="14107" max="14107" width="176.5" style="2322" customWidth="1"/>
    <col min="14108" max="14119" width="53" style="2322" customWidth="1"/>
    <col min="14120" max="14120" width="176.5" style="2322" customWidth="1"/>
    <col min="14121" max="14128" width="63" style="2322" customWidth="1"/>
    <col min="14129" max="14130" width="45.1640625" style="2322" customWidth="1"/>
    <col min="14131" max="14131" width="36.83203125" style="2322" customWidth="1"/>
    <col min="14132" max="14336" width="9.33203125" style="2322"/>
    <col min="14337" max="14337" width="176.6640625" style="2322" customWidth="1"/>
    <col min="14338" max="14349" width="55" style="2322" customWidth="1"/>
    <col min="14350" max="14350" width="176.6640625" style="2322" customWidth="1"/>
    <col min="14351" max="14362" width="53" style="2322" customWidth="1"/>
    <col min="14363" max="14363" width="176.5" style="2322" customWidth="1"/>
    <col min="14364" max="14375" width="53" style="2322" customWidth="1"/>
    <col min="14376" max="14376" width="176.5" style="2322" customWidth="1"/>
    <col min="14377" max="14384" width="63" style="2322" customWidth="1"/>
    <col min="14385" max="14386" width="45.1640625" style="2322" customWidth="1"/>
    <col min="14387" max="14387" width="36.83203125" style="2322" customWidth="1"/>
    <col min="14388" max="14592" width="9.33203125" style="2322"/>
    <col min="14593" max="14593" width="176.6640625" style="2322" customWidth="1"/>
    <col min="14594" max="14605" width="55" style="2322" customWidth="1"/>
    <col min="14606" max="14606" width="176.6640625" style="2322" customWidth="1"/>
    <col min="14607" max="14618" width="53" style="2322" customWidth="1"/>
    <col min="14619" max="14619" width="176.5" style="2322" customWidth="1"/>
    <col min="14620" max="14631" width="53" style="2322" customWidth="1"/>
    <col min="14632" max="14632" width="176.5" style="2322" customWidth="1"/>
    <col min="14633" max="14640" width="63" style="2322" customWidth="1"/>
    <col min="14641" max="14642" width="45.1640625" style="2322" customWidth="1"/>
    <col min="14643" max="14643" width="36.83203125" style="2322" customWidth="1"/>
    <col min="14644" max="14848" width="9.33203125" style="2322"/>
    <col min="14849" max="14849" width="176.6640625" style="2322" customWidth="1"/>
    <col min="14850" max="14861" width="55" style="2322" customWidth="1"/>
    <col min="14862" max="14862" width="176.6640625" style="2322" customWidth="1"/>
    <col min="14863" max="14874" width="53" style="2322" customWidth="1"/>
    <col min="14875" max="14875" width="176.5" style="2322" customWidth="1"/>
    <col min="14876" max="14887" width="53" style="2322" customWidth="1"/>
    <col min="14888" max="14888" width="176.5" style="2322" customWidth="1"/>
    <col min="14889" max="14896" width="63" style="2322" customWidth="1"/>
    <col min="14897" max="14898" width="45.1640625" style="2322" customWidth="1"/>
    <col min="14899" max="14899" width="36.83203125" style="2322" customWidth="1"/>
    <col min="14900" max="15104" width="9.33203125" style="2322"/>
    <col min="15105" max="15105" width="176.6640625" style="2322" customWidth="1"/>
    <col min="15106" max="15117" width="55" style="2322" customWidth="1"/>
    <col min="15118" max="15118" width="176.6640625" style="2322" customWidth="1"/>
    <col min="15119" max="15130" width="53" style="2322" customWidth="1"/>
    <col min="15131" max="15131" width="176.5" style="2322" customWidth="1"/>
    <col min="15132" max="15143" width="53" style="2322" customWidth="1"/>
    <col min="15144" max="15144" width="176.5" style="2322" customWidth="1"/>
    <col min="15145" max="15152" width="63" style="2322" customWidth="1"/>
    <col min="15153" max="15154" width="45.1640625" style="2322" customWidth="1"/>
    <col min="15155" max="15155" width="36.83203125" style="2322" customWidth="1"/>
    <col min="15156" max="15360" width="9.33203125" style="2322"/>
    <col min="15361" max="15361" width="176.6640625" style="2322" customWidth="1"/>
    <col min="15362" max="15373" width="55" style="2322" customWidth="1"/>
    <col min="15374" max="15374" width="176.6640625" style="2322" customWidth="1"/>
    <col min="15375" max="15386" width="53" style="2322" customWidth="1"/>
    <col min="15387" max="15387" width="176.5" style="2322" customWidth="1"/>
    <col min="15388" max="15399" width="53" style="2322" customWidth="1"/>
    <col min="15400" max="15400" width="176.5" style="2322" customWidth="1"/>
    <col min="15401" max="15408" width="63" style="2322" customWidth="1"/>
    <col min="15409" max="15410" width="45.1640625" style="2322" customWidth="1"/>
    <col min="15411" max="15411" width="36.83203125" style="2322" customWidth="1"/>
    <col min="15412" max="15616" width="9.33203125" style="2322"/>
    <col min="15617" max="15617" width="176.6640625" style="2322" customWidth="1"/>
    <col min="15618" max="15629" width="55" style="2322" customWidth="1"/>
    <col min="15630" max="15630" width="176.6640625" style="2322" customWidth="1"/>
    <col min="15631" max="15642" width="53" style="2322" customWidth="1"/>
    <col min="15643" max="15643" width="176.5" style="2322" customWidth="1"/>
    <col min="15644" max="15655" width="53" style="2322" customWidth="1"/>
    <col min="15656" max="15656" width="176.5" style="2322" customWidth="1"/>
    <col min="15657" max="15664" width="63" style="2322" customWidth="1"/>
    <col min="15665" max="15666" width="45.1640625" style="2322" customWidth="1"/>
    <col min="15667" max="15667" width="36.83203125" style="2322" customWidth="1"/>
    <col min="15668" max="15872" width="9.33203125" style="2322"/>
    <col min="15873" max="15873" width="176.6640625" style="2322" customWidth="1"/>
    <col min="15874" max="15885" width="55" style="2322" customWidth="1"/>
    <col min="15886" max="15886" width="176.6640625" style="2322" customWidth="1"/>
    <col min="15887" max="15898" width="53" style="2322" customWidth="1"/>
    <col min="15899" max="15899" width="176.5" style="2322" customWidth="1"/>
    <col min="15900" max="15911" width="53" style="2322" customWidth="1"/>
    <col min="15912" max="15912" width="176.5" style="2322" customWidth="1"/>
    <col min="15913" max="15920" width="63" style="2322" customWidth="1"/>
    <col min="15921" max="15922" width="45.1640625" style="2322" customWidth="1"/>
    <col min="15923" max="15923" width="36.83203125" style="2322" customWidth="1"/>
    <col min="15924" max="16128" width="9.33203125" style="2322"/>
    <col min="16129" max="16129" width="176.6640625" style="2322" customWidth="1"/>
    <col min="16130" max="16141" width="55" style="2322" customWidth="1"/>
    <col min="16142" max="16142" width="176.6640625" style="2322" customWidth="1"/>
    <col min="16143" max="16154" width="53" style="2322" customWidth="1"/>
    <col min="16155" max="16155" width="176.5" style="2322" customWidth="1"/>
    <col min="16156" max="16167" width="53" style="2322" customWidth="1"/>
    <col min="16168" max="16168" width="176.5" style="2322" customWidth="1"/>
    <col min="16169" max="16176" width="63" style="2322" customWidth="1"/>
    <col min="16177" max="16178" width="45.1640625" style="2322" customWidth="1"/>
    <col min="16179" max="16179" width="36.83203125" style="2322" customWidth="1"/>
    <col min="16180" max="16384" width="9.33203125" style="2322"/>
  </cols>
  <sheetData>
    <row r="1" spans="1:51" ht="38.25" customHeight="1" x14ac:dyDescent="0.3"/>
    <row r="2" spans="1:51" s="2324" customFormat="1" ht="54" customHeight="1" x14ac:dyDescent="0.65">
      <c r="A2" s="2421" t="s">
        <v>713</v>
      </c>
      <c r="B2" s="2421"/>
      <c r="C2" s="2421"/>
      <c r="D2" s="2421"/>
      <c r="E2" s="2421"/>
      <c r="F2" s="2421"/>
      <c r="G2" s="2421"/>
      <c r="H2" s="2421"/>
      <c r="I2" s="2421"/>
      <c r="J2" s="2421"/>
      <c r="K2" s="2421"/>
      <c r="L2" s="2421"/>
      <c r="M2" s="2421"/>
      <c r="N2" s="2421" t="s">
        <v>713</v>
      </c>
      <c r="O2" s="2421"/>
      <c r="P2" s="2421"/>
      <c r="Q2" s="2421"/>
      <c r="R2" s="2421"/>
      <c r="S2" s="2421"/>
      <c r="T2" s="2421"/>
      <c r="U2" s="2421"/>
      <c r="V2" s="2421"/>
      <c r="W2" s="2421"/>
      <c r="X2" s="2421"/>
      <c r="Y2" s="2421"/>
      <c r="Z2" s="2421"/>
      <c r="AA2" s="2421" t="s">
        <v>713</v>
      </c>
      <c r="AB2" s="2421"/>
      <c r="AC2" s="2421"/>
      <c r="AD2" s="2421"/>
      <c r="AE2" s="2421"/>
      <c r="AF2" s="2421"/>
      <c r="AG2" s="2421"/>
      <c r="AH2" s="2421"/>
      <c r="AI2" s="2421"/>
      <c r="AJ2" s="2421"/>
      <c r="AK2" s="2421"/>
      <c r="AL2" s="2421"/>
      <c r="AM2" s="2421"/>
      <c r="AN2" s="2421" t="s">
        <v>713</v>
      </c>
      <c r="AO2" s="2421"/>
      <c r="AP2" s="2421"/>
      <c r="AQ2" s="2421"/>
      <c r="AR2" s="2421"/>
      <c r="AS2" s="2421"/>
      <c r="AT2" s="2421"/>
      <c r="AU2" s="2421"/>
      <c r="AV2" s="2421"/>
      <c r="AW2" s="2323"/>
      <c r="AX2" s="2323"/>
      <c r="AY2" s="2323"/>
    </row>
    <row r="3" spans="1:51" s="2324" customFormat="1" ht="54" customHeight="1" x14ac:dyDescent="0.65">
      <c r="A3" s="2421" t="s">
        <v>1312</v>
      </c>
      <c r="B3" s="2421"/>
      <c r="C3" s="2421"/>
      <c r="D3" s="2421"/>
      <c r="E3" s="2421"/>
      <c r="F3" s="2421"/>
      <c r="G3" s="2421"/>
      <c r="H3" s="2421"/>
      <c r="I3" s="2421"/>
      <c r="J3" s="2421"/>
      <c r="K3" s="2421"/>
      <c r="L3" s="2421"/>
      <c r="M3" s="2421"/>
      <c r="N3" s="2421" t="s">
        <v>1312</v>
      </c>
      <c r="O3" s="2421"/>
      <c r="P3" s="2421"/>
      <c r="Q3" s="2421"/>
      <c r="R3" s="2421"/>
      <c r="S3" s="2421"/>
      <c r="T3" s="2421"/>
      <c r="U3" s="2421"/>
      <c r="V3" s="2421"/>
      <c r="W3" s="2421"/>
      <c r="X3" s="2421"/>
      <c r="Y3" s="2421"/>
      <c r="Z3" s="2421"/>
      <c r="AA3" s="2421" t="s">
        <v>1312</v>
      </c>
      <c r="AB3" s="2421"/>
      <c r="AC3" s="2421"/>
      <c r="AD3" s="2421"/>
      <c r="AE3" s="2421"/>
      <c r="AF3" s="2421"/>
      <c r="AG3" s="2421"/>
      <c r="AH3" s="2421"/>
      <c r="AI3" s="2421"/>
      <c r="AJ3" s="2421"/>
      <c r="AK3" s="2421"/>
      <c r="AL3" s="2421"/>
      <c r="AM3" s="2421"/>
      <c r="AN3" s="2421" t="s">
        <v>1312</v>
      </c>
      <c r="AO3" s="2421"/>
      <c r="AP3" s="2421"/>
      <c r="AQ3" s="2421"/>
      <c r="AR3" s="2421"/>
      <c r="AS3" s="2421"/>
      <c r="AT3" s="2421"/>
      <c r="AU3" s="2421"/>
      <c r="AV3" s="2421"/>
      <c r="AW3" s="2323"/>
      <c r="AX3" s="2323"/>
      <c r="AY3" s="2323"/>
    </row>
    <row r="4" spans="1:51" ht="62.25" customHeight="1" thickBot="1" x14ac:dyDescent="0.35"/>
    <row r="5" spans="1:51" s="2017" customFormat="1" ht="55.5" customHeight="1" x14ac:dyDescent="0.5">
      <c r="A5" s="2014"/>
      <c r="B5" s="2403" t="s">
        <v>1193</v>
      </c>
      <c r="C5" s="2404"/>
      <c r="D5" s="2404"/>
      <c r="E5" s="2405"/>
      <c r="F5" s="2412" t="s">
        <v>1196</v>
      </c>
      <c r="G5" s="2413"/>
      <c r="H5" s="2413"/>
      <c r="I5" s="2414"/>
      <c r="J5" s="2403" t="s">
        <v>1313</v>
      </c>
      <c r="K5" s="2404"/>
      <c r="L5" s="2404"/>
      <c r="M5" s="2405"/>
      <c r="N5" s="2014"/>
      <c r="O5" s="2403" t="s">
        <v>1203</v>
      </c>
      <c r="P5" s="2404"/>
      <c r="Q5" s="2404"/>
      <c r="R5" s="2405"/>
      <c r="S5" s="2403" t="s">
        <v>1205</v>
      </c>
      <c r="T5" s="2404"/>
      <c r="U5" s="2404"/>
      <c r="V5" s="2405"/>
      <c r="W5" s="2403" t="s">
        <v>1207</v>
      </c>
      <c r="X5" s="2404"/>
      <c r="Y5" s="2404"/>
      <c r="Z5" s="2405"/>
      <c r="AA5" s="2015"/>
      <c r="AB5" s="2403" t="s">
        <v>200</v>
      </c>
      <c r="AC5" s="2404"/>
      <c r="AD5" s="2404"/>
      <c r="AE5" s="2405"/>
      <c r="AF5" s="2403" t="s">
        <v>1213</v>
      </c>
      <c r="AG5" s="2404"/>
      <c r="AH5" s="2404"/>
      <c r="AI5" s="2405"/>
      <c r="AJ5" s="2403" t="s">
        <v>1217</v>
      </c>
      <c r="AK5" s="2404"/>
      <c r="AL5" s="2404"/>
      <c r="AM5" s="2405"/>
      <c r="AN5" s="2015"/>
      <c r="AO5" s="2403" t="s">
        <v>1219</v>
      </c>
      <c r="AP5" s="2404"/>
      <c r="AQ5" s="2404"/>
      <c r="AR5" s="2405"/>
      <c r="AS5" s="2403" t="s">
        <v>1314</v>
      </c>
      <c r="AT5" s="2404"/>
      <c r="AU5" s="2404"/>
      <c r="AV5" s="2405"/>
      <c r="AW5" s="2016"/>
      <c r="AX5" s="2016"/>
      <c r="AY5" s="2016"/>
    </row>
    <row r="6" spans="1:51" s="2017" customFormat="1" ht="54" customHeight="1" x14ac:dyDescent="0.5">
      <c r="A6" s="2018"/>
      <c r="B6" s="2406"/>
      <c r="C6" s="2407"/>
      <c r="D6" s="2407"/>
      <c r="E6" s="2408"/>
      <c r="F6" s="2415"/>
      <c r="G6" s="2416"/>
      <c r="H6" s="2416"/>
      <c r="I6" s="2417"/>
      <c r="J6" s="2406"/>
      <c r="K6" s="2407"/>
      <c r="L6" s="2407"/>
      <c r="M6" s="2408"/>
      <c r="N6" s="2018"/>
      <c r="O6" s="2406"/>
      <c r="P6" s="2407"/>
      <c r="Q6" s="2407"/>
      <c r="R6" s="2408"/>
      <c r="S6" s="2406"/>
      <c r="T6" s="2407"/>
      <c r="U6" s="2407"/>
      <c r="V6" s="2408"/>
      <c r="W6" s="2406"/>
      <c r="X6" s="2407"/>
      <c r="Y6" s="2407"/>
      <c r="Z6" s="2408"/>
      <c r="AA6" s="2019"/>
      <c r="AB6" s="2406"/>
      <c r="AC6" s="2407"/>
      <c r="AD6" s="2407"/>
      <c r="AE6" s="2408"/>
      <c r="AF6" s="2406"/>
      <c r="AG6" s="2407"/>
      <c r="AH6" s="2407"/>
      <c r="AI6" s="2408"/>
      <c r="AJ6" s="2406"/>
      <c r="AK6" s="2407"/>
      <c r="AL6" s="2407"/>
      <c r="AM6" s="2408"/>
      <c r="AN6" s="2019"/>
      <c r="AO6" s="2406"/>
      <c r="AP6" s="2407"/>
      <c r="AQ6" s="2407"/>
      <c r="AR6" s="2408"/>
      <c r="AS6" s="2406"/>
      <c r="AT6" s="2407"/>
      <c r="AU6" s="2407"/>
      <c r="AV6" s="2408"/>
      <c r="AW6" s="2020"/>
      <c r="AX6" s="2020"/>
      <c r="AY6" s="2020"/>
    </row>
    <row r="7" spans="1:51" s="2021" customFormat="1" ht="106.5" customHeight="1" thickBot="1" x14ac:dyDescent="0.3">
      <c r="A7" s="2177" t="s">
        <v>1298</v>
      </c>
      <c r="B7" s="2409"/>
      <c r="C7" s="2410"/>
      <c r="D7" s="2410"/>
      <c r="E7" s="2411"/>
      <c r="F7" s="2418"/>
      <c r="G7" s="2419"/>
      <c r="H7" s="2419"/>
      <c r="I7" s="2420"/>
      <c r="J7" s="2409"/>
      <c r="K7" s="2410"/>
      <c r="L7" s="2410"/>
      <c r="M7" s="2411"/>
      <c r="N7" s="2177" t="s">
        <v>1298</v>
      </c>
      <c r="O7" s="2409"/>
      <c r="P7" s="2410"/>
      <c r="Q7" s="2410"/>
      <c r="R7" s="2411"/>
      <c r="S7" s="2409"/>
      <c r="T7" s="2410"/>
      <c r="U7" s="2410"/>
      <c r="V7" s="2411"/>
      <c r="W7" s="2409"/>
      <c r="X7" s="2410"/>
      <c r="Y7" s="2410"/>
      <c r="Z7" s="2411"/>
      <c r="AA7" s="2177" t="s">
        <v>1298</v>
      </c>
      <c r="AB7" s="2409"/>
      <c r="AC7" s="2410"/>
      <c r="AD7" s="2410"/>
      <c r="AE7" s="2411"/>
      <c r="AF7" s="2409"/>
      <c r="AG7" s="2410"/>
      <c r="AH7" s="2410"/>
      <c r="AI7" s="2411"/>
      <c r="AJ7" s="2409"/>
      <c r="AK7" s="2410"/>
      <c r="AL7" s="2410"/>
      <c r="AM7" s="2411"/>
      <c r="AN7" s="2177" t="s">
        <v>1298</v>
      </c>
      <c r="AO7" s="2409"/>
      <c r="AP7" s="2410"/>
      <c r="AQ7" s="2410"/>
      <c r="AR7" s="2411"/>
      <c r="AS7" s="2409"/>
      <c r="AT7" s="2410"/>
      <c r="AU7" s="2410"/>
      <c r="AV7" s="2411"/>
      <c r="AW7" s="2020"/>
      <c r="AX7" s="2020"/>
      <c r="AY7" s="2020"/>
    </row>
    <row r="8" spans="1:51" s="2024" customFormat="1" ht="94.5" customHeight="1" thickBot="1" x14ac:dyDescent="0.55000000000000004">
      <c r="A8" s="2178">
        <v>2021</v>
      </c>
      <c r="B8" s="2022" t="s">
        <v>1301</v>
      </c>
      <c r="C8" s="2022" t="s">
        <v>1315</v>
      </c>
      <c r="D8" s="2022" t="s">
        <v>107</v>
      </c>
      <c r="E8" s="2022" t="s">
        <v>1316</v>
      </c>
      <c r="F8" s="2022" t="s">
        <v>1301</v>
      </c>
      <c r="G8" s="2022" t="s">
        <v>1315</v>
      </c>
      <c r="H8" s="2022" t="s">
        <v>107</v>
      </c>
      <c r="I8" s="2022" t="s">
        <v>1316</v>
      </c>
      <c r="J8" s="2022" t="s">
        <v>1301</v>
      </c>
      <c r="K8" s="2022" t="s">
        <v>1315</v>
      </c>
      <c r="L8" s="2022" t="s">
        <v>107</v>
      </c>
      <c r="M8" s="2022" t="s">
        <v>1316</v>
      </c>
      <c r="N8" s="2178">
        <v>2021</v>
      </c>
      <c r="O8" s="2022" t="s">
        <v>1301</v>
      </c>
      <c r="P8" s="2022" t="s">
        <v>1315</v>
      </c>
      <c r="Q8" s="2022" t="s">
        <v>107</v>
      </c>
      <c r="R8" s="2022" t="s">
        <v>1316</v>
      </c>
      <c r="S8" s="2022" t="s">
        <v>1301</v>
      </c>
      <c r="T8" s="2022" t="s">
        <v>1315</v>
      </c>
      <c r="U8" s="2022" t="s">
        <v>107</v>
      </c>
      <c r="V8" s="2022" t="s">
        <v>1316</v>
      </c>
      <c r="W8" s="2022" t="s">
        <v>1301</v>
      </c>
      <c r="X8" s="2022" t="s">
        <v>1315</v>
      </c>
      <c r="Y8" s="2022" t="s">
        <v>107</v>
      </c>
      <c r="Z8" s="2022" t="s">
        <v>1316</v>
      </c>
      <c r="AA8" s="2178">
        <v>2021</v>
      </c>
      <c r="AB8" s="2022" t="s">
        <v>1301</v>
      </c>
      <c r="AC8" s="2022" t="s">
        <v>1315</v>
      </c>
      <c r="AD8" s="2022" t="s">
        <v>107</v>
      </c>
      <c r="AE8" s="2022" t="s">
        <v>1316</v>
      </c>
      <c r="AF8" s="2022" t="s">
        <v>1301</v>
      </c>
      <c r="AG8" s="2022" t="s">
        <v>1315</v>
      </c>
      <c r="AH8" s="2022" t="s">
        <v>107</v>
      </c>
      <c r="AI8" s="2022" t="s">
        <v>1316</v>
      </c>
      <c r="AJ8" s="2022" t="s">
        <v>1301</v>
      </c>
      <c r="AK8" s="2022" t="s">
        <v>1315</v>
      </c>
      <c r="AL8" s="2022" t="s">
        <v>107</v>
      </c>
      <c r="AM8" s="2022" t="s">
        <v>1316</v>
      </c>
      <c r="AN8" s="2178">
        <v>2021</v>
      </c>
      <c r="AO8" s="2022" t="s">
        <v>1301</v>
      </c>
      <c r="AP8" s="2022" t="s">
        <v>1315</v>
      </c>
      <c r="AQ8" s="2022" t="s">
        <v>107</v>
      </c>
      <c r="AR8" s="2022" t="s">
        <v>1316</v>
      </c>
      <c r="AS8" s="2022" t="s">
        <v>1301</v>
      </c>
      <c r="AT8" s="2022" t="s">
        <v>1315</v>
      </c>
      <c r="AU8" s="2022" t="s">
        <v>107</v>
      </c>
      <c r="AV8" s="2022" t="s">
        <v>1316</v>
      </c>
      <c r="AW8" s="2023" t="s">
        <v>1317</v>
      </c>
      <c r="AX8" s="2023" t="s">
        <v>1318</v>
      </c>
      <c r="AY8" s="2023" t="s">
        <v>107</v>
      </c>
    </row>
    <row r="9" spans="1:51" s="2027" customFormat="1" ht="56.1" customHeight="1" x14ac:dyDescent="0.5">
      <c r="A9" s="2025" t="s">
        <v>1304</v>
      </c>
      <c r="B9" s="2026"/>
      <c r="C9" s="2026"/>
      <c r="D9" s="2026"/>
      <c r="E9" s="2026"/>
      <c r="F9" s="2026"/>
      <c r="G9" s="2026"/>
      <c r="H9" s="2026"/>
      <c r="I9" s="2026"/>
      <c r="J9" s="2026"/>
      <c r="K9" s="2026"/>
      <c r="L9" s="2026"/>
      <c r="M9" s="2026"/>
      <c r="N9" s="2025" t="s">
        <v>1304</v>
      </c>
      <c r="O9" s="2026"/>
      <c r="P9" s="2026"/>
      <c r="Q9" s="2026"/>
      <c r="R9" s="2026"/>
      <c r="S9" s="2026"/>
      <c r="T9" s="2026"/>
      <c r="U9" s="2026"/>
      <c r="V9" s="2026"/>
      <c r="W9" s="2026"/>
      <c r="X9" s="2026"/>
      <c r="Y9" s="2026"/>
      <c r="Z9" s="2026"/>
      <c r="AA9" s="2025" t="s">
        <v>1304</v>
      </c>
      <c r="AB9" s="2025"/>
      <c r="AC9" s="2025"/>
      <c r="AD9" s="2025"/>
      <c r="AE9" s="2025"/>
      <c r="AF9" s="2025"/>
      <c r="AG9" s="2025"/>
      <c r="AH9" s="2025"/>
      <c r="AI9" s="2025"/>
      <c r="AJ9" s="2026"/>
      <c r="AK9" s="2026"/>
      <c r="AL9" s="2026"/>
      <c r="AM9" s="2026"/>
      <c r="AN9" s="2025" t="s">
        <v>1304</v>
      </c>
      <c r="AO9" s="2025"/>
      <c r="AP9" s="2025"/>
      <c r="AQ9" s="2025"/>
      <c r="AR9" s="2025"/>
      <c r="AS9" s="2025"/>
      <c r="AT9" s="2025"/>
      <c r="AU9" s="2025"/>
      <c r="AV9" s="2025"/>
      <c r="AW9" s="2025"/>
      <c r="AX9" s="2025"/>
      <c r="AY9" s="2025"/>
    </row>
    <row r="10" spans="1:51" s="2027" customFormat="1" ht="56.1" customHeight="1" x14ac:dyDescent="0.5">
      <c r="A10" s="2028" t="s">
        <v>1254</v>
      </c>
      <c r="B10" s="2029">
        <f>[4]int.kiadások2021!B9</f>
        <v>128175</v>
      </c>
      <c r="C10" s="2029">
        <f>'[5]int.kiadások RM III'!D10</f>
        <v>126503</v>
      </c>
      <c r="D10" s="2029">
        <v>118086</v>
      </c>
      <c r="E10" s="2030">
        <f t="shared" ref="E10:E30" si="0">D10/C10</f>
        <v>0.93346402852106269</v>
      </c>
      <c r="F10" s="2029">
        <f>[4]int.kiadások2021!C9</f>
        <v>22320</v>
      </c>
      <c r="G10" s="2029">
        <f>'[5]int.kiadások RM III'!G10</f>
        <v>22043</v>
      </c>
      <c r="H10" s="2029">
        <v>20450</v>
      </c>
      <c r="I10" s="2030">
        <f t="shared" ref="I10:I30" si="1">H10/G10</f>
        <v>0.92773215986934632</v>
      </c>
      <c r="J10" s="2029">
        <f>[4]int.kiadások2021!D9</f>
        <v>4105</v>
      </c>
      <c r="K10" s="2029">
        <f>'[5]int.kiadások RM III'!J10</f>
        <v>5036</v>
      </c>
      <c r="L10" s="2029">
        <v>4189</v>
      </c>
      <c r="M10" s="2030">
        <f t="shared" ref="M10:M30" si="2">L10/K10</f>
        <v>0.83181096108022234</v>
      </c>
      <c r="N10" s="2028" t="s">
        <v>1254</v>
      </c>
      <c r="O10" s="2029">
        <f>[4]int.kiadások2021!E9</f>
        <v>0</v>
      </c>
      <c r="P10" s="2029">
        <f>'[5]int.kiadások RM III'!N10</f>
        <v>0</v>
      </c>
      <c r="Q10" s="2029"/>
      <c r="R10" s="2030"/>
      <c r="S10" s="2029">
        <f>[4]int.kiadások2021!F9</f>
        <v>0</v>
      </c>
      <c r="T10" s="2029">
        <f>'[5]int.kiadások RM III'!Q10</f>
        <v>0</v>
      </c>
      <c r="U10" s="2029"/>
      <c r="V10" s="2030"/>
      <c r="W10" s="2029">
        <f t="shared" ref="W10:Y27" si="3">B10+F10+J10+O10+S10</f>
        <v>154600</v>
      </c>
      <c r="X10" s="2029">
        <f t="shared" si="3"/>
        <v>153582</v>
      </c>
      <c r="Y10" s="2029">
        <f t="shared" si="3"/>
        <v>142725</v>
      </c>
      <c r="Z10" s="2030">
        <f t="shared" ref="Z10:Z30" si="4">Y10/X10</f>
        <v>0.92930812204555224</v>
      </c>
      <c r="AA10" s="2028" t="s">
        <v>1254</v>
      </c>
      <c r="AB10" s="2029">
        <f>[4]int.kiadások2021!I9</f>
        <v>0</v>
      </c>
      <c r="AC10" s="2029">
        <f>'[5]int.kiadások RM III'!X10</f>
        <v>10147</v>
      </c>
      <c r="AD10" s="2029">
        <v>7941</v>
      </c>
      <c r="AE10" s="2030">
        <f t="shared" ref="AE10:AE30" si="5">AD10/AC10</f>
        <v>0.78259584113531089</v>
      </c>
      <c r="AF10" s="2029">
        <f>[4]int.kiadások2021!J9</f>
        <v>0</v>
      </c>
      <c r="AG10" s="2029">
        <f>'[5]int.kiadások RM III'!AA10</f>
        <v>0</v>
      </c>
      <c r="AH10" s="2029"/>
      <c r="AI10" s="2030"/>
      <c r="AJ10" s="2029">
        <f>[4]int.kiadások2021!K9</f>
        <v>0</v>
      </c>
      <c r="AK10" s="2029">
        <f>'[5]int.kiadások RM III'!AD10</f>
        <v>0</v>
      </c>
      <c r="AL10" s="2029"/>
      <c r="AM10" s="2030"/>
      <c r="AN10" s="2028" t="s">
        <v>1254</v>
      </c>
      <c r="AO10" s="2029">
        <f t="shared" ref="AO10:AO27" si="6">AB10+AF10+AJ10</f>
        <v>0</v>
      </c>
      <c r="AP10" s="2029">
        <f t="shared" ref="AP10:AP27" si="7">AC10+AG10+AK10</f>
        <v>10147</v>
      </c>
      <c r="AQ10" s="2029">
        <f t="shared" ref="AQ10:AQ27" si="8">AD10+AH10+AL10</f>
        <v>7941</v>
      </c>
      <c r="AR10" s="2030">
        <f t="shared" ref="AR10:AR30" si="9">AQ10/AP10</f>
        <v>0.78259584113531089</v>
      </c>
      <c r="AS10" s="2029">
        <f t="shared" ref="AS10:AS27" si="10">W10+AO10</f>
        <v>154600</v>
      </c>
      <c r="AT10" s="2029">
        <f t="shared" ref="AT10:AT27" si="11">X10+AP10</f>
        <v>163729</v>
      </c>
      <c r="AU10" s="2029">
        <f t="shared" ref="AU10:AU27" si="12">Y10+AQ10</f>
        <v>150666</v>
      </c>
      <c r="AV10" s="2030">
        <f t="shared" ref="AV10:AV30" si="13">AU10/AT10</f>
        <v>0.92021572232164128</v>
      </c>
      <c r="AW10" s="2029">
        <f>AS10-'[6]éves besz.bevételei2021'!BD10</f>
        <v>0</v>
      </c>
      <c r="AX10" s="2029">
        <f>AT10-'[6]éves besz.bevételei2021'!BE10</f>
        <v>0</v>
      </c>
      <c r="AY10" s="2029">
        <f>AU10-'[6]éves besz.bevételei2021'!BF10</f>
        <v>-4014</v>
      </c>
    </row>
    <row r="11" spans="1:51" s="2027" customFormat="1" ht="56.1" customHeight="1" x14ac:dyDescent="0.5">
      <c r="A11" s="2028" t="s">
        <v>1255</v>
      </c>
      <c r="B11" s="2029">
        <f>[4]int.kiadások2021!B10</f>
        <v>87990</v>
      </c>
      <c r="C11" s="2029">
        <f>'[5]int.kiadások RM III'!D11</f>
        <v>89008</v>
      </c>
      <c r="D11" s="2029">
        <v>80710</v>
      </c>
      <c r="E11" s="2030">
        <f t="shared" si="0"/>
        <v>0.9067724249505662</v>
      </c>
      <c r="F11" s="2029">
        <f>[4]int.kiadások2021!C10</f>
        <v>13678</v>
      </c>
      <c r="G11" s="2029">
        <f>'[5]int.kiadások RM III'!G11</f>
        <v>14165</v>
      </c>
      <c r="H11" s="2029">
        <v>12903</v>
      </c>
      <c r="I11" s="2030">
        <f t="shared" si="1"/>
        <v>0.91090716554888806</v>
      </c>
      <c r="J11" s="2029">
        <f>[4]int.kiadások2021!D10</f>
        <v>3077</v>
      </c>
      <c r="K11" s="2029">
        <f>'[5]int.kiadások RM III'!J11</f>
        <v>4250</v>
      </c>
      <c r="L11" s="2029">
        <v>2519</v>
      </c>
      <c r="M11" s="2030">
        <f t="shared" si="2"/>
        <v>0.59270588235294119</v>
      </c>
      <c r="N11" s="2028" t="s">
        <v>1255</v>
      </c>
      <c r="O11" s="2029">
        <f>[4]int.kiadások2021!E10</f>
        <v>0</v>
      </c>
      <c r="P11" s="2029">
        <f>'[5]int.kiadások RM III'!N11</f>
        <v>0</v>
      </c>
      <c r="Q11" s="2029"/>
      <c r="R11" s="2030"/>
      <c r="S11" s="2029">
        <f>[4]int.kiadások2021!F10</f>
        <v>0</v>
      </c>
      <c r="T11" s="2029">
        <f>'[5]int.kiadások RM III'!Q11</f>
        <v>0</v>
      </c>
      <c r="U11" s="2029"/>
      <c r="V11" s="2030"/>
      <c r="W11" s="2029">
        <f t="shared" si="3"/>
        <v>104745</v>
      </c>
      <c r="X11" s="2029">
        <f t="shared" si="3"/>
        <v>107423</v>
      </c>
      <c r="Y11" s="2029">
        <f t="shared" si="3"/>
        <v>96132</v>
      </c>
      <c r="Z11" s="2030">
        <f t="shared" si="4"/>
        <v>0.89489215531124622</v>
      </c>
      <c r="AA11" s="2028" t="s">
        <v>1255</v>
      </c>
      <c r="AB11" s="2029">
        <f>[4]int.kiadások2021!I10</f>
        <v>0</v>
      </c>
      <c r="AC11" s="2029">
        <f>'[5]int.kiadások RM III'!X11</f>
        <v>2365</v>
      </c>
      <c r="AD11" s="2029">
        <v>1457</v>
      </c>
      <c r="AE11" s="2030">
        <f t="shared" si="5"/>
        <v>0.61606765327695556</v>
      </c>
      <c r="AF11" s="2029">
        <f>[4]int.kiadások2021!J10</f>
        <v>0</v>
      </c>
      <c r="AG11" s="2029">
        <f>'[5]int.kiadások RM III'!AA11</f>
        <v>0</v>
      </c>
      <c r="AH11" s="2029"/>
      <c r="AI11" s="2030"/>
      <c r="AJ11" s="2029">
        <f>[4]int.kiadások2021!K10</f>
        <v>0</v>
      </c>
      <c r="AK11" s="2029">
        <f>'[5]int.kiadások RM III'!AD11</f>
        <v>0</v>
      </c>
      <c r="AL11" s="2029"/>
      <c r="AM11" s="2030"/>
      <c r="AN11" s="2028" t="s">
        <v>1255</v>
      </c>
      <c r="AO11" s="2029">
        <f t="shared" si="6"/>
        <v>0</v>
      </c>
      <c r="AP11" s="2029">
        <f t="shared" si="7"/>
        <v>2365</v>
      </c>
      <c r="AQ11" s="2029">
        <f t="shared" si="8"/>
        <v>1457</v>
      </c>
      <c r="AR11" s="2030">
        <f t="shared" si="9"/>
        <v>0.61606765327695556</v>
      </c>
      <c r="AS11" s="2029">
        <f t="shared" si="10"/>
        <v>104745</v>
      </c>
      <c r="AT11" s="2029">
        <f t="shared" si="11"/>
        <v>109788</v>
      </c>
      <c r="AU11" s="2029">
        <f t="shared" si="12"/>
        <v>97589</v>
      </c>
      <c r="AV11" s="2030">
        <f t="shared" si="13"/>
        <v>0.88888585273436072</v>
      </c>
      <c r="AW11" s="2029">
        <f>AS11-'[6]éves besz.bevételei2021'!BD11</f>
        <v>0</v>
      </c>
      <c r="AX11" s="2029">
        <f>AT11-'[6]éves besz.bevételei2021'!BE11</f>
        <v>0</v>
      </c>
      <c r="AY11" s="2029">
        <f>AU11-'[6]éves besz.bevételei2021'!BF11</f>
        <v>-2044</v>
      </c>
    </row>
    <row r="12" spans="1:51" s="2027" customFormat="1" ht="56.1" customHeight="1" x14ac:dyDescent="0.5">
      <c r="A12" s="2028" t="s">
        <v>1256</v>
      </c>
      <c r="B12" s="2029">
        <f>[4]int.kiadások2021!B11</f>
        <v>91283</v>
      </c>
      <c r="C12" s="2029">
        <f>'[5]int.kiadások RM III'!D12</f>
        <v>95121</v>
      </c>
      <c r="D12" s="2029">
        <v>86715</v>
      </c>
      <c r="E12" s="2030">
        <f t="shared" si="0"/>
        <v>0.91162834705270135</v>
      </c>
      <c r="F12" s="2029">
        <f>[4]int.kiadások2021!C11</f>
        <v>14147</v>
      </c>
      <c r="G12" s="2029">
        <f>'[5]int.kiadások RM III'!G12</f>
        <v>14687</v>
      </c>
      <c r="H12" s="2029">
        <v>13447</v>
      </c>
      <c r="I12" s="2030">
        <f t="shared" si="1"/>
        <v>0.91557159392660181</v>
      </c>
      <c r="J12" s="2029">
        <f>[4]int.kiadások2021!D11</f>
        <v>3445</v>
      </c>
      <c r="K12" s="2029">
        <f>'[5]int.kiadások RM III'!J12</f>
        <v>4889</v>
      </c>
      <c r="L12" s="2029">
        <v>3979</v>
      </c>
      <c r="M12" s="2030">
        <f t="shared" si="2"/>
        <v>0.81386786663939459</v>
      </c>
      <c r="N12" s="2028" t="s">
        <v>1256</v>
      </c>
      <c r="O12" s="2029">
        <f>[4]int.kiadások2021!E11</f>
        <v>0</v>
      </c>
      <c r="P12" s="2029">
        <f>'[5]int.kiadások RM III'!N12</f>
        <v>0</v>
      </c>
      <c r="Q12" s="2029"/>
      <c r="R12" s="2030"/>
      <c r="S12" s="2029">
        <f>[4]int.kiadások2021!F11</f>
        <v>0</v>
      </c>
      <c r="T12" s="2029">
        <f>'[5]int.kiadások RM III'!Q12</f>
        <v>0</v>
      </c>
      <c r="U12" s="2029"/>
      <c r="V12" s="2030"/>
      <c r="W12" s="2029">
        <f t="shared" si="3"/>
        <v>108875</v>
      </c>
      <c r="X12" s="2029">
        <f t="shared" si="3"/>
        <v>114697</v>
      </c>
      <c r="Y12" s="2029">
        <f t="shared" si="3"/>
        <v>104141</v>
      </c>
      <c r="Z12" s="2030">
        <f t="shared" si="4"/>
        <v>0.907966206613948</v>
      </c>
      <c r="AA12" s="2028" t="s">
        <v>1256</v>
      </c>
      <c r="AB12" s="2029">
        <f>[4]int.kiadások2021!I11</f>
        <v>0</v>
      </c>
      <c r="AC12" s="2029">
        <f>'[5]int.kiadások RM III'!X12</f>
        <v>1554</v>
      </c>
      <c r="AD12" s="2029">
        <v>1553</v>
      </c>
      <c r="AE12" s="2030">
        <f t="shared" si="5"/>
        <v>0.99935649935649939</v>
      </c>
      <c r="AF12" s="2029">
        <f>[4]int.kiadások2021!J11</f>
        <v>0</v>
      </c>
      <c r="AG12" s="2029">
        <f>'[5]int.kiadások RM III'!AA12</f>
        <v>704</v>
      </c>
      <c r="AH12" s="2029">
        <v>703</v>
      </c>
      <c r="AI12" s="2030">
        <f>AH12/AG12</f>
        <v>0.99857954545454541</v>
      </c>
      <c r="AJ12" s="2029">
        <f>[4]int.kiadások2021!K11</f>
        <v>0</v>
      </c>
      <c r="AK12" s="2029">
        <f>'[5]int.kiadások RM III'!AD12</f>
        <v>0</v>
      </c>
      <c r="AL12" s="2029"/>
      <c r="AM12" s="2030"/>
      <c r="AN12" s="2028" t="s">
        <v>1256</v>
      </c>
      <c r="AO12" s="2029">
        <f t="shared" si="6"/>
        <v>0</v>
      </c>
      <c r="AP12" s="2029">
        <f t="shared" si="7"/>
        <v>2258</v>
      </c>
      <c r="AQ12" s="2029">
        <f t="shared" si="8"/>
        <v>2256</v>
      </c>
      <c r="AR12" s="2030">
        <f t="shared" si="9"/>
        <v>0.99911426040744022</v>
      </c>
      <c r="AS12" s="2029">
        <f t="shared" si="10"/>
        <v>108875</v>
      </c>
      <c r="AT12" s="2029">
        <f t="shared" si="11"/>
        <v>116955</v>
      </c>
      <c r="AU12" s="2029">
        <f t="shared" si="12"/>
        <v>106397</v>
      </c>
      <c r="AV12" s="2030">
        <f t="shared" si="13"/>
        <v>0.90972596297721342</v>
      </c>
      <c r="AW12" s="2029">
        <f>AS12-'[6]éves besz.bevételei2021'!BD12</f>
        <v>0</v>
      </c>
      <c r="AX12" s="2029">
        <f>AT12-'[6]éves besz.bevételei2021'!BE12</f>
        <v>0</v>
      </c>
      <c r="AY12" s="2029">
        <f>AU12-'[6]éves besz.bevételei2021'!BF12</f>
        <v>-1053</v>
      </c>
    </row>
    <row r="13" spans="1:51" s="2027" customFormat="1" ht="56.1" customHeight="1" x14ac:dyDescent="0.5">
      <c r="A13" s="2028" t="s">
        <v>1257</v>
      </c>
      <c r="B13" s="2029">
        <f>[4]int.kiadások2021!B12</f>
        <v>113930</v>
      </c>
      <c r="C13" s="2029">
        <f>'[5]int.kiadások RM III'!D13</f>
        <v>110901</v>
      </c>
      <c r="D13" s="2029">
        <v>105455</v>
      </c>
      <c r="E13" s="2030">
        <f t="shared" si="0"/>
        <v>0.95089313892570848</v>
      </c>
      <c r="F13" s="2029">
        <f>[4]int.kiadások2021!C12</f>
        <v>19841</v>
      </c>
      <c r="G13" s="2029">
        <f>'[5]int.kiadások RM III'!G13</f>
        <v>19367</v>
      </c>
      <c r="H13" s="2029">
        <v>16872</v>
      </c>
      <c r="I13" s="2030">
        <f t="shared" si="1"/>
        <v>0.8711726132080343</v>
      </c>
      <c r="J13" s="2029">
        <f>[4]int.kiadások2021!D12</f>
        <v>3696</v>
      </c>
      <c r="K13" s="2029">
        <f>'[5]int.kiadások RM III'!J13</f>
        <v>5090</v>
      </c>
      <c r="L13" s="2029">
        <v>4728</v>
      </c>
      <c r="M13" s="2030">
        <f t="shared" si="2"/>
        <v>0.92888015717092343</v>
      </c>
      <c r="N13" s="2028" t="s">
        <v>1257</v>
      </c>
      <c r="O13" s="2029">
        <f>[4]int.kiadások2021!E12</f>
        <v>0</v>
      </c>
      <c r="P13" s="2029">
        <f>'[5]int.kiadások RM III'!N13</f>
        <v>0</v>
      </c>
      <c r="Q13" s="2029"/>
      <c r="R13" s="2030"/>
      <c r="S13" s="2029">
        <f>[4]int.kiadások2021!F12</f>
        <v>0</v>
      </c>
      <c r="T13" s="2029">
        <f>'[5]int.kiadások RM III'!Q13</f>
        <v>0</v>
      </c>
      <c r="U13" s="2029"/>
      <c r="V13" s="2030"/>
      <c r="W13" s="2029">
        <f t="shared" si="3"/>
        <v>137467</v>
      </c>
      <c r="X13" s="2029">
        <f t="shared" si="3"/>
        <v>135358</v>
      </c>
      <c r="Y13" s="2029">
        <f t="shared" si="3"/>
        <v>127055</v>
      </c>
      <c r="Z13" s="2030">
        <f t="shared" si="4"/>
        <v>0.93865896363716961</v>
      </c>
      <c r="AA13" s="2028" t="s">
        <v>1257</v>
      </c>
      <c r="AB13" s="2029">
        <f>[4]int.kiadások2021!I12</f>
        <v>0</v>
      </c>
      <c r="AC13" s="2029">
        <f>'[5]int.kiadások RM III'!X13</f>
        <v>609</v>
      </c>
      <c r="AD13" s="2029">
        <v>609</v>
      </c>
      <c r="AE13" s="2030">
        <f t="shared" si="5"/>
        <v>1</v>
      </c>
      <c r="AF13" s="2029">
        <f>[4]int.kiadások2021!J12</f>
        <v>0</v>
      </c>
      <c r="AG13" s="2029">
        <f>'[5]int.kiadások RM III'!AA13</f>
        <v>0</v>
      </c>
      <c r="AH13" s="2029"/>
      <c r="AI13" s="2030"/>
      <c r="AJ13" s="2029">
        <f>[4]int.kiadások2021!K12</f>
        <v>0</v>
      </c>
      <c r="AK13" s="2029">
        <f>'[5]int.kiadások RM III'!AD13</f>
        <v>0</v>
      </c>
      <c r="AL13" s="2029"/>
      <c r="AM13" s="2030"/>
      <c r="AN13" s="2028" t="s">
        <v>1257</v>
      </c>
      <c r="AO13" s="2029">
        <f t="shared" si="6"/>
        <v>0</v>
      </c>
      <c r="AP13" s="2029">
        <f t="shared" si="7"/>
        <v>609</v>
      </c>
      <c r="AQ13" s="2029">
        <f t="shared" si="8"/>
        <v>609</v>
      </c>
      <c r="AR13" s="2030">
        <f t="shared" si="9"/>
        <v>1</v>
      </c>
      <c r="AS13" s="2029">
        <f t="shared" si="10"/>
        <v>137467</v>
      </c>
      <c r="AT13" s="2029">
        <f t="shared" si="11"/>
        <v>135967</v>
      </c>
      <c r="AU13" s="2029">
        <f t="shared" si="12"/>
        <v>127664</v>
      </c>
      <c r="AV13" s="2030">
        <f t="shared" si="13"/>
        <v>0.93893371185655339</v>
      </c>
      <c r="AW13" s="2029">
        <f>AS13-'[6]éves besz.bevételei2021'!BD13</f>
        <v>0</v>
      </c>
      <c r="AX13" s="2029">
        <f>AT13-'[6]éves besz.bevételei2021'!BE13</f>
        <v>0</v>
      </c>
      <c r="AY13" s="2029">
        <f>AU13-'[6]éves besz.bevételei2021'!BF13</f>
        <v>-2598</v>
      </c>
    </row>
    <row r="14" spans="1:51" s="2027" customFormat="1" ht="56.1" customHeight="1" x14ac:dyDescent="0.5">
      <c r="A14" s="2028" t="s">
        <v>1258</v>
      </c>
      <c r="B14" s="2029">
        <f>[4]int.kiadások2021!B13</f>
        <v>96391</v>
      </c>
      <c r="C14" s="2029">
        <f>'[5]int.kiadások RM III'!D14</f>
        <v>95773</v>
      </c>
      <c r="D14" s="2029">
        <v>88392</v>
      </c>
      <c r="E14" s="2030">
        <f t="shared" si="0"/>
        <v>0.92293235045367694</v>
      </c>
      <c r="F14" s="2029">
        <f>[4]int.kiadások2021!C13</f>
        <v>16755</v>
      </c>
      <c r="G14" s="2029">
        <f>'[5]int.kiadások RM III'!G14</f>
        <v>16642</v>
      </c>
      <c r="H14" s="2029">
        <v>14623</v>
      </c>
      <c r="I14" s="2030">
        <f t="shared" si="1"/>
        <v>0.87868044706165127</v>
      </c>
      <c r="J14" s="2029">
        <f>[4]int.kiadások2021!D13</f>
        <v>3451</v>
      </c>
      <c r="K14" s="2029">
        <f>'[5]int.kiadások RM III'!J14</f>
        <v>6545</v>
      </c>
      <c r="L14" s="2029">
        <v>6004</v>
      </c>
      <c r="M14" s="2030">
        <f t="shared" si="2"/>
        <v>0.91734148204736443</v>
      </c>
      <c r="N14" s="2028" t="s">
        <v>1258</v>
      </c>
      <c r="O14" s="2029">
        <f>[4]int.kiadások2021!E13</f>
        <v>0</v>
      </c>
      <c r="P14" s="2029">
        <f>'[5]int.kiadások RM III'!N14</f>
        <v>0</v>
      </c>
      <c r="Q14" s="2029"/>
      <c r="R14" s="2030"/>
      <c r="S14" s="2029">
        <f>[4]int.kiadások2021!F13</f>
        <v>0</v>
      </c>
      <c r="T14" s="2029">
        <f>'[5]int.kiadások RM III'!Q14</f>
        <v>0</v>
      </c>
      <c r="U14" s="2029"/>
      <c r="V14" s="2030"/>
      <c r="W14" s="2029">
        <f t="shared" si="3"/>
        <v>116597</v>
      </c>
      <c r="X14" s="2029">
        <f t="shared" si="3"/>
        <v>118960</v>
      </c>
      <c r="Y14" s="2029">
        <f t="shared" si="3"/>
        <v>109019</v>
      </c>
      <c r="Z14" s="2030">
        <f t="shared" si="4"/>
        <v>0.91643409549428378</v>
      </c>
      <c r="AA14" s="2028" t="s">
        <v>1258</v>
      </c>
      <c r="AB14" s="2029">
        <f>[4]int.kiadások2021!I13</f>
        <v>0</v>
      </c>
      <c r="AC14" s="2029">
        <f>'[5]int.kiadások RM III'!X14</f>
        <v>3532</v>
      </c>
      <c r="AD14" s="2029">
        <v>3531</v>
      </c>
      <c r="AE14" s="2030">
        <f t="shared" si="5"/>
        <v>0.9997168742921857</v>
      </c>
      <c r="AF14" s="2029">
        <f>[4]int.kiadások2021!J13</f>
        <v>0</v>
      </c>
      <c r="AG14" s="2029">
        <f>'[5]int.kiadások RM III'!AA14</f>
        <v>246</v>
      </c>
      <c r="AH14" s="2029">
        <v>246</v>
      </c>
      <c r="AI14" s="2030">
        <f>AH14/AG14</f>
        <v>1</v>
      </c>
      <c r="AJ14" s="2029">
        <f>[4]int.kiadások2021!K13</f>
        <v>0</v>
      </c>
      <c r="AK14" s="2029">
        <f>'[5]int.kiadások RM III'!AD14</f>
        <v>0</v>
      </c>
      <c r="AL14" s="2029"/>
      <c r="AM14" s="2030"/>
      <c r="AN14" s="2028" t="s">
        <v>1258</v>
      </c>
      <c r="AO14" s="2029">
        <f t="shared" si="6"/>
        <v>0</v>
      </c>
      <c r="AP14" s="2029">
        <f t="shared" si="7"/>
        <v>3778</v>
      </c>
      <c r="AQ14" s="2029">
        <f t="shared" si="8"/>
        <v>3777</v>
      </c>
      <c r="AR14" s="2030">
        <f t="shared" si="9"/>
        <v>0.99973530968766544</v>
      </c>
      <c r="AS14" s="2029">
        <f t="shared" si="10"/>
        <v>116597</v>
      </c>
      <c r="AT14" s="2029">
        <f t="shared" si="11"/>
        <v>122738</v>
      </c>
      <c r="AU14" s="2029">
        <f t="shared" si="12"/>
        <v>112796</v>
      </c>
      <c r="AV14" s="2030">
        <f t="shared" si="13"/>
        <v>0.91899819126920756</v>
      </c>
      <c r="AW14" s="2029">
        <f>AS14-'[6]éves besz.bevételei2021'!BD14</f>
        <v>0</v>
      </c>
      <c r="AX14" s="2029">
        <f>AT14-'[6]éves besz.bevételei2021'!BE14</f>
        <v>0</v>
      </c>
      <c r="AY14" s="2029">
        <f>AU14-'[6]éves besz.bevételei2021'!BF14</f>
        <v>-3884</v>
      </c>
    </row>
    <row r="15" spans="1:51" s="2027" customFormat="1" ht="56.1" customHeight="1" x14ac:dyDescent="0.5">
      <c r="A15" s="2028" t="s">
        <v>1259</v>
      </c>
      <c r="B15" s="2029">
        <f>[4]int.kiadások2021!B14</f>
        <v>93013</v>
      </c>
      <c r="C15" s="2029">
        <f>'[5]int.kiadások RM III'!D15</f>
        <v>92230</v>
      </c>
      <c r="D15" s="2029">
        <f>89946-1</f>
        <v>89945</v>
      </c>
      <c r="E15" s="2030">
        <f t="shared" si="0"/>
        <v>0.97522498102569666</v>
      </c>
      <c r="F15" s="2029">
        <f>[4]int.kiadások2021!C14</f>
        <v>14450</v>
      </c>
      <c r="G15" s="2029">
        <f>'[5]int.kiadások RM III'!G15</f>
        <v>14320</v>
      </c>
      <c r="H15" s="2029">
        <v>13865</v>
      </c>
      <c r="I15" s="2030">
        <f t="shared" si="1"/>
        <v>0.96822625698324027</v>
      </c>
      <c r="J15" s="2029">
        <f>[4]int.kiadások2021!D14</f>
        <v>3178</v>
      </c>
      <c r="K15" s="2029">
        <f>'[5]int.kiadások RM III'!J15</f>
        <v>6094</v>
      </c>
      <c r="L15" s="2029">
        <v>2582</v>
      </c>
      <c r="M15" s="2030">
        <f t="shared" si="2"/>
        <v>0.42369543813587135</v>
      </c>
      <c r="N15" s="2028" t="s">
        <v>1259</v>
      </c>
      <c r="O15" s="2029">
        <f>[4]int.kiadások2021!E14</f>
        <v>0</v>
      </c>
      <c r="P15" s="2029">
        <f>'[5]int.kiadások RM III'!N15</f>
        <v>0</v>
      </c>
      <c r="Q15" s="2029"/>
      <c r="R15" s="2030"/>
      <c r="S15" s="2029">
        <f>[4]int.kiadások2021!F14</f>
        <v>0</v>
      </c>
      <c r="T15" s="2029">
        <f>'[5]int.kiadások RM III'!Q15</f>
        <v>0</v>
      </c>
      <c r="U15" s="2029"/>
      <c r="V15" s="2030"/>
      <c r="W15" s="2029">
        <f t="shared" si="3"/>
        <v>110641</v>
      </c>
      <c r="X15" s="2029">
        <f t="shared" si="3"/>
        <v>112644</v>
      </c>
      <c r="Y15" s="2029">
        <f t="shared" si="3"/>
        <v>106392</v>
      </c>
      <c r="Z15" s="2030">
        <f t="shared" si="4"/>
        <v>0.94449770959838075</v>
      </c>
      <c r="AA15" s="2028" t="s">
        <v>1259</v>
      </c>
      <c r="AB15" s="2029">
        <f>[4]int.kiadások2021!I14</f>
        <v>0</v>
      </c>
      <c r="AC15" s="2029">
        <f>'[5]int.kiadások RM III'!X15</f>
        <v>1592</v>
      </c>
      <c r="AD15" s="2029">
        <v>1592</v>
      </c>
      <c r="AE15" s="2030">
        <f t="shared" si="5"/>
        <v>1</v>
      </c>
      <c r="AF15" s="2029">
        <f>[4]int.kiadások2021!J14</f>
        <v>0</v>
      </c>
      <c r="AG15" s="2029">
        <f>'[5]int.kiadások RM III'!AA15</f>
        <v>1646</v>
      </c>
      <c r="AH15" s="2029">
        <v>1646</v>
      </c>
      <c r="AI15" s="2030">
        <f>AH15/AG15</f>
        <v>1</v>
      </c>
      <c r="AJ15" s="2029">
        <f>[4]int.kiadások2021!K14</f>
        <v>0</v>
      </c>
      <c r="AK15" s="2029">
        <f>'[5]int.kiadások RM III'!AD15</f>
        <v>0</v>
      </c>
      <c r="AL15" s="2029"/>
      <c r="AM15" s="2030"/>
      <c r="AN15" s="2028" t="s">
        <v>1259</v>
      </c>
      <c r="AO15" s="2029">
        <f t="shared" si="6"/>
        <v>0</v>
      </c>
      <c r="AP15" s="2029">
        <f t="shared" si="7"/>
        <v>3238</v>
      </c>
      <c r="AQ15" s="2029">
        <f t="shared" si="8"/>
        <v>3238</v>
      </c>
      <c r="AR15" s="2030">
        <f t="shared" si="9"/>
        <v>1</v>
      </c>
      <c r="AS15" s="2029">
        <f t="shared" si="10"/>
        <v>110641</v>
      </c>
      <c r="AT15" s="2029">
        <f t="shared" si="11"/>
        <v>115882</v>
      </c>
      <c r="AU15" s="2029">
        <f t="shared" si="12"/>
        <v>109630</v>
      </c>
      <c r="AV15" s="2030">
        <f t="shared" si="13"/>
        <v>0.94604856664538062</v>
      </c>
      <c r="AW15" s="2029">
        <f>AS15-'[6]éves besz.bevételei2021'!BD15</f>
        <v>0</v>
      </c>
      <c r="AX15" s="2029">
        <f>AT15-'[6]éves besz.bevételei2021'!BE15</f>
        <v>0</v>
      </c>
      <c r="AY15" s="2029">
        <f>AU15-'[6]éves besz.bevételei2021'!BF15</f>
        <v>-1604</v>
      </c>
    </row>
    <row r="16" spans="1:51" s="2027" customFormat="1" ht="56.1" customHeight="1" x14ac:dyDescent="0.5">
      <c r="A16" s="2028" t="s">
        <v>1260</v>
      </c>
      <c r="B16" s="2029">
        <f>[4]int.kiadások2021!B15</f>
        <v>74315</v>
      </c>
      <c r="C16" s="2029">
        <f>'[5]int.kiadások RM III'!D16</f>
        <v>74935</v>
      </c>
      <c r="D16" s="2029">
        <v>66247</v>
      </c>
      <c r="E16" s="2030">
        <f t="shared" si="0"/>
        <v>0.8840595182491493</v>
      </c>
      <c r="F16" s="2029">
        <f>[4]int.kiadások2021!C15</f>
        <v>11636</v>
      </c>
      <c r="G16" s="2029">
        <f>'[5]int.kiadások RM III'!G16</f>
        <v>11731</v>
      </c>
      <c r="H16" s="2029">
        <v>10328</v>
      </c>
      <c r="I16" s="2030">
        <f t="shared" si="1"/>
        <v>0.88040235274060186</v>
      </c>
      <c r="J16" s="2029">
        <f>[4]int.kiadások2021!D15</f>
        <v>2910</v>
      </c>
      <c r="K16" s="2029">
        <f>'[5]int.kiadások RM III'!J16</f>
        <v>2684</v>
      </c>
      <c r="L16" s="2029">
        <v>2516</v>
      </c>
      <c r="M16" s="2030">
        <f t="shared" si="2"/>
        <v>0.93740685543964231</v>
      </c>
      <c r="N16" s="2028" t="s">
        <v>1260</v>
      </c>
      <c r="O16" s="2029">
        <f>[4]int.kiadások2021!E15</f>
        <v>0</v>
      </c>
      <c r="P16" s="2029">
        <f>'[5]int.kiadások RM III'!N16</f>
        <v>0</v>
      </c>
      <c r="Q16" s="2029"/>
      <c r="R16" s="2030"/>
      <c r="S16" s="2029">
        <f>[4]int.kiadások2021!F15</f>
        <v>0</v>
      </c>
      <c r="T16" s="2029">
        <f>'[5]int.kiadások RM III'!Q16</f>
        <v>0</v>
      </c>
      <c r="U16" s="2029"/>
      <c r="V16" s="2030"/>
      <c r="W16" s="2029">
        <f t="shared" si="3"/>
        <v>88861</v>
      </c>
      <c r="X16" s="2029">
        <f t="shared" si="3"/>
        <v>89350</v>
      </c>
      <c r="Y16" s="2029">
        <f t="shared" si="3"/>
        <v>79091</v>
      </c>
      <c r="Z16" s="2030">
        <f t="shared" si="4"/>
        <v>0.88518186905428087</v>
      </c>
      <c r="AA16" s="2028" t="s">
        <v>1260</v>
      </c>
      <c r="AB16" s="2029">
        <f>[4]int.kiadások2021!I15</f>
        <v>0</v>
      </c>
      <c r="AC16" s="2029">
        <f>'[5]int.kiadások RM III'!X16</f>
        <v>2244</v>
      </c>
      <c r="AD16" s="2029">
        <v>383</v>
      </c>
      <c r="AE16" s="2030">
        <f t="shared" si="5"/>
        <v>0.17067736185383245</v>
      </c>
      <c r="AF16" s="2029">
        <f>[4]int.kiadások2021!J15</f>
        <v>0</v>
      </c>
      <c r="AG16" s="2029">
        <f>'[5]int.kiadások RM III'!AA16</f>
        <v>0</v>
      </c>
      <c r="AH16" s="2029"/>
      <c r="AI16" s="2030"/>
      <c r="AJ16" s="2029">
        <f>[4]int.kiadások2021!K15</f>
        <v>0</v>
      </c>
      <c r="AK16" s="2029">
        <f>'[5]int.kiadások RM III'!AD16</f>
        <v>0</v>
      </c>
      <c r="AL16" s="2029"/>
      <c r="AM16" s="2030"/>
      <c r="AN16" s="2028" t="s">
        <v>1260</v>
      </c>
      <c r="AO16" s="2029">
        <f t="shared" si="6"/>
        <v>0</v>
      </c>
      <c r="AP16" s="2029">
        <f t="shared" si="7"/>
        <v>2244</v>
      </c>
      <c r="AQ16" s="2029">
        <f t="shared" si="8"/>
        <v>383</v>
      </c>
      <c r="AR16" s="2030">
        <f t="shared" si="9"/>
        <v>0.17067736185383245</v>
      </c>
      <c r="AS16" s="2029">
        <f t="shared" si="10"/>
        <v>88861</v>
      </c>
      <c r="AT16" s="2029">
        <f t="shared" si="11"/>
        <v>91594</v>
      </c>
      <c r="AU16" s="2029">
        <f t="shared" si="12"/>
        <v>79474</v>
      </c>
      <c r="AV16" s="2030">
        <f t="shared" si="13"/>
        <v>0.86767692206913116</v>
      </c>
      <c r="AW16" s="2029">
        <f>AS16-'[6]éves besz.bevételei2021'!BD16</f>
        <v>0</v>
      </c>
      <c r="AX16" s="2029">
        <f>AT16-'[6]éves besz.bevételei2021'!BE16</f>
        <v>0</v>
      </c>
      <c r="AY16" s="2029">
        <f>AU16-'[6]éves besz.bevételei2021'!BF16</f>
        <v>-2114</v>
      </c>
    </row>
    <row r="17" spans="1:51" s="2027" customFormat="1" ht="56.1" customHeight="1" x14ac:dyDescent="0.5">
      <c r="A17" s="2028" t="s">
        <v>1261</v>
      </c>
      <c r="B17" s="2029">
        <f>[4]int.kiadások2021!B16</f>
        <v>76006</v>
      </c>
      <c r="C17" s="2029">
        <f>'[5]int.kiadások RM III'!D17</f>
        <v>78178</v>
      </c>
      <c r="D17" s="2029">
        <v>70040</v>
      </c>
      <c r="E17" s="2030">
        <f t="shared" si="0"/>
        <v>0.89590421857811664</v>
      </c>
      <c r="F17" s="2029">
        <f>[4]int.kiadások2021!C16</f>
        <v>11756</v>
      </c>
      <c r="G17" s="2029">
        <f>'[5]int.kiadások RM III'!G17</f>
        <v>12570</v>
      </c>
      <c r="H17" s="2029">
        <v>11412</v>
      </c>
      <c r="I17" s="2030">
        <f t="shared" si="1"/>
        <v>0.90787589498806687</v>
      </c>
      <c r="J17" s="2029">
        <f>[4]int.kiadások2021!D16</f>
        <v>2982</v>
      </c>
      <c r="K17" s="2029">
        <f>'[5]int.kiadások RM III'!J17</f>
        <v>3727</v>
      </c>
      <c r="L17" s="2029">
        <v>2706</v>
      </c>
      <c r="M17" s="2030">
        <f t="shared" si="2"/>
        <v>0.72605312583847603</v>
      </c>
      <c r="N17" s="2028" t="s">
        <v>1261</v>
      </c>
      <c r="O17" s="2029">
        <f>[4]int.kiadások2021!E16</f>
        <v>0</v>
      </c>
      <c r="P17" s="2029">
        <f>'[5]int.kiadások RM III'!N17</f>
        <v>0</v>
      </c>
      <c r="Q17" s="2029"/>
      <c r="R17" s="2030"/>
      <c r="S17" s="2029">
        <f>[4]int.kiadások2021!F16</f>
        <v>0</v>
      </c>
      <c r="T17" s="2029">
        <f>'[5]int.kiadások RM III'!Q17</f>
        <v>0</v>
      </c>
      <c r="U17" s="2029"/>
      <c r="V17" s="2030"/>
      <c r="W17" s="2029">
        <f t="shared" si="3"/>
        <v>90744</v>
      </c>
      <c r="X17" s="2029">
        <f t="shared" si="3"/>
        <v>94475</v>
      </c>
      <c r="Y17" s="2029">
        <f t="shared" si="3"/>
        <v>84158</v>
      </c>
      <c r="Z17" s="2030">
        <f t="shared" si="4"/>
        <v>0.89079650701243718</v>
      </c>
      <c r="AA17" s="2028" t="s">
        <v>1261</v>
      </c>
      <c r="AB17" s="2029">
        <f>[4]int.kiadások2021!I16</f>
        <v>0</v>
      </c>
      <c r="AC17" s="2029">
        <f>'[5]int.kiadások RM III'!X17</f>
        <v>2084</v>
      </c>
      <c r="AD17" s="2029">
        <v>1583</v>
      </c>
      <c r="AE17" s="2030">
        <f t="shared" si="5"/>
        <v>0.75959692898272557</v>
      </c>
      <c r="AF17" s="2029">
        <f>[4]int.kiadások2021!J16</f>
        <v>0</v>
      </c>
      <c r="AG17" s="2029">
        <f>'[5]int.kiadások RM III'!AA17</f>
        <v>0</v>
      </c>
      <c r="AH17" s="2029"/>
      <c r="AI17" s="2030"/>
      <c r="AJ17" s="2029">
        <f>[4]int.kiadások2021!K16</f>
        <v>0</v>
      </c>
      <c r="AK17" s="2029">
        <f>'[5]int.kiadások RM III'!AD17</f>
        <v>0</v>
      </c>
      <c r="AL17" s="2029"/>
      <c r="AM17" s="2030"/>
      <c r="AN17" s="2028" t="s">
        <v>1261</v>
      </c>
      <c r="AO17" s="2029">
        <f t="shared" si="6"/>
        <v>0</v>
      </c>
      <c r="AP17" s="2029">
        <f t="shared" si="7"/>
        <v>2084</v>
      </c>
      <c r="AQ17" s="2029">
        <f t="shared" si="8"/>
        <v>1583</v>
      </c>
      <c r="AR17" s="2030">
        <f t="shared" si="9"/>
        <v>0.75959692898272557</v>
      </c>
      <c r="AS17" s="2029">
        <f t="shared" si="10"/>
        <v>90744</v>
      </c>
      <c r="AT17" s="2029">
        <f t="shared" si="11"/>
        <v>96559</v>
      </c>
      <c r="AU17" s="2029">
        <f t="shared" si="12"/>
        <v>85741</v>
      </c>
      <c r="AV17" s="2030">
        <f t="shared" si="13"/>
        <v>0.88796487121863321</v>
      </c>
      <c r="AW17" s="2029">
        <f>AS17-'[6]éves besz.bevételei2021'!BD17</f>
        <v>0</v>
      </c>
      <c r="AX17" s="2029">
        <f>AT17-'[6]éves besz.bevételei2021'!BE17</f>
        <v>0</v>
      </c>
      <c r="AY17" s="2029">
        <f>AU17-'[6]éves besz.bevételei2021'!BF17</f>
        <v>-1917</v>
      </c>
    </row>
    <row r="18" spans="1:51" s="2027" customFormat="1" ht="56.1" customHeight="1" x14ac:dyDescent="0.5">
      <c r="A18" s="2028" t="s">
        <v>1262</v>
      </c>
      <c r="B18" s="2029">
        <f>[4]int.kiadások2021!B17</f>
        <v>97531</v>
      </c>
      <c r="C18" s="2029">
        <f>'[5]int.kiadások RM III'!D18</f>
        <v>102441</v>
      </c>
      <c r="D18" s="2029">
        <v>90848</v>
      </c>
      <c r="E18" s="2030">
        <f t="shared" si="0"/>
        <v>0.88683242061284051</v>
      </c>
      <c r="F18" s="2029">
        <f>[4]int.kiadások2021!C17</f>
        <v>17094</v>
      </c>
      <c r="G18" s="2029">
        <f>'[5]int.kiadások RM III'!G18</f>
        <v>17862</v>
      </c>
      <c r="H18" s="2029">
        <v>15658</v>
      </c>
      <c r="I18" s="2030">
        <f t="shared" si="1"/>
        <v>0.87660956219908182</v>
      </c>
      <c r="J18" s="2029">
        <f>[4]int.kiadások2021!D17</f>
        <v>3580</v>
      </c>
      <c r="K18" s="2029">
        <f>'[5]int.kiadások RM III'!J18</f>
        <v>3373</v>
      </c>
      <c r="L18" s="2029">
        <v>2305</v>
      </c>
      <c r="M18" s="2030">
        <f t="shared" si="2"/>
        <v>0.68336792173139638</v>
      </c>
      <c r="N18" s="2028" t="s">
        <v>1262</v>
      </c>
      <c r="O18" s="2029">
        <f>[4]int.kiadások2021!E17</f>
        <v>0</v>
      </c>
      <c r="P18" s="2029">
        <f>'[5]int.kiadások RM III'!N18</f>
        <v>0</v>
      </c>
      <c r="Q18" s="2029"/>
      <c r="R18" s="2030"/>
      <c r="S18" s="2029">
        <f>[4]int.kiadások2021!F17</f>
        <v>0</v>
      </c>
      <c r="T18" s="2029">
        <f>'[5]int.kiadások RM III'!Q18</f>
        <v>0</v>
      </c>
      <c r="U18" s="2029"/>
      <c r="V18" s="2030"/>
      <c r="W18" s="2029">
        <f t="shared" si="3"/>
        <v>118205</v>
      </c>
      <c r="X18" s="2029">
        <f t="shared" si="3"/>
        <v>123676</v>
      </c>
      <c r="Y18" s="2029">
        <f t="shared" si="3"/>
        <v>108811</v>
      </c>
      <c r="Z18" s="2030">
        <f t="shared" si="4"/>
        <v>0.87980691484200657</v>
      </c>
      <c r="AA18" s="2028" t="s">
        <v>1262</v>
      </c>
      <c r="AB18" s="2029">
        <f>[4]int.kiadások2021!I17</f>
        <v>0</v>
      </c>
      <c r="AC18" s="2029">
        <f>'[5]int.kiadások RM III'!X18</f>
        <v>3650</v>
      </c>
      <c r="AD18" s="2029">
        <v>1310</v>
      </c>
      <c r="AE18" s="2030">
        <f t="shared" si="5"/>
        <v>0.35890410958904112</v>
      </c>
      <c r="AF18" s="2029">
        <f>[4]int.kiadások2021!J17</f>
        <v>0</v>
      </c>
      <c r="AG18" s="2029">
        <f>'[5]int.kiadások RM III'!AA18</f>
        <v>0</v>
      </c>
      <c r="AH18" s="2029"/>
      <c r="AI18" s="2030"/>
      <c r="AJ18" s="2029">
        <f>[4]int.kiadások2021!K17</f>
        <v>0</v>
      </c>
      <c r="AK18" s="2029">
        <f>'[5]int.kiadások RM III'!AD18</f>
        <v>0</v>
      </c>
      <c r="AL18" s="2029"/>
      <c r="AM18" s="2030"/>
      <c r="AN18" s="2028" t="s">
        <v>1262</v>
      </c>
      <c r="AO18" s="2029">
        <f t="shared" si="6"/>
        <v>0</v>
      </c>
      <c r="AP18" s="2029">
        <f t="shared" si="7"/>
        <v>3650</v>
      </c>
      <c r="AQ18" s="2029">
        <f t="shared" si="8"/>
        <v>1310</v>
      </c>
      <c r="AR18" s="2030">
        <f t="shared" si="9"/>
        <v>0.35890410958904112</v>
      </c>
      <c r="AS18" s="2029">
        <f t="shared" si="10"/>
        <v>118205</v>
      </c>
      <c r="AT18" s="2029">
        <f t="shared" si="11"/>
        <v>127326</v>
      </c>
      <c r="AU18" s="2029">
        <f t="shared" si="12"/>
        <v>110121</v>
      </c>
      <c r="AV18" s="2030">
        <f t="shared" si="13"/>
        <v>0.86487441685123223</v>
      </c>
      <c r="AW18" s="2029">
        <f>AS18-'[6]éves besz.bevételei2021'!BD18</f>
        <v>0</v>
      </c>
      <c r="AX18" s="2029">
        <f>AT18-'[6]éves besz.bevételei2021'!BE18</f>
        <v>0</v>
      </c>
      <c r="AY18" s="2029">
        <f>AU18-'[6]éves besz.bevételei2021'!BF18</f>
        <v>-2914</v>
      </c>
    </row>
    <row r="19" spans="1:51" s="2027" customFormat="1" ht="56.1" customHeight="1" x14ac:dyDescent="0.5">
      <c r="A19" s="2028" t="s">
        <v>1263</v>
      </c>
      <c r="B19" s="2029">
        <f>[4]int.kiadások2021!B18</f>
        <v>123555</v>
      </c>
      <c r="C19" s="2029">
        <f>'[5]int.kiadások RM III'!D19</f>
        <v>126240</v>
      </c>
      <c r="D19" s="2029">
        <v>119432</v>
      </c>
      <c r="E19" s="2030">
        <f t="shared" si="0"/>
        <v>0.94607097591888467</v>
      </c>
      <c r="F19" s="2029">
        <f>[4]int.kiadások2021!C18</f>
        <v>21422</v>
      </c>
      <c r="G19" s="2029">
        <f>'[5]int.kiadások RM III'!G19</f>
        <v>21769</v>
      </c>
      <c r="H19" s="2029">
        <v>20568</v>
      </c>
      <c r="I19" s="2030">
        <f t="shared" si="1"/>
        <v>0.94482980384951076</v>
      </c>
      <c r="J19" s="2029">
        <f>[4]int.kiadások2021!D18</f>
        <v>3988</v>
      </c>
      <c r="K19" s="2029">
        <f>'[5]int.kiadások RM III'!J19</f>
        <v>4869</v>
      </c>
      <c r="L19" s="2029">
        <v>4171</v>
      </c>
      <c r="M19" s="2030">
        <f t="shared" si="2"/>
        <v>0.85664407475867732</v>
      </c>
      <c r="N19" s="2028" t="s">
        <v>1263</v>
      </c>
      <c r="O19" s="2029">
        <f>[4]int.kiadások2021!E18</f>
        <v>0</v>
      </c>
      <c r="P19" s="2029">
        <f>'[5]int.kiadások RM III'!N19</f>
        <v>0</v>
      </c>
      <c r="Q19" s="2029"/>
      <c r="R19" s="2030"/>
      <c r="S19" s="2029">
        <f>[4]int.kiadások2021!F18</f>
        <v>0</v>
      </c>
      <c r="T19" s="2029">
        <f>'[5]int.kiadások RM III'!Q19</f>
        <v>0</v>
      </c>
      <c r="U19" s="2029"/>
      <c r="V19" s="2030"/>
      <c r="W19" s="2029">
        <f t="shared" si="3"/>
        <v>148965</v>
      </c>
      <c r="X19" s="2029">
        <f t="shared" si="3"/>
        <v>152878</v>
      </c>
      <c r="Y19" s="2029">
        <f t="shared" si="3"/>
        <v>144171</v>
      </c>
      <c r="Z19" s="2030">
        <f t="shared" si="4"/>
        <v>0.9430460890383181</v>
      </c>
      <c r="AA19" s="2028" t="s">
        <v>1263</v>
      </c>
      <c r="AB19" s="2029">
        <f>[4]int.kiadások2021!I18</f>
        <v>0</v>
      </c>
      <c r="AC19" s="2029">
        <f>'[5]int.kiadások RM III'!X19</f>
        <v>1129</v>
      </c>
      <c r="AD19" s="2029">
        <v>1129</v>
      </c>
      <c r="AE19" s="2030">
        <f t="shared" si="5"/>
        <v>1</v>
      </c>
      <c r="AF19" s="2029">
        <f>[4]int.kiadások2021!J18</f>
        <v>0</v>
      </c>
      <c r="AG19" s="2029">
        <f>'[5]int.kiadások RM III'!AA19</f>
        <v>1122</v>
      </c>
      <c r="AH19" s="2029">
        <v>331</v>
      </c>
      <c r="AI19" s="2030">
        <f>AH19/AG19</f>
        <v>0.29500891265597146</v>
      </c>
      <c r="AJ19" s="2029">
        <f>[4]int.kiadások2021!K18</f>
        <v>0</v>
      </c>
      <c r="AK19" s="2029">
        <f>'[5]int.kiadások RM III'!AD19</f>
        <v>0</v>
      </c>
      <c r="AL19" s="2029"/>
      <c r="AM19" s="2030"/>
      <c r="AN19" s="2028" t="s">
        <v>1263</v>
      </c>
      <c r="AO19" s="2029">
        <f t="shared" si="6"/>
        <v>0</v>
      </c>
      <c r="AP19" s="2029">
        <f t="shared" si="7"/>
        <v>2251</v>
      </c>
      <c r="AQ19" s="2029">
        <f t="shared" si="8"/>
        <v>1460</v>
      </c>
      <c r="AR19" s="2030">
        <f t="shared" si="9"/>
        <v>0.64860062194580181</v>
      </c>
      <c r="AS19" s="2029">
        <f t="shared" si="10"/>
        <v>148965</v>
      </c>
      <c r="AT19" s="2029">
        <f t="shared" si="11"/>
        <v>155129</v>
      </c>
      <c r="AU19" s="2029">
        <f t="shared" si="12"/>
        <v>145631</v>
      </c>
      <c r="AV19" s="2030">
        <f t="shared" si="13"/>
        <v>0.93877353686286902</v>
      </c>
      <c r="AW19" s="2029">
        <f>AS19-'[6]éves besz.bevételei2021'!BD19</f>
        <v>0</v>
      </c>
      <c r="AX19" s="2029">
        <f>AT19-'[6]éves besz.bevételei2021'!BE19</f>
        <v>0</v>
      </c>
      <c r="AY19" s="2029">
        <f>AU19-'[6]éves besz.bevételei2021'!BF19</f>
        <v>-3245</v>
      </c>
    </row>
    <row r="20" spans="1:51" s="2027" customFormat="1" ht="56.1" customHeight="1" x14ac:dyDescent="0.5">
      <c r="A20" s="2028" t="s">
        <v>1264</v>
      </c>
      <c r="B20" s="2029">
        <f>[4]int.kiadások2021!B19</f>
        <v>60732</v>
      </c>
      <c r="C20" s="2029">
        <f>'[5]int.kiadások RM III'!D20</f>
        <v>62862</v>
      </c>
      <c r="D20" s="2029">
        <v>59254</v>
      </c>
      <c r="E20" s="2030">
        <f t="shared" si="0"/>
        <v>0.94260443511183223</v>
      </c>
      <c r="F20" s="2029">
        <f>[4]int.kiadások2021!C19</f>
        <v>9480</v>
      </c>
      <c r="G20" s="2029">
        <f>'[5]int.kiadások RM III'!G20</f>
        <v>9950</v>
      </c>
      <c r="H20" s="2029">
        <v>9440</v>
      </c>
      <c r="I20" s="2030">
        <f t="shared" si="1"/>
        <v>0.9487437185929648</v>
      </c>
      <c r="J20" s="2029">
        <f>[4]int.kiadások2021!D19</f>
        <v>2627</v>
      </c>
      <c r="K20" s="2029">
        <f>'[5]int.kiadások RM III'!J20</f>
        <v>1902</v>
      </c>
      <c r="L20" s="2029">
        <f>1598+1</f>
        <v>1599</v>
      </c>
      <c r="M20" s="2030">
        <f t="shared" si="2"/>
        <v>0.84069400630914826</v>
      </c>
      <c r="N20" s="2028" t="s">
        <v>1264</v>
      </c>
      <c r="O20" s="2029">
        <f>[4]int.kiadások2021!E19</f>
        <v>0</v>
      </c>
      <c r="P20" s="2029">
        <f>'[5]int.kiadások RM III'!N20</f>
        <v>0</v>
      </c>
      <c r="Q20" s="2029"/>
      <c r="R20" s="2030"/>
      <c r="S20" s="2029">
        <f>[4]int.kiadások2021!F19</f>
        <v>0</v>
      </c>
      <c r="T20" s="2029">
        <f>'[5]int.kiadások RM III'!Q20</f>
        <v>0</v>
      </c>
      <c r="U20" s="2029"/>
      <c r="V20" s="2030"/>
      <c r="W20" s="2029">
        <f t="shared" si="3"/>
        <v>72839</v>
      </c>
      <c r="X20" s="2029">
        <f t="shared" si="3"/>
        <v>74714</v>
      </c>
      <c r="Y20" s="2029">
        <f t="shared" si="3"/>
        <v>70293</v>
      </c>
      <c r="Z20" s="2030">
        <f t="shared" si="4"/>
        <v>0.94082768958963514</v>
      </c>
      <c r="AA20" s="2028" t="s">
        <v>1264</v>
      </c>
      <c r="AB20" s="2029">
        <f>[4]int.kiadások2021!I19</f>
        <v>0</v>
      </c>
      <c r="AC20" s="2029">
        <f>'[5]int.kiadások RM III'!X20</f>
        <v>2036</v>
      </c>
      <c r="AD20" s="2029">
        <v>2035</v>
      </c>
      <c r="AE20" s="2030">
        <f t="shared" si="5"/>
        <v>0.99950884086444003</v>
      </c>
      <c r="AF20" s="2029">
        <f>[4]int.kiadások2021!J19</f>
        <v>0</v>
      </c>
      <c r="AG20" s="2029">
        <f>'[5]int.kiadások RM III'!AA20</f>
        <v>0</v>
      </c>
      <c r="AH20" s="2029"/>
      <c r="AI20" s="2030"/>
      <c r="AJ20" s="2029">
        <f>[4]int.kiadások2021!K19</f>
        <v>0</v>
      </c>
      <c r="AK20" s="2029">
        <f>'[5]int.kiadások RM III'!AD20</f>
        <v>0</v>
      </c>
      <c r="AL20" s="2029"/>
      <c r="AM20" s="2030"/>
      <c r="AN20" s="2028" t="s">
        <v>1264</v>
      </c>
      <c r="AO20" s="2029">
        <f t="shared" si="6"/>
        <v>0</v>
      </c>
      <c r="AP20" s="2029">
        <f t="shared" si="7"/>
        <v>2036</v>
      </c>
      <c r="AQ20" s="2029">
        <f t="shared" si="8"/>
        <v>2035</v>
      </c>
      <c r="AR20" s="2030">
        <f t="shared" si="9"/>
        <v>0.99950884086444003</v>
      </c>
      <c r="AS20" s="2029">
        <f t="shared" si="10"/>
        <v>72839</v>
      </c>
      <c r="AT20" s="2029">
        <f t="shared" si="11"/>
        <v>76750</v>
      </c>
      <c r="AU20" s="2029">
        <f t="shared" si="12"/>
        <v>72328</v>
      </c>
      <c r="AV20" s="2030">
        <f t="shared" si="13"/>
        <v>0.94238436482084686</v>
      </c>
      <c r="AW20" s="2029">
        <f>AS20-'[6]éves besz.bevételei2021'!BD20</f>
        <v>0</v>
      </c>
      <c r="AX20" s="2029">
        <f>AT20-'[6]éves besz.bevételei2021'!BE20</f>
        <v>0</v>
      </c>
      <c r="AY20" s="2029">
        <f>AU20-'[6]éves besz.bevételei2021'!BF20</f>
        <v>-787</v>
      </c>
    </row>
    <row r="21" spans="1:51" s="2027" customFormat="1" ht="56.1" customHeight="1" x14ac:dyDescent="0.5">
      <c r="A21" s="2028" t="s">
        <v>1265</v>
      </c>
      <c r="B21" s="2029">
        <f>[4]int.kiadások2021!B20</f>
        <v>52643</v>
      </c>
      <c r="C21" s="2029">
        <f>'[5]int.kiadások RM III'!D21</f>
        <v>52258</v>
      </c>
      <c r="D21" s="2029">
        <v>47769</v>
      </c>
      <c r="E21" s="2030">
        <f t="shared" si="0"/>
        <v>0.91409927666577362</v>
      </c>
      <c r="F21" s="2029">
        <f>[4]int.kiadások2021!C20</f>
        <v>8183</v>
      </c>
      <c r="G21" s="2029">
        <f>'[5]int.kiadások RM III'!G21</f>
        <v>8366</v>
      </c>
      <c r="H21" s="2029">
        <v>7687</v>
      </c>
      <c r="I21" s="2030">
        <f t="shared" si="1"/>
        <v>0.91883815443461625</v>
      </c>
      <c r="J21" s="2029">
        <f>[4]int.kiadások2021!D20</f>
        <v>2531</v>
      </c>
      <c r="K21" s="2029">
        <f>'[5]int.kiadások RM III'!J21</f>
        <v>5114</v>
      </c>
      <c r="L21" s="2029">
        <v>3519</v>
      </c>
      <c r="M21" s="2030">
        <f t="shared" si="2"/>
        <v>0.68811106765741104</v>
      </c>
      <c r="N21" s="2028" t="s">
        <v>1265</v>
      </c>
      <c r="O21" s="2029">
        <f>[4]int.kiadások2021!E20</f>
        <v>0</v>
      </c>
      <c r="P21" s="2029">
        <f>'[5]int.kiadások RM III'!N21</f>
        <v>0</v>
      </c>
      <c r="Q21" s="2029"/>
      <c r="R21" s="2030"/>
      <c r="S21" s="2029">
        <f>[4]int.kiadások2021!F20</f>
        <v>0</v>
      </c>
      <c r="T21" s="2029">
        <f>'[5]int.kiadások RM III'!Q21</f>
        <v>0</v>
      </c>
      <c r="U21" s="2029"/>
      <c r="V21" s="2030"/>
      <c r="W21" s="2029">
        <f t="shared" si="3"/>
        <v>63357</v>
      </c>
      <c r="X21" s="2029">
        <f t="shared" si="3"/>
        <v>65738</v>
      </c>
      <c r="Y21" s="2029">
        <f t="shared" si="3"/>
        <v>58975</v>
      </c>
      <c r="Z21" s="2030">
        <f t="shared" si="4"/>
        <v>0.89712190818096083</v>
      </c>
      <c r="AA21" s="2028" t="s">
        <v>1265</v>
      </c>
      <c r="AB21" s="2029">
        <f>[4]int.kiadások2021!I20</f>
        <v>0</v>
      </c>
      <c r="AC21" s="2029">
        <f>'[5]int.kiadások RM III'!X21</f>
        <v>698</v>
      </c>
      <c r="AD21" s="2029">
        <v>697</v>
      </c>
      <c r="AE21" s="2030">
        <f t="shared" si="5"/>
        <v>0.99856733524355301</v>
      </c>
      <c r="AF21" s="2029">
        <f>[4]int.kiadások2021!J20</f>
        <v>0</v>
      </c>
      <c r="AG21" s="2029">
        <f>'[5]int.kiadások RM III'!AA21</f>
        <v>384</v>
      </c>
      <c r="AH21" s="2029">
        <v>384</v>
      </c>
      <c r="AI21" s="2030">
        <f>AH21/AG21</f>
        <v>1</v>
      </c>
      <c r="AJ21" s="2029">
        <f>[4]int.kiadások2021!K20</f>
        <v>0</v>
      </c>
      <c r="AK21" s="2029">
        <f>'[5]int.kiadások RM III'!AD21</f>
        <v>0</v>
      </c>
      <c r="AL21" s="2029"/>
      <c r="AM21" s="2030"/>
      <c r="AN21" s="2028" t="s">
        <v>1265</v>
      </c>
      <c r="AO21" s="2029">
        <f t="shared" si="6"/>
        <v>0</v>
      </c>
      <c r="AP21" s="2029">
        <f t="shared" si="7"/>
        <v>1082</v>
      </c>
      <c r="AQ21" s="2029">
        <f t="shared" si="8"/>
        <v>1081</v>
      </c>
      <c r="AR21" s="2030">
        <f t="shared" si="9"/>
        <v>0.99907578558225507</v>
      </c>
      <c r="AS21" s="2029">
        <f t="shared" si="10"/>
        <v>63357</v>
      </c>
      <c r="AT21" s="2029">
        <f t="shared" si="11"/>
        <v>66820</v>
      </c>
      <c r="AU21" s="2029">
        <f t="shared" si="12"/>
        <v>60056</v>
      </c>
      <c r="AV21" s="2030">
        <f t="shared" si="13"/>
        <v>0.8987728225082311</v>
      </c>
      <c r="AW21" s="2029">
        <f>AS21-'[6]éves besz.bevételei2021'!BD21</f>
        <v>0</v>
      </c>
      <c r="AX21" s="2029">
        <f>AT21-'[6]éves besz.bevételei2021'!BE21</f>
        <v>0</v>
      </c>
      <c r="AY21" s="2029">
        <f>AU21-'[6]éves besz.bevételei2021'!BF21</f>
        <v>-1183</v>
      </c>
    </row>
    <row r="22" spans="1:51" s="2027" customFormat="1" ht="56.1" customHeight="1" x14ac:dyDescent="0.5">
      <c r="A22" s="2028" t="s">
        <v>1266</v>
      </c>
      <c r="B22" s="2029">
        <f>[4]int.kiadások2021!B21</f>
        <v>79046</v>
      </c>
      <c r="C22" s="2029">
        <f>'[5]int.kiadások RM III'!D22</f>
        <v>81811</v>
      </c>
      <c r="D22" s="2029">
        <v>72285</v>
      </c>
      <c r="E22" s="2030">
        <f t="shared" si="0"/>
        <v>0.88356089034481911</v>
      </c>
      <c r="F22" s="2029">
        <f>[4]int.kiadások2021!C21</f>
        <v>12298</v>
      </c>
      <c r="G22" s="2029">
        <f>'[5]int.kiadások RM III'!G22</f>
        <v>12699</v>
      </c>
      <c r="H22" s="2029">
        <v>10177</v>
      </c>
      <c r="I22" s="2030">
        <f t="shared" si="1"/>
        <v>0.80140168517206078</v>
      </c>
      <c r="J22" s="2029">
        <f>[4]int.kiadások2021!D21</f>
        <v>3023</v>
      </c>
      <c r="K22" s="2029">
        <f>'[5]int.kiadások RM III'!J22</f>
        <v>2895</v>
      </c>
      <c r="L22" s="2029">
        <v>2366</v>
      </c>
      <c r="M22" s="2030">
        <f t="shared" si="2"/>
        <v>0.81727115716753018</v>
      </c>
      <c r="N22" s="2028" t="s">
        <v>1266</v>
      </c>
      <c r="O22" s="2029">
        <f>[4]int.kiadások2021!E21</f>
        <v>0</v>
      </c>
      <c r="P22" s="2029">
        <f>'[5]int.kiadások RM III'!N22</f>
        <v>0</v>
      </c>
      <c r="Q22" s="2029"/>
      <c r="R22" s="2030"/>
      <c r="S22" s="2029">
        <f>[4]int.kiadások2021!F21</f>
        <v>0</v>
      </c>
      <c r="T22" s="2029">
        <f>'[5]int.kiadások RM III'!Q22</f>
        <v>0</v>
      </c>
      <c r="U22" s="2029"/>
      <c r="V22" s="2030"/>
      <c r="W22" s="2029">
        <f t="shared" si="3"/>
        <v>94367</v>
      </c>
      <c r="X22" s="2029">
        <f t="shared" si="3"/>
        <v>97405</v>
      </c>
      <c r="Y22" s="2029">
        <f t="shared" si="3"/>
        <v>84828</v>
      </c>
      <c r="Z22" s="2030">
        <f t="shared" si="4"/>
        <v>0.87087931831014831</v>
      </c>
      <c r="AA22" s="2028" t="s">
        <v>1266</v>
      </c>
      <c r="AB22" s="2029">
        <f>[4]int.kiadások2021!I21</f>
        <v>0</v>
      </c>
      <c r="AC22" s="2029">
        <f>'[5]int.kiadások RM III'!X22</f>
        <v>331</v>
      </c>
      <c r="AD22" s="2029">
        <v>331</v>
      </c>
      <c r="AE22" s="2030">
        <f t="shared" si="5"/>
        <v>1</v>
      </c>
      <c r="AF22" s="2029">
        <f>[4]int.kiadások2021!J21</f>
        <v>0</v>
      </c>
      <c r="AG22" s="2029">
        <f>'[5]int.kiadások RM III'!AA22</f>
        <v>0</v>
      </c>
      <c r="AH22" s="2029"/>
      <c r="AI22" s="2030"/>
      <c r="AJ22" s="2029">
        <f>[4]int.kiadások2021!K21</f>
        <v>0</v>
      </c>
      <c r="AK22" s="2029">
        <f>'[5]int.kiadások RM III'!AD22</f>
        <v>0</v>
      </c>
      <c r="AL22" s="2029"/>
      <c r="AM22" s="2030"/>
      <c r="AN22" s="2028" t="s">
        <v>1266</v>
      </c>
      <c r="AO22" s="2029">
        <f t="shared" si="6"/>
        <v>0</v>
      </c>
      <c r="AP22" s="2029">
        <f t="shared" si="7"/>
        <v>331</v>
      </c>
      <c r="AQ22" s="2029">
        <f t="shared" si="8"/>
        <v>331</v>
      </c>
      <c r="AR22" s="2030">
        <f t="shared" si="9"/>
        <v>1</v>
      </c>
      <c r="AS22" s="2029">
        <f t="shared" si="10"/>
        <v>94367</v>
      </c>
      <c r="AT22" s="2029">
        <f t="shared" si="11"/>
        <v>97736</v>
      </c>
      <c r="AU22" s="2029">
        <f t="shared" si="12"/>
        <v>85159</v>
      </c>
      <c r="AV22" s="2030">
        <f t="shared" si="13"/>
        <v>0.87131660800523858</v>
      </c>
      <c r="AW22" s="2029">
        <f>AS22-'[6]éves besz.bevételei2021'!BD22</f>
        <v>0</v>
      </c>
      <c r="AX22" s="2029">
        <f>AT22-'[6]éves besz.bevételei2021'!BE22</f>
        <v>0</v>
      </c>
      <c r="AY22" s="2029">
        <f>AU22-'[6]éves besz.bevételei2021'!BF22</f>
        <v>-1904</v>
      </c>
    </row>
    <row r="23" spans="1:51" s="2027" customFormat="1" ht="56.1" customHeight="1" x14ac:dyDescent="0.5">
      <c r="A23" s="2028" t="s">
        <v>1267</v>
      </c>
      <c r="B23" s="2029">
        <f>[4]int.kiadások2021!B22</f>
        <v>84631</v>
      </c>
      <c r="C23" s="2029">
        <f>'[5]int.kiadások RM III'!D23</f>
        <v>86102</v>
      </c>
      <c r="D23" s="2029">
        <v>78369</v>
      </c>
      <c r="E23" s="2030">
        <f t="shared" si="0"/>
        <v>0.91018791665698817</v>
      </c>
      <c r="F23" s="2029">
        <f>[4]int.kiadások2021!C22</f>
        <v>13129</v>
      </c>
      <c r="G23" s="2029">
        <f>'[5]int.kiadások RM III'!G23</f>
        <v>13298</v>
      </c>
      <c r="H23" s="2029">
        <v>12149</v>
      </c>
      <c r="I23" s="2030">
        <f t="shared" si="1"/>
        <v>0.91359602947811702</v>
      </c>
      <c r="J23" s="2029">
        <f>[4]int.kiadások2021!D22</f>
        <v>3159</v>
      </c>
      <c r="K23" s="2029">
        <f>'[5]int.kiadások RM III'!J23</f>
        <v>3626</v>
      </c>
      <c r="L23" s="2029">
        <v>3111</v>
      </c>
      <c r="M23" s="2030">
        <f t="shared" si="2"/>
        <v>0.85797021511307225</v>
      </c>
      <c r="N23" s="2028" t="s">
        <v>1267</v>
      </c>
      <c r="O23" s="2029">
        <f>[4]int.kiadások2021!E22</f>
        <v>0</v>
      </c>
      <c r="P23" s="2029">
        <f>'[5]int.kiadások RM III'!N23</f>
        <v>0</v>
      </c>
      <c r="Q23" s="2029"/>
      <c r="R23" s="2030"/>
      <c r="S23" s="2029">
        <f>[4]int.kiadások2021!F22</f>
        <v>0</v>
      </c>
      <c r="T23" s="2029">
        <f>'[5]int.kiadások RM III'!Q23</f>
        <v>0</v>
      </c>
      <c r="U23" s="2029"/>
      <c r="V23" s="2030"/>
      <c r="W23" s="2029">
        <f t="shared" si="3"/>
        <v>100919</v>
      </c>
      <c r="X23" s="2029">
        <f t="shared" si="3"/>
        <v>103026</v>
      </c>
      <c r="Y23" s="2029">
        <f t="shared" si="3"/>
        <v>93629</v>
      </c>
      <c r="Z23" s="2030">
        <f t="shared" si="4"/>
        <v>0.9087900141711801</v>
      </c>
      <c r="AA23" s="2028" t="s">
        <v>1267</v>
      </c>
      <c r="AB23" s="2029">
        <f>[4]int.kiadások2021!I22</f>
        <v>0</v>
      </c>
      <c r="AC23" s="2029">
        <f>'[5]int.kiadások RM III'!X23</f>
        <v>4651</v>
      </c>
      <c r="AD23" s="2029">
        <v>4650</v>
      </c>
      <c r="AE23" s="2030">
        <f t="shared" si="5"/>
        <v>0.99978499247473662</v>
      </c>
      <c r="AF23" s="2029">
        <f>[4]int.kiadások2021!J22</f>
        <v>0</v>
      </c>
      <c r="AG23" s="2029">
        <f>'[5]int.kiadások RM III'!AA23</f>
        <v>80</v>
      </c>
      <c r="AH23" s="2029">
        <v>79</v>
      </c>
      <c r="AI23" s="2030">
        <f>AH23/AG23</f>
        <v>0.98750000000000004</v>
      </c>
      <c r="AJ23" s="2029">
        <f>[4]int.kiadások2021!K22</f>
        <v>0</v>
      </c>
      <c r="AK23" s="2029">
        <f>'[5]int.kiadások RM III'!AD23</f>
        <v>0</v>
      </c>
      <c r="AL23" s="2029"/>
      <c r="AM23" s="2030"/>
      <c r="AN23" s="2028" t="s">
        <v>1267</v>
      </c>
      <c r="AO23" s="2029">
        <f t="shared" si="6"/>
        <v>0</v>
      </c>
      <c r="AP23" s="2029">
        <f t="shared" si="7"/>
        <v>4731</v>
      </c>
      <c r="AQ23" s="2029">
        <f t="shared" si="8"/>
        <v>4729</v>
      </c>
      <c r="AR23" s="2030">
        <f t="shared" si="9"/>
        <v>0.99957725639399708</v>
      </c>
      <c r="AS23" s="2029">
        <f t="shared" si="10"/>
        <v>100919</v>
      </c>
      <c r="AT23" s="2029">
        <f t="shared" si="11"/>
        <v>107757</v>
      </c>
      <c r="AU23" s="2029">
        <f t="shared" si="12"/>
        <v>98358</v>
      </c>
      <c r="AV23" s="2030">
        <f t="shared" si="13"/>
        <v>0.91277596815056095</v>
      </c>
      <c r="AW23" s="2029">
        <f>AS23-'[6]éves besz.bevételei2021'!BD23</f>
        <v>0</v>
      </c>
      <c r="AX23" s="2029">
        <f>AT23-'[6]éves besz.bevételei2021'!BE23</f>
        <v>0</v>
      </c>
      <c r="AY23" s="2029">
        <f>AU23-'[6]éves besz.bevételei2021'!BF23</f>
        <v>-954</v>
      </c>
    </row>
    <row r="24" spans="1:51" s="2027" customFormat="1" ht="56.1" customHeight="1" x14ac:dyDescent="0.5">
      <c r="A24" s="2028" t="s">
        <v>1268</v>
      </c>
      <c r="B24" s="2029">
        <f>[4]int.kiadások2021!B23</f>
        <v>107631</v>
      </c>
      <c r="C24" s="2029">
        <f>'[5]int.kiadások RM III'!D24</f>
        <v>112294</v>
      </c>
      <c r="D24" s="2029">
        <v>106590</v>
      </c>
      <c r="E24" s="2030">
        <f t="shared" si="0"/>
        <v>0.94920476606051973</v>
      </c>
      <c r="F24" s="2029">
        <f>[4]int.kiadások2021!C23</f>
        <v>18796</v>
      </c>
      <c r="G24" s="2029">
        <f>'[5]int.kiadások RM III'!G24</f>
        <v>19542</v>
      </c>
      <c r="H24" s="2029">
        <v>18724</v>
      </c>
      <c r="I24" s="2030">
        <f t="shared" si="1"/>
        <v>0.95814143895200077</v>
      </c>
      <c r="J24" s="2029">
        <f>[4]int.kiadások2021!D23</f>
        <v>3808</v>
      </c>
      <c r="K24" s="2029">
        <f>'[5]int.kiadások RM III'!J24</f>
        <v>5564</v>
      </c>
      <c r="L24" s="2029">
        <f>4196+1</f>
        <v>4197</v>
      </c>
      <c r="M24" s="2030">
        <f t="shared" si="2"/>
        <v>0.75431344356578001</v>
      </c>
      <c r="N24" s="2028" t="s">
        <v>1268</v>
      </c>
      <c r="O24" s="2029">
        <f>[4]int.kiadások2021!E23</f>
        <v>0</v>
      </c>
      <c r="P24" s="2029">
        <f>'[5]int.kiadások RM III'!N24</f>
        <v>0</v>
      </c>
      <c r="Q24" s="2029"/>
      <c r="R24" s="2030"/>
      <c r="S24" s="2029">
        <f>[4]int.kiadások2021!F23</f>
        <v>0</v>
      </c>
      <c r="T24" s="2029">
        <f>'[5]int.kiadások RM III'!Q24</f>
        <v>0</v>
      </c>
      <c r="U24" s="2029"/>
      <c r="V24" s="2030"/>
      <c r="W24" s="2029">
        <f t="shared" si="3"/>
        <v>130235</v>
      </c>
      <c r="X24" s="2029">
        <f t="shared" si="3"/>
        <v>137400</v>
      </c>
      <c r="Y24" s="2029">
        <f t="shared" si="3"/>
        <v>129511</v>
      </c>
      <c r="Z24" s="2030">
        <f t="shared" si="4"/>
        <v>0.9425836972343522</v>
      </c>
      <c r="AA24" s="2028" t="s">
        <v>1268</v>
      </c>
      <c r="AB24" s="2029">
        <f>[4]int.kiadások2021!I23</f>
        <v>0</v>
      </c>
      <c r="AC24" s="2029">
        <f>'[5]int.kiadások RM III'!X24</f>
        <v>4012</v>
      </c>
      <c r="AD24" s="2029">
        <v>4011</v>
      </c>
      <c r="AE24" s="2030">
        <f t="shared" si="5"/>
        <v>0.99975074775672979</v>
      </c>
      <c r="AF24" s="2029">
        <f>[4]int.kiadások2021!J23</f>
        <v>0</v>
      </c>
      <c r="AG24" s="2029">
        <f>'[5]int.kiadások RM III'!AA24</f>
        <v>0</v>
      </c>
      <c r="AH24" s="2029"/>
      <c r="AI24" s="2030"/>
      <c r="AJ24" s="2029">
        <f>[4]int.kiadások2021!K23</f>
        <v>0</v>
      </c>
      <c r="AK24" s="2029">
        <f>'[5]int.kiadások RM III'!AD24</f>
        <v>0</v>
      </c>
      <c r="AL24" s="2029"/>
      <c r="AM24" s="2030"/>
      <c r="AN24" s="2028" t="s">
        <v>1268</v>
      </c>
      <c r="AO24" s="2029">
        <f t="shared" si="6"/>
        <v>0</v>
      </c>
      <c r="AP24" s="2029">
        <f t="shared" si="7"/>
        <v>4012</v>
      </c>
      <c r="AQ24" s="2029">
        <f t="shared" si="8"/>
        <v>4011</v>
      </c>
      <c r="AR24" s="2030">
        <f t="shared" si="9"/>
        <v>0.99975074775672979</v>
      </c>
      <c r="AS24" s="2029">
        <f t="shared" si="10"/>
        <v>130235</v>
      </c>
      <c r="AT24" s="2029">
        <f t="shared" si="11"/>
        <v>141412</v>
      </c>
      <c r="AU24" s="2029">
        <f t="shared" si="12"/>
        <v>133522</v>
      </c>
      <c r="AV24" s="2030">
        <f t="shared" si="13"/>
        <v>0.94420558368455298</v>
      </c>
      <c r="AW24" s="2029">
        <f>AS24-'[6]éves besz.bevételei2021'!BD24</f>
        <v>0</v>
      </c>
      <c r="AX24" s="2029">
        <f>AT24-'[6]éves besz.bevételei2021'!BE24</f>
        <v>0</v>
      </c>
      <c r="AY24" s="2029">
        <f>AU24-'[6]éves besz.bevételei2021'!BF24</f>
        <v>-2992</v>
      </c>
    </row>
    <row r="25" spans="1:51" s="2027" customFormat="1" ht="56.1" customHeight="1" x14ac:dyDescent="0.5">
      <c r="A25" s="2028" t="s">
        <v>1269</v>
      </c>
      <c r="B25" s="2029">
        <f>[4]int.kiadások2021!B24</f>
        <v>99116</v>
      </c>
      <c r="C25" s="2029">
        <f>'[5]int.kiadások RM III'!D25</f>
        <v>104281</v>
      </c>
      <c r="D25" s="2029">
        <v>90504</v>
      </c>
      <c r="E25" s="2030">
        <f t="shared" si="0"/>
        <v>0.86788580853655029</v>
      </c>
      <c r="F25" s="2029">
        <f>[4]int.kiadások2021!C24</f>
        <v>15408</v>
      </c>
      <c r="G25" s="2029">
        <f>'[5]int.kiadások RM III'!G25</f>
        <v>16220</v>
      </c>
      <c r="H25" s="2029">
        <v>13599</v>
      </c>
      <c r="I25" s="2030">
        <f t="shared" si="1"/>
        <v>0.83840937114673242</v>
      </c>
      <c r="J25" s="2029">
        <f>[4]int.kiadások2021!D24</f>
        <v>3017</v>
      </c>
      <c r="K25" s="2029">
        <f>'[5]int.kiadások RM III'!J25</f>
        <v>3784</v>
      </c>
      <c r="L25" s="2029">
        <v>3069</v>
      </c>
      <c r="M25" s="2030">
        <f t="shared" si="2"/>
        <v>0.81104651162790697</v>
      </c>
      <c r="N25" s="2028" t="s">
        <v>1269</v>
      </c>
      <c r="O25" s="2029">
        <f>[4]int.kiadások2021!E24</f>
        <v>0</v>
      </c>
      <c r="P25" s="2029">
        <f>'[5]int.kiadások RM III'!N25</f>
        <v>0</v>
      </c>
      <c r="Q25" s="2029"/>
      <c r="R25" s="2030"/>
      <c r="S25" s="2029">
        <f>[4]int.kiadások2021!F24</f>
        <v>0</v>
      </c>
      <c r="T25" s="2029">
        <f>'[5]int.kiadások RM III'!Q25</f>
        <v>0</v>
      </c>
      <c r="U25" s="2029"/>
      <c r="V25" s="2030"/>
      <c r="W25" s="2029">
        <f t="shared" si="3"/>
        <v>117541</v>
      </c>
      <c r="X25" s="2029">
        <f t="shared" si="3"/>
        <v>124285</v>
      </c>
      <c r="Y25" s="2029">
        <f t="shared" si="3"/>
        <v>107172</v>
      </c>
      <c r="Z25" s="2030">
        <f t="shared" si="4"/>
        <v>0.86230840407128773</v>
      </c>
      <c r="AA25" s="2028" t="s">
        <v>1269</v>
      </c>
      <c r="AB25" s="2029">
        <f>[4]int.kiadások2021!I24</f>
        <v>0</v>
      </c>
      <c r="AC25" s="2029">
        <f>'[5]int.kiadások RM III'!X25</f>
        <v>2214</v>
      </c>
      <c r="AD25" s="2029">
        <v>2213</v>
      </c>
      <c r="AE25" s="2030">
        <f t="shared" si="5"/>
        <v>0.99954832881662148</v>
      </c>
      <c r="AF25" s="2029">
        <f>[4]int.kiadások2021!J24</f>
        <v>0</v>
      </c>
      <c r="AG25" s="2029">
        <f>'[5]int.kiadások RM III'!AA25</f>
        <v>645</v>
      </c>
      <c r="AH25" s="2029">
        <v>644</v>
      </c>
      <c r="AI25" s="2030">
        <f>AH25/AG25</f>
        <v>0.99844961240310082</v>
      </c>
      <c r="AJ25" s="2029">
        <f>[4]int.kiadások2021!K24</f>
        <v>0</v>
      </c>
      <c r="AK25" s="2029">
        <f>'[5]int.kiadások RM III'!AD25</f>
        <v>0</v>
      </c>
      <c r="AL25" s="2029"/>
      <c r="AM25" s="2030"/>
      <c r="AN25" s="2028" t="s">
        <v>1269</v>
      </c>
      <c r="AO25" s="2029">
        <f t="shared" si="6"/>
        <v>0</v>
      </c>
      <c r="AP25" s="2029">
        <f t="shared" si="7"/>
        <v>2859</v>
      </c>
      <c r="AQ25" s="2029">
        <f t="shared" si="8"/>
        <v>2857</v>
      </c>
      <c r="AR25" s="2030">
        <f t="shared" si="9"/>
        <v>0.99930045470444206</v>
      </c>
      <c r="AS25" s="2029">
        <f t="shared" si="10"/>
        <v>117541</v>
      </c>
      <c r="AT25" s="2029">
        <f t="shared" si="11"/>
        <v>127144</v>
      </c>
      <c r="AU25" s="2029">
        <f t="shared" si="12"/>
        <v>110029</v>
      </c>
      <c r="AV25" s="2030">
        <f t="shared" si="13"/>
        <v>0.86538885043729941</v>
      </c>
      <c r="AW25" s="2029">
        <f>AS25-'[6]éves besz.bevételei2021'!BD25</f>
        <v>0</v>
      </c>
      <c r="AX25" s="2029">
        <f>AT25-'[6]éves besz.bevételei2021'!BE25</f>
        <v>0</v>
      </c>
      <c r="AY25" s="2029">
        <f>AU25-'[6]éves besz.bevételei2021'!BF25</f>
        <v>-2518</v>
      </c>
    </row>
    <row r="26" spans="1:51" s="2027" customFormat="1" ht="56.1" customHeight="1" x14ac:dyDescent="0.5">
      <c r="A26" s="2028" t="s">
        <v>1290</v>
      </c>
      <c r="B26" s="2029">
        <f>[4]int.kiadások2021!B25</f>
        <v>65429</v>
      </c>
      <c r="C26" s="2029">
        <f>'[5]int.kiadások RM III'!D26</f>
        <v>65492</v>
      </c>
      <c r="D26" s="2029">
        <v>59812</v>
      </c>
      <c r="E26" s="2030">
        <f t="shared" si="0"/>
        <v>0.91327184999694622</v>
      </c>
      <c r="F26" s="2029">
        <f>[4]int.kiadások2021!C25</f>
        <v>10182</v>
      </c>
      <c r="G26" s="2029">
        <f>'[5]int.kiadások RM III'!G26</f>
        <v>10177</v>
      </c>
      <c r="H26" s="2029">
        <v>9302</v>
      </c>
      <c r="I26" s="2030">
        <f t="shared" si="1"/>
        <v>0.91402181389407489</v>
      </c>
      <c r="J26" s="2029">
        <f>[4]int.kiadások2021!D25</f>
        <v>3089</v>
      </c>
      <c r="K26" s="2029">
        <f>'[5]int.kiadások RM III'!J26</f>
        <v>3494</v>
      </c>
      <c r="L26" s="2029">
        <f>2632+1</f>
        <v>2633</v>
      </c>
      <c r="M26" s="2030">
        <f t="shared" si="2"/>
        <v>0.75357756153405842</v>
      </c>
      <c r="N26" s="2028" t="s">
        <v>1290</v>
      </c>
      <c r="O26" s="2029">
        <f>[4]int.kiadások2021!E25</f>
        <v>0</v>
      </c>
      <c r="P26" s="2029">
        <f>'[5]int.kiadások RM III'!N26</f>
        <v>0</v>
      </c>
      <c r="Q26" s="2029"/>
      <c r="R26" s="2030"/>
      <c r="S26" s="2029">
        <f>[4]int.kiadások2021!F25</f>
        <v>0</v>
      </c>
      <c r="T26" s="2029">
        <f>'[5]int.kiadások RM III'!Q26</f>
        <v>0</v>
      </c>
      <c r="U26" s="2029"/>
      <c r="V26" s="2030"/>
      <c r="W26" s="2029">
        <f t="shared" si="3"/>
        <v>78700</v>
      </c>
      <c r="X26" s="2029">
        <f t="shared" si="3"/>
        <v>79163</v>
      </c>
      <c r="Y26" s="2029">
        <f t="shared" si="3"/>
        <v>71747</v>
      </c>
      <c r="Z26" s="2030">
        <f t="shared" si="4"/>
        <v>0.90631987165721362</v>
      </c>
      <c r="AA26" s="2028" t="s">
        <v>1290</v>
      </c>
      <c r="AB26" s="2029">
        <f>[4]int.kiadások2021!I25</f>
        <v>0</v>
      </c>
      <c r="AC26" s="2029">
        <f>'[5]int.kiadások RM III'!X26</f>
        <v>2480</v>
      </c>
      <c r="AD26" s="2029">
        <v>1498</v>
      </c>
      <c r="AE26" s="2030">
        <f t="shared" si="5"/>
        <v>0.6040322580645161</v>
      </c>
      <c r="AF26" s="2029">
        <f>[4]int.kiadások2021!J25</f>
        <v>0</v>
      </c>
      <c r="AG26" s="2029">
        <f>'[5]int.kiadások RM III'!AA26</f>
        <v>0</v>
      </c>
      <c r="AH26" s="2029"/>
      <c r="AI26" s="2030"/>
      <c r="AJ26" s="2029">
        <f>[4]int.kiadások2021!K25</f>
        <v>0</v>
      </c>
      <c r="AK26" s="2029">
        <f>'[5]int.kiadások RM III'!AD26</f>
        <v>0</v>
      </c>
      <c r="AL26" s="2029"/>
      <c r="AM26" s="2030"/>
      <c r="AN26" s="2028" t="s">
        <v>1290</v>
      </c>
      <c r="AO26" s="2029">
        <f t="shared" si="6"/>
        <v>0</v>
      </c>
      <c r="AP26" s="2029">
        <f t="shared" si="7"/>
        <v>2480</v>
      </c>
      <c r="AQ26" s="2029">
        <f t="shared" si="8"/>
        <v>1498</v>
      </c>
      <c r="AR26" s="2030">
        <f t="shared" si="9"/>
        <v>0.6040322580645161</v>
      </c>
      <c r="AS26" s="2029">
        <f t="shared" si="10"/>
        <v>78700</v>
      </c>
      <c r="AT26" s="2029">
        <f t="shared" si="11"/>
        <v>81643</v>
      </c>
      <c r="AU26" s="2029">
        <f t="shared" si="12"/>
        <v>73245</v>
      </c>
      <c r="AV26" s="2030">
        <f t="shared" si="13"/>
        <v>0.89713753781708172</v>
      </c>
      <c r="AW26" s="2029">
        <f>AS26-'[6]éves besz.bevételei2021'!BD26</f>
        <v>0</v>
      </c>
      <c r="AX26" s="2029">
        <f>AT26-'[6]éves besz.bevételei2021'!BE26</f>
        <v>0</v>
      </c>
      <c r="AY26" s="2029">
        <f>AU26-'[6]éves besz.bevételei2021'!BF26</f>
        <v>-1832</v>
      </c>
    </row>
    <row r="27" spans="1:51" s="2027" customFormat="1" ht="56.1" customHeight="1" thickBot="1" x14ac:dyDescent="0.55000000000000004">
      <c r="A27" s="2031" t="s">
        <v>1270</v>
      </c>
      <c r="B27" s="2032">
        <f>[4]int.kiadások2021!B26</f>
        <v>51209</v>
      </c>
      <c r="C27" s="2029">
        <f>'[5]int.kiadások RM III'!D27</f>
        <v>54208</v>
      </c>
      <c r="D27" s="2032">
        <v>51797</v>
      </c>
      <c r="E27" s="2033">
        <f t="shared" si="0"/>
        <v>0.95552317001180642</v>
      </c>
      <c r="F27" s="2032">
        <f>[4]int.kiadások2021!C26</f>
        <v>7962</v>
      </c>
      <c r="G27" s="2029">
        <f>'[5]int.kiadások RM III'!G27</f>
        <v>8412</v>
      </c>
      <c r="H27" s="2032">
        <f>8007-1</f>
        <v>8006</v>
      </c>
      <c r="I27" s="2033">
        <f t="shared" si="1"/>
        <v>0.95173561578697097</v>
      </c>
      <c r="J27" s="2032">
        <f>[4]int.kiadások2021!D26</f>
        <v>3070</v>
      </c>
      <c r="K27" s="2029">
        <f>'[5]int.kiadások RM III'!J27</f>
        <v>2659</v>
      </c>
      <c r="L27" s="2032">
        <v>2291</v>
      </c>
      <c r="M27" s="2033">
        <f t="shared" si="2"/>
        <v>0.86160210605490783</v>
      </c>
      <c r="N27" s="2031" t="s">
        <v>1270</v>
      </c>
      <c r="O27" s="2032">
        <f>[4]int.kiadások2021!E26</f>
        <v>0</v>
      </c>
      <c r="P27" s="2029">
        <f>'[5]int.kiadások RM III'!N27</f>
        <v>0</v>
      </c>
      <c r="Q27" s="2032"/>
      <c r="R27" s="2033"/>
      <c r="S27" s="2032">
        <f>[4]int.kiadások2021!F26</f>
        <v>0</v>
      </c>
      <c r="T27" s="2032">
        <f>'[5]int.kiadások RM III'!Q27</f>
        <v>0</v>
      </c>
      <c r="U27" s="2032"/>
      <c r="V27" s="2033"/>
      <c r="W27" s="2029">
        <f t="shared" si="3"/>
        <v>62241</v>
      </c>
      <c r="X27" s="2029">
        <f t="shared" si="3"/>
        <v>65279</v>
      </c>
      <c r="Y27" s="2029">
        <f t="shared" si="3"/>
        <v>62094</v>
      </c>
      <c r="Z27" s="2033">
        <f t="shared" si="4"/>
        <v>0.95120942416397314</v>
      </c>
      <c r="AA27" s="2031" t="s">
        <v>1270</v>
      </c>
      <c r="AB27" s="2032">
        <f>[4]int.kiadások2021!I26</f>
        <v>0</v>
      </c>
      <c r="AC27" s="2029">
        <f>'[5]int.kiadások RM III'!X27</f>
        <v>1707</v>
      </c>
      <c r="AD27" s="2032">
        <v>1397</v>
      </c>
      <c r="AE27" s="2033">
        <f t="shared" si="5"/>
        <v>0.8183948447568834</v>
      </c>
      <c r="AF27" s="2032">
        <f>[4]int.kiadások2021!J26</f>
        <v>0</v>
      </c>
      <c r="AG27" s="2029">
        <f>'[5]int.kiadások RM III'!AA27</f>
        <v>0</v>
      </c>
      <c r="AH27" s="2032"/>
      <c r="AI27" s="2033"/>
      <c r="AJ27" s="2032">
        <f>[4]int.kiadások2021!K26</f>
        <v>0</v>
      </c>
      <c r="AK27" s="2032">
        <f>'[5]int.kiadások RM III'!AD27</f>
        <v>0</v>
      </c>
      <c r="AL27" s="2032"/>
      <c r="AM27" s="2033"/>
      <c r="AN27" s="2031" t="s">
        <v>1270</v>
      </c>
      <c r="AO27" s="2029">
        <f t="shared" si="6"/>
        <v>0</v>
      </c>
      <c r="AP27" s="2029">
        <f t="shared" si="7"/>
        <v>1707</v>
      </c>
      <c r="AQ27" s="2029">
        <f t="shared" si="8"/>
        <v>1397</v>
      </c>
      <c r="AR27" s="2033">
        <f t="shared" si="9"/>
        <v>0.8183948447568834</v>
      </c>
      <c r="AS27" s="2029">
        <f t="shared" si="10"/>
        <v>62241</v>
      </c>
      <c r="AT27" s="2029">
        <f t="shared" si="11"/>
        <v>66986</v>
      </c>
      <c r="AU27" s="2029">
        <f t="shared" si="12"/>
        <v>63491</v>
      </c>
      <c r="AV27" s="2033">
        <f t="shared" si="13"/>
        <v>0.94782491863971574</v>
      </c>
      <c r="AW27" s="2029">
        <f>AS27-'[6]éves besz.bevételei2021'!BD27</f>
        <v>0</v>
      </c>
      <c r="AX27" s="2029">
        <f>AT27-'[6]éves besz.bevételei2021'!BE27</f>
        <v>0</v>
      </c>
      <c r="AY27" s="2029">
        <f>AU27-'[6]éves besz.bevételei2021'!BF27</f>
        <v>-1818</v>
      </c>
    </row>
    <row r="28" spans="1:51" s="2027" customFormat="1" ht="56.1" customHeight="1" thickBot="1" x14ac:dyDescent="0.55000000000000004">
      <c r="A28" s="2034" t="s">
        <v>1306</v>
      </c>
      <c r="B28" s="2035">
        <f>SUM(B10:B27)</f>
        <v>1582626</v>
      </c>
      <c r="C28" s="2035">
        <f>SUM(C10:C27)</f>
        <v>1610638</v>
      </c>
      <c r="D28" s="2035">
        <f>SUM(D10:D27)</f>
        <v>1482250</v>
      </c>
      <c r="E28" s="2036">
        <f t="shared" si="0"/>
        <v>0.92028748856043385</v>
      </c>
      <c r="F28" s="2035">
        <f>SUM(F10:F27)</f>
        <v>258537</v>
      </c>
      <c r="G28" s="2035">
        <f>SUM(G10:G27)</f>
        <v>263820</v>
      </c>
      <c r="H28" s="2035">
        <f>SUM(H10:H27)</f>
        <v>239210</v>
      </c>
      <c r="I28" s="2036">
        <f t="shared" si="1"/>
        <v>0.90671670078083544</v>
      </c>
      <c r="J28" s="2035">
        <f>SUM(J10:J27)</f>
        <v>58736</v>
      </c>
      <c r="K28" s="2035">
        <f>SUM(K10:K27)</f>
        <v>75595</v>
      </c>
      <c r="L28" s="2035">
        <f>SUM(L10:L27)</f>
        <v>58484</v>
      </c>
      <c r="M28" s="2036">
        <f t="shared" si="2"/>
        <v>0.77364905086315228</v>
      </c>
      <c r="N28" s="2034" t="s">
        <v>1306</v>
      </c>
      <c r="O28" s="2035">
        <f>SUM(O10:O27)</f>
        <v>0</v>
      </c>
      <c r="P28" s="2035">
        <f>SUM(P10:P27)</f>
        <v>0</v>
      </c>
      <c r="Q28" s="2035">
        <f>SUM(Q10:Q27)</f>
        <v>0</v>
      </c>
      <c r="R28" s="2036"/>
      <c r="S28" s="2035">
        <f>SUM(S10:S27)</f>
        <v>0</v>
      </c>
      <c r="T28" s="2035">
        <f>SUM(T10:T27)</f>
        <v>0</v>
      </c>
      <c r="U28" s="2035">
        <f>SUM(U10:U27)</f>
        <v>0</v>
      </c>
      <c r="V28" s="2036"/>
      <c r="W28" s="2035">
        <f>SUM(W10:W27)</f>
        <v>1899899</v>
      </c>
      <c r="X28" s="2035">
        <f>SUM(X10:X27)</f>
        <v>1950053</v>
      </c>
      <c r="Y28" s="2035">
        <f>SUM(Y10:Y27)</f>
        <v>1779944</v>
      </c>
      <c r="Z28" s="2036">
        <f t="shared" si="4"/>
        <v>0.91276698633319198</v>
      </c>
      <c r="AA28" s="2034" t="s">
        <v>1306</v>
      </c>
      <c r="AB28" s="2035">
        <f>SUM(AB10:AB27)</f>
        <v>0</v>
      </c>
      <c r="AC28" s="2035">
        <f>SUM(AC10:AC27)</f>
        <v>47035</v>
      </c>
      <c r="AD28" s="2035">
        <f>SUM(AD10:AD27)</f>
        <v>37920</v>
      </c>
      <c r="AE28" s="2036">
        <f t="shared" si="5"/>
        <v>0.80620814287232911</v>
      </c>
      <c r="AF28" s="2035">
        <f>SUM(AF10:AF27)</f>
        <v>0</v>
      </c>
      <c r="AG28" s="2035">
        <f>SUM(AG10:AG27)</f>
        <v>4827</v>
      </c>
      <c r="AH28" s="2035">
        <f>SUM(AH10:AH27)</f>
        <v>4033</v>
      </c>
      <c r="AI28" s="2036">
        <f>AH28/AG28</f>
        <v>0.83550859747255024</v>
      </c>
      <c r="AJ28" s="2035">
        <f>SUM(AJ10:AJ27)</f>
        <v>0</v>
      </c>
      <c r="AK28" s="2035">
        <f>SUM(AK10:AK27)</f>
        <v>0</v>
      </c>
      <c r="AL28" s="2035">
        <f>SUM(AL10:AL27)</f>
        <v>0</v>
      </c>
      <c r="AM28" s="2036"/>
      <c r="AN28" s="2034" t="s">
        <v>1306</v>
      </c>
      <c r="AO28" s="2035">
        <f>SUM(AO10:AO27)</f>
        <v>0</v>
      </c>
      <c r="AP28" s="2035">
        <f>SUM(AP10:AP27)</f>
        <v>51862</v>
      </c>
      <c r="AQ28" s="2035">
        <f>SUM(AQ10:AQ27)</f>
        <v>41953</v>
      </c>
      <c r="AR28" s="2036">
        <f t="shared" si="9"/>
        <v>0.80893525124368515</v>
      </c>
      <c r="AS28" s="2035">
        <f>SUM(AS10:AS27)</f>
        <v>1899899</v>
      </c>
      <c r="AT28" s="2035">
        <f>SUM(AT10:AT27)</f>
        <v>2001915</v>
      </c>
      <c r="AU28" s="2035">
        <f>SUM(AU10:AU27)</f>
        <v>1821897</v>
      </c>
      <c r="AV28" s="2036">
        <f t="shared" si="13"/>
        <v>0.91007710117562435</v>
      </c>
      <c r="AW28" s="2029">
        <f>AS28-'[6]éves besz.bevételei2021'!BD28</f>
        <v>0</v>
      </c>
      <c r="AX28" s="2029">
        <f>AT28-'[6]éves besz.bevételei2021'!BE28</f>
        <v>0</v>
      </c>
      <c r="AY28" s="2029">
        <f>AU28-'[6]éves besz.bevételei2021'!BF28</f>
        <v>-39375</v>
      </c>
    </row>
    <row r="29" spans="1:51" s="2027" customFormat="1" ht="56.1" customHeight="1" thickBot="1" x14ac:dyDescent="0.55000000000000004">
      <c r="A29" s="2034" t="s">
        <v>144</v>
      </c>
      <c r="B29" s="2035">
        <f>[4]int.kiadások2021!B28</f>
        <v>213533</v>
      </c>
      <c r="C29" s="2029">
        <f>'[5]int.kiadások RM III'!D29</f>
        <v>225167</v>
      </c>
      <c r="D29" s="2035">
        <v>185609</v>
      </c>
      <c r="E29" s="2036">
        <f t="shared" si="0"/>
        <v>0.82431706244698377</v>
      </c>
      <c r="F29" s="2035">
        <f>[4]int.kiadások2021!C28</f>
        <v>36866</v>
      </c>
      <c r="G29" s="2029">
        <f>'[5]int.kiadások RM III'!G29</f>
        <v>38456</v>
      </c>
      <c r="H29" s="2035">
        <v>28549</v>
      </c>
      <c r="I29" s="2036">
        <f t="shared" si="1"/>
        <v>0.74238090285001035</v>
      </c>
      <c r="J29" s="2035">
        <f>[4]int.kiadások2021!D28</f>
        <v>1137280</v>
      </c>
      <c r="K29" s="2029">
        <f>'[5]int.kiadások RM III'!J29</f>
        <v>1165698</v>
      </c>
      <c r="L29" s="2035">
        <v>1008542</v>
      </c>
      <c r="M29" s="2036">
        <f t="shared" si="2"/>
        <v>0.8651829204476631</v>
      </c>
      <c r="N29" s="2034" t="s">
        <v>144</v>
      </c>
      <c r="O29" s="2035">
        <f>[4]int.kiadások2021!E28</f>
        <v>0</v>
      </c>
      <c r="P29" s="2029">
        <f>'[5]int.kiadások RM III'!N29</f>
        <v>0</v>
      </c>
      <c r="Q29" s="2035"/>
      <c r="R29" s="2036"/>
      <c r="S29" s="2035">
        <f>[4]int.kiadások2021!F28</f>
        <v>0</v>
      </c>
      <c r="T29" s="2035">
        <f>'[5]int.kiadások RM III'!Q29</f>
        <v>0</v>
      </c>
      <c r="U29" s="2035"/>
      <c r="V29" s="2036"/>
      <c r="W29" s="2029">
        <f>B29+F29+J29+O29+S29</f>
        <v>1387679</v>
      </c>
      <c r="X29" s="2029">
        <f>C29+G29+K29+P29+T29</f>
        <v>1429321</v>
      </c>
      <c r="Y29" s="2029">
        <f>D29+H29+L29+Q29+U29</f>
        <v>1222700</v>
      </c>
      <c r="Z29" s="2036">
        <f t="shared" si="4"/>
        <v>0.85544115002858001</v>
      </c>
      <c r="AA29" s="2034" t="s">
        <v>144</v>
      </c>
      <c r="AB29" s="2035">
        <f>[4]int.kiadások2021!I28</f>
        <v>0</v>
      </c>
      <c r="AC29" s="2029">
        <f>'[5]int.kiadások RM III'!X29</f>
        <v>27202</v>
      </c>
      <c r="AD29" s="2035">
        <f>19280+1</f>
        <v>19281</v>
      </c>
      <c r="AE29" s="2036">
        <f t="shared" si="5"/>
        <v>0.70880817586942135</v>
      </c>
      <c r="AF29" s="2035">
        <f>[4]int.kiadások2021!J28</f>
        <v>0</v>
      </c>
      <c r="AG29" s="2029">
        <f>'[5]int.kiadások RM III'!AA29</f>
        <v>46475</v>
      </c>
      <c r="AH29" s="2035">
        <f>44280-1</f>
        <v>44279</v>
      </c>
      <c r="AI29" s="2036">
        <f>AH29/AG29</f>
        <v>0.9527487896718666</v>
      </c>
      <c r="AJ29" s="2035">
        <f>[4]int.kiadások2021!K28</f>
        <v>0</v>
      </c>
      <c r="AK29" s="2035">
        <f>'[5]int.kiadások RM III'!AD29</f>
        <v>0</v>
      </c>
      <c r="AL29" s="2035"/>
      <c r="AM29" s="2036"/>
      <c r="AN29" s="2034" t="s">
        <v>144</v>
      </c>
      <c r="AO29" s="2029">
        <f>AB29+AF29+AJ29</f>
        <v>0</v>
      </c>
      <c r="AP29" s="2029">
        <f>AC29+AG29+AK29</f>
        <v>73677</v>
      </c>
      <c r="AQ29" s="2029">
        <f>AD29+AH29+AL29</f>
        <v>63560</v>
      </c>
      <c r="AR29" s="2036">
        <f t="shared" si="9"/>
        <v>0.86268441983251221</v>
      </c>
      <c r="AS29" s="2029">
        <f>W29+AO29</f>
        <v>1387679</v>
      </c>
      <c r="AT29" s="2029">
        <f>X29+AP29</f>
        <v>1502998</v>
      </c>
      <c r="AU29" s="2029">
        <f>Y29+AQ29</f>
        <v>1286260</v>
      </c>
      <c r="AV29" s="2036">
        <f t="shared" si="13"/>
        <v>0.85579621529769168</v>
      </c>
      <c r="AW29" s="2029">
        <f>AS29-'[6]éves besz.bevételei2021'!BD29</f>
        <v>0</v>
      </c>
      <c r="AX29" s="2029">
        <f>AT29-'[6]éves besz.bevételei2021'!BE29</f>
        <v>0</v>
      </c>
      <c r="AY29" s="2029">
        <f>AU29-'[6]éves besz.bevételei2021'!BF29</f>
        <v>-7221</v>
      </c>
    </row>
    <row r="30" spans="1:51" s="2027" customFormat="1" ht="56.1" customHeight="1" thickBot="1" x14ac:dyDescent="0.55000000000000004">
      <c r="A30" s="2034" t="s">
        <v>1307</v>
      </c>
      <c r="B30" s="2035">
        <f>SUM(B28:B29)</f>
        <v>1796159</v>
      </c>
      <c r="C30" s="2035">
        <f>SUM(C28:C29)</f>
        <v>1835805</v>
      </c>
      <c r="D30" s="2035">
        <f>SUM(D28:D29)</f>
        <v>1667859</v>
      </c>
      <c r="E30" s="2037">
        <f t="shared" si="0"/>
        <v>0.90851642739833482</v>
      </c>
      <c r="F30" s="2035">
        <f>SUM(F28:F29)</f>
        <v>295403</v>
      </c>
      <c r="G30" s="2035">
        <f>SUM(G28:G29)</f>
        <v>302276</v>
      </c>
      <c r="H30" s="2035">
        <f>SUM(H28:H29)</f>
        <v>267759</v>
      </c>
      <c r="I30" s="2037">
        <f t="shared" si="1"/>
        <v>0.88580965739919804</v>
      </c>
      <c r="J30" s="2035">
        <f>SUM(J28:J29)</f>
        <v>1196016</v>
      </c>
      <c r="K30" s="2035">
        <f>SUM(K28:K29)</f>
        <v>1241293</v>
      </c>
      <c r="L30" s="2035">
        <f>SUM(L28:L29)</f>
        <v>1067026</v>
      </c>
      <c r="M30" s="2037">
        <f t="shared" si="2"/>
        <v>0.85960848889021368</v>
      </c>
      <c r="N30" s="2034" t="s">
        <v>1307</v>
      </c>
      <c r="O30" s="2035">
        <f>SUM(O28:O29)</f>
        <v>0</v>
      </c>
      <c r="P30" s="2035">
        <f>SUM(P28:P29)</f>
        <v>0</v>
      </c>
      <c r="Q30" s="2035">
        <f>SUM(Q28:Q29)</f>
        <v>0</v>
      </c>
      <c r="R30" s="2037"/>
      <c r="S30" s="2035">
        <f>SUM(S28:S29)</f>
        <v>0</v>
      </c>
      <c r="T30" s="2035">
        <f>SUM(T28:T29)</f>
        <v>0</v>
      </c>
      <c r="U30" s="2035">
        <f>SUM(U28:U29)</f>
        <v>0</v>
      </c>
      <c r="V30" s="2037"/>
      <c r="W30" s="2035">
        <f>SUM(W28:W29)</f>
        <v>3287578</v>
      </c>
      <c r="X30" s="2035">
        <f>SUM(X28:X29)</f>
        <v>3379374</v>
      </c>
      <c r="Y30" s="2035">
        <f>SUM(Y28:Y29)</f>
        <v>3002644</v>
      </c>
      <c r="Z30" s="2037">
        <f t="shared" si="4"/>
        <v>0.88852077337400359</v>
      </c>
      <c r="AA30" s="2034" t="s">
        <v>1307</v>
      </c>
      <c r="AB30" s="2035">
        <f>SUM(AB28:AB29)</f>
        <v>0</v>
      </c>
      <c r="AC30" s="2035">
        <f>SUM(AC28:AC29)</f>
        <v>74237</v>
      </c>
      <c r="AD30" s="2035">
        <f>SUM(AD28:AD29)</f>
        <v>57201</v>
      </c>
      <c r="AE30" s="2037">
        <f t="shared" si="5"/>
        <v>0.77051874402252252</v>
      </c>
      <c r="AF30" s="2035">
        <f>SUM(AF28:AF29)</f>
        <v>0</v>
      </c>
      <c r="AG30" s="2035">
        <f>SUM(AG28:AG29)</f>
        <v>51302</v>
      </c>
      <c r="AH30" s="2035">
        <f>SUM(AH28:AH29)</f>
        <v>48312</v>
      </c>
      <c r="AI30" s="2037">
        <f>AH30/AG30</f>
        <v>0.9417176718256598</v>
      </c>
      <c r="AJ30" s="2035">
        <f>SUM(AJ28:AJ29)</f>
        <v>0</v>
      </c>
      <c r="AK30" s="2035">
        <f>SUM(AK28:AK29)</f>
        <v>0</v>
      </c>
      <c r="AL30" s="2035">
        <f>SUM(AL28:AL29)</f>
        <v>0</v>
      </c>
      <c r="AM30" s="2037"/>
      <c r="AN30" s="2034" t="s">
        <v>1307</v>
      </c>
      <c r="AO30" s="2035">
        <f>SUM(AO28:AO29)</f>
        <v>0</v>
      </c>
      <c r="AP30" s="2035">
        <f>SUM(AP28:AP29)</f>
        <v>125539</v>
      </c>
      <c r="AQ30" s="2035">
        <f>SUM(AQ28:AQ29)</f>
        <v>105513</v>
      </c>
      <c r="AR30" s="2037">
        <f t="shared" si="9"/>
        <v>0.84047985088299249</v>
      </c>
      <c r="AS30" s="2035">
        <f>SUM(AS28:AS29)</f>
        <v>3287578</v>
      </c>
      <c r="AT30" s="2035">
        <f>SUM(AT28:AT29)</f>
        <v>3504913</v>
      </c>
      <c r="AU30" s="2035">
        <f>SUM(AU28:AU29)</f>
        <v>3108157</v>
      </c>
      <c r="AV30" s="2037">
        <f t="shared" si="13"/>
        <v>0.88680004325357009</v>
      </c>
      <c r="AW30" s="2029">
        <f>AS30-'[6]éves besz.bevételei2021'!BD30</f>
        <v>0</v>
      </c>
      <c r="AX30" s="2029">
        <f>AT30-'[6]éves besz.bevételei2021'!BE30</f>
        <v>0</v>
      </c>
      <c r="AY30" s="2029">
        <f>AU30-'[6]éves besz.bevételei2021'!BF30</f>
        <v>-46596</v>
      </c>
    </row>
    <row r="31" spans="1:51" s="2027" customFormat="1" ht="56.1" customHeight="1" x14ac:dyDescent="0.5">
      <c r="A31" s="2038" t="s">
        <v>1273</v>
      </c>
      <c r="B31" s="2032"/>
      <c r="C31" s="2032"/>
      <c r="D31" s="2032"/>
      <c r="E31" s="2032"/>
      <c r="F31" s="2032"/>
      <c r="G31" s="2032"/>
      <c r="H31" s="2032"/>
      <c r="I31" s="2032"/>
      <c r="J31" s="2032"/>
      <c r="K31" s="2032"/>
      <c r="L31" s="2032"/>
      <c r="M31" s="2032"/>
      <c r="N31" s="2038" t="s">
        <v>1273</v>
      </c>
      <c r="O31" s="2032"/>
      <c r="P31" s="2032"/>
      <c r="Q31" s="2032"/>
      <c r="R31" s="2032"/>
      <c r="S31" s="2032"/>
      <c r="T31" s="2032"/>
      <c r="U31" s="2032"/>
      <c r="V31" s="2032"/>
      <c r="W31" s="2032"/>
      <c r="X31" s="2032"/>
      <c r="Y31" s="2032"/>
      <c r="Z31" s="2032"/>
      <c r="AA31" s="2038" t="s">
        <v>1273</v>
      </c>
      <c r="AB31" s="2032"/>
      <c r="AC31" s="2032"/>
      <c r="AD31" s="2032"/>
      <c r="AE31" s="2032"/>
      <c r="AF31" s="2032"/>
      <c r="AG31" s="2032"/>
      <c r="AH31" s="2032"/>
      <c r="AI31" s="2032"/>
      <c r="AJ31" s="2032"/>
      <c r="AK31" s="2032"/>
      <c r="AL31" s="2032"/>
      <c r="AM31" s="2032"/>
      <c r="AN31" s="2038" t="s">
        <v>1273</v>
      </c>
      <c r="AO31" s="2032"/>
      <c r="AP31" s="2032"/>
      <c r="AQ31" s="2032"/>
      <c r="AR31" s="2032"/>
      <c r="AS31" s="2032"/>
      <c r="AT31" s="2032"/>
      <c r="AU31" s="2032"/>
      <c r="AV31" s="2032"/>
      <c r="AW31" s="2029"/>
      <c r="AX31" s="2029"/>
      <c r="AY31" s="2029"/>
    </row>
    <row r="32" spans="1:51" s="2027" customFormat="1" ht="56.1" customHeight="1" x14ac:dyDescent="0.5">
      <c r="A32" s="2039" t="s">
        <v>1308</v>
      </c>
      <c r="B32" s="2032"/>
      <c r="C32" s="2032"/>
      <c r="D32" s="2032"/>
      <c r="E32" s="2032"/>
      <c r="F32" s="2032"/>
      <c r="G32" s="2032"/>
      <c r="H32" s="2032"/>
      <c r="I32" s="2032"/>
      <c r="J32" s="2032"/>
      <c r="K32" s="2032"/>
      <c r="L32" s="2032"/>
      <c r="M32" s="2032"/>
      <c r="N32" s="2039" t="s">
        <v>1308</v>
      </c>
      <c r="O32" s="2032"/>
      <c r="P32" s="2032"/>
      <c r="Q32" s="2032"/>
      <c r="R32" s="2032"/>
      <c r="S32" s="2032"/>
      <c r="T32" s="2032"/>
      <c r="U32" s="2032"/>
      <c r="V32" s="2032"/>
      <c r="W32" s="2032"/>
      <c r="X32" s="2032"/>
      <c r="Y32" s="2032"/>
      <c r="Z32" s="2032"/>
      <c r="AA32" s="2039" t="s">
        <v>1308</v>
      </c>
      <c r="AB32" s="2032"/>
      <c r="AC32" s="2032"/>
      <c r="AD32" s="2032"/>
      <c r="AE32" s="2032"/>
      <c r="AF32" s="2032"/>
      <c r="AG32" s="2032"/>
      <c r="AH32" s="2032"/>
      <c r="AI32" s="2032"/>
      <c r="AJ32" s="2032"/>
      <c r="AK32" s="2032"/>
      <c r="AL32" s="2032"/>
      <c r="AM32" s="2032"/>
      <c r="AN32" s="2039" t="s">
        <v>1308</v>
      </c>
      <c r="AO32" s="2032"/>
      <c r="AP32" s="2032"/>
      <c r="AQ32" s="2032"/>
      <c r="AR32" s="2032"/>
      <c r="AS32" s="2032"/>
      <c r="AT32" s="2032"/>
      <c r="AU32" s="2032"/>
      <c r="AV32" s="2032"/>
      <c r="AW32" s="2029"/>
      <c r="AX32" s="2029"/>
      <c r="AY32" s="2029"/>
    </row>
    <row r="33" spans="1:51" s="2027" customFormat="1" ht="56.1" customHeight="1" x14ac:dyDescent="0.5">
      <c r="A33" s="2040" t="s">
        <v>1275</v>
      </c>
      <c r="B33" s="2032">
        <f>[4]int.kiadások2021!B32</f>
        <v>114401</v>
      </c>
      <c r="C33" s="2029">
        <f>'[5]int.kiadások RM III'!D33</f>
        <v>133067</v>
      </c>
      <c r="D33" s="2032">
        <v>133066</v>
      </c>
      <c r="E33" s="2030">
        <f t="shared" ref="E33:E38" si="14">D33/C33</f>
        <v>0.99999248498876503</v>
      </c>
      <c r="F33" s="2032">
        <f>[4]int.kiadások2021!C32</f>
        <v>20521</v>
      </c>
      <c r="G33" s="2029">
        <f>'[5]int.kiadások RM III'!G33</f>
        <v>21941</v>
      </c>
      <c r="H33" s="2032">
        <v>21941</v>
      </c>
      <c r="I33" s="2030">
        <f t="shared" ref="I33:I38" si="15">H33/G33</f>
        <v>1</v>
      </c>
      <c r="J33" s="2032">
        <f>[4]int.kiadások2021!D32</f>
        <v>173649</v>
      </c>
      <c r="K33" s="2029">
        <f>'[5]int.kiadások RM III'!J33</f>
        <v>151930</v>
      </c>
      <c r="L33" s="2032">
        <v>151930</v>
      </c>
      <c r="M33" s="2030">
        <f t="shared" ref="M33:M38" si="16">L33/K33</f>
        <v>1</v>
      </c>
      <c r="N33" s="2040" t="s">
        <v>1275</v>
      </c>
      <c r="O33" s="2032">
        <f>[4]int.kiadások2021!E32</f>
        <v>0</v>
      </c>
      <c r="P33" s="2029">
        <f>'[5]int.kiadások RM III'!N33</f>
        <v>0</v>
      </c>
      <c r="Q33" s="2032"/>
      <c r="R33" s="2030"/>
      <c r="S33" s="2032">
        <f>[4]int.kiadások2021!F32</f>
        <v>0</v>
      </c>
      <c r="T33" s="2032">
        <f>'[5]int.kiadások RM III'!Q33</f>
        <v>60813</v>
      </c>
      <c r="U33" s="2032">
        <v>60812</v>
      </c>
      <c r="V33" s="2030">
        <f>U33/T33</f>
        <v>0.9999835561475342</v>
      </c>
      <c r="W33" s="2029">
        <f t="shared" ref="W33:Y37" si="17">B33+F33+J33+O33+S33</f>
        <v>308571</v>
      </c>
      <c r="X33" s="2029">
        <f t="shared" si="17"/>
        <v>367751</v>
      </c>
      <c r="Y33" s="2029">
        <f t="shared" si="17"/>
        <v>367749</v>
      </c>
      <c r="Z33" s="2030">
        <f t="shared" ref="Z33:Z38" si="18">Y33/X33</f>
        <v>0.99999456153756205</v>
      </c>
      <c r="AA33" s="2040" t="s">
        <v>1275</v>
      </c>
      <c r="AB33" s="2032">
        <f>[4]int.kiadások2021!I32</f>
        <v>0</v>
      </c>
      <c r="AC33" s="2029">
        <f>'[5]int.kiadások RM III'!X33</f>
        <v>21280</v>
      </c>
      <c r="AD33" s="2032">
        <v>21279</v>
      </c>
      <c r="AE33" s="2030">
        <f t="shared" ref="AE33:AE38" si="19">AD33/AC33</f>
        <v>0.99995300751879701</v>
      </c>
      <c r="AF33" s="2032">
        <f>[4]int.kiadások2021!J32</f>
        <v>0</v>
      </c>
      <c r="AG33" s="2029">
        <f>'[5]int.kiadások RM III'!AA33</f>
        <v>0</v>
      </c>
      <c r="AH33" s="2032"/>
      <c r="AI33" s="2030"/>
      <c r="AJ33" s="2032">
        <f>[4]int.kiadások2021!K32</f>
        <v>0</v>
      </c>
      <c r="AK33" s="2032">
        <f>'[5]int.kiadások RM III'!AD33</f>
        <v>0</v>
      </c>
      <c r="AL33" s="2032"/>
      <c r="AM33" s="2030"/>
      <c r="AN33" s="2040" t="s">
        <v>1275</v>
      </c>
      <c r="AO33" s="2029">
        <f t="shared" ref="AO33:AQ37" si="20">AB33+AF33+AJ33</f>
        <v>0</v>
      </c>
      <c r="AP33" s="2029">
        <f t="shared" si="20"/>
        <v>21280</v>
      </c>
      <c r="AQ33" s="2029">
        <f t="shared" si="20"/>
        <v>21279</v>
      </c>
      <c r="AR33" s="2030">
        <f t="shared" ref="AR33:AR38" si="21">AQ33/AP33</f>
        <v>0.99995300751879701</v>
      </c>
      <c r="AS33" s="2029">
        <f t="shared" ref="AS33:AU37" si="22">W33+AO33</f>
        <v>308571</v>
      </c>
      <c r="AT33" s="2029">
        <f t="shared" si="22"/>
        <v>389031</v>
      </c>
      <c r="AU33" s="2029">
        <f t="shared" si="22"/>
        <v>389028</v>
      </c>
      <c r="AV33" s="2030">
        <f t="shared" ref="AV33:AV38" si="23">AU33/AT33</f>
        <v>0.9999922885322764</v>
      </c>
      <c r="AW33" s="2029">
        <f>AS33-'[6]éves besz.bevételei2021'!BD33</f>
        <v>0</v>
      </c>
      <c r="AX33" s="2029">
        <f>AT33-'[6]éves besz.bevételei2021'!BE33</f>
        <v>0</v>
      </c>
      <c r="AY33" s="2029">
        <f>AU33-'[6]éves besz.bevételei2021'!BF33</f>
        <v>0</v>
      </c>
    </row>
    <row r="34" spans="1:51" s="2027" customFormat="1" ht="56.1" customHeight="1" x14ac:dyDescent="0.5">
      <c r="A34" s="2041" t="s">
        <v>245</v>
      </c>
      <c r="B34" s="2042">
        <f>[4]int.kiadások2021!B33</f>
        <v>83368</v>
      </c>
      <c r="C34" s="2029">
        <f>'[5]int.kiadások RM III'!D34</f>
        <v>99236</v>
      </c>
      <c r="D34" s="2042">
        <v>96578</v>
      </c>
      <c r="E34" s="2030">
        <f t="shared" si="14"/>
        <v>0.97321536539159181</v>
      </c>
      <c r="F34" s="2042">
        <f>[4]int.kiadások2021!C33</f>
        <v>12539</v>
      </c>
      <c r="G34" s="2029">
        <f>'[5]int.kiadások RM III'!G34</f>
        <v>15957</v>
      </c>
      <c r="H34" s="2042">
        <v>15394</v>
      </c>
      <c r="I34" s="2030">
        <f t="shared" si="15"/>
        <v>0.96471767876167203</v>
      </c>
      <c r="J34" s="2042">
        <f>[4]int.kiadások2021!D33</f>
        <v>26165</v>
      </c>
      <c r="K34" s="2029">
        <f>'[5]int.kiadások RM III'!J34</f>
        <v>49763</v>
      </c>
      <c r="L34" s="2042">
        <v>31468</v>
      </c>
      <c r="M34" s="2030">
        <f t="shared" si="16"/>
        <v>0.632357373952535</v>
      </c>
      <c r="N34" s="2041" t="s">
        <v>245</v>
      </c>
      <c r="O34" s="2042">
        <f>[4]int.kiadások2021!E33</f>
        <v>0</v>
      </c>
      <c r="P34" s="2029">
        <f>'[5]int.kiadások RM III'!N34</f>
        <v>0</v>
      </c>
      <c r="Q34" s="2042"/>
      <c r="R34" s="2030"/>
      <c r="S34" s="2042">
        <f>[4]int.kiadások2021!F33</f>
        <v>0</v>
      </c>
      <c r="T34" s="2042">
        <f>'[5]int.kiadások RM III'!Q34</f>
        <v>0</v>
      </c>
      <c r="U34" s="2042"/>
      <c r="V34" s="2030"/>
      <c r="W34" s="2029">
        <f t="shared" si="17"/>
        <v>122072</v>
      </c>
      <c r="X34" s="2029">
        <f t="shared" si="17"/>
        <v>164956</v>
      </c>
      <c r="Y34" s="2029">
        <f t="shared" si="17"/>
        <v>143440</v>
      </c>
      <c r="Z34" s="2030">
        <f t="shared" si="18"/>
        <v>0.86956521739130432</v>
      </c>
      <c r="AA34" s="2041" t="s">
        <v>245</v>
      </c>
      <c r="AB34" s="2042">
        <f>[4]int.kiadások2021!I33</f>
        <v>0</v>
      </c>
      <c r="AC34" s="2029">
        <f>'[5]int.kiadások RM III'!X34</f>
        <v>19892</v>
      </c>
      <c r="AD34" s="2042">
        <v>4032</v>
      </c>
      <c r="AE34" s="2030">
        <f t="shared" si="19"/>
        <v>0.20269455057309471</v>
      </c>
      <c r="AF34" s="2042">
        <f>[4]int.kiadások2021!J33</f>
        <v>0</v>
      </c>
      <c r="AG34" s="2029">
        <f>'[5]int.kiadások RM III'!AA34</f>
        <v>0</v>
      </c>
      <c r="AH34" s="2042"/>
      <c r="AI34" s="2030"/>
      <c r="AJ34" s="2042">
        <f>[4]int.kiadások2021!K33</f>
        <v>0</v>
      </c>
      <c r="AK34" s="2042">
        <f>'[5]int.kiadások RM III'!AD34</f>
        <v>0</v>
      </c>
      <c r="AL34" s="2042"/>
      <c r="AM34" s="2030"/>
      <c r="AN34" s="2041" t="s">
        <v>245</v>
      </c>
      <c r="AO34" s="2029">
        <f t="shared" si="20"/>
        <v>0</v>
      </c>
      <c r="AP34" s="2029">
        <f t="shared" si="20"/>
        <v>19892</v>
      </c>
      <c r="AQ34" s="2029">
        <f t="shared" si="20"/>
        <v>4032</v>
      </c>
      <c r="AR34" s="2030">
        <f t="shared" si="21"/>
        <v>0.20269455057309471</v>
      </c>
      <c r="AS34" s="2029">
        <f t="shared" si="22"/>
        <v>122072</v>
      </c>
      <c r="AT34" s="2029">
        <f t="shared" si="22"/>
        <v>184848</v>
      </c>
      <c r="AU34" s="2029">
        <f t="shared" si="22"/>
        <v>147472</v>
      </c>
      <c r="AV34" s="2030">
        <f t="shared" si="23"/>
        <v>0.79780143685622784</v>
      </c>
      <c r="AW34" s="2029">
        <f>AS34-'[6]éves besz.bevételei2021'!BD34</f>
        <v>0</v>
      </c>
      <c r="AX34" s="2029">
        <f>AT34-'[6]éves besz.bevételei2021'!BE34</f>
        <v>0</v>
      </c>
      <c r="AY34" s="2029">
        <f>AU34-'[6]éves besz.bevételei2021'!BF34</f>
        <v>-22392</v>
      </c>
    </row>
    <row r="35" spans="1:51" s="2027" customFormat="1" ht="56.1" customHeight="1" x14ac:dyDescent="0.5">
      <c r="A35" s="2041" t="s">
        <v>1276</v>
      </c>
      <c r="B35" s="2042">
        <f>[4]int.kiadások2021!B34</f>
        <v>316381</v>
      </c>
      <c r="C35" s="2029">
        <f>'[5]int.kiadások RM III'!D35</f>
        <v>452310</v>
      </c>
      <c r="D35" s="2042">
        <v>368255</v>
      </c>
      <c r="E35" s="2030">
        <f t="shared" si="14"/>
        <v>0.81416506378368814</v>
      </c>
      <c r="F35" s="2042">
        <f>[4]int.kiadások2021!C34</f>
        <v>49573</v>
      </c>
      <c r="G35" s="2029">
        <f>'[5]int.kiadások RM III'!G35</f>
        <v>69737</v>
      </c>
      <c r="H35" s="2042">
        <f>65384+1</f>
        <v>65385</v>
      </c>
      <c r="I35" s="2030">
        <f t="shared" si="15"/>
        <v>0.9375941035605202</v>
      </c>
      <c r="J35" s="2042">
        <f>[4]int.kiadások2021!D34</f>
        <v>59026</v>
      </c>
      <c r="K35" s="2029">
        <f>'[5]int.kiadások RM III'!J35</f>
        <v>223517</v>
      </c>
      <c r="L35" s="2042">
        <v>85571</v>
      </c>
      <c r="M35" s="2030">
        <f t="shared" si="16"/>
        <v>0.38283888921200626</v>
      </c>
      <c r="N35" s="2041" t="s">
        <v>1276</v>
      </c>
      <c r="O35" s="2042">
        <f>[4]int.kiadások2021!E34</f>
        <v>0</v>
      </c>
      <c r="P35" s="2029">
        <f>'[5]int.kiadások RM III'!N35</f>
        <v>0</v>
      </c>
      <c r="Q35" s="2042"/>
      <c r="R35" s="2030"/>
      <c r="S35" s="2042">
        <f>[4]int.kiadások2021!F34</f>
        <v>0</v>
      </c>
      <c r="T35" s="2042">
        <f>'[5]int.kiadások RM III'!Q35</f>
        <v>0</v>
      </c>
      <c r="U35" s="2042"/>
      <c r="V35" s="2030"/>
      <c r="W35" s="2029">
        <f t="shared" si="17"/>
        <v>424980</v>
      </c>
      <c r="X35" s="2029">
        <f t="shared" si="17"/>
        <v>745564</v>
      </c>
      <c r="Y35" s="2029">
        <f t="shared" si="17"/>
        <v>519211</v>
      </c>
      <c r="Z35" s="2030">
        <f t="shared" si="18"/>
        <v>0.69640030902779637</v>
      </c>
      <c r="AA35" s="2041" t="s">
        <v>1276</v>
      </c>
      <c r="AB35" s="2042">
        <f>[4]int.kiadások2021!I34</f>
        <v>0</v>
      </c>
      <c r="AC35" s="2029">
        <f>'[5]int.kiadások RM III'!X35</f>
        <v>72932</v>
      </c>
      <c r="AD35" s="2042">
        <v>29232</v>
      </c>
      <c r="AE35" s="2030">
        <f t="shared" si="19"/>
        <v>0.40081171502221247</v>
      </c>
      <c r="AF35" s="2042">
        <f>[4]int.kiadások2021!J34</f>
        <v>0</v>
      </c>
      <c r="AG35" s="2029">
        <f>'[5]int.kiadások RM III'!AA35</f>
        <v>0</v>
      </c>
      <c r="AH35" s="2042"/>
      <c r="AI35" s="2030"/>
      <c r="AJ35" s="2042">
        <f>[4]int.kiadások2021!K34</f>
        <v>0</v>
      </c>
      <c r="AK35" s="2042">
        <f>'[5]int.kiadások RM III'!AD35</f>
        <v>0</v>
      </c>
      <c r="AL35" s="2042"/>
      <c r="AM35" s="2030"/>
      <c r="AN35" s="2041" t="s">
        <v>1276</v>
      </c>
      <c r="AO35" s="2029">
        <f t="shared" si="20"/>
        <v>0</v>
      </c>
      <c r="AP35" s="2029">
        <f t="shared" si="20"/>
        <v>72932</v>
      </c>
      <c r="AQ35" s="2029">
        <f t="shared" si="20"/>
        <v>29232</v>
      </c>
      <c r="AR35" s="2030">
        <f t="shared" si="21"/>
        <v>0.40081171502221247</v>
      </c>
      <c r="AS35" s="2029">
        <f t="shared" si="22"/>
        <v>424980</v>
      </c>
      <c r="AT35" s="2029">
        <f t="shared" si="22"/>
        <v>818496</v>
      </c>
      <c r="AU35" s="2029">
        <f t="shared" si="22"/>
        <v>548443</v>
      </c>
      <c r="AV35" s="2030">
        <f t="shared" si="23"/>
        <v>0.67006191844553908</v>
      </c>
      <c r="AW35" s="2029">
        <f>AS35-'[6]éves besz.bevételei2021'!BD35</f>
        <v>0</v>
      </c>
      <c r="AX35" s="2029">
        <f>AT35-'[6]éves besz.bevételei2021'!BE35</f>
        <v>0</v>
      </c>
      <c r="AY35" s="2029">
        <f>AU35-'[6]éves besz.bevételei2021'!BF35</f>
        <v>-188674</v>
      </c>
    </row>
    <row r="36" spans="1:51" s="2027" customFormat="1" ht="56.1" customHeight="1" x14ac:dyDescent="0.5">
      <c r="A36" s="2041" t="s">
        <v>1277</v>
      </c>
      <c r="B36" s="2042">
        <f>[4]int.kiadások2021!B35</f>
        <v>158111</v>
      </c>
      <c r="C36" s="2029">
        <f>'[5]int.kiadások RM III'!D36</f>
        <v>211654</v>
      </c>
      <c r="D36" s="2042">
        <v>188043</v>
      </c>
      <c r="E36" s="2030">
        <f t="shared" si="14"/>
        <v>0.88844529278917483</v>
      </c>
      <c r="F36" s="2042">
        <f>[4]int.kiadások2021!C35</f>
        <v>24192</v>
      </c>
      <c r="G36" s="2029">
        <f>'[5]int.kiadások RM III'!G36</f>
        <v>32063</v>
      </c>
      <c r="H36" s="2042">
        <f>30269+1</f>
        <v>30270</v>
      </c>
      <c r="I36" s="2030">
        <f t="shared" si="15"/>
        <v>0.94407884477435045</v>
      </c>
      <c r="J36" s="2042">
        <f>[4]int.kiadások2021!D35</f>
        <v>55273</v>
      </c>
      <c r="K36" s="2029">
        <f>'[5]int.kiadások RM III'!J36</f>
        <v>251956</v>
      </c>
      <c r="L36" s="2042">
        <v>201269</v>
      </c>
      <c r="M36" s="2030">
        <f t="shared" si="16"/>
        <v>0.79882598548952988</v>
      </c>
      <c r="N36" s="2041" t="s">
        <v>1277</v>
      </c>
      <c r="O36" s="2042">
        <f>[4]int.kiadások2021!E35</f>
        <v>0</v>
      </c>
      <c r="P36" s="2029">
        <f>'[5]int.kiadások RM III'!N36</f>
        <v>0</v>
      </c>
      <c r="Q36" s="2042"/>
      <c r="R36" s="2030"/>
      <c r="S36" s="2042">
        <f>[4]int.kiadások2021!F35</f>
        <v>0</v>
      </c>
      <c r="T36" s="2042">
        <f>'[5]int.kiadások RM III'!Q36</f>
        <v>0</v>
      </c>
      <c r="U36" s="2042"/>
      <c r="V36" s="2030"/>
      <c r="W36" s="2029">
        <f t="shared" si="17"/>
        <v>237576</v>
      </c>
      <c r="X36" s="2029">
        <f t="shared" si="17"/>
        <v>495673</v>
      </c>
      <c r="Y36" s="2029">
        <f t="shared" si="17"/>
        <v>419582</v>
      </c>
      <c r="Z36" s="2030">
        <f t="shared" si="18"/>
        <v>0.84648952030875191</v>
      </c>
      <c r="AA36" s="2041" t="s">
        <v>1277</v>
      </c>
      <c r="AB36" s="2042">
        <f>[4]int.kiadások2021!I35</f>
        <v>0</v>
      </c>
      <c r="AC36" s="2029">
        <f>'[5]int.kiadások RM III'!X36</f>
        <v>43773</v>
      </c>
      <c r="AD36" s="2042">
        <v>41278</v>
      </c>
      <c r="AE36" s="2030">
        <f t="shared" si="19"/>
        <v>0.94300139355310353</v>
      </c>
      <c r="AF36" s="2042">
        <f>[4]int.kiadások2021!J35</f>
        <v>0</v>
      </c>
      <c r="AG36" s="2029">
        <f>'[5]int.kiadások RM III'!AA36</f>
        <v>0</v>
      </c>
      <c r="AH36" s="2042"/>
      <c r="AI36" s="2030"/>
      <c r="AJ36" s="2042">
        <f>[4]int.kiadások2021!K35</f>
        <v>0</v>
      </c>
      <c r="AK36" s="2042">
        <f>'[5]int.kiadások RM III'!AD36</f>
        <v>0</v>
      </c>
      <c r="AL36" s="2042"/>
      <c r="AM36" s="2030"/>
      <c r="AN36" s="2041" t="s">
        <v>1277</v>
      </c>
      <c r="AO36" s="2029">
        <f t="shared" si="20"/>
        <v>0</v>
      </c>
      <c r="AP36" s="2029">
        <f t="shared" si="20"/>
        <v>43773</v>
      </c>
      <c r="AQ36" s="2029">
        <f t="shared" si="20"/>
        <v>41278</v>
      </c>
      <c r="AR36" s="2030">
        <f t="shared" si="21"/>
        <v>0.94300139355310353</v>
      </c>
      <c r="AS36" s="2029">
        <f t="shared" si="22"/>
        <v>237576</v>
      </c>
      <c r="AT36" s="2029">
        <f t="shared" si="22"/>
        <v>539446</v>
      </c>
      <c r="AU36" s="2029">
        <f t="shared" si="22"/>
        <v>460860</v>
      </c>
      <c r="AV36" s="2030">
        <f t="shared" si="23"/>
        <v>0.85432091441960822</v>
      </c>
      <c r="AW36" s="2029">
        <f>AS36-'[6]éves besz.bevételei2021'!BD36</f>
        <v>0</v>
      </c>
      <c r="AX36" s="2029">
        <f>AT36-'[6]éves besz.bevételei2021'!BE36</f>
        <v>0</v>
      </c>
      <c r="AY36" s="2029">
        <f>AU36-'[6]éves besz.bevételei2021'!BF36</f>
        <v>-30057</v>
      </c>
    </row>
    <row r="37" spans="1:51" s="2027" customFormat="1" ht="56.1" customHeight="1" thickBot="1" x14ac:dyDescent="0.55000000000000004">
      <c r="A37" s="2043" t="s">
        <v>1278</v>
      </c>
      <c r="B37" s="2042">
        <f>[4]int.kiadások2021!B36</f>
        <v>329346</v>
      </c>
      <c r="C37" s="2029">
        <f>'[5]int.kiadások RM III'!D37</f>
        <v>397765</v>
      </c>
      <c r="D37" s="2042">
        <v>382056</v>
      </c>
      <c r="E37" s="2033">
        <f t="shared" si="14"/>
        <v>0.96050683192337183</v>
      </c>
      <c r="F37" s="2042">
        <f>[4]int.kiadások2021!C36</f>
        <v>50398</v>
      </c>
      <c r="G37" s="2029">
        <f>'[5]int.kiadások RM III'!G37</f>
        <v>67066</v>
      </c>
      <c r="H37" s="2042">
        <v>64690</v>
      </c>
      <c r="I37" s="2033">
        <f t="shared" si="15"/>
        <v>0.96457221244743985</v>
      </c>
      <c r="J37" s="2042">
        <f>[4]int.kiadások2021!D36</f>
        <v>127114</v>
      </c>
      <c r="K37" s="2029">
        <f>'[5]int.kiadások RM III'!J37</f>
        <v>209271</v>
      </c>
      <c r="L37" s="2042">
        <v>191219</v>
      </c>
      <c r="M37" s="2033">
        <f t="shared" si="16"/>
        <v>0.91373864510610647</v>
      </c>
      <c r="N37" s="2043" t="s">
        <v>1278</v>
      </c>
      <c r="O37" s="2042">
        <f>[4]int.kiadások2021!E36</f>
        <v>0</v>
      </c>
      <c r="P37" s="2029">
        <f>'[5]int.kiadások RM III'!N37</f>
        <v>0</v>
      </c>
      <c r="Q37" s="2042"/>
      <c r="R37" s="2033"/>
      <c r="S37" s="2042">
        <f>[4]int.kiadások2021!F36</f>
        <v>0</v>
      </c>
      <c r="T37" s="2042">
        <f>'[5]int.kiadások RM III'!Q37</f>
        <v>8973</v>
      </c>
      <c r="U37" s="2042">
        <v>8972</v>
      </c>
      <c r="V37" s="2033">
        <f>U37/T37</f>
        <v>0.99988855455254655</v>
      </c>
      <c r="W37" s="2029">
        <f t="shared" si="17"/>
        <v>506858</v>
      </c>
      <c r="X37" s="2029">
        <f t="shared" si="17"/>
        <v>683075</v>
      </c>
      <c r="Y37" s="2029">
        <f t="shared" si="17"/>
        <v>646937</v>
      </c>
      <c r="Z37" s="2033">
        <f t="shared" si="18"/>
        <v>0.94709512132635509</v>
      </c>
      <c r="AA37" s="2043" t="s">
        <v>1278</v>
      </c>
      <c r="AB37" s="2042">
        <f>[4]int.kiadások2021!I36</f>
        <v>0</v>
      </c>
      <c r="AC37" s="2029">
        <f>'[5]int.kiadások RM III'!X37</f>
        <v>20961</v>
      </c>
      <c r="AD37" s="2042">
        <v>18714</v>
      </c>
      <c r="AE37" s="2033">
        <f t="shared" si="19"/>
        <v>0.89280091598683264</v>
      </c>
      <c r="AF37" s="2042">
        <f>[4]int.kiadások2021!J36</f>
        <v>0</v>
      </c>
      <c r="AG37" s="2029">
        <f>'[5]int.kiadások RM III'!AA37</f>
        <v>0</v>
      </c>
      <c r="AH37" s="2042"/>
      <c r="AI37" s="2033"/>
      <c r="AJ37" s="2042">
        <f>[4]int.kiadások2021!K36</f>
        <v>0</v>
      </c>
      <c r="AK37" s="2042">
        <f>'[5]int.kiadások RM III'!AD37</f>
        <v>0</v>
      </c>
      <c r="AL37" s="2042"/>
      <c r="AM37" s="2033"/>
      <c r="AN37" s="2043" t="s">
        <v>1278</v>
      </c>
      <c r="AO37" s="2029">
        <f t="shared" si="20"/>
        <v>0</v>
      </c>
      <c r="AP37" s="2029">
        <f t="shared" si="20"/>
        <v>20961</v>
      </c>
      <c r="AQ37" s="2029">
        <f t="shared" si="20"/>
        <v>18714</v>
      </c>
      <c r="AR37" s="2033">
        <f t="shared" si="21"/>
        <v>0.89280091598683264</v>
      </c>
      <c r="AS37" s="2029">
        <f t="shared" si="22"/>
        <v>506858</v>
      </c>
      <c r="AT37" s="2029">
        <f t="shared" si="22"/>
        <v>704036</v>
      </c>
      <c r="AU37" s="2029">
        <f t="shared" si="22"/>
        <v>665651</v>
      </c>
      <c r="AV37" s="2033">
        <f t="shared" si="23"/>
        <v>0.94547864029680295</v>
      </c>
      <c r="AW37" s="2029">
        <f>AS37-'[6]éves besz.bevételei2021'!BD37</f>
        <v>0</v>
      </c>
      <c r="AX37" s="2029">
        <f>AT37-'[6]éves besz.bevételei2021'!BE37</f>
        <v>0</v>
      </c>
      <c r="AY37" s="2029">
        <f>AU37-'[6]éves besz.bevételei2021'!BF37</f>
        <v>-38381</v>
      </c>
    </row>
    <row r="38" spans="1:51" s="2027" customFormat="1" ht="56.1" customHeight="1" thickBot="1" x14ac:dyDescent="0.55000000000000004">
      <c r="A38" s="2044" t="s">
        <v>1309</v>
      </c>
      <c r="B38" s="2035">
        <f>SUM(B33:B37)</f>
        <v>1001607</v>
      </c>
      <c r="C38" s="2035">
        <f>SUM(C33:C37)</f>
        <v>1294032</v>
      </c>
      <c r="D38" s="2035">
        <f>SUM(D33:D37)</f>
        <v>1167998</v>
      </c>
      <c r="E38" s="2036">
        <f t="shared" si="14"/>
        <v>0.90260364504123547</v>
      </c>
      <c r="F38" s="2035">
        <f>SUM(F33:F37)</f>
        <v>157223</v>
      </c>
      <c r="G38" s="2035">
        <f>SUM(G33:G37)</f>
        <v>206764</v>
      </c>
      <c r="H38" s="2035">
        <f>SUM(H33:H37)</f>
        <v>197680</v>
      </c>
      <c r="I38" s="2036">
        <f t="shared" si="15"/>
        <v>0.95606585285639667</v>
      </c>
      <c r="J38" s="2035">
        <f>SUM(J33:J37)</f>
        <v>441227</v>
      </c>
      <c r="K38" s="2035">
        <f>SUM(K33:K37)</f>
        <v>886437</v>
      </c>
      <c r="L38" s="2035">
        <f>SUM(L33:L37)</f>
        <v>661457</v>
      </c>
      <c r="M38" s="2036">
        <f t="shared" si="16"/>
        <v>0.74619741730094746</v>
      </c>
      <c r="N38" s="2044" t="s">
        <v>1309</v>
      </c>
      <c r="O38" s="2035">
        <f>SUM(O33:O37)</f>
        <v>0</v>
      </c>
      <c r="P38" s="2035">
        <f>SUM(P33:P37)</f>
        <v>0</v>
      </c>
      <c r="Q38" s="2035">
        <f>SUM(Q33:Q37)</f>
        <v>0</v>
      </c>
      <c r="R38" s="2036"/>
      <c r="S38" s="2035">
        <f>SUM(S33:S37)</f>
        <v>0</v>
      </c>
      <c r="T38" s="2035">
        <f>SUM(T33:T37)</f>
        <v>69786</v>
      </c>
      <c r="U38" s="2035">
        <f>SUM(U33:U37)</f>
        <v>69784</v>
      </c>
      <c r="V38" s="2036">
        <f>U38/T38</f>
        <v>0.99997134095663887</v>
      </c>
      <c r="W38" s="2035">
        <f>SUM(W33:W37)</f>
        <v>1600057</v>
      </c>
      <c r="X38" s="2035">
        <f>SUM(X33:X37)</f>
        <v>2457019</v>
      </c>
      <c r="Y38" s="2035">
        <f>SUM(Y33:Y37)</f>
        <v>2096919</v>
      </c>
      <c r="Z38" s="2036">
        <f t="shared" si="18"/>
        <v>0.85344028678654904</v>
      </c>
      <c r="AA38" s="2044" t="s">
        <v>1309</v>
      </c>
      <c r="AB38" s="2035">
        <f>SUM(AB33:AB37)</f>
        <v>0</v>
      </c>
      <c r="AC38" s="2035">
        <f>SUM(AC33:AC37)</f>
        <v>178838</v>
      </c>
      <c r="AD38" s="2035">
        <f>SUM(AD33:AD37)</f>
        <v>114535</v>
      </c>
      <c r="AE38" s="2036">
        <f t="shared" si="19"/>
        <v>0.64043995124078779</v>
      </c>
      <c r="AF38" s="2035">
        <f>SUM(AF33:AF37)</f>
        <v>0</v>
      </c>
      <c r="AG38" s="2035">
        <f>SUM(AG33:AG37)</f>
        <v>0</v>
      </c>
      <c r="AH38" s="2035">
        <f>SUM(AH33:AH37)</f>
        <v>0</v>
      </c>
      <c r="AI38" s="2036"/>
      <c r="AJ38" s="2035">
        <f>SUM(AJ33:AJ37)</f>
        <v>0</v>
      </c>
      <c r="AK38" s="2035">
        <f>SUM(AK33:AK37)</f>
        <v>0</v>
      </c>
      <c r="AL38" s="2035">
        <f>SUM(AL33:AL37)</f>
        <v>0</v>
      </c>
      <c r="AM38" s="2036"/>
      <c r="AN38" s="2044" t="s">
        <v>1309</v>
      </c>
      <c r="AO38" s="2035">
        <f>SUM(AO33:AO37)</f>
        <v>0</v>
      </c>
      <c r="AP38" s="2035">
        <f>SUM(AP33:AP37)</f>
        <v>178838</v>
      </c>
      <c r="AQ38" s="2035">
        <f>SUM(AQ33:AQ37)</f>
        <v>114535</v>
      </c>
      <c r="AR38" s="2036">
        <f t="shared" si="21"/>
        <v>0.64043995124078779</v>
      </c>
      <c r="AS38" s="2035">
        <f>SUM(AS33:AS37)</f>
        <v>1600057</v>
      </c>
      <c r="AT38" s="2035">
        <f>SUM(AT33:AT37)</f>
        <v>2635857</v>
      </c>
      <c r="AU38" s="2035">
        <f>SUM(AU33:AU37)</f>
        <v>2211454</v>
      </c>
      <c r="AV38" s="2036">
        <f t="shared" si="23"/>
        <v>0.83898860977663048</v>
      </c>
      <c r="AW38" s="2029">
        <f>AS38-'[6]éves besz.bevételei2021'!BD38</f>
        <v>0</v>
      </c>
      <c r="AX38" s="2029">
        <f>AT38-'[6]éves besz.bevételei2021'!BE38</f>
        <v>0</v>
      </c>
      <c r="AY38" s="2029">
        <f>AU38-'[6]éves besz.bevételei2021'!BF38</f>
        <v>-279504</v>
      </c>
    </row>
    <row r="39" spans="1:51" s="2027" customFormat="1" ht="56.1" customHeight="1" x14ac:dyDescent="0.5">
      <c r="A39" s="2045" t="s">
        <v>1280</v>
      </c>
      <c r="B39" s="2026"/>
      <c r="C39" s="2026"/>
      <c r="D39" s="2026"/>
      <c r="E39" s="2026"/>
      <c r="F39" s="2026"/>
      <c r="G39" s="2026"/>
      <c r="H39" s="2026"/>
      <c r="I39" s="2026"/>
      <c r="J39" s="2026"/>
      <c r="K39" s="2026"/>
      <c r="L39" s="2026"/>
      <c r="M39" s="2026"/>
      <c r="N39" s="2045" t="s">
        <v>1280</v>
      </c>
      <c r="O39" s="2026"/>
      <c r="P39" s="2026"/>
      <c r="Q39" s="2026"/>
      <c r="R39" s="2026"/>
      <c r="S39" s="2026"/>
      <c r="T39" s="2026"/>
      <c r="U39" s="2026"/>
      <c r="V39" s="2026"/>
      <c r="W39" s="2026"/>
      <c r="X39" s="2026"/>
      <c r="Y39" s="2026"/>
      <c r="Z39" s="2026"/>
      <c r="AA39" s="2045" t="s">
        <v>1280</v>
      </c>
      <c r="AB39" s="2026"/>
      <c r="AC39" s="2026"/>
      <c r="AD39" s="2026"/>
      <c r="AE39" s="2026"/>
      <c r="AF39" s="2026"/>
      <c r="AG39" s="2026"/>
      <c r="AH39" s="2026"/>
      <c r="AI39" s="2026"/>
      <c r="AJ39" s="2026"/>
      <c r="AK39" s="2026"/>
      <c r="AL39" s="2026"/>
      <c r="AM39" s="2026"/>
      <c r="AN39" s="2045" t="s">
        <v>1280</v>
      </c>
      <c r="AO39" s="2026"/>
      <c r="AP39" s="2026"/>
      <c r="AQ39" s="2026"/>
      <c r="AR39" s="2026"/>
      <c r="AS39" s="2026"/>
      <c r="AT39" s="2026"/>
      <c r="AU39" s="2026"/>
      <c r="AV39" s="2026"/>
      <c r="AW39" s="2029"/>
      <c r="AX39" s="2029"/>
      <c r="AY39" s="2029"/>
    </row>
    <row r="40" spans="1:51" s="2021" customFormat="1" ht="99" customHeight="1" thickBot="1" x14ac:dyDescent="0.55000000000000004">
      <c r="A40" s="2046" t="s">
        <v>1281</v>
      </c>
      <c r="B40" s="2029">
        <f>[4]int.kiadások2021!B39</f>
        <v>521006</v>
      </c>
      <c r="C40" s="2029">
        <f>'[5]int.kiadások RM III'!D40</f>
        <v>681136</v>
      </c>
      <c r="D40" s="2029">
        <v>655420</v>
      </c>
      <c r="E40" s="2037">
        <f>D40/C40</f>
        <v>0.96224542528951629</v>
      </c>
      <c r="F40" s="2029">
        <f>[4]int.kiadások2021!C39</f>
        <v>95461</v>
      </c>
      <c r="G40" s="2029">
        <f>'[5]int.kiadások RM III'!G40</f>
        <v>118347</v>
      </c>
      <c r="H40" s="2029">
        <f>110385-1</f>
        <v>110384</v>
      </c>
      <c r="I40" s="2037">
        <f>H40/G40</f>
        <v>0.93271481321875505</v>
      </c>
      <c r="J40" s="2029">
        <f>[4]int.kiadások2021!D39</f>
        <v>272649</v>
      </c>
      <c r="K40" s="2029">
        <f>'[5]int.kiadások RM III'!J40</f>
        <v>283303</v>
      </c>
      <c r="L40" s="2029">
        <v>279114</v>
      </c>
      <c r="M40" s="2037">
        <f>L40/K40</f>
        <v>0.9852137111149547</v>
      </c>
      <c r="N40" s="2046" t="s">
        <v>1281</v>
      </c>
      <c r="O40" s="2029">
        <f>[4]int.kiadások2021!E39</f>
        <v>0</v>
      </c>
      <c r="P40" s="2029">
        <f>'[5]int.kiadások RM III'!N40</f>
        <v>0</v>
      </c>
      <c r="Q40" s="2029"/>
      <c r="R40" s="2037"/>
      <c r="S40" s="2029">
        <f>[4]int.kiadások2021!F39</f>
        <v>0</v>
      </c>
      <c r="T40" s="2029">
        <f>'[5]int.kiadások RM III'!Q40</f>
        <v>4900</v>
      </c>
      <c r="U40" s="2029">
        <v>4900</v>
      </c>
      <c r="V40" s="2037">
        <f>U40/T40</f>
        <v>1</v>
      </c>
      <c r="W40" s="2029">
        <f>B40+F40+J40+O40+S40</f>
        <v>889116</v>
      </c>
      <c r="X40" s="2029">
        <f>C40+G40+K40+P40+T40</f>
        <v>1087686</v>
      </c>
      <c r="Y40" s="2029">
        <f>D40+H40+L40+Q40+U40</f>
        <v>1049818</v>
      </c>
      <c r="Z40" s="2037">
        <f>Y40/X40</f>
        <v>0.96518480517355187</v>
      </c>
      <c r="AA40" s="2046" t="s">
        <v>1281</v>
      </c>
      <c r="AB40" s="2029">
        <f>[4]int.kiadások2021!I39</f>
        <v>0</v>
      </c>
      <c r="AC40" s="2029">
        <f>'[5]int.kiadások RM III'!X40</f>
        <v>26223</v>
      </c>
      <c r="AD40" s="2029">
        <v>26216</v>
      </c>
      <c r="AE40" s="2037">
        <f>AD40/AC40</f>
        <v>0.99973305876520613</v>
      </c>
      <c r="AF40" s="2029">
        <f>[4]int.kiadások2021!J39</f>
        <v>0</v>
      </c>
      <c r="AG40" s="2029">
        <f>'[5]int.kiadások RM III'!AA40</f>
        <v>63761</v>
      </c>
      <c r="AH40" s="2029">
        <v>63557</v>
      </c>
      <c r="AI40" s="2037">
        <f>AH40/AG40</f>
        <v>0.99680055206160501</v>
      </c>
      <c r="AJ40" s="2029">
        <f>[4]int.kiadások2021!K39</f>
        <v>0</v>
      </c>
      <c r="AK40" s="2029">
        <f>'[5]int.kiadások RM III'!AD40</f>
        <v>0</v>
      </c>
      <c r="AL40" s="2029"/>
      <c r="AM40" s="2037"/>
      <c r="AN40" s="2046" t="s">
        <v>1281</v>
      </c>
      <c r="AO40" s="2029">
        <f>AB40+AF40+AJ40</f>
        <v>0</v>
      </c>
      <c r="AP40" s="2029">
        <f>AC40+AG40+AK40</f>
        <v>89984</v>
      </c>
      <c r="AQ40" s="2029">
        <f>AD40+AH40+AL40</f>
        <v>89773</v>
      </c>
      <c r="AR40" s="2037">
        <f>AQ40/AP40</f>
        <v>0.99765513869132294</v>
      </c>
      <c r="AS40" s="2029">
        <f>W40+AO40</f>
        <v>889116</v>
      </c>
      <c r="AT40" s="2029">
        <f>X40+AP40</f>
        <v>1177670</v>
      </c>
      <c r="AU40" s="2029">
        <f>Y40+AQ40</f>
        <v>1139591</v>
      </c>
      <c r="AV40" s="2037">
        <f>AU40/AT40</f>
        <v>0.96766581470191138</v>
      </c>
      <c r="AW40" s="2029">
        <f>AS40-'[6]éves besz.bevételei2021'!BD40</f>
        <v>0</v>
      </c>
      <c r="AX40" s="2029">
        <f>AT40-'[6]éves besz.bevételei2021'!BE40</f>
        <v>0</v>
      </c>
      <c r="AY40" s="2029">
        <f>AU40-'[6]éves besz.bevételei2021'!BF40</f>
        <v>-125</v>
      </c>
    </row>
    <row r="41" spans="1:51" s="2027" customFormat="1" ht="56.1" customHeight="1" x14ac:dyDescent="0.5">
      <c r="A41" s="2045" t="s">
        <v>1282</v>
      </c>
      <c r="B41" s="2026"/>
      <c r="C41" s="2026"/>
      <c r="D41" s="2026"/>
      <c r="E41" s="2033"/>
      <c r="F41" s="2026"/>
      <c r="G41" s="2026"/>
      <c r="H41" s="2026"/>
      <c r="I41" s="2033"/>
      <c r="J41" s="2026"/>
      <c r="K41" s="2026"/>
      <c r="L41" s="2026"/>
      <c r="M41" s="2033"/>
      <c r="N41" s="2045" t="s">
        <v>1282</v>
      </c>
      <c r="O41" s="2026"/>
      <c r="P41" s="2026"/>
      <c r="Q41" s="2026"/>
      <c r="R41" s="2033"/>
      <c r="S41" s="2026"/>
      <c r="T41" s="2026"/>
      <c r="U41" s="2026"/>
      <c r="V41" s="2033"/>
      <c r="W41" s="2026"/>
      <c r="X41" s="2026"/>
      <c r="Y41" s="2026"/>
      <c r="Z41" s="2033"/>
      <c r="AA41" s="2045" t="s">
        <v>1282</v>
      </c>
      <c r="AB41" s="2026"/>
      <c r="AC41" s="2026"/>
      <c r="AD41" s="2026"/>
      <c r="AE41" s="2033"/>
      <c r="AF41" s="2026"/>
      <c r="AG41" s="2026"/>
      <c r="AH41" s="2026"/>
      <c r="AI41" s="2033"/>
      <c r="AJ41" s="2026"/>
      <c r="AK41" s="2026"/>
      <c r="AL41" s="2026"/>
      <c r="AM41" s="2033"/>
      <c r="AN41" s="2045" t="s">
        <v>1282</v>
      </c>
      <c r="AO41" s="2026"/>
      <c r="AP41" s="2026"/>
      <c r="AQ41" s="2026"/>
      <c r="AR41" s="2033"/>
      <c r="AS41" s="2026"/>
      <c r="AT41" s="2026"/>
      <c r="AU41" s="2026"/>
      <c r="AV41" s="2033"/>
      <c r="AW41" s="2029">
        <f>AS41-'[6]éves besz.bevételei2021'!BD41</f>
        <v>0</v>
      </c>
      <c r="AX41" s="2029"/>
      <c r="AY41" s="2029">
        <f>AU41-'[6]éves besz.bevételei2021'!BF41</f>
        <v>0</v>
      </c>
    </row>
    <row r="42" spans="1:51" s="2027" customFormat="1" ht="56.1" customHeight="1" thickBot="1" x14ac:dyDescent="0.55000000000000004">
      <c r="A42" s="2040" t="s">
        <v>1283</v>
      </c>
      <c r="B42" s="2047">
        <f>[4]int.kiadások2021!B41</f>
        <v>599003</v>
      </c>
      <c r="C42" s="2029">
        <f>'[5]int.kiadások RM III'!D42</f>
        <v>770327</v>
      </c>
      <c r="D42" s="2047">
        <f>666428-1</f>
        <v>666427</v>
      </c>
      <c r="E42" s="2030">
        <f>D42/C42</f>
        <v>0.86512221433235492</v>
      </c>
      <c r="F42" s="2047">
        <f>[4]int.kiadások2021!C41</f>
        <v>98911</v>
      </c>
      <c r="G42" s="2029">
        <f>'[5]int.kiadások RM III'!G42</f>
        <v>130648</v>
      </c>
      <c r="H42" s="2047">
        <v>102734</v>
      </c>
      <c r="I42" s="2030">
        <f>H42/G42</f>
        <v>0.78634192639764866</v>
      </c>
      <c r="J42" s="2047">
        <f>[4]int.kiadások2021!D41</f>
        <v>286319</v>
      </c>
      <c r="K42" s="2029">
        <f>'[5]int.kiadások RM III'!J42</f>
        <v>369558</v>
      </c>
      <c r="L42" s="2047">
        <v>283141</v>
      </c>
      <c r="M42" s="2030">
        <f>L42/K42</f>
        <v>0.76616119797163096</v>
      </c>
      <c r="N42" s="2040" t="s">
        <v>1283</v>
      </c>
      <c r="O42" s="2047">
        <f>[4]int.kiadások2021!E41</f>
        <v>0</v>
      </c>
      <c r="P42" s="2029">
        <f>'[5]int.kiadások RM III'!N42</f>
        <v>0</v>
      </c>
      <c r="Q42" s="2047"/>
      <c r="R42" s="2030"/>
      <c r="S42" s="2047">
        <f>[4]int.kiadások2021!F41</f>
        <v>0</v>
      </c>
      <c r="T42" s="2047">
        <f>'[5]int.kiadások RM III'!Q42</f>
        <v>0</v>
      </c>
      <c r="U42" s="2047"/>
      <c r="V42" s="2030"/>
      <c r="W42" s="2029">
        <f>B42+F42+J42+O42+S42</f>
        <v>984233</v>
      </c>
      <c r="X42" s="2029">
        <f>C42+G42+K42+P42+T42</f>
        <v>1270533</v>
      </c>
      <c r="Y42" s="2029">
        <f>D42+H42+L42+Q42+U42</f>
        <v>1052302</v>
      </c>
      <c r="Z42" s="2030">
        <f>Y42/X42</f>
        <v>0.82823665343599895</v>
      </c>
      <c r="AA42" s="2040" t="s">
        <v>1283</v>
      </c>
      <c r="AB42" s="2047">
        <f>[4]int.kiadások2021!I41</f>
        <v>4233</v>
      </c>
      <c r="AC42" s="2029">
        <f>'[5]int.kiadások RM III'!X42</f>
        <v>65462</v>
      </c>
      <c r="AD42" s="2047">
        <v>48558</v>
      </c>
      <c r="AE42" s="2030">
        <f>AD42/AC42</f>
        <v>0.74177385353334757</v>
      </c>
      <c r="AF42" s="2047">
        <f>[4]int.kiadások2021!J41</f>
        <v>0</v>
      </c>
      <c r="AG42" s="2029">
        <f>'[5]int.kiadások RM III'!AA42</f>
        <v>34474</v>
      </c>
      <c r="AH42" s="2047">
        <v>22563</v>
      </c>
      <c r="AI42" s="2030">
        <f>AH42/AG42</f>
        <v>0.65449324128328601</v>
      </c>
      <c r="AJ42" s="2047">
        <f>[4]int.kiadások2021!K41</f>
        <v>0</v>
      </c>
      <c r="AK42" s="2047">
        <f>'[5]int.kiadások RM III'!AD42</f>
        <v>0</v>
      </c>
      <c r="AL42" s="2047"/>
      <c r="AM42" s="2030"/>
      <c r="AN42" s="2040" t="s">
        <v>1283</v>
      </c>
      <c r="AO42" s="2029">
        <f>AB42+AF42+AJ42</f>
        <v>4233</v>
      </c>
      <c r="AP42" s="2029">
        <f>AC42+AG42+AK42</f>
        <v>99936</v>
      </c>
      <c r="AQ42" s="2029">
        <f>AD42+AH42+AL42</f>
        <v>71121</v>
      </c>
      <c r="AR42" s="2030">
        <f>AQ42/AP42</f>
        <v>0.71166546589817481</v>
      </c>
      <c r="AS42" s="2029">
        <f>W42+AO42</f>
        <v>988466</v>
      </c>
      <c r="AT42" s="2029">
        <f>X42+AP42</f>
        <v>1370469</v>
      </c>
      <c r="AU42" s="2029">
        <f>Y42+AQ42</f>
        <v>1123423</v>
      </c>
      <c r="AV42" s="2030">
        <f>AU42/AT42</f>
        <v>0.81973616331343502</v>
      </c>
      <c r="AW42" s="2029">
        <f>AS42-'[6]éves besz.bevételei2021'!BD42</f>
        <v>0</v>
      </c>
      <c r="AX42" s="2029">
        <f>AT42-'[6]éves besz.bevételei2021'!BE42</f>
        <v>0</v>
      </c>
      <c r="AY42" s="2029">
        <f>AU42-'[6]éves besz.bevételei2021'!BF42</f>
        <v>-70243</v>
      </c>
    </row>
    <row r="43" spans="1:51" s="2027" customFormat="1" ht="56.1" customHeight="1" x14ac:dyDescent="0.5">
      <c r="A43" s="2045" t="s">
        <v>1284</v>
      </c>
      <c r="B43" s="2026"/>
      <c r="C43" s="2026"/>
      <c r="D43" s="2026"/>
      <c r="E43" s="2026"/>
      <c r="F43" s="2026"/>
      <c r="G43" s="2026"/>
      <c r="H43" s="2026"/>
      <c r="I43" s="2026"/>
      <c r="J43" s="2026"/>
      <c r="K43" s="2026"/>
      <c r="L43" s="2026"/>
      <c r="M43" s="2026"/>
      <c r="N43" s="2045" t="s">
        <v>1284</v>
      </c>
      <c r="O43" s="2026"/>
      <c r="P43" s="2026"/>
      <c r="Q43" s="2026"/>
      <c r="R43" s="2026"/>
      <c r="S43" s="2026"/>
      <c r="T43" s="2026"/>
      <c r="U43" s="2026"/>
      <c r="V43" s="2026"/>
      <c r="W43" s="2026"/>
      <c r="X43" s="2026"/>
      <c r="Y43" s="2026"/>
      <c r="Z43" s="2026"/>
      <c r="AA43" s="2045" t="s">
        <v>1284</v>
      </c>
      <c r="AB43" s="2026"/>
      <c r="AC43" s="2026"/>
      <c r="AD43" s="2026"/>
      <c r="AE43" s="2026"/>
      <c r="AF43" s="2026"/>
      <c r="AG43" s="2026"/>
      <c r="AH43" s="2026"/>
      <c r="AI43" s="2026"/>
      <c r="AJ43" s="2026"/>
      <c r="AK43" s="2026"/>
      <c r="AL43" s="2026"/>
      <c r="AM43" s="2026"/>
      <c r="AN43" s="2045" t="s">
        <v>1284</v>
      </c>
      <c r="AO43" s="2026"/>
      <c r="AP43" s="2026"/>
      <c r="AQ43" s="2026"/>
      <c r="AR43" s="2026"/>
      <c r="AS43" s="2026"/>
      <c r="AT43" s="2026"/>
      <c r="AU43" s="2026"/>
      <c r="AV43" s="2026"/>
      <c r="AW43" s="2029"/>
      <c r="AX43" s="2029"/>
      <c r="AY43" s="2029"/>
    </row>
    <row r="44" spans="1:51" s="2027" customFormat="1" ht="56.1" customHeight="1" thickBot="1" x14ac:dyDescent="0.55000000000000004">
      <c r="A44" s="2048" t="s">
        <v>1319</v>
      </c>
      <c r="B44" s="2032">
        <f>[4]int.kiadások2021!B43</f>
        <v>707434</v>
      </c>
      <c r="C44" s="2029">
        <f>'[5]int.kiadások RM III'!D44</f>
        <v>731027</v>
      </c>
      <c r="D44" s="2032">
        <v>725602</v>
      </c>
      <c r="E44" s="2030">
        <f>D44/C44</f>
        <v>0.99257893347304549</v>
      </c>
      <c r="F44" s="2032">
        <f>[4]int.kiadások2021!C43</f>
        <v>125946</v>
      </c>
      <c r="G44" s="2029">
        <f>'[5]int.kiadások RM III'!G44</f>
        <v>132912</v>
      </c>
      <c r="H44" s="2032">
        <v>124565</v>
      </c>
      <c r="I44" s="2030">
        <f>H44/G44</f>
        <v>0.93719904899482365</v>
      </c>
      <c r="J44" s="2032">
        <f>[4]int.kiadások2021!D43</f>
        <v>129851</v>
      </c>
      <c r="K44" s="2029">
        <f>'[5]int.kiadások RM III'!J44</f>
        <v>151422</v>
      </c>
      <c r="L44" s="2032">
        <f>142267+1</f>
        <v>142268</v>
      </c>
      <c r="M44" s="2030">
        <f>L44/K44</f>
        <v>0.93954643314709885</v>
      </c>
      <c r="N44" s="2048" t="s">
        <v>1310</v>
      </c>
      <c r="O44" s="2032">
        <f>[4]int.kiadások2021!E43</f>
        <v>0</v>
      </c>
      <c r="P44" s="2029">
        <f>'[5]int.kiadások RM III'!N44</f>
        <v>0</v>
      </c>
      <c r="Q44" s="2032"/>
      <c r="R44" s="2030"/>
      <c r="S44" s="2032">
        <f>[4]int.kiadások2021!F43</f>
        <v>0</v>
      </c>
      <c r="T44" s="2032">
        <f>'[5]int.kiadások RM III'!Q44</f>
        <v>0</v>
      </c>
      <c r="U44" s="2032"/>
      <c r="V44" s="2030"/>
      <c r="W44" s="2029">
        <f>B44+F44+J44+O44+S44</f>
        <v>963231</v>
      </c>
      <c r="X44" s="2029">
        <f>C44+G44+K44+P44+T44</f>
        <v>1015361</v>
      </c>
      <c r="Y44" s="2029">
        <f>D44+H44+L44+Q44+U44</f>
        <v>992435</v>
      </c>
      <c r="Z44" s="2030">
        <f>Y44/X44</f>
        <v>0.97742083849980455</v>
      </c>
      <c r="AA44" s="2048" t="s">
        <v>1310</v>
      </c>
      <c r="AB44" s="2032">
        <f>[4]int.kiadások2021!I43</f>
        <v>0</v>
      </c>
      <c r="AC44" s="2029">
        <f>'[5]int.kiadások RM III'!X44</f>
        <v>23766</v>
      </c>
      <c r="AD44" s="2032">
        <v>23766</v>
      </c>
      <c r="AE44" s="2030">
        <f>AD44/AC44</f>
        <v>1</v>
      </c>
      <c r="AF44" s="2032">
        <f>[4]int.kiadások2021!J43</f>
        <v>0</v>
      </c>
      <c r="AG44" s="2029">
        <f>'[5]int.kiadások RM III'!AA44</f>
        <v>25219</v>
      </c>
      <c r="AH44" s="2032">
        <v>3337</v>
      </c>
      <c r="AI44" s="2030">
        <f>AH44/AG44</f>
        <v>0.13232086918593125</v>
      </c>
      <c r="AJ44" s="2032">
        <f>[4]int.kiadások2021!K43</f>
        <v>0</v>
      </c>
      <c r="AK44" s="2032">
        <f>'[5]int.kiadások RM III'!AD44</f>
        <v>0</v>
      </c>
      <c r="AL44" s="2032"/>
      <c r="AM44" s="2030"/>
      <c r="AN44" s="2048" t="s">
        <v>1310</v>
      </c>
      <c r="AO44" s="2029">
        <f>AB44+AF44+AJ44</f>
        <v>0</v>
      </c>
      <c r="AP44" s="2029">
        <f>AC44+AG44+AK44</f>
        <v>48985</v>
      </c>
      <c r="AQ44" s="2029">
        <f>AD44+AH44+AL44</f>
        <v>27103</v>
      </c>
      <c r="AR44" s="2030">
        <f>AQ44/AP44</f>
        <v>0.55329182402776356</v>
      </c>
      <c r="AS44" s="2029">
        <f>W44+AO44</f>
        <v>963231</v>
      </c>
      <c r="AT44" s="2029">
        <f>X44+AP44</f>
        <v>1064346</v>
      </c>
      <c r="AU44" s="2029">
        <f>Y44+AQ44</f>
        <v>1019538</v>
      </c>
      <c r="AV44" s="2030">
        <f>AU44/AT44</f>
        <v>0.95790090816332285</v>
      </c>
      <c r="AW44" s="2029">
        <f>AS44-'[6]éves besz.bevételei2021'!BD44</f>
        <v>0</v>
      </c>
      <c r="AX44" s="2029">
        <f>AT44-'[6]éves besz.bevételei2021'!BE44</f>
        <v>0</v>
      </c>
      <c r="AY44" s="2029">
        <f>AU44-'[6]éves besz.bevételei2021'!BF44</f>
        <v>-1024</v>
      </c>
    </row>
    <row r="45" spans="1:51" s="2027" customFormat="1" ht="56.1" customHeight="1" x14ac:dyDescent="0.5">
      <c r="A45" s="2045" t="s">
        <v>1286</v>
      </c>
      <c r="B45" s="2026"/>
      <c r="C45" s="2026"/>
      <c r="D45" s="2026"/>
      <c r="E45" s="2026"/>
      <c r="F45" s="2026"/>
      <c r="G45" s="2026"/>
      <c r="H45" s="2026"/>
      <c r="I45" s="2026"/>
      <c r="J45" s="2026"/>
      <c r="K45" s="2026"/>
      <c r="L45" s="2026"/>
      <c r="M45" s="2026"/>
      <c r="N45" s="2045" t="s">
        <v>1286</v>
      </c>
      <c r="O45" s="2026"/>
      <c r="P45" s="2026"/>
      <c r="Q45" s="2026"/>
      <c r="R45" s="2026"/>
      <c r="S45" s="2026"/>
      <c r="T45" s="2026"/>
      <c r="U45" s="2026"/>
      <c r="V45" s="2026"/>
      <c r="W45" s="2026"/>
      <c r="X45" s="2026"/>
      <c r="Y45" s="2026"/>
      <c r="Z45" s="2026"/>
      <c r="AA45" s="2045" t="s">
        <v>1286</v>
      </c>
      <c r="AB45" s="2026"/>
      <c r="AC45" s="2026"/>
      <c r="AD45" s="2026"/>
      <c r="AE45" s="2026"/>
      <c r="AF45" s="2026"/>
      <c r="AG45" s="2026"/>
      <c r="AH45" s="2026"/>
      <c r="AI45" s="2026"/>
      <c r="AJ45" s="2026"/>
      <c r="AK45" s="2026"/>
      <c r="AL45" s="2026"/>
      <c r="AM45" s="2026"/>
      <c r="AN45" s="2045" t="s">
        <v>1286</v>
      </c>
      <c r="AO45" s="2026"/>
      <c r="AP45" s="2026"/>
      <c r="AQ45" s="2026"/>
      <c r="AR45" s="2026"/>
      <c r="AS45" s="2026"/>
      <c r="AT45" s="2026"/>
      <c r="AU45" s="2026"/>
      <c r="AV45" s="2026"/>
      <c r="AW45" s="2029"/>
      <c r="AX45" s="2029"/>
      <c r="AY45" s="2029"/>
    </row>
    <row r="46" spans="1:51" s="2027" customFormat="1" ht="56.1" customHeight="1" x14ac:dyDescent="0.5">
      <c r="A46" s="2049" t="s">
        <v>1287</v>
      </c>
      <c r="B46" s="2029">
        <f>[4]int.kiadások2021!B45</f>
        <v>50098</v>
      </c>
      <c r="C46" s="2029">
        <f>'[5]int.kiadások RM III'!D46</f>
        <v>45106</v>
      </c>
      <c r="D46" s="2029">
        <v>45088</v>
      </c>
      <c r="E46" s="2030">
        <f>D46/C46</f>
        <v>0.99960094000798116</v>
      </c>
      <c r="F46" s="2029">
        <f>[4]int.kiadások2021!C45</f>
        <v>7831</v>
      </c>
      <c r="G46" s="2029">
        <f>'[5]int.kiadások RM III'!G46</f>
        <v>6903</v>
      </c>
      <c r="H46" s="2029">
        <v>6890</v>
      </c>
      <c r="I46" s="2030">
        <f>H46/G46</f>
        <v>0.99811676082862522</v>
      </c>
      <c r="J46" s="2029">
        <f>[4]int.kiadások2021!D45</f>
        <v>46418</v>
      </c>
      <c r="K46" s="2029">
        <f>'[5]int.kiadások RM III'!J46</f>
        <v>34704</v>
      </c>
      <c r="L46" s="2029">
        <v>32933</v>
      </c>
      <c r="M46" s="2030">
        <f>L46/K46</f>
        <v>0.94896841862609493</v>
      </c>
      <c r="N46" s="2049" t="s">
        <v>1287</v>
      </c>
      <c r="O46" s="2029">
        <f>[4]int.kiadások2021!E45</f>
        <v>0</v>
      </c>
      <c r="P46" s="2029">
        <f>'[5]int.kiadások RM III'!N46</f>
        <v>0</v>
      </c>
      <c r="Q46" s="2029"/>
      <c r="R46" s="2030"/>
      <c r="S46" s="2029">
        <f>[4]int.kiadások2021!F45</f>
        <v>0</v>
      </c>
      <c r="T46" s="2029">
        <f>'[5]int.kiadások RM III'!Q46</f>
        <v>0</v>
      </c>
      <c r="U46" s="2029"/>
      <c r="V46" s="2030"/>
      <c r="W46" s="2029">
        <f t="shared" ref="W46:Y47" si="24">B46+F46+J46+O46+S46</f>
        <v>104347</v>
      </c>
      <c r="X46" s="2029">
        <f t="shared" si="24"/>
        <v>86713</v>
      </c>
      <c r="Y46" s="2029">
        <f t="shared" si="24"/>
        <v>84911</v>
      </c>
      <c r="Z46" s="2030">
        <f>Y46/X46</f>
        <v>0.97921880225571711</v>
      </c>
      <c r="AA46" s="2049" t="s">
        <v>1287</v>
      </c>
      <c r="AB46" s="2029">
        <f>[4]int.kiadások2021!I45</f>
        <v>0</v>
      </c>
      <c r="AC46" s="2029">
        <f>'[5]int.kiadások RM III'!X46</f>
        <v>12606</v>
      </c>
      <c r="AD46" s="2029">
        <v>10043</v>
      </c>
      <c r="AE46" s="2030">
        <f>AD46/AC46</f>
        <v>0.79668411867364752</v>
      </c>
      <c r="AF46" s="2029">
        <f>[4]int.kiadások2021!J45</f>
        <v>0</v>
      </c>
      <c r="AG46" s="2029">
        <f>'[5]int.kiadások RM III'!AA46</f>
        <v>33284</v>
      </c>
      <c r="AH46" s="2029">
        <v>4133</v>
      </c>
      <c r="AI46" s="2030">
        <f>AH46/AG46</f>
        <v>0.12417377719024156</v>
      </c>
      <c r="AJ46" s="2029">
        <f>[4]int.kiadások2021!K45</f>
        <v>0</v>
      </c>
      <c r="AK46" s="2029">
        <f>'[5]int.kiadások RM III'!AD46</f>
        <v>0</v>
      </c>
      <c r="AL46" s="2029"/>
      <c r="AM46" s="2030"/>
      <c r="AN46" s="2049" t="s">
        <v>1287</v>
      </c>
      <c r="AO46" s="2029">
        <f t="shared" ref="AO46:AQ47" si="25">AB46+AF46+AJ46</f>
        <v>0</v>
      </c>
      <c r="AP46" s="2029">
        <f t="shared" si="25"/>
        <v>45890</v>
      </c>
      <c r="AQ46" s="2029">
        <f t="shared" si="25"/>
        <v>14176</v>
      </c>
      <c r="AR46" s="2030">
        <f>AQ46/AP46</f>
        <v>0.30891261712791457</v>
      </c>
      <c r="AS46" s="2029">
        <f t="shared" ref="AS46:AU47" si="26">W46+AO46</f>
        <v>104347</v>
      </c>
      <c r="AT46" s="2029">
        <f t="shared" si="26"/>
        <v>132603</v>
      </c>
      <c r="AU46" s="2029">
        <f t="shared" si="26"/>
        <v>99087</v>
      </c>
      <c r="AV46" s="2030">
        <f>AU46/AT46</f>
        <v>0.74724553743127986</v>
      </c>
      <c r="AW46" s="2029">
        <f>AS46-'[6]éves besz.bevételei2021'!BD46</f>
        <v>0</v>
      </c>
      <c r="AX46" s="2029">
        <f>AT46-'[6]éves besz.bevételei2021'!BE46</f>
        <v>0</v>
      </c>
      <c r="AY46" s="2029">
        <f>AU46-'[6]éves besz.bevételei2021'!BF46</f>
        <v>-28618</v>
      </c>
    </row>
    <row r="47" spans="1:51" s="2027" customFormat="1" ht="56.1" customHeight="1" thickBot="1" x14ac:dyDescent="0.55000000000000004">
      <c r="A47" s="2050" t="s">
        <v>47</v>
      </c>
      <c r="B47" s="2051">
        <f>[4]int.kiadások2021!B46</f>
        <v>1440291</v>
      </c>
      <c r="C47" s="2051">
        <f>'[5]int.kiadások RM III'!D47</f>
        <v>1603035</v>
      </c>
      <c r="D47" s="2051">
        <v>1408680</v>
      </c>
      <c r="E47" s="2052">
        <f>D47/C47</f>
        <v>0.87875810571821578</v>
      </c>
      <c r="F47" s="2051">
        <f>[4]int.kiadások2021!C46</f>
        <v>249293</v>
      </c>
      <c r="G47" s="2051">
        <f>'[5]int.kiadások RM III'!G47</f>
        <v>275502</v>
      </c>
      <c r="H47" s="2051">
        <f>229676+1</f>
        <v>229677</v>
      </c>
      <c r="I47" s="2052">
        <f>H47/G47</f>
        <v>0.83366726920312739</v>
      </c>
      <c r="J47" s="2051">
        <f>[4]int.kiadások2021!D46</f>
        <v>331935</v>
      </c>
      <c r="K47" s="2051">
        <f>'[5]int.kiadások RM III'!J47</f>
        <v>385781</v>
      </c>
      <c r="L47" s="2051">
        <v>273427</v>
      </c>
      <c r="M47" s="2052">
        <f>L47/K47</f>
        <v>0.70876222520030796</v>
      </c>
      <c r="N47" s="2050" t="s">
        <v>47</v>
      </c>
      <c r="O47" s="2051">
        <f>[4]int.kiadások2021!E46</f>
        <v>0</v>
      </c>
      <c r="P47" s="2051">
        <f>'[5]int.kiadások RM III'!N47</f>
        <v>0</v>
      </c>
      <c r="Q47" s="2050"/>
      <c r="R47" s="2052"/>
      <c r="S47" s="2051">
        <f>[4]int.kiadások2021!F46</f>
        <v>7001</v>
      </c>
      <c r="T47" s="2051">
        <f>'[5]int.kiadások RM III'!Q47</f>
        <v>66829</v>
      </c>
      <c r="U47" s="2051">
        <v>66549</v>
      </c>
      <c r="V47" s="2052">
        <f>U47/T47</f>
        <v>0.99581020215774585</v>
      </c>
      <c r="W47" s="2051">
        <f t="shared" si="24"/>
        <v>2028520</v>
      </c>
      <c r="X47" s="2051">
        <f t="shared" si="24"/>
        <v>2331147</v>
      </c>
      <c r="Y47" s="2051">
        <f t="shared" si="24"/>
        <v>1978333</v>
      </c>
      <c r="Z47" s="2052">
        <f>Y47/X47</f>
        <v>0.84865218709931201</v>
      </c>
      <c r="AA47" s="2050" t="s">
        <v>47</v>
      </c>
      <c r="AB47" s="2051">
        <f>[4]int.kiadások2021!I46</f>
        <v>0</v>
      </c>
      <c r="AC47" s="2051">
        <f>'[5]int.kiadások RM III'!X47</f>
        <v>38793</v>
      </c>
      <c r="AD47" s="2051">
        <v>24759</v>
      </c>
      <c r="AE47" s="2052">
        <f>AD47/AC47</f>
        <v>0.6382337019565385</v>
      </c>
      <c r="AF47" s="2051">
        <f>[4]int.kiadások2021!J46</f>
        <v>0</v>
      </c>
      <c r="AG47" s="2051">
        <f>'[5]int.kiadások RM III'!AA47</f>
        <v>0</v>
      </c>
      <c r="AH47" s="2051"/>
      <c r="AI47" s="2052"/>
      <c r="AJ47" s="2051">
        <f>[4]int.kiadások2021!K46</f>
        <v>0</v>
      </c>
      <c r="AK47" s="2051">
        <f>'[5]int.kiadások RM III'!AD47</f>
        <v>0</v>
      </c>
      <c r="AL47" s="2050"/>
      <c r="AM47" s="2050"/>
      <c r="AN47" s="2050" t="s">
        <v>47</v>
      </c>
      <c r="AO47" s="2051">
        <f t="shared" si="25"/>
        <v>0</v>
      </c>
      <c r="AP47" s="2051">
        <f t="shared" si="25"/>
        <v>38793</v>
      </c>
      <c r="AQ47" s="2051">
        <f t="shared" si="25"/>
        <v>24759</v>
      </c>
      <c r="AR47" s="2052">
        <f>AQ47/AP47</f>
        <v>0.6382337019565385</v>
      </c>
      <c r="AS47" s="2051">
        <f t="shared" si="26"/>
        <v>2028520</v>
      </c>
      <c r="AT47" s="2051">
        <f t="shared" si="26"/>
        <v>2369940</v>
      </c>
      <c r="AU47" s="2051">
        <f t="shared" si="26"/>
        <v>2003092</v>
      </c>
      <c r="AV47" s="2052">
        <f>AU47/AT47</f>
        <v>0.84520789555853737</v>
      </c>
      <c r="AW47" s="2053">
        <f>AS47-'[6]éves besz.bevételei2021'!BD47</f>
        <v>0</v>
      </c>
      <c r="AX47" s="2053">
        <f>AT47-'[6]éves besz.bevételei2021'!BE47</f>
        <v>0</v>
      </c>
      <c r="AY47" s="2053">
        <f>AU47-'[6]éves besz.bevételei2021'!BF47</f>
        <v>-61210</v>
      </c>
    </row>
    <row r="48" spans="1:51" s="2027" customFormat="1" ht="56.1" customHeight="1" thickBot="1" x14ac:dyDescent="0.55000000000000004">
      <c r="A48" s="2054" t="s">
        <v>1311</v>
      </c>
      <c r="B48" s="2055">
        <f>SUM(B46:B47)</f>
        <v>1490389</v>
      </c>
      <c r="C48" s="2055">
        <f>SUM(C46:C47)</f>
        <v>1648141</v>
      </c>
      <c r="D48" s="2055">
        <f>SUM(D46:D47)</f>
        <v>1453768</v>
      </c>
      <c r="E48" s="2037">
        <f>D48/C48</f>
        <v>0.88206530873268729</v>
      </c>
      <c r="F48" s="2055">
        <f>SUM(F46:F47)</f>
        <v>257124</v>
      </c>
      <c r="G48" s="2055">
        <f>SUM(G46:G47)</f>
        <v>282405</v>
      </c>
      <c r="H48" s="2055">
        <f>SUM(H46:H47)</f>
        <v>236567</v>
      </c>
      <c r="I48" s="2037">
        <f>H48/G48</f>
        <v>0.83768700979090316</v>
      </c>
      <c r="J48" s="2055">
        <f>SUM(J46:J47)</f>
        <v>378353</v>
      </c>
      <c r="K48" s="2055">
        <f>SUM(K46:K47)</f>
        <v>420485</v>
      </c>
      <c r="L48" s="2055">
        <f>SUM(L46:L47)</f>
        <v>306360</v>
      </c>
      <c r="M48" s="2037">
        <f>L48/K48</f>
        <v>0.72858722665493414</v>
      </c>
      <c r="N48" s="2054" t="s">
        <v>1311</v>
      </c>
      <c r="O48" s="2055">
        <f>SUM(O46:O47)</f>
        <v>0</v>
      </c>
      <c r="P48" s="2055">
        <f>SUM(P46:P47)</f>
        <v>0</v>
      </c>
      <c r="Q48" s="2055">
        <f>SUM(Q46:Q47)</f>
        <v>0</v>
      </c>
      <c r="R48" s="2037"/>
      <c r="S48" s="2055">
        <f>SUM(S46:S47)</f>
        <v>7001</v>
      </c>
      <c r="T48" s="2055">
        <f>SUM(T46:T47)</f>
        <v>66829</v>
      </c>
      <c r="U48" s="2055">
        <f>SUM(U46:U47)</f>
        <v>66549</v>
      </c>
      <c r="V48" s="2037">
        <f>U48/T48</f>
        <v>0.99581020215774585</v>
      </c>
      <c r="W48" s="2055">
        <f>SUM(W46:W47)</f>
        <v>2132867</v>
      </c>
      <c r="X48" s="2055">
        <f>SUM(X46:X47)</f>
        <v>2417860</v>
      </c>
      <c r="Y48" s="2055">
        <f>SUM(Y46:Y47)</f>
        <v>2063244</v>
      </c>
      <c r="Z48" s="2037">
        <f>Y48/X48</f>
        <v>0.85333476710810385</v>
      </c>
      <c r="AA48" s="2054" t="s">
        <v>1311</v>
      </c>
      <c r="AB48" s="2055">
        <f>SUM(AB46:AB47)</f>
        <v>0</v>
      </c>
      <c r="AC48" s="2055">
        <f>SUM(AC46:AC47)</f>
        <v>51399</v>
      </c>
      <c r="AD48" s="2055">
        <f>SUM(AD46:AD47)</f>
        <v>34802</v>
      </c>
      <c r="AE48" s="2037">
        <f>AD48/AC48</f>
        <v>0.67709488511449634</v>
      </c>
      <c r="AF48" s="2055">
        <f>SUM(AF46:AF47)</f>
        <v>0</v>
      </c>
      <c r="AG48" s="2055">
        <f>SUM(AG46:AG47)</f>
        <v>33284</v>
      </c>
      <c r="AH48" s="2055">
        <f>SUM(AH46:AH47)</f>
        <v>4133</v>
      </c>
      <c r="AI48" s="2037">
        <f>AH48/AG48</f>
        <v>0.12417377719024156</v>
      </c>
      <c r="AJ48" s="2055">
        <f>SUM(AJ46:AJ47)</f>
        <v>0</v>
      </c>
      <c r="AK48" s="2055">
        <f>SUM(AK46:AK47)</f>
        <v>0</v>
      </c>
      <c r="AL48" s="2055">
        <f>SUM(AL46:AL47)</f>
        <v>0</v>
      </c>
      <c r="AM48" s="2037"/>
      <c r="AN48" s="2054" t="s">
        <v>1311</v>
      </c>
      <c r="AO48" s="2055">
        <f>SUM(AO46:AO47)</f>
        <v>0</v>
      </c>
      <c r="AP48" s="2055">
        <f>SUM(AP46:AP47)</f>
        <v>84683</v>
      </c>
      <c r="AQ48" s="2055">
        <f>SUM(AQ46:AQ47)</f>
        <v>38935</v>
      </c>
      <c r="AR48" s="2037">
        <f>AQ48/AP48</f>
        <v>0.45977350826021751</v>
      </c>
      <c r="AS48" s="2055">
        <f>SUM(AS46:AS47)</f>
        <v>2132867</v>
      </c>
      <c r="AT48" s="2055">
        <f>SUM(AT46:AT47)</f>
        <v>2502543</v>
      </c>
      <c r="AU48" s="2055">
        <f>SUM(AU46:AU47)</f>
        <v>2102179</v>
      </c>
      <c r="AV48" s="2037">
        <f>AU48/AT48</f>
        <v>0.8400171345707147</v>
      </c>
      <c r="AW48" s="2029">
        <f>AS48-'[6]éves besz.bevételei2021'!BD48</f>
        <v>0</v>
      </c>
      <c r="AX48" s="2029">
        <f>AT48-'[6]éves besz.bevételei2021'!BE48</f>
        <v>0</v>
      </c>
      <c r="AY48" s="2029">
        <f>AU48-'[6]éves besz.bevételei2021'!BF48</f>
        <v>-89828</v>
      </c>
    </row>
    <row r="49" spans="1:51" s="2027" customFormat="1" ht="56.1" customHeight="1" thickBot="1" x14ac:dyDescent="0.55000000000000004">
      <c r="A49" s="2054" t="s">
        <v>1288</v>
      </c>
      <c r="B49" s="2056">
        <f>B38+B40+B42+B44+B48</f>
        <v>4319439</v>
      </c>
      <c r="C49" s="2056">
        <f>C38+C40+C42+C44+C48</f>
        <v>5124663</v>
      </c>
      <c r="D49" s="2056">
        <f>D38+D40+D42+D44+D48</f>
        <v>4669215</v>
      </c>
      <c r="E49" s="2036">
        <f>D49/C49</f>
        <v>0.9111262535702348</v>
      </c>
      <c r="F49" s="2056">
        <f>F38+F40+F42+F44+F48</f>
        <v>734665</v>
      </c>
      <c r="G49" s="2056">
        <f>G38+G40+G42+G44+G48</f>
        <v>871076</v>
      </c>
      <c r="H49" s="2056">
        <f>H38+H40+H42+H44+H48</f>
        <v>771930</v>
      </c>
      <c r="I49" s="2036">
        <f>H49/G49</f>
        <v>0.88617985112665254</v>
      </c>
      <c r="J49" s="2056">
        <f>J38+J40+J42+J44+J48</f>
        <v>1508399</v>
      </c>
      <c r="K49" s="2056">
        <f>K38+K40+K42+K44+K48</f>
        <v>2111205</v>
      </c>
      <c r="L49" s="2056">
        <f>L38+L40+L42+L44+L48</f>
        <v>1672340</v>
      </c>
      <c r="M49" s="2036">
        <f>L49/K49</f>
        <v>0.79212582387783281</v>
      </c>
      <c r="N49" s="2054" t="s">
        <v>1288</v>
      </c>
      <c r="O49" s="2056">
        <f>O38+O40+O42+O44+O48</f>
        <v>0</v>
      </c>
      <c r="P49" s="2056">
        <f>P38+P40+P42+P44+P48</f>
        <v>0</v>
      </c>
      <c r="Q49" s="2056">
        <f>Q38+Q40+Q42+Q44+Q48</f>
        <v>0</v>
      </c>
      <c r="R49" s="2036"/>
      <c r="S49" s="2056">
        <f>S38+S40+S42+S44+S48</f>
        <v>7001</v>
      </c>
      <c r="T49" s="2056">
        <f>T38+T40+T42+T44+T48</f>
        <v>141515</v>
      </c>
      <c r="U49" s="2056">
        <f>U38+U40+U42+U44+U48</f>
        <v>141233</v>
      </c>
      <c r="V49" s="2036">
        <f>U49/T49</f>
        <v>0.99800727838038372</v>
      </c>
      <c r="W49" s="2056">
        <f>W38+W40+W42+W44+W48</f>
        <v>6569504</v>
      </c>
      <c r="X49" s="2056">
        <f>X38+X40+X42+X44+X48</f>
        <v>8248459</v>
      </c>
      <c r="Y49" s="2056">
        <f>Y38+Y40+Y42+Y44+Y48</f>
        <v>7254718</v>
      </c>
      <c r="Z49" s="2036">
        <f>Y49/X49</f>
        <v>0.87952404200590684</v>
      </c>
      <c r="AA49" s="2054" t="s">
        <v>1288</v>
      </c>
      <c r="AB49" s="2056">
        <f>AB38+AB40+AB42+AB44+AB48</f>
        <v>4233</v>
      </c>
      <c r="AC49" s="2056">
        <f>AC38+AC40+AC42+AC44+AC48</f>
        <v>345688</v>
      </c>
      <c r="AD49" s="2056">
        <f>AD38+AD40+AD42+AD44+AD48</f>
        <v>247877</v>
      </c>
      <c r="AE49" s="2036">
        <f>AD49/AC49</f>
        <v>0.71705410659322855</v>
      </c>
      <c r="AF49" s="2056">
        <f>AF38+AF40+AF42+AF44+AF48</f>
        <v>0</v>
      </c>
      <c r="AG49" s="2056">
        <f>AG38+AG40+AG42+AG44+AG48</f>
        <v>156738</v>
      </c>
      <c r="AH49" s="2056">
        <f>AH38+AH40+AH42+AH44+AH48</f>
        <v>93590</v>
      </c>
      <c r="AI49" s="2036">
        <f>AH49/AG49</f>
        <v>0.59711110260434608</v>
      </c>
      <c r="AJ49" s="2056">
        <f>AJ38+AJ40+AJ42+AJ44+AJ48</f>
        <v>0</v>
      </c>
      <c r="AK49" s="2056">
        <f>AK38+AK40+AK42+AK44+AK48</f>
        <v>0</v>
      </c>
      <c r="AL49" s="2056">
        <f>AL38+AL40+AL42+AL44+AL48</f>
        <v>0</v>
      </c>
      <c r="AM49" s="2036"/>
      <c r="AN49" s="2054" t="s">
        <v>1288</v>
      </c>
      <c r="AO49" s="2056">
        <f>AO38+AO40+AO42+AO44+AO48</f>
        <v>4233</v>
      </c>
      <c r="AP49" s="2056">
        <f>AP38+AP40+AP42+AP44+AP48</f>
        <v>502426</v>
      </c>
      <c r="AQ49" s="2056">
        <f>AQ38+AQ40+AQ42+AQ44+AQ48</f>
        <v>341467</v>
      </c>
      <c r="AR49" s="2036">
        <f>AQ49/AP49</f>
        <v>0.67963640416698179</v>
      </c>
      <c r="AS49" s="2056">
        <f>AS38+AS40+AS42+AS44+AS48</f>
        <v>6573737</v>
      </c>
      <c r="AT49" s="2056">
        <f>AT38+AT40+AT42+AT44+AT48</f>
        <v>8750885</v>
      </c>
      <c r="AU49" s="2056">
        <f>AU38+AU40+AU42+AU44+AU48</f>
        <v>7596185</v>
      </c>
      <c r="AV49" s="2036">
        <f>AU49/AT49</f>
        <v>0.86804763175381694</v>
      </c>
      <c r="AW49" s="2029">
        <f>AS49-'[6]éves besz.bevételei2021'!BD49</f>
        <v>0</v>
      </c>
      <c r="AX49" s="2029">
        <f>AT49-'[6]éves besz.bevételei2021'!BE49</f>
        <v>0</v>
      </c>
      <c r="AY49" s="2029">
        <f>AU49-'[6]éves besz.bevételei2021'!BF49</f>
        <v>-440724</v>
      </c>
    </row>
    <row r="50" spans="1:51" s="2027" customFormat="1" ht="56.1" customHeight="1" thickBot="1" x14ac:dyDescent="0.55000000000000004">
      <c r="A50" s="2057" t="s">
        <v>1289</v>
      </c>
      <c r="B50" s="2035">
        <f>B30+B49</f>
        <v>6115598</v>
      </c>
      <c r="C50" s="2035">
        <f>C30+C49</f>
        <v>6960468</v>
      </c>
      <c r="D50" s="2035">
        <f>D30+D49</f>
        <v>6337074</v>
      </c>
      <c r="E50" s="2036">
        <f>D50/C50</f>
        <v>0.9104379188295959</v>
      </c>
      <c r="F50" s="2035">
        <f>F30+F49</f>
        <v>1030068</v>
      </c>
      <c r="G50" s="2035">
        <f>G30+G49</f>
        <v>1173352</v>
      </c>
      <c r="H50" s="2035">
        <f>H30+H49</f>
        <v>1039689</v>
      </c>
      <c r="I50" s="2036">
        <f>H50/G50</f>
        <v>0.88608448274686535</v>
      </c>
      <c r="J50" s="2035">
        <f>J30+J49</f>
        <v>2704415</v>
      </c>
      <c r="K50" s="2035">
        <f>K30+K49</f>
        <v>3352498</v>
      </c>
      <c r="L50" s="2035">
        <f>L30+L49</f>
        <v>2739366</v>
      </c>
      <c r="M50" s="2036">
        <f>L50/K50</f>
        <v>0.81711189686019203</v>
      </c>
      <c r="N50" s="2057" t="s">
        <v>1289</v>
      </c>
      <c r="O50" s="2035">
        <f>O30+O49</f>
        <v>0</v>
      </c>
      <c r="P50" s="2035">
        <f>P30+P49</f>
        <v>0</v>
      </c>
      <c r="Q50" s="2035">
        <f>Q30+Q49</f>
        <v>0</v>
      </c>
      <c r="R50" s="2036"/>
      <c r="S50" s="2035">
        <f>S30+S49</f>
        <v>7001</v>
      </c>
      <c r="T50" s="2035">
        <f>T30+T49</f>
        <v>141515</v>
      </c>
      <c r="U50" s="2035">
        <f>U30+U49</f>
        <v>141233</v>
      </c>
      <c r="V50" s="2036">
        <f>U50/T50</f>
        <v>0.99800727838038372</v>
      </c>
      <c r="W50" s="2035">
        <f>W30+W49</f>
        <v>9857082</v>
      </c>
      <c r="X50" s="2035">
        <f>X30+X49</f>
        <v>11627833</v>
      </c>
      <c r="Y50" s="2035">
        <f>Y30+Y49</f>
        <v>10257362</v>
      </c>
      <c r="Z50" s="2036">
        <f>Y50/X50</f>
        <v>0.88213874416669036</v>
      </c>
      <c r="AA50" s="2057" t="s">
        <v>1289</v>
      </c>
      <c r="AB50" s="2035">
        <f>AB30+AB49</f>
        <v>4233</v>
      </c>
      <c r="AC50" s="2035">
        <f>AC30+AC49</f>
        <v>419925</v>
      </c>
      <c r="AD50" s="2035">
        <f>AD30+AD49</f>
        <v>305078</v>
      </c>
      <c r="AE50" s="2036">
        <f>AD50/AC50</f>
        <v>0.72650592367684708</v>
      </c>
      <c r="AF50" s="2035">
        <f>AF30+AF49</f>
        <v>0</v>
      </c>
      <c r="AG50" s="2035">
        <f>AG30+AG49</f>
        <v>208040</v>
      </c>
      <c r="AH50" s="2035">
        <f>AH30+AH49</f>
        <v>141902</v>
      </c>
      <c r="AI50" s="2036">
        <f>AH50/AG50</f>
        <v>0.68208998269563548</v>
      </c>
      <c r="AJ50" s="2035">
        <f>AJ30+AJ49</f>
        <v>0</v>
      </c>
      <c r="AK50" s="2035">
        <f>AK30+AK49</f>
        <v>0</v>
      </c>
      <c r="AL50" s="2035">
        <f>AL30+AL49</f>
        <v>0</v>
      </c>
      <c r="AM50" s="2036"/>
      <c r="AN50" s="2057" t="s">
        <v>1289</v>
      </c>
      <c r="AO50" s="2035">
        <f>AO30+AO49</f>
        <v>4233</v>
      </c>
      <c r="AP50" s="2035">
        <f>AP30+AP49</f>
        <v>627965</v>
      </c>
      <c r="AQ50" s="2035">
        <f>AQ30+AQ49</f>
        <v>446980</v>
      </c>
      <c r="AR50" s="2036">
        <f>AQ50/AP50</f>
        <v>0.71179126225187705</v>
      </c>
      <c r="AS50" s="2035">
        <f>AS30+AS49</f>
        <v>9861315</v>
      </c>
      <c r="AT50" s="2035">
        <f>AT30+AT49</f>
        <v>12255798</v>
      </c>
      <c r="AU50" s="2035">
        <f>AU30+AU49</f>
        <v>10704342</v>
      </c>
      <c r="AV50" s="2036">
        <f>AU50/AT50</f>
        <v>0.87341044622308561</v>
      </c>
      <c r="AW50" s="2029">
        <f>AS50-'[6]éves besz.bevételei2021'!BD50</f>
        <v>0</v>
      </c>
      <c r="AX50" s="2029">
        <f>AT50-'[6]éves besz.bevételei2021'!BE50</f>
        <v>0</v>
      </c>
      <c r="AY50" s="2029">
        <f>AU50-'[6]éves besz.bevételei2021'!BF50</f>
        <v>-487320</v>
      </c>
    </row>
    <row r="51" spans="1:51" ht="49.5" customHeight="1" x14ac:dyDescent="0.4">
      <c r="A51" s="2058"/>
      <c r="D51" s="2325"/>
      <c r="L51" s="2325"/>
      <c r="N51" s="2058"/>
      <c r="AA51" s="2059"/>
      <c r="AB51" s="2058"/>
      <c r="AC51" s="2058"/>
      <c r="AD51" s="2326"/>
      <c r="AE51" s="2058"/>
      <c r="AF51" s="2058"/>
      <c r="AG51" s="2058"/>
      <c r="AH51" s="2058"/>
      <c r="AI51" s="2058"/>
      <c r="AJ51" s="2058"/>
      <c r="AK51" s="2058"/>
      <c r="AL51" s="2058"/>
      <c r="AM51" s="2058"/>
      <c r="AN51" s="2059"/>
      <c r="AO51" s="2058"/>
      <c r="AP51" s="2058"/>
      <c r="AQ51" s="2058"/>
      <c r="AR51" s="2058"/>
      <c r="AS51" s="2058"/>
      <c r="AT51" s="2058"/>
      <c r="AU51" s="2058"/>
      <c r="AV51" s="2058"/>
      <c r="AW51" s="2060"/>
      <c r="AX51" s="2060"/>
      <c r="AY51" s="2060"/>
    </row>
    <row r="52" spans="1:51" ht="49.5" customHeight="1" x14ac:dyDescent="0.4">
      <c r="A52" s="2061"/>
      <c r="N52" s="2061"/>
      <c r="AA52" s="2062"/>
      <c r="AB52" s="2061"/>
      <c r="AC52" s="2061"/>
      <c r="AD52" s="2061"/>
      <c r="AE52" s="2061"/>
      <c r="AF52" s="2061"/>
      <c r="AG52" s="2061"/>
      <c r="AH52" s="2061"/>
      <c r="AI52" s="2061"/>
      <c r="AJ52" s="2061"/>
      <c r="AK52" s="2061"/>
      <c r="AL52" s="2061"/>
      <c r="AM52" s="2061"/>
      <c r="AN52" s="2062"/>
      <c r="AO52" s="2061"/>
      <c r="AP52" s="2061"/>
      <c r="AQ52" s="2061"/>
      <c r="AR52" s="2061"/>
      <c r="AS52" s="2061"/>
      <c r="AT52" s="2061"/>
      <c r="AU52" s="2061"/>
      <c r="AV52" s="2061"/>
      <c r="AW52" s="2063"/>
      <c r="AX52" s="2063"/>
      <c r="AY52" s="2063"/>
    </row>
    <row r="53" spans="1:51" ht="49.5" customHeight="1" x14ac:dyDescent="0.4">
      <c r="A53" s="2061"/>
      <c r="N53" s="2061"/>
      <c r="AA53" s="2062"/>
      <c r="AB53" s="2061"/>
      <c r="AC53" s="2061"/>
      <c r="AD53" s="2061"/>
      <c r="AE53" s="2061"/>
      <c r="AF53" s="2061"/>
      <c r="AG53" s="2061"/>
      <c r="AH53" s="2061"/>
      <c r="AI53" s="2061"/>
      <c r="AJ53" s="2061"/>
      <c r="AK53" s="2061"/>
      <c r="AL53" s="2061"/>
      <c r="AM53" s="2061"/>
      <c r="AN53" s="2062"/>
      <c r="AO53" s="2061"/>
      <c r="AP53" s="2061"/>
      <c r="AQ53" s="2061"/>
      <c r="AR53" s="2061"/>
      <c r="AS53" s="2061"/>
      <c r="AT53" s="2061"/>
      <c r="AU53" s="2061"/>
      <c r="AV53" s="2061"/>
      <c r="AW53" s="2063"/>
      <c r="AX53" s="2063"/>
      <c r="AY53" s="2063"/>
    </row>
    <row r="54" spans="1:51" ht="49.5" customHeight="1" x14ac:dyDescent="0.4">
      <c r="A54" s="2061"/>
      <c r="N54" s="2061"/>
      <c r="AA54" s="2062"/>
      <c r="AB54" s="2061"/>
      <c r="AC54" s="2061"/>
      <c r="AD54" s="2061"/>
      <c r="AE54" s="2061"/>
      <c r="AF54" s="2061"/>
      <c r="AG54" s="2061"/>
      <c r="AH54" s="2061"/>
      <c r="AI54" s="2061"/>
      <c r="AJ54" s="2061"/>
      <c r="AK54" s="2061"/>
      <c r="AL54" s="2061"/>
      <c r="AM54" s="2061"/>
      <c r="AN54" s="2062"/>
      <c r="AO54" s="2061"/>
      <c r="AP54" s="2061"/>
      <c r="AQ54" s="2061"/>
      <c r="AR54" s="2061"/>
      <c r="AS54" s="2061"/>
      <c r="AT54" s="2061"/>
      <c r="AU54" s="2061"/>
      <c r="AV54" s="2061"/>
      <c r="AW54" s="2063"/>
      <c r="AX54" s="2063"/>
      <c r="AY54" s="2063"/>
    </row>
    <row r="55" spans="1:51" ht="49.5" customHeight="1" x14ac:dyDescent="0.3"/>
    <row r="56" spans="1:51" ht="49.5" customHeight="1" x14ac:dyDescent="0.3"/>
  </sheetData>
  <mergeCells count="19">
    <mergeCell ref="AF5:AI7"/>
    <mergeCell ref="AJ5:AM7"/>
    <mergeCell ref="AO5:AR7"/>
    <mergeCell ref="AS5:AV7"/>
    <mergeCell ref="W5:Z7"/>
    <mergeCell ref="AB5:AE7"/>
    <mergeCell ref="A2:M2"/>
    <mergeCell ref="N2:Z2"/>
    <mergeCell ref="AA2:AM2"/>
    <mergeCell ref="AN2:AV2"/>
    <mergeCell ref="A3:M3"/>
    <mergeCell ref="N3:Z3"/>
    <mergeCell ref="AA3:AM3"/>
    <mergeCell ref="AN3:AV3"/>
    <mergeCell ref="B5:E7"/>
    <mergeCell ref="F5:I7"/>
    <mergeCell ref="J5:M7"/>
    <mergeCell ref="O5:R7"/>
    <mergeCell ref="S5:V7"/>
  </mergeCells>
  <printOptions horizontalCentered="1" verticalCentered="1"/>
  <pageMargins left="0" right="0" top="0" bottom="0" header="0" footer="0"/>
  <pageSetup paperSize="9" scale="18" orientation="landscape" r:id="rId1"/>
  <headerFooter alignWithMargins="0">
    <oddHeader xml:space="preserve">&amp;L&amp;14
&amp;R&amp;"Arial,Félkövér"&amp;36
 6. melléklet a .../2022. (........) önkormányzati rendelethez 
</oddHeader>
    <oddFooter xml:space="preserve">&amp;C &amp;R
&amp;36 &amp;10
</oddFooter>
  </headerFooter>
  <colBreaks count="3" manualBreakCount="3">
    <brk id="13" max="53" man="1"/>
    <brk id="26" max="53" man="1"/>
    <brk id="39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9"/>
  <sheetViews>
    <sheetView zoomScale="41" zoomScaleNormal="41" zoomScaleSheetLayoutView="40" workbookViewId="0">
      <selection activeCell="R13" sqref="R13"/>
    </sheetView>
  </sheetViews>
  <sheetFormatPr defaultColWidth="12" defaultRowHeight="33.75" x14ac:dyDescent="0.5"/>
  <cols>
    <col min="1" max="1" width="151" style="1868" customWidth="1"/>
    <col min="2" max="2" width="60.83203125" style="1869" customWidth="1"/>
    <col min="3" max="3" width="50.5" style="1869" customWidth="1"/>
    <col min="4" max="5" width="60.83203125" style="1869" customWidth="1"/>
    <col min="6" max="6" width="61" style="1869" customWidth="1"/>
    <col min="7" max="7" width="60.83203125" style="1869" customWidth="1"/>
    <col min="8" max="8" width="12" style="1869" customWidth="1"/>
    <col min="9" max="9" width="22.5" style="1870" customWidth="1"/>
    <col min="10" max="256" width="12" style="1869"/>
    <col min="257" max="257" width="151" style="1869" customWidth="1"/>
    <col min="258" max="258" width="60.83203125" style="1869" customWidth="1"/>
    <col min="259" max="259" width="50.5" style="1869" customWidth="1"/>
    <col min="260" max="261" width="60.83203125" style="1869" customWidth="1"/>
    <col min="262" max="262" width="60.6640625" style="1869" customWidth="1"/>
    <col min="263" max="263" width="60.83203125" style="1869" customWidth="1"/>
    <col min="264" max="264" width="12" style="1869" customWidth="1"/>
    <col min="265" max="265" width="22.5" style="1869" customWidth="1"/>
    <col min="266" max="512" width="12" style="1869"/>
    <col min="513" max="513" width="151" style="1869" customWidth="1"/>
    <col min="514" max="514" width="60.83203125" style="1869" customWidth="1"/>
    <col min="515" max="515" width="50.5" style="1869" customWidth="1"/>
    <col min="516" max="517" width="60.83203125" style="1869" customWidth="1"/>
    <col min="518" max="518" width="60.6640625" style="1869" customWidth="1"/>
    <col min="519" max="519" width="60.83203125" style="1869" customWidth="1"/>
    <col min="520" max="520" width="12" style="1869" customWidth="1"/>
    <col min="521" max="521" width="22.5" style="1869" customWidth="1"/>
    <col min="522" max="768" width="12" style="1869"/>
    <col min="769" max="769" width="151" style="1869" customWidth="1"/>
    <col min="770" max="770" width="60.83203125" style="1869" customWidth="1"/>
    <col min="771" max="771" width="50.5" style="1869" customWidth="1"/>
    <col min="772" max="773" width="60.83203125" style="1869" customWidth="1"/>
    <col min="774" max="774" width="60.6640625" style="1869" customWidth="1"/>
    <col min="775" max="775" width="60.83203125" style="1869" customWidth="1"/>
    <col min="776" max="776" width="12" style="1869" customWidth="1"/>
    <col min="777" max="777" width="22.5" style="1869" customWidth="1"/>
    <col min="778" max="1024" width="12" style="1869"/>
    <col min="1025" max="1025" width="151" style="1869" customWidth="1"/>
    <col min="1026" max="1026" width="60.83203125" style="1869" customWidth="1"/>
    <col min="1027" max="1027" width="50.5" style="1869" customWidth="1"/>
    <col min="1028" max="1029" width="60.83203125" style="1869" customWidth="1"/>
    <col min="1030" max="1030" width="60.6640625" style="1869" customWidth="1"/>
    <col min="1031" max="1031" width="60.83203125" style="1869" customWidth="1"/>
    <col min="1032" max="1032" width="12" style="1869" customWidth="1"/>
    <col min="1033" max="1033" width="22.5" style="1869" customWidth="1"/>
    <col min="1034" max="1280" width="12" style="1869"/>
    <col min="1281" max="1281" width="151" style="1869" customWidth="1"/>
    <col min="1282" max="1282" width="60.83203125" style="1869" customWidth="1"/>
    <col min="1283" max="1283" width="50.5" style="1869" customWidth="1"/>
    <col min="1284" max="1285" width="60.83203125" style="1869" customWidth="1"/>
    <col min="1286" max="1286" width="60.6640625" style="1869" customWidth="1"/>
    <col min="1287" max="1287" width="60.83203125" style="1869" customWidth="1"/>
    <col min="1288" max="1288" width="12" style="1869" customWidth="1"/>
    <col min="1289" max="1289" width="22.5" style="1869" customWidth="1"/>
    <col min="1290" max="1536" width="12" style="1869"/>
    <col min="1537" max="1537" width="151" style="1869" customWidth="1"/>
    <col min="1538" max="1538" width="60.83203125" style="1869" customWidth="1"/>
    <col min="1539" max="1539" width="50.5" style="1869" customWidth="1"/>
    <col min="1540" max="1541" width="60.83203125" style="1869" customWidth="1"/>
    <col min="1542" max="1542" width="60.6640625" style="1869" customWidth="1"/>
    <col min="1543" max="1543" width="60.83203125" style="1869" customWidth="1"/>
    <col min="1544" max="1544" width="12" style="1869" customWidth="1"/>
    <col min="1545" max="1545" width="22.5" style="1869" customWidth="1"/>
    <col min="1546" max="1792" width="12" style="1869"/>
    <col min="1793" max="1793" width="151" style="1869" customWidth="1"/>
    <col min="1794" max="1794" width="60.83203125" style="1869" customWidth="1"/>
    <col min="1795" max="1795" width="50.5" style="1869" customWidth="1"/>
    <col min="1796" max="1797" width="60.83203125" style="1869" customWidth="1"/>
    <col min="1798" max="1798" width="60.6640625" style="1869" customWidth="1"/>
    <col min="1799" max="1799" width="60.83203125" style="1869" customWidth="1"/>
    <col min="1800" max="1800" width="12" style="1869" customWidth="1"/>
    <col min="1801" max="1801" width="22.5" style="1869" customWidth="1"/>
    <col min="1802" max="2048" width="12" style="1869"/>
    <col min="2049" max="2049" width="151" style="1869" customWidth="1"/>
    <col min="2050" max="2050" width="60.83203125" style="1869" customWidth="1"/>
    <col min="2051" max="2051" width="50.5" style="1869" customWidth="1"/>
    <col min="2052" max="2053" width="60.83203125" style="1869" customWidth="1"/>
    <col min="2054" max="2054" width="60.6640625" style="1869" customWidth="1"/>
    <col min="2055" max="2055" width="60.83203125" style="1869" customWidth="1"/>
    <col min="2056" max="2056" width="12" style="1869" customWidth="1"/>
    <col min="2057" max="2057" width="22.5" style="1869" customWidth="1"/>
    <col min="2058" max="2304" width="12" style="1869"/>
    <col min="2305" max="2305" width="151" style="1869" customWidth="1"/>
    <col min="2306" max="2306" width="60.83203125" style="1869" customWidth="1"/>
    <col min="2307" max="2307" width="50.5" style="1869" customWidth="1"/>
    <col min="2308" max="2309" width="60.83203125" style="1869" customWidth="1"/>
    <col min="2310" max="2310" width="60.6640625" style="1869" customWidth="1"/>
    <col min="2311" max="2311" width="60.83203125" style="1869" customWidth="1"/>
    <col min="2312" max="2312" width="12" style="1869" customWidth="1"/>
    <col min="2313" max="2313" width="22.5" style="1869" customWidth="1"/>
    <col min="2314" max="2560" width="12" style="1869"/>
    <col min="2561" max="2561" width="151" style="1869" customWidth="1"/>
    <col min="2562" max="2562" width="60.83203125" style="1869" customWidth="1"/>
    <col min="2563" max="2563" width="50.5" style="1869" customWidth="1"/>
    <col min="2564" max="2565" width="60.83203125" style="1869" customWidth="1"/>
    <col min="2566" max="2566" width="60.6640625" style="1869" customWidth="1"/>
    <col min="2567" max="2567" width="60.83203125" style="1869" customWidth="1"/>
    <col min="2568" max="2568" width="12" style="1869" customWidth="1"/>
    <col min="2569" max="2569" width="22.5" style="1869" customWidth="1"/>
    <col min="2570" max="2816" width="12" style="1869"/>
    <col min="2817" max="2817" width="151" style="1869" customWidth="1"/>
    <col min="2818" max="2818" width="60.83203125" style="1869" customWidth="1"/>
    <col min="2819" max="2819" width="50.5" style="1869" customWidth="1"/>
    <col min="2820" max="2821" width="60.83203125" style="1869" customWidth="1"/>
    <col min="2822" max="2822" width="60.6640625" style="1869" customWidth="1"/>
    <col min="2823" max="2823" width="60.83203125" style="1869" customWidth="1"/>
    <col min="2824" max="2824" width="12" style="1869" customWidth="1"/>
    <col min="2825" max="2825" width="22.5" style="1869" customWidth="1"/>
    <col min="2826" max="3072" width="12" style="1869"/>
    <col min="3073" max="3073" width="151" style="1869" customWidth="1"/>
    <col min="3074" max="3074" width="60.83203125" style="1869" customWidth="1"/>
    <col min="3075" max="3075" width="50.5" style="1869" customWidth="1"/>
    <col min="3076" max="3077" width="60.83203125" style="1869" customWidth="1"/>
    <col min="3078" max="3078" width="60.6640625" style="1869" customWidth="1"/>
    <col min="3079" max="3079" width="60.83203125" style="1869" customWidth="1"/>
    <col min="3080" max="3080" width="12" style="1869" customWidth="1"/>
    <col min="3081" max="3081" width="22.5" style="1869" customWidth="1"/>
    <col min="3082" max="3328" width="12" style="1869"/>
    <col min="3329" max="3329" width="151" style="1869" customWidth="1"/>
    <col min="3330" max="3330" width="60.83203125" style="1869" customWidth="1"/>
    <col min="3331" max="3331" width="50.5" style="1869" customWidth="1"/>
    <col min="3332" max="3333" width="60.83203125" style="1869" customWidth="1"/>
    <col min="3334" max="3334" width="60.6640625" style="1869" customWidth="1"/>
    <col min="3335" max="3335" width="60.83203125" style="1869" customWidth="1"/>
    <col min="3336" max="3336" width="12" style="1869" customWidth="1"/>
    <col min="3337" max="3337" width="22.5" style="1869" customWidth="1"/>
    <col min="3338" max="3584" width="12" style="1869"/>
    <col min="3585" max="3585" width="151" style="1869" customWidth="1"/>
    <col min="3586" max="3586" width="60.83203125" style="1869" customWidth="1"/>
    <col min="3587" max="3587" width="50.5" style="1869" customWidth="1"/>
    <col min="3588" max="3589" width="60.83203125" style="1869" customWidth="1"/>
    <col min="3590" max="3590" width="60.6640625" style="1869" customWidth="1"/>
    <col min="3591" max="3591" width="60.83203125" style="1869" customWidth="1"/>
    <col min="3592" max="3592" width="12" style="1869" customWidth="1"/>
    <col min="3593" max="3593" width="22.5" style="1869" customWidth="1"/>
    <col min="3594" max="3840" width="12" style="1869"/>
    <col min="3841" max="3841" width="151" style="1869" customWidth="1"/>
    <col min="3842" max="3842" width="60.83203125" style="1869" customWidth="1"/>
    <col min="3843" max="3843" width="50.5" style="1869" customWidth="1"/>
    <col min="3844" max="3845" width="60.83203125" style="1869" customWidth="1"/>
    <col min="3846" max="3846" width="60.6640625" style="1869" customWidth="1"/>
    <col min="3847" max="3847" width="60.83203125" style="1869" customWidth="1"/>
    <col min="3848" max="3848" width="12" style="1869" customWidth="1"/>
    <col min="3849" max="3849" width="22.5" style="1869" customWidth="1"/>
    <col min="3850" max="4096" width="12" style="1869"/>
    <col min="4097" max="4097" width="151" style="1869" customWidth="1"/>
    <col min="4098" max="4098" width="60.83203125" style="1869" customWidth="1"/>
    <col min="4099" max="4099" width="50.5" style="1869" customWidth="1"/>
    <col min="4100" max="4101" width="60.83203125" style="1869" customWidth="1"/>
    <col min="4102" max="4102" width="60.6640625" style="1869" customWidth="1"/>
    <col min="4103" max="4103" width="60.83203125" style="1869" customWidth="1"/>
    <col min="4104" max="4104" width="12" style="1869" customWidth="1"/>
    <col min="4105" max="4105" width="22.5" style="1869" customWidth="1"/>
    <col min="4106" max="4352" width="12" style="1869"/>
    <col min="4353" max="4353" width="151" style="1869" customWidth="1"/>
    <col min="4354" max="4354" width="60.83203125" style="1869" customWidth="1"/>
    <col min="4355" max="4355" width="50.5" style="1869" customWidth="1"/>
    <col min="4356" max="4357" width="60.83203125" style="1869" customWidth="1"/>
    <col min="4358" max="4358" width="60.6640625" style="1869" customWidth="1"/>
    <col min="4359" max="4359" width="60.83203125" style="1869" customWidth="1"/>
    <col min="4360" max="4360" width="12" style="1869" customWidth="1"/>
    <col min="4361" max="4361" width="22.5" style="1869" customWidth="1"/>
    <col min="4362" max="4608" width="12" style="1869"/>
    <col min="4609" max="4609" width="151" style="1869" customWidth="1"/>
    <col min="4610" max="4610" width="60.83203125" style="1869" customWidth="1"/>
    <col min="4611" max="4611" width="50.5" style="1869" customWidth="1"/>
    <col min="4612" max="4613" width="60.83203125" style="1869" customWidth="1"/>
    <col min="4614" max="4614" width="60.6640625" style="1869" customWidth="1"/>
    <col min="4615" max="4615" width="60.83203125" style="1869" customWidth="1"/>
    <col min="4616" max="4616" width="12" style="1869" customWidth="1"/>
    <col min="4617" max="4617" width="22.5" style="1869" customWidth="1"/>
    <col min="4618" max="4864" width="12" style="1869"/>
    <col min="4865" max="4865" width="151" style="1869" customWidth="1"/>
    <col min="4866" max="4866" width="60.83203125" style="1869" customWidth="1"/>
    <col min="4867" max="4867" width="50.5" style="1869" customWidth="1"/>
    <col min="4868" max="4869" width="60.83203125" style="1869" customWidth="1"/>
    <col min="4870" max="4870" width="60.6640625" style="1869" customWidth="1"/>
    <col min="4871" max="4871" width="60.83203125" style="1869" customWidth="1"/>
    <col min="4872" max="4872" width="12" style="1869" customWidth="1"/>
    <col min="4873" max="4873" width="22.5" style="1869" customWidth="1"/>
    <col min="4874" max="5120" width="12" style="1869"/>
    <col min="5121" max="5121" width="151" style="1869" customWidth="1"/>
    <col min="5122" max="5122" width="60.83203125" style="1869" customWidth="1"/>
    <col min="5123" max="5123" width="50.5" style="1869" customWidth="1"/>
    <col min="5124" max="5125" width="60.83203125" style="1869" customWidth="1"/>
    <col min="5126" max="5126" width="60.6640625" style="1869" customWidth="1"/>
    <col min="5127" max="5127" width="60.83203125" style="1869" customWidth="1"/>
    <col min="5128" max="5128" width="12" style="1869" customWidth="1"/>
    <col min="5129" max="5129" width="22.5" style="1869" customWidth="1"/>
    <col min="5130" max="5376" width="12" style="1869"/>
    <col min="5377" max="5377" width="151" style="1869" customWidth="1"/>
    <col min="5378" max="5378" width="60.83203125" style="1869" customWidth="1"/>
    <col min="5379" max="5379" width="50.5" style="1869" customWidth="1"/>
    <col min="5380" max="5381" width="60.83203125" style="1869" customWidth="1"/>
    <col min="5382" max="5382" width="60.6640625" style="1869" customWidth="1"/>
    <col min="5383" max="5383" width="60.83203125" style="1869" customWidth="1"/>
    <col min="5384" max="5384" width="12" style="1869" customWidth="1"/>
    <col min="5385" max="5385" width="22.5" style="1869" customWidth="1"/>
    <col min="5386" max="5632" width="12" style="1869"/>
    <col min="5633" max="5633" width="151" style="1869" customWidth="1"/>
    <col min="5634" max="5634" width="60.83203125" style="1869" customWidth="1"/>
    <col min="5635" max="5635" width="50.5" style="1869" customWidth="1"/>
    <col min="5636" max="5637" width="60.83203125" style="1869" customWidth="1"/>
    <col min="5638" max="5638" width="60.6640625" style="1869" customWidth="1"/>
    <col min="5639" max="5639" width="60.83203125" style="1869" customWidth="1"/>
    <col min="5640" max="5640" width="12" style="1869" customWidth="1"/>
    <col min="5641" max="5641" width="22.5" style="1869" customWidth="1"/>
    <col min="5642" max="5888" width="12" style="1869"/>
    <col min="5889" max="5889" width="151" style="1869" customWidth="1"/>
    <col min="5890" max="5890" width="60.83203125" style="1869" customWidth="1"/>
    <col min="5891" max="5891" width="50.5" style="1869" customWidth="1"/>
    <col min="5892" max="5893" width="60.83203125" style="1869" customWidth="1"/>
    <col min="5894" max="5894" width="60.6640625" style="1869" customWidth="1"/>
    <col min="5895" max="5895" width="60.83203125" style="1869" customWidth="1"/>
    <col min="5896" max="5896" width="12" style="1869" customWidth="1"/>
    <col min="5897" max="5897" width="22.5" style="1869" customWidth="1"/>
    <col min="5898" max="6144" width="12" style="1869"/>
    <col min="6145" max="6145" width="151" style="1869" customWidth="1"/>
    <col min="6146" max="6146" width="60.83203125" style="1869" customWidth="1"/>
    <col min="6147" max="6147" width="50.5" style="1869" customWidth="1"/>
    <col min="6148" max="6149" width="60.83203125" style="1869" customWidth="1"/>
    <col min="6150" max="6150" width="60.6640625" style="1869" customWidth="1"/>
    <col min="6151" max="6151" width="60.83203125" style="1869" customWidth="1"/>
    <col min="6152" max="6152" width="12" style="1869" customWidth="1"/>
    <col min="6153" max="6153" width="22.5" style="1869" customWidth="1"/>
    <col min="6154" max="6400" width="12" style="1869"/>
    <col min="6401" max="6401" width="151" style="1869" customWidth="1"/>
    <col min="6402" max="6402" width="60.83203125" style="1869" customWidth="1"/>
    <col min="6403" max="6403" width="50.5" style="1869" customWidth="1"/>
    <col min="6404" max="6405" width="60.83203125" style="1869" customWidth="1"/>
    <col min="6406" max="6406" width="60.6640625" style="1869" customWidth="1"/>
    <col min="6407" max="6407" width="60.83203125" style="1869" customWidth="1"/>
    <col min="6408" max="6408" width="12" style="1869" customWidth="1"/>
    <col min="6409" max="6409" width="22.5" style="1869" customWidth="1"/>
    <col min="6410" max="6656" width="12" style="1869"/>
    <col min="6657" max="6657" width="151" style="1869" customWidth="1"/>
    <col min="6658" max="6658" width="60.83203125" style="1869" customWidth="1"/>
    <col min="6659" max="6659" width="50.5" style="1869" customWidth="1"/>
    <col min="6660" max="6661" width="60.83203125" style="1869" customWidth="1"/>
    <col min="6662" max="6662" width="60.6640625" style="1869" customWidth="1"/>
    <col min="6663" max="6663" width="60.83203125" style="1869" customWidth="1"/>
    <col min="6664" max="6664" width="12" style="1869" customWidth="1"/>
    <col min="6665" max="6665" width="22.5" style="1869" customWidth="1"/>
    <col min="6666" max="6912" width="12" style="1869"/>
    <col min="6913" max="6913" width="151" style="1869" customWidth="1"/>
    <col min="6914" max="6914" width="60.83203125" style="1869" customWidth="1"/>
    <col min="6915" max="6915" width="50.5" style="1869" customWidth="1"/>
    <col min="6916" max="6917" width="60.83203125" style="1869" customWidth="1"/>
    <col min="6918" max="6918" width="60.6640625" style="1869" customWidth="1"/>
    <col min="6919" max="6919" width="60.83203125" style="1869" customWidth="1"/>
    <col min="6920" max="6920" width="12" style="1869" customWidth="1"/>
    <col min="6921" max="6921" width="22.5" style="1869" customWidth="1"/>
    <col min="6922" max="7168" width="12" style="1869"/>
    <col min="7169" max="7169" width="151" style="1869" customWidth="1"/>
    <col min="7170" max="7170" width="60.83203125" style="1869" customWidth="1"/>
    <col min="7171" max="7171" width="50.5" style="1869" customWidth="1"/>
    <col min="7172" max="7173" width="60.83203125" style="1869" customWidth="1"/>
    <col min="7174" max="7174" width="60.6640625" style="1869" customWidth="1"/>
    <col min="7175" max="7175" width="60.83203125" style="1869" customWidth="1"/>
    <col min="7176" max="7176" width="12" style="1869" customWidth="1"/>
    <col min="7177" max="7177" width="22.5" style="1869" customWidth="1"/>
    <col min="7178" max="7424" width="12" style="1869"/>
    <col min="7425" max="7425" width="151" style="1869" customWidth="1"/>
    <col min="7426" max="7426" width="60.83203125" style="1869" customWidth="1"/>
    <col min="7427" max="7427" width="50.5" style="1869" customWidth="1"/>
    <col min="7428" max="7429" width="60.83203125" style="1869" customWidth="1"/>
    <col min="7430" max="7430" width="60.6640625" style="1869" customWidth="1"/>
    <col min="7431" max="7431" width="60.83203125" style="1869" customWidth="1"/>
    <col min="7432" max="7432" width="12" style="1869" customWidth="1"/>
    <col min="7433" max="7433" width="22.5" style="1869" customWidth="1"/>
    <col min="7434" max="7680" width="12" style="1869"/>
    <col min="7681" max="7681" width="151" style="1869" customWidth="1"/>
    <col min="7682" max="7682" width="60.83203125" style="1869" customWidth="1"/>
    <col min="7683" max="7683" width="50.5" style="1869" customWidth="1"/>
    <col min="7684" max="7685" width="60.83203125" style="1869" customWidth="1"/>
    <col min="7686" max="7686" width="60.6640625" style="1869" customWidth="1"/>
    <col min="7687" max="7687" width="60.83203125" style="1869" customWidth="1"/>
    <col min="7688" max="7688" width="12" style="1869" customWidth="1"/>
    <col min="7689" max="7689" width="22.5" style="1869" customWidth="1"/>
    <col min="7690" max="7936" width="12" style="1869"/>
    <col min="7937" max="7937" width="151" style="1869" customWidth="1"/>
    <col min="7938" max="7938" width="60.83203125" style="1869" customWidth="1"/>
    <col min="7939" max="7939" width="50.5" style="1869" customWidth="1"/>
    <col min="7940" max="7941" width="60.83203125" style="1869" customWidth="1"/>
    <col min="7942" max="7942" width="60.6640625" style="1869" customWidth="1"/>
    <col min="7943" max="7943" width="60.83203125" style="1869" customWidth="1"/>
    <col min="7944" max="7944" width="12" style="1869" customWidth="1"/>
    <col min="7945" max="7945" width="22.5" style="1869" customWidth="1"/>
    <col min="7946" max="8192" width="12" style="1869"/>
    <col min="8193" max="8193" width="151" style="1869" customWidth="1"/>
    <col min="8194" max="8194" width="60.83203125" style="1869" customWidth="1"/>
    <col min="8195" max="8195" width="50.5" style="1869" customWidth="1"/>
    <col min="8196" max="8197" width="60.83203125" style="1869" customWidth="1"/>
    <col min="8198" max="8198" width="60.6640625" style="1869" customWidth="1"/>
    <col min="8199" max="8199" width="60.83203125" style="1869" customWidth="1"/>
    <col min="8200" max="8200" width="12" style="1869" customWidth="1"/>
    <col min="8201" max="8201" width="22.5" style="1869" customWidth="1"/>
    <col min="8202" max="8448" width="12" style="1869"/>
    <col min="8449" max="8449" width="151" style="1869" customWidth="1"/>
    <col min="8450" max="8450" width="60.83203125" style="1869" customWidth="1"/>
    <col min="8451" max="8451" width="50.5" style="1869" customWidth="1"/>
    <col min="8452" max="8453" width="60.83203125" style="1869" customWidth="1"/>
    <col min="8454" max="8454" width="60.6640625" style="1869" customWidth="1"/>
    <col min="8455" max="8455" width="60.83203125" style="1869" customWidth="1"/>
    <col min="8456" max="8456" width="12" style="1869" customWidth="1"/>
    <col min="8457" max="8457" width="22.5" style="1869" customWidth="1"/>
    <col min="8458" max="8704" width="12" style="1869"/>
    <col min="8705" max="8705" width="151" style="1869" customWidth="1"/>
    <col min="8706" max="8706" width="60.83203125" style="1869" customWidth="1"/>
    <col min="8707" max="8707" width="50.5" style="1869" customWidth="1"/>
    <col min="8708" max="8709" width="60.83203125" style="1869" customWidth="1"/>
    <col min="8710" max="8710" width="60.6640625" style="1869" customWidth="1"/>
    <col min="8711" max="8711" width="60.83203125" style="1869" customWidth="1"/>
    <col min="8712" max="8712" width="12" style="1869" customWidth="1"/>
    <col min="8713" max="8713" width="22.5" style="1869" customWidth="1"/>
    <col min="8714" max="8960" width="12" style="1869"/>
    <col min="8961" max="8961" width="151" style="1869" customWidth="1"/>
    <col min="8962" max="8962" width="60.83203125" style="1869" customWidth="1"/>
    <col min="8963" max="8963" width="50.5" style="1869" customWidth="1"/>
    <col min="8964" max="8965" width="60.83203125" style="1869" customWidth="1"/>
    <col min="8966" max="8966" width="60.6640625" style="1869" customWidth="1"/>
    <col min="8967" max="8967" width="60.83203125" style="1869" customWidth="1"/>
    <col min="8968" max="8968" width="12" style="1869" customWidth="1"/>
    <col min="8969" max="8969" width="22.5" style="1869" customWidth="1"/>
    <col min="8970" max="9216" width="12" style="1869"/>
    <col min="9217" max="9217" width="151" style="1869" customWidth="1"/>
    <col min="9218" max="9218" width="60.83203125" style="1869" customWidth="1"/>
    <col min="9219" max="9219" width="50.5" style="1869" customWidth="1"/>
    <col min="9220" max="9221" width="60.83203125" style="1869" customWidth="1"/>
    <col min="9222" max="9222" width="60.6640625" style="1869" customWidth="1"/>
    <col min="9223" max="9223" width="60.83203125" style="1869" customWidth="1"/>
    <col min="9224" max="9224" width="12" style="1869" customWidth="1"/>
    <col min="9225" max="9225" width="22.5" style="1869" customWidth="1"/>
    <col min="9226" max="9472" width="12" style="1869"/>
    <col min="9473" max="9473" width="151" style="1869" customWidth="1"/>
    <col min="9474" max="9474" width="60.83203125" style="1869" customWidth="1"/>
    <col min="9475" max="9475" width="50.5" style="1869" customWidth="1"/>
    <col min="9476" max="9477" width="60.83203125" style="1869" customWidth="1"/>
    <col min="9478" max="9478" width="60.6640625" style="1869" customWidth="1"/>
    <col min="9479" max="9479" width="60.83203125" style="1869" customWidth="1"/>
    <col min="9480" max="9480" width="12" style="1869" customWidth="1"/>
    <col min="9481" max="9481" width="22.5" style="1869" customWidth="1"/>
    <col min="9482" max="9728" width="12" style="1869"/>
    <col min="9729" max="9729" width="151" style="1869" customWidth="1"/>
    <col min="9730" max="9730" width="60.83203125" style="1869" customWidth="1"/>
    <col min="9731" max="9731" width="50.5" style="1869" customWidth="1"/>
    <col min="9732" max="9733" width="60.83203125" style="1869" customWidth="1"/>
    <col min="9734" max="9734" width="60.6640625" style="1869" customWidth="1"/>
    <col min="9735" max="9735" width="60.83203125" style="1869" customWidth="1"/>
    <col min="9736" max="9736" width="12" style="1869" customWidth="1"/>
    <col min="9737" max="9737" width="22.5" style="1869" customWidth="1"/>
    <col min="9738" max="9984" width="12" style="1869"/>
    <col min="9985" max="9985" width="151" style="1869" customWidth="1"/>
    <col min="9986" max="9986" width="60.83203125" style="1869" customWidth="1"/>
    <col min="9987" max="9987" width="50.5" style="1869" customWidth="1"/>
    <col min="9988" max="9989" width="60.83203125" style="1869" customWidth="1"/>
    <col min="9990" max="9990" width="60.6640625" style="1869" customWidth="1"/>
    <col min="9991" max="9991" width="60.83203125" style="1869" customWidth="1"/>
    <col min="9992" max="9992" width="12" style="1869" customWidth="1"/>
    <col min="9993" max="9993" width="22.5" style="1869" customWidth="1"/>
    <col min="9994" max="10240" width="12" style="1869"/>
    <col min="10241" max="10241" width="151" style="1869" customWidth="1"/>
    <col min="10242" max="10242" width="60.83203125" style="1869" customWidth="1"/>
    <col min="10243" max="10243" width="50.5" style="1869" customWidth="1"/>
    <col min="10244" max="10245" width="60.83203125" style="1869" customWidth="1"/>
    <col min="10246" max="10246" width="60.6640625" style="1869" customWidth="1"/>
    <col min="10247" max="10247" width="60.83203125" style="1869" customWidth="1"/>
    <col min="10248" max="10248" width="12" style="1869" customWidth="1"/>
    <col min="10249" max="10249" width="22.5" style="1869" customWidth="1"/>
    <col min="10250" max="10496" width="12" style="1869"/>
    <col min="10497" max="10497" width="151" style="1869" customWidth="1"/>
    <col min="10498" max="10498" width="60.83203125" style="1869" customWidth="1"/>
    <col min="10499" max="10499" width="50.5" style="1869" customWidth="1"/>
    <col min="10500" max="10501" width="60.83203125" style="1869" customWidth="1"/>
    <col min="10502" max="10502" width="60.6640625" style="1869" customWidth="1"/>
    <col min="10503" max="10503" width="60.83203125" style="1869" customWidth="1"/>
    <col min="10504" max="10504" width="12" style="1869" customWidth="1"/>
    <col min="10505" max="10505" width="22.5" style="1869" customWidth="1"/>
    <col min="10506" max="10752" width="12" style="1869"/>
    <col min="10753" max="10753" width="151" style="1869" customWidth="1"/>
    <col min="10754" max="10754" width="60.83203125" style="1869" customWidth="1"/>
    <col min="10755" max="10755" width="50.5" style="1869" customWidth="1"/>
    <col min="10756" max="10757" width="60.83203125" style="1869" customWidth="1"/>
    <col min="10758" max="10758" width="60.6640625" style="1869" customWidth="1"/>
    <col min="10759" max="10759" width="60.83203125" style="1869" customWidth="1"/>
    <col min="10760" max="10760" width="12" style="1869" customWidth="1"/>
    <col min="10761" max="10761" width="22.5" style="1869" customWidth="1"/>
    <col min="10762" max="11008" width="12" style="1869"/>
    <col min="11009" max="11009" width="151" style="1869" customWidth="1"/>
    <col min="11010" max="11010" width="60.83203125" style="1869" customWidth="1"/>
    <col min="11011" max="11011" width="50.5" style="1869" customWidth="1"/>
    <col min="11012" max="11013" width="60.83203125" style="1869" customWidth="1"/>
    <col min="11014" max="11014" width="60.6640625" style="1869" customWidth="1"/>
    <col min="11015" max="11015" width="60.83203125" style="1869" customWidth="1"/>
    <col min="11016" max="11016" width="12" style="1869" customWidth="1"/>
    <col min="11017" max="11017" width="22.5" style="1869" customWidth="1"/>
    <col min="11018" max="11264" width="12" style="1869"/>
    <col min="11265" max="11265" width="151" style="1869" customWidth="1"/>
    <col min="11266" max="11266" width="60.83203125" style="1869" customWidth="1"/>
    <col min="11267" max="11267" width="50.5" style="1869" customWidth="1"/>
    <col min="11268" max="11269" width="60.83203125" style="1869" customWidth="1"/>
    <col min="11270" max="11270" width="60.6640625" style="1869" customWidth="1"/>
    <col min="11271" max="11271" width="60.83203125" style="1869" customWidth="1"/>
    <col min="11272" max="11272" width="12" style="1869" customWidth="1"/>
    <col min="11273" max="11273" width="22.5" style="1869" customWidth="1"/>
    <col min="11274" max="11520" width="12" style="1869"/>
    <col min="11521" max="11521" width="151" style="1869" customWidth="1"/>
    <col min="11522" max="11522" width="60.83203125" style="1869" customWidth="1"/>
    <col min="11523" max="11523" width="50.5" style="1869" customWidth="1"/>
    <col min="11524" max="11525" width="60.83203125" style="1869" customWidth="1"/>
    <col min="11526" max="11526" width="60.6640625" style="1869" customWidth="1"/>
    <col min="11527" max="11527" width="60.83203125" style="1869" customWidth="1"/>
    <col min="11528" max="11528" width="12" style="1869" customWidth="1"/>
    <col min="11529" max="11529" width="22.5" style="1869" customWidth="1"/>
    <col min="11530" max="11776" width="12" style="1869"/>
    <col min="11777" max="11777" width="151" style="1869" customWidth="1"/>
    <col min="11778" max="11778" width="60.83203125" style="1869" customWidth="1"/>
    <col min="11779" max="11779" width="50.5" style="1869" customWidth="1"/>
    <col min="11780" max="11781" width="60.83203125" style="1869" customWidth="1"/>
    <col min="11782" max="11782" width="60.6640625" style="1869" customWidth="1"/>
    <col min="11783" max="11783" width="60.83203125" style="1869" customWidth="1"/>
    <col min="11784" max="11784" width="12" style="1869" customWidth="1"/>
    <col min="11785" max="11785" width="22.5" style="1869" customWidth="1"/>
    <col min="11786" max="12032" width="12" style="1869"/>
    <col min="12033" max="12033" width="151" style="1869" customWidth="1"/>
    <col min="12034" max="12034" width="60.83203125" style="1869" customWidth="1"/>
    <col min="12035" max="12035" width="50.5" style="1869" customWidth="1"/>
    <col min="12036" max="12037" width="60.83203125" style="1869" customWidth="1"/>
    <col min="12038" max="12038" width="60.6640625" style="1869" customWidth="1"/>
    <col min="12039" max="12039" width="60.83203125" style="1869" customWidth="1"/>
    <col min="12040" max="12040" width="12" style="1869" customWidth="1"/>
    <col min="12041" max="12041" width="22.5" style="1869" customWidth="1"/>
    <col min="12042" max="12288" width="12" style="1869"/>
    <col min="12289" max="12289" width="151" style="1869" customWidth="1"/>
    <col min="12290" max="12290" width="60.83203125" style="1869" customWidth="1"/>
    <col min="12291" max="12291" width="50.5" style="1869" customWidth="1"/>
    <col min="12292" max="12293" width="60.83203125" style="1869" customWidth="1"/>
    <col min="12294" max="12294" width="60.6640625" style="1869" customWidth="1"/>
    <col min="12295" max="12295" width="60.83203125" style="1869" customWidth="1"/>
    <col min="12296" max="12296" width="12" style="1869" customWidth="1"/>
    <col min="12297" max="12297" width="22.5" style="1869" customWidth="1"/>
    <col min="12298" max="12544" width="12" style="1869"/>
    <col min="12545" max="12545" width="151" style="1869" customWidth="1"/>
    <col min="12546" max="12546" width="60.83203125" style="1869" customWidth="1"/>
    <col min="12547" max="12547" width="50.5" style="1869" customWidth="1"/>
    <col min="12548" max="12549" width="60.83203125" style="1869" customWidth="1"/>
    <col min="12550" max="12550" width="60.6640625" style="1869" customWidth="1"/>
    <col min="12551" max="12551" width="60.83203125" style="1869" customWidth="1"/>
    <col min="12552" max="12552" width="12" style="1869" customWidth="1"/>
    <col min="12553" max="12553" width="22.5" style="1869" customWidth="1"/>
    <col min="12554" max="12800" width="12" style="1869"/>
    <col min="12801" max="12801" width="151" style="1869" customWidth="1"/>
    <col min="12802" max="12802" width="60.83203125" style="1869" customWidth="1"/>
    <col min="12803" max="12803" width="50.5" style="1869" customWidth="1"/>
    <col min="12804" max="12805" width="60.83203125" style="1869" customWidth="1"/>
    <col min="12806" max="12806" width="60.6640625" style="1869" customWidth="1"/>
    <col min="12807" max="12807" width="60.83203125" style="1869" customWidth="1"/>
    <col min="12808" max="12808" width="12" style="1869" customWidth="1"/>
    <col min="12809" max="12809" width="22.5" style="1869" customWidth="1"/>
    <col min="12810" max="13056" width="12" style="1869"/>
    <col min="13057" max="13057" width="151" style="1869" customWidth="1"/>
    <col min="13058" max="13058" width="60.83203125" style="1869" customWidth="1"/>
    <col min="13059" max="13059" width="50.5" style="1869" customWidth="1"/>
    <col min="13060" max="13061" width="60.83203125" style="1869" customWidth="1"/>
    <col min="13062" max="13062" width="60.6640625" style="1869" customWidth="1"/>
    <col min="13063" max="13063" width="60.83203125" style="1869" customWidth="1"/>
    <col min="13064" max="13064" width="12" style="1869" customWidth="1"/>
    <col min="13065" max="13065" width="22.5" style="1869" customWidth="1"/>
    <col min="13066" max="13312" width="12" style="1869"/>
    <col min="13313" max="13313" width="151" style="1869" customWidth="1"/>
    <col min="13314" max="13314" width="60.83203125" style="1869" customWidth="1"/>
    <col min="13315" max="13315" width="50.5" style="1869" customWidth="1"/>
    <col min="13316" max="13317" width="60.83203125" style="1869" customWidth="1"/>
    <col min="13318" max="13318" width="60.6640625" style="1869" customWidth="1"/>
    <col min="13319" max="13319" width="60.83203125" style="1869" customWidth="1"/>
    <col min="13320" max="13320" width="12" style="1869" customWidth="1"/>
    <col min="13321" max="13321" width="22.5" style="1869" customWidth="1"/>
    <col min="13322" max="13568" width="12" style="1869"/>
    <col min="13569" max="13569" width="151" style="1869" customWidth="1"/>
    <col min="13570" max="13570" width="60.83203125" style="1869" customWidth="1"/>
    <col min="13571" max="13571" width="50.5" style="1869" customWidth="1"/>
    <col min="13572" max="13573" width="60.83203125" style="1869" customWidth="1"/>
    <col min="13574" max="13574" width="60.6640625" style="1869" customWidth="1"/>
    <col min="13575" max="13575" width="60.83203125" style="1869" customWidth="1"/>
    <col min="13576" max="13576" width="12" style="1869" customWidth="1"/>
    <col min="13577" max="13577" width="22.5" style="1869" customWidth="1"/>
    <col min="13578" max="13824" width="12" style="1869"/>
    <col min="13825" max="13825" width="151" style="1869" customWidth="1"/>
    <col min="13826" max="13826" width="60.83203125" style="1869" customWidth="1"/>
    <col min="13827" max="13827" width="50.5" style="1869" customWidth="1"/>
    <col min="13828" max="13829" width="60.83203125" style="1869" customWidth="1"/>
    <col min="13830" max="13830" width="60.6640625" style="1869" customWidth="1"/>
    <col min="13831" max="13831" width="60.83203125" style="1869" customWidth="1"/>
    <col min="13832" max="13832" width="12" style="1869" customWidth="1"/>
    <col min="13833" max="13833" width="22.5" style="1869" customWidth="1"/>
    <col min="13834" max="14080" width="12" style="1869"/>
    <col min="14081" max="14081" width="151" style="1869" customWidth="1"/>
    <col min="14082" max="14082" width="60.83203125" style="1869" customWidth="1"/>
    <col min="14083" max="14083" width="50.5" style="1869" customWidth="1"/>
    <col min="14084" max="14085" width="60.83203125" style="1869" customWidth="1"/>
    <col min="14086" max="14086" width="60.6640625" style="1869" customWidth="1"/>
    <col min="14087" max="14087" width="60.83203125" style="1869" customWidth="1"/>
    <col min="14088" max="14088" width="12" style="1869" customWidth="1"/>
    <col min="14089" max="14089" width="22.5" style="1869" customWidth="1"/>
    <col min="14090" max="14336" width="12" style="1869"/>
    <col min="14337" max="14337" width="151" style="1869" customWidth="1"/>
    <col min="14338" max="14338" width="60.83203125" style="1869" customWidth="1"/>
    <col min="14339" max="14339" width="50.5" style="1869" customWidth="1"/>
    <col min="14340" max="14341" width="60.83203125" style="1869" customWidth="1"/>
    <col min="14342" max="14342" width="60.6640625" style="1869" customWidth="1"/>
    <col min="14343" max="14343" width="60.83203125" style="1869" customWidth="1"/>
    <col min="14344" max="14344" width="12" style="1869" customWidth="1"/>
    <col min="14345" max="14345" width="22.5" style="1869" customWidth="1"/>
    <col min="14346" max="14592" width="12" style="1869"/>
    <col min="14593" max="14593" width="151" style="1869" customWidth="1"/>
    <col min="14594" max="14594" width="60.83203125" style="1869" customWidth="1"/>
    <col min="14595" max="14595" width="50.5" style="1869" customWidth="1"/>
    <col min="14596" max="14597" width="60.83203125" style="1869" customWidth="1"/>
    <col min="14598" max="14598" width="60.6640625" style="1869" customWidth="1"/>
    <col min="14599" max="14599" width="60.83203125" style="1869" customWidth="1"/>
    <col min="14600" max="14600" width="12" style="1869" customWidth="1"/>
    <col min="14601" max="14601" width="22.5" style="1869" customWidth="1"/>
    <col min="14602" max="14848" width="12" style="1869"/>
    <col min="14849" max="14849" width="151" style="1869" customWidth="1"/>
    <col min="14850" max="14850" width="60.83203125" style="1869" customWidth="1"/>
    <col min="14851" max="14851" width="50.5" style="1869" customWidth="1"/>
    <col min="14852" max="14853" width="60.83203125" style="1869" customWidth="1"/>
    <col min="14854" max="14854" width="60.6640625" style="1869" customWidth="1"/>
    <col min="14855" max="14855" width="60.83203125" style="1869" customWidth="1"/>
    <col min="14856" max="14856" width="12" style="1869" customWidth="1"/>
    <col min="14857" max="14857" width="22.5" style="1869" customWidth="1"/>
    <col min="14858" max="15104" width="12" style="1869"/>
    <col min="15105" max="15105" width="151" style="1869" customWidth="1"/>
    <col min="15106" max="15106" width="60.83203125" style="1869" customWidth="1"/>
    <col min="15107" max="15107" width="50.5" style="1869" customWidth="1"/>
    <col min="15108" max="15109" width="60.83203125" style="1869" customWidth="1"/>
    <col min="15110" max="15110" width="60.6640625" style="1869" customWidth="1"/>
    <col min="15111" max="15111" width="60.83203125" style="1869" customWidth="1"/>
    <col min="15112" max="15112" width="12" style="1869" customWidth="1"/>
    <col min="15113" max="15113" width="22.5" style="1869" customWidth="1"/>
    <col min="15114" max="15360" width="12" style="1869"/>
    <col min="15361" max="15361" width="151" style="1869" customWidth="1"/>
    <col min="15362" max="15362" width="60.83203125" style="1869" customWidth="1"/>
    <col min="15363" max="15363" width="50.5" style="1869" customWidth="1"/>
    <col min="15364" max="15365" width="60.83203125" style="1869" customWidth="1"/>
    <col min="15366" max="15366" width="60.6640625" style="1869" customWidth="1"/>
    <col min="15367" max="15367" width="60.83203125" style="1869" customWidth="1"/>
    <col min="15368" max="15368" width="12" style="1869" customWidth="1"/>
    <col min="15369" max="15369" width="22.5" style="1869" customWidth="1"/>
    <col min="15370" max="15616" width="12" style="1869"/>
    <col min="15617" max="15617" width="151" style="1869" customWidth="1"/>
    <col min="15618" max="15618" width="60.83203125" style="1869" customWidth="1"/>
    <col min="15619" max="15619" width="50.5" style="1869" customWidth="1"/>
    <col min="15620" max="15621" width="60.83203125" style="1869" customWidth="1"/>
    <col min="15622" max="15622" width="60.6640625" style="1869" customWidth="1"/>
    <col min="15623" max="15623" width="60.83203125" style="1869" customWidth="1"/>
    <col min="15624" max="15624" width="12" style="1869" customWidth="1"/>
    <col min="15625" max="15625" width="22.5" style="1869" customWidth="1"/>
    <col min="15626" max="15872" width="12" style="1869"/>
    <col min="15873" max="15873" width="151" style="1869" customWidth="1"/>
    <col min="15874" max="15874" width="60.83203125" style="1869" customWidth="1"/>
    <col min="15875" max="15875" width="50.5" style="1869" customWidth="1"/>
    <col min="15876" max="15877" width="60.83203125" style="1869" customWidth="1"/>
    <col min="15878" max="15878" width="60.6640625" style="1869" customWidth="1"/>
    <col min="15879" max="15879" width="60.83203125" style="1869" customWidth="1"/>
    <col min="15880" max="15880" width="12" style="1869" customWidth="1"/>
    <col min="15881" max="15881" width="22.5" style="1869" customWidth="1"/>
    <col min="15882" max="16128" width="12" style="1869"/>
    <col min="16129" max="16129" width="151" style="1869" customWidth="1"/>
    <col min="16130" max="16130" width="60.83203125" style="1869" customWidth="1"/>
    <col min="16131" max="16131" width="50.5" style="1869" customWidth="1"/>
    <col min="16132" max="16133" width="60.83203125" style="1869" customWidth="1"/>
    <col min="16134" max="16134" width="60.6640625" style="1869" customWidth="1"/>
    <col min="16135" max="16135" width="60.83203125" style="1869" customWidth="1"/>
    <col min="16136" max="16136" width="12" style="1869" customWidth="1"/>
    <col min="16137" max="16137" width="22.5" style="1869" customWidth="1"/>
    <col min="16138" max="16384" width="12" style="1869"/>
  </cols>
  <sheetData>
    <row r="1" spans="1:9" s="1905" customFormat="1" ht="45" customHeight="1" x14ac:dyDescent="0.5">
      <c r="A1" s="2424" t="s">
        <v>1242</v>
      </c>
      <c r="B1" s="2424"/>
      <c r="C1" s="2424"/>
      <c r="D1" s="2424"/>
      <c r="E1" s="2424"/>
      <c r="F1" s="2424"/>
      <c r="G1" s="2424"/>
      <c r="I1" s="1906"/>
    </row>
    <row r="2" spans="1:9" s="1905" customFormat="1" ht="44.25" customHeight="1" x14ac:dyDescent="0.5">
      <c r="A2" s="2424" t="s">
        <v>1243</v>
      </c>
      <c r="B2" s="2424"/>
      <c r="C2" s="2424"/>
      <c r="D2" s="2424"/>
      <c r="E2" s="2424"/>
      <c r="F2" s="2424"/>
      <c r="G2" s="2424"/>
      <c r="I2" s="1906"/>
    </row>
    <row r="3" spans="1:9" s="1909" customFormat="1" ht="44.25" customHeight="1" thickBot="1" x14ac:dyDescent="0.55000000000000004">
      <c r="A3" s="1907"/>
      <c r="B3" s="2425"/>
      <c r="C3" s="2425"/>
      <c r="D3" s="2425"/>
      <c r="E3" s="2425"/>
      <c r="F3" s="1908"/>
      <c r="G3" s="1908"/>
      <c r="I3" s="1910"/>
    </row>
    <row r="4" spans="1:9" s="1905" customFormat="1" ht="108.75" customHeight="1" thickBot="1" x14ac:dyDescent="0.55000000000000004">
      <c r="A4" s="1911"/>
      <c r="B4" s="2426" t="s">
        <v>1244</v>
      </c>
      <c r="C4" s="2427"/>
      <c r="D4" s="2427"/>
      <c r="E4" s="2428"/>
      <c r="F4" s="2429" t="s">
        <v>1245</v>
      </c>
      <c r="G4" s="2430"/>
      <c r="I4" s="1912"/>
    </row>
    <row r="5" spans="1:9" s="1905" customFormat="1" ht="45.75" customHeight="1" thickBot="1" x14ac:dyDescent="0.55000000000000004">
      <c r="A5" s="1913" t="s">
        <v>1246</v>
      </c>
      <c r="B5" s="2433" t="s">
        <v>1247</v>
      </c>
      <c r="C5" s="2434"/>
      <c r="D5" s="2422" t="s">
        <v>1248</v>
      </c>
      <c r="E5" s="2435"/>
      <c r="F5" s="2431"/>
      <c r="G5" s="2432"/>
      <c r="I5" s="1912"/>
    </row>
    <row r="6" spans="1:9" s="1905" customFormat="1" ht="42" customHeight="1" thickBot="1" x14ac:dyDescent="0.55000000000000004">
      <c r="A6" s="1913"/>
      <c r="B6" s="2422" t="s">
        <v>1249</v>
      </c>
      <c r="C6" s="2423"/>
      <c r="D6" s="2422" t="s">
        <v>1249</v>
      </c>
      <c r="E6" s="2423"/>
      <c r="F6" s="1954"/>
      <c r="G6" s="1954"/>
      <c r="I6" s="1912"/>
    </row>
    <row r="7" spans="1:9" s="1905" customFormat="1" ht="44.25" customHeight="1" thickBot="1" x14ac:dyDescent="0.55000000000000004">
      <c r="A7" s="1914"/>
      <c r="B7" s="1955" t="s">
        <v>1250</v>
      </c>
      <c r="C7" s="1956" t="s">
        <v>1251</v>
      </c>
      <c r="D7" s="1955" t="s">
        <v>1250</v>
      </c>
      <c r="E7" s="1956" t="s">
        <v>1251</v>
      </c>
      <c r="F7" s="1954" t="s">
        <v>1250</v>
      </c>
      <c r="G7" s="1954" t="s">
        <v>1252</v>
      </c>
      <c r="I7" s="1912"/>
    </row>
    <row r="8" spans="1:9" s="1916" customFormat="1" ht="90.75" customHeight="1" x14ac:dyDescent="0.5">
      <c r="A8" s="1915" t="s">
        <v>1253</v>
      </c>
      <c r="B8" s="1957"/>
      <c r="C8" s="1958"/>
      <c r="D8" s="1958"/>
      <c r="E8" s="1958"/>
      <c r="F8" s="1958"/>
      <c r="G8" s="1958"/>
      <c r="I8" s="1917"/>
    </row>
    <row r="9" spans="1:9" s="1922" customFormat="1" ht="45.75" customHeight="1" x14ac:dyDescent="0.5">
      <c r="A9" s="1918" t="s">
        <v>1254</v>
      </c>
      <c r="B9" s="1919">
        <f>'[7]létszám ei mód RM III.'!F9</f>
        <v>33</v>
      </c>
      <c r="C9" s="1920">
        <f>'[7]létszám ei mód RM III.'!G9</f>
        <v>33</v>
      </c>
      <c r="D9" s="1921">
        <f>'[7]létszám ei mód RM III.'!L9</f>
        <v>1</v>
      </c>
      <c r="E9" s="1920">
        <f>'[7]létszám ei mód RM III.'!M9</f>
        <v>1</v>
      </c>
      <c r="F9" s="1921">
        <f t="shared" ref="F9:G26" si="0">B9+D9</f>
        <v>34</v>
      </c>
      <c r="G9" s="1920">
        <f t="shared" si="0"/>
        <v>34</v>
      </c>
      <c r="I9" s="1910"/>
    </row>
    <row r="10" spans="1:9" s="1922" customFormat="1" ht="45.75" customHeight="1" x14ac:dyDescent="0.5">
      <c r="A10" s="1923" t="s">
        <v>1255</v>
      </c>
      <c r="B10" s="1924">
        <f>'[7]létszám ei mód RM III.'!F10</f>
        <v>23</v>
      </c>
      <c r="C10" s="1925">
        <f>'[7]létszám ei mód RM III.'!G10</f>
        <v>23</v>
      </c>
      <c r="D10" s="1924">
        <f>'[7]létszám ei mód RM III.'!L10</f>
        <v>1</v>
      </c>
      <c r="E10" s="1925">
        <f>'[7]létszám ei mód RM III.'!M10</f>
        <v>1</v>
      </c>
      <c r="F10" s="1924">
        <f t="shared" si="0"/>
        <v>24</v>
      </c>
      <c r="G10" s="1925">
        <f t="shared" si="0"/>
        <v>24</v>
      </c>
      <c r="I10" s="1910"/>
    </row>
    <row r="11" spans="1:9" s="1922" customFormat="1" ht="45.75" customHeight="1" x14ac:dyDescent="0.5">
      <c r="A11" s="1923" t="s">
        <v>1256</v>
      </c>
      <c r="B11" s="1919">
        <f>'[7]létszám ei mód RM III.'!F11</f>
        <v>23</v>
      </c>
      <c r="C11" s="1920">
        <f>'[7]létszám ei mód RM III.'!G11</f>
        <v>23</v>
      </c>
      <c r="D11" s="1921">
        <f>'[7]létszám ei mód RM III.'!L11</f>
        <v>1</v>
      </c>
      <c r="E11" s="1920">
        <f>'[7]létszám ei mód RM III.'!M11</f>
        <v>1</v>
      </c>
      <c r="F11" s="1921">
        <f t="shared" si="0"/>
        <v>24</v>
      </c>
      <c r="G11" s="1920">
        <f t="shared" si="0"/>
        <v>24</v>
      </c>
      <c r="I11" s="1910"/>
    </row>
    <row r="12" spans="1:9" s="1922" customFormat="1" ht="45.75" customHeight="1" x14ac:dyDescent="0.5">
      <c r="A12" s="1923" t="s">
        <v>1257</v>
      </c>
      <c r="B12" s="1924">
        <f>'[7]létszám ei mód RM III.'!F12</f>
        <v>28</v>
      </c>
      <c r="C12" s="1925">
        <f>'[7]létszám ei mód RM III.'!G12</f>
        <v>28</v>
      </c>
      <c r="D12" s="1924">
        <f>'[7]létszám ei mód RM III.'!L12</f>
        <v>1</v>
      </c>
      <c r="E12" s="1925">
        <f>'[7]létszám ei mód RM III.'!M12</f>
        <v>1</v>
      </c>
      <c r="F12" s="1924">
        <f t="shared" si="0"/>
        <v>29</v>
      </c>
      <c r="G12" s="1925">
        <f t="shared" si="0"/>
        <v>29</v>
      </c>
      <c r="I12" s="1910"/>
    </row>
    <row r="13" spans="1:9" s="1922" customFormat="1" ht="45.75" customHeight="1" x14ac:dyDescent="0.5">
      <c r="A13" s="1923" t="s">
        <v>1258</v>
      </c>
      <c r="B13" s="1924">
        <f>'[7]létszám ei mód RM III.'!F13</f>
        <v>26</v>
      </c>
      <c r="C13" s="1925">
        <f>'[7]létszám ei mód RM III.'!G13</f>
        <v>26</v>
      </c>
      <c r="D13" s="1924">
        <f>'[7]létszám ei mód RM III.'!L13</f>
        <v>1</v>
      </c>
      <c r="E13" s="1925">
        <f>'[7]létszám ei mód RM III.'!M13</f>
        <v>1</v>
      </c>
      <c r="F13" s="1924">
        <f t="shared" si="0"/>
        <v>27</v>
      </c>
      <c r="G13" s="1925">
        <f t="shared" si="0"/>
        <v>27</v>
      </c>
      <c r="I13" s="1910"/>
    </row>
    <row r="14" spans="1:9" s="1922" customFormat="1" ht="45.75" customHeight="1" x14ac:dyDescent="0.5">
      <c r="A14" s="1923" t="s">
        <v>1259</v>
      </c>
      <c r="B14" s="1924">
        <f>'[7]létszám ei mód RM III.'!F14</f>
        <v>23</v>
      </c>
      <c r="C14" s="1925">
        <f>'[7]létszám ei mód RM III.'!G14</f>
        <v>23</v>
      </c>
      <c r="D14" s="1924">
        <f>'[7]létszám ei mód RM III.'!L14</f>
        <v>1</v>
      </c>
      <c r="E14" s="1925">
        <f>'[7]létszám ei mód RM III.'!M14</f>
        <v>1</v>
      </c>
      <c r="F14" s="1924">
        <f t="shared" si="0"/>
        <v>24</v>
      </c>
      <c r="G14" s="1925">
        <f t="shared" si="0"/>
        <v>24</v>
      </c>
      <c r="I14" s="1910"/>
    </row>
    <row r="15" spans="1:9" s="1922" customFormat="1" ht="45.75" customHeight="1" x14ac:dyDescent="0.5">
      <c r="A15" s="1923" t="s">
        <v>1260</v>
      </c>
      <c r="B15" s="1924">
        <f>'[7]létszám ei mód RM III.'!F15</f>
        <v>18</v>
      </c>
      <c r="C15" s="1925">
        <f>'[7]létszám ei mód RM III.'!G15</f>
        <v>18</v>
      </c>
      <c r="D15" s="1924">
        <f>'[7]létszám ei mód RM III.'!L15</f>
        <v>1</v>
      </c>
      <c r="E15" s="1925">
        <f>'[7]létszám ei mód RM III.'!M15</f>
        <v>1</v>
      </c>
      <c r="F15" s="1924">
        <f t="shared" si="0"/>
        <v>19</v>
      </c>
      <c r="G15" s="1925">
        <f t="shared" si="0"/>
        <v>19</v>
      </c>
      <c r="I15" s="1910"/>
    </row>
    <row r="16" spans="1:9" s="1922" customFormat="1" ht="45.75" customHeight="1" x14ac:dyDescent="0.5">
      <c r="A16" s="1923" t="s">
        <v>1261</v>
      </c>
      <c r="B16" s="1924">
        <f>'[7]létszám ei mód RM III.'!F16</f>
        <v>18</v>
      </c>
      <c r="C16" s="1925">
        <f>'[7]létszám ei mód RM III.'!G16</f>
        <v>18</v>
      </c>
      <c r="D16" s="1924">
        <f>'[7]létszám ei mód RM III.'!L16</f>
        <v>1</v>
      </c>
      <c r="E16" s="1925">
        <f>'[7]létszám ei mód RM III.'!M16</f>
        <v>1</v>
      </c>
      <c r="F16" s="1924">
        <f t="shared" si="0"/>
        <v>19</v>
      </c>
      <c r="G16" s="1925">
        <f t="shared" si="0"/>
        <v>19</v>
      </c>
      <c r="I16" s="1910"/>
    </row>
    <row r="17" spans="1:9" s="1922" customFormat="1" ht="45.75" customHeight="1" x14ac:dyDescent="0.5">
      <c r="A17" s="1923" t="s">
        <v>1262</v>
      </c>
      <c r="B17" s="1924">
        <f>'[7]létszám ei mód RM III.'!F17</f>
        <v>26</v>
      </c>
      <c r="C17" s="1925">
        <f>'[7]létszám ei mód RM III.'!G17</f>
        <v>26</v>
      </c>
      <c r="D17" s="1924">
        <f>'[7]létszám ei mód RM III.'!L17</f>
        <v>1</v>
      </c>
      <c r="E17" s="1925">
        <f>'[7]létszám ei mód RM III.'!M17</f>
        <v>1</v>
      </c>
      <c r="F17" s="1924">
        <f t="shared" si="0"/>
        <v>27</v>
      </c>
      <c r="G17" s="1925">
        <f t="shared" si="0"/>
        <v>27</v>
      </c>
      <c r="I17" s="1910"/>
    </row>
    <row r="18" spans="1:9" s="1922" customFormat="1" ht="45.75" customHeight="1" x14ac:dyDescent="0.5">
      <c r="A18" s="1923" t="s">
        <v>1263</v>
      </c>
      <c r="B18" s="1926">
        <f>'[7]létszám ei mód RM III.'!F18</f>
        <v>29</v>
      </c>
      <c r="C18" s="1927">
        <f>'[7]létszám ei mód RM III.'!G18</f>
        <v>29</v>
      </c>
      <c r="D18" s="1926">
        <f>'[7]létszám ei mód RM III.'!L18</f>
        <v>1</v>
      </c>
      <c r="E18" s="1927">
        <f>'[7]létszám ei mód RM III.'!M18</f>
        <v>1</v>
      </c>
      <c r="F18" s="1926">
        <f t="shared" si="0"/>
        <v>30</v>
      </c>
      <c r="G18" s="1927">
        <f t="shared" si="0"/>
        <v>30</v>
      </c>
      <c r="I18" s="1910"/>
    </row>
    <row r="19" spans="1:9" s="1922" customFormat="1" ht="45.75" customHeight="1" x14ac:dyDescent="0.5">
      <c r="A19" s="1923" t="s">
        <v>1264</v>
      </c>
      <c r="B19" s="1926">
        <f>'[7]létszám ei mód RM III.'!F19</f>
        <v>15</v>
      </c>
      <c r="C19" s="1927">
        <f>'[7]létszám ei mód RM III.'!G19</f>
        <v>15</v>
      </c>
      <c r="D19" s="1926">
        <f>'[7]létszám ei mód RM III.'!L19</f>
        <v>1</v>
      </c>
      <c r="E19" s="1927">
        <f>'[7]létszám ei mód RM III.'!M19</f>
        <v>1</v>
      </c>
      <c r="F19" s="1926">
        <f t="shared" si="0"/>
        <v>16</v>
      </c>
      <c r="G19" s="1927">
        <f t="shared" si="0"/>
        <v>16</v>
      </c>
      <c r="I19" s="1910"/>
    </row>
    <row r="20" spans="1:9" s="1922" customFormat="1" ht="45.75" customHeight="1" x14ac:dyDescent="0.5">
      <c r="A20" s="1923" t="s">
        <v>1265</v>
      </c>
      <c r="B20" s="1926">
        <f>'[7]létszám ei mód RM III.'!F20</f>
        <v>12.5</v>
      </c>
      <c r="C20" s="1927">
        <f>'[7]létszám ei mód RM III.'!G20</f>
        <v>12</v>
      </c>
      <c r="D20" s="1926">
        <f>'[7]létszám ei mód RM III.'!L20</f>
        <v>1</v>
      </c>
      <c r="E20" s="1927">
        <f>'[7]létszám ei mód RM III.'!M20</f>
        <v>1</v>
      </c>
      <c r="F20" s="1926">
        <f t="shared" si="0"/>
        <v>13.5</v>
      </c>
      <c r="G20" s="1927">
        <f t="shared" si="0"/>
        <v>13</v>
      </c>
      <c r="I20" s="1910"/>
    </row>
    <row r="21" spans="1:9" s="1922" customFormat="1" ht="45.75" customHeight="1" x14ac:dyDescent="0.5">
      <c r="A21" s="1923" t="s">
        <v>1266</v>
      </c>
      <c r="B21" s="1926">
        <f>'[7]létszám ei mód RM III.'!F21</f>
        <v>18</v>
      </c>
      <c r="C21" s="1927">
        <f>'[7]létszám ei mód RM III.'!G21</f>
        <v>18</v>
      </c>
      <c r="D21" s="1926">
        <f>'[7]létszám ei mód RM III.'!L21</f>
        <v>1</v>
      </c>
      <c r="E21" s="1927">
        <f>'[7]létszám ei mód RM III.'!M21</f>
        <v>1</v>
      </c>
      <c r="F21" s="1926">
        <f t="shared" si="0"/>
        <v>19</v>
      </c>
      <c r="G21" s="1927">
        <f t="shared" si="0"/>
        <v>19</v>
      </c>
      <c r="I21" s="1910"/>
    </row>
    <row r="22" spans="1:9" s="1922" customFormat="1" ht="45.75" customHeight="1" x14ac:dyDescent="0.5">
      <c r="A22" s="1923" t="s">
        <v>1267</v>
      </c>
      <c r="B22" s="1926">
        <f>'[7]létszám ei mód RM III.'!F22</f>
        <v>20</v>
      </c>
      <c r="C22" s="1927">
        <f>'[7]létszám ei mód RM III.'!G22</f>
        <v>20</v>
      </c>
      <c r="D22" s="1926">
        <f>'[7]létszám ei mód RM III.'!L22</f>
        <v>1</v>
      </c>
      <c r="E22" s="1927">
        <f>'[7]létszám ei mód RM III.'!M22</f>
        <v>1</v>
      </c>
      <c r="F22" s="1926">
        <f t="shared" si="0"/>
        <v>21</v>
      </c>
      <c r="G22" s="1927">
        <f t="shared" si="0"/>
        <v>21</v>
      </c>
      <c r="I22" s="1910"/>
    </row>
    <row r="23" spans="1:9" s="1922" customFormat="1" ht="45.75" customHeight="1" x14ac:dyDescent="0.5">
      <c r="A23" s="1923" t="s">
        <v>1268</v>
      </c>
      <c r="B23" s="1926">
        <f>'[7]létszám ei mód RM III.'!F23</f>
        <v>29</v>
      </c>
      <c r="C23" s="1927">
        <f>'[7]létszám ei mód RM III.'!G23</f>
        <v>29</v>
      </c>
      <c r="D23" s="1926">
        <f>'[7]létszám ei mód RM III.'!L23</f>
        <v>1</v>
      </c>
      <c r="E23" s="1927">
        <f>'[7]létszám ei mód RM III.'!M23</f>
        <v>1</v>
      </c>
      <c r="F23" s="1926">
        <f t="shared" si="0"/>
        <v>30</v>
      </c>
      <c r="G23" s="1927">
        <f t="shared" si="0"/>
        <v>30</v>
      </c>
      <c r="I23" s="1910"/>
    </row>
    <row r="24" spans="1:9" s="1922" customFormat="1" ht="45.75" customHeight="1" x14ac:dyDescent="0.5">
      <c r="A24" s="1923" t="s">
        <v>1269</v>
      </c>
      <c r="B24" s="1926">
        <f>'[7]létszám ei mód RM III.'!F24</f>
        <v>23</v>
      </c>
      <c r="C24" s="1927">
        <f>'[7]létszám ei mód RM III.'!G24</f>
        <v>23</v>
      </c>
      <c r="D24" s="1926">
        <f>'[7]létszám ei mód RM III.'!L24</f>
        <v>1</v>
      </c>
      <c r="E24" s="1927">
        <f>'[7]létszám ei mód RM III.'!M24</f>
        <v>1</v>
      </c>
      <c r="F24" s="1926">
        <f t="shared" si="0"/>
        <v>24</v>
      </c>
      <c r="G24" s="1927">
        <f t="shared" si="0"/>
        <v>24</v>
      </c>
      <c r="I24" s="1910"/>
    </row>
    <row r="25" spans="1:9" s="1922" customFormat="1" ht="45.75" customHeight="1" x14ac:dyDescent="0.5">
      <c r="A25" s="1918" t="s">
        <v>1290</v>
      </c>
      <c r="B25" s="1926">
        <f>'[7]létszám ei mód RM III.'!F25</f>
        <v>16</v>
      </c>
      <c r="C25" s="1927">
        <f>'[7]létszám ei mód RM III.'!G25</f>
        <v>16</v>
      </c>
      <c r="D25" s="1926">
        <f>'[7]létszám ei mód RM III.'!L25</f>
        <v>1</v>
      </c>
      <c r="E25" s="1927">
        <f>'[7]létszám ei mód RM III.'!M25</f>
        <v>1</v>
      </c>
      <c r="F25" s="1926">
        <f t="shared" si="0"/>
        <v>17</v>
      </c>
      <c r="G25" s="1927">
        <f t="shared" si="0"/>
        <v>17</v>
      </c>
      <c r="I25" s="1910"/>
    </row>
    <row r="26" spans="1:9" s="1922" customFormat="1" ht="45.75" customHeight="1" thickBot="1" x14ac:dyDescent="0.55000000000000004">
      <c r="A26" s="1928" t="s">
        <v>1270</v>
      </c>
      <c r="B26" s="1929">
        <f>'[7]létszám ei mód RM III.'!F26</f>
        <v>11.5</v>
      </c>
      <c r="C26" s="1930">
        <f>'[7]létszám ei mód RM III.'!G26</f>
        <v>12</v>
      </c>
      <c r="D26" s="1931">
        <f>'[7]létszám ei mód RM III.'!L26</f>
        <v>1.5</v>
      </c>
      <c r="E26" s="1930">
        <f>'[7]létszám ei mód RM III.'!M26</f>
        <v>1</v>
      </c>
      <c r="F26" s="1931">
        <f t="shared" si="0"/>
        <v>13</v>
      </c>
      <c r="G26" s="1930">
        <f t="shared" si="0"/>
        <v>13</v>
      </c>
      <c r="I26" s="1910"/>
    </row>
    <row r="27" spans="1:9" s="1922" customFormat="1" ht="45.75" customHeight="1" thickBot="1" x14ac:dyDescent="0.55000000000000004">
      <c r="A27" s="1932" t="s">
        <v>1271</v>
      </c>
      <c r="B27" s="1933">
        <f t="shared" ref="B27:G27" si="1">SUM(B9:B26)</f>
        <v>392</v>
      </c>
      <c r="C27" s="1934">
        <f t="shared" si="1"/>
        <v>392</v>
      </c>
      <c r="D27" s="1933">
        <f t="shared" si="1"/>
        <v>18.5</v>
      </c>
      <c r="E27" s="1934">
        <f t="shared" si="1"/>
        <v>18</v>
      </c>
      <c r="F27" s="1933">
        <f t="shared" si="1"/>
        <v>410.5</v>
      </c>
      <c r="G27" s="1934">
        <f t="shared" si="1"/>
        <v>410</v>
      </c>
      <c r="I27" s="1910"/>
    </row>
    <row r="28" spans="1:9" s="1936" customFormat="1" ht="44.25" customHeight="1" thickBot="1" x14ac:dyDescent="0.55000000000000004">
      <c r="A28" s="1935" t="s">
        <v>144</v>
      </c>
      <c r="B28" s="1929">
        <f>'[7]létszám ei mód RM III.'!F28</f>
        <v>0</v>
      </c>
      <c r="C28" s="1930">
        <f>'[7]létszám ei mód RM III.'!G28</f>
        <v>0</v>
      </c>
      <c r="D28" s="1931">
        <f>'[7]létszám ei mód RM III.'!L28</f>
        <v>44</v>
      </c>
      <c r="E28" s="1930">
        <f>'[7]létszám ei mód RM III.'!M28</f>
        <v>44</v>
      </c>
      <c r="F28" s="1931">
        <f>B28+D28</f>
        <v>44</v>
      </c>
      <c r="G28" s="1930">
        <f>C28+E28</f>
        <v>44</v>
      </c>
      <c r="I28" s="1937"/>
    </row>
    <row r="29" spans="1:9" s="1922" customFormat="1" ht="42.75" customHeight="1" thickBot="1" x14ac:dyDescent="0.55000000000000004">
      <c r="A29" s="1932" t="s">
        <v>1272</v>
      </c>
      <c r="B29" s="1933">
        <f t="shared" ref="B29:G29" si="2">SUM(B27:B28)</f>
        <v>392</v>
      </c>
      <c r="C29" s="1938">
        <f t="shared" si="2"/>
        <v>392</v>
      </c>
      <c r="D29" s="1933">
        <f t="shared" si="2"/>
        <v>62.5</v>
      </c>
      <c r="E29" s="1938">
        <f t="shared" si="2"/>
        <v>62</v>
      </c>
      <c r="F29" s="1933">
        <f t="shared" si="2"/>
        <v>454.5</v>
      </c>
      <c r="G29" s="1938">
        <f t="shared" si="2"/>
        <v>454</v>
      </c>
      <c r="I29" s="1910"/>
    </row>
    <row r="30" spans="1:9" s="1922" customFormat="1" ht="42.75" customHeight="1" x14ac:dyDescent="0.5">
      <c r="A30" s="1939" t="s">
        <v>1273</v>
      </c>
      <c r="B30" s="1931"/>
      <c r="C30" s="1931"/>
      <c r="D30" s="1931"/>
      <c r="E30" s="1931"/>
      <c r="F30" s="1931"/>
      <c r="G30" s="1931"/>
      <c r="I30" s="1910"/>
    </row>
    <row r="31" spans="1:9" s="1922" customFormat="1" ht="45.75" customHeight="1" x14ac:dyDescent="0.5">
      <c r="A31" s="1915" t="s">
        <v>1274</v>
      </c>
      <c r="B31" s="1931"/>
      <c r="C31" s="1931"/>
      <c r="D31" s="1931"/>
      <c r="E31" s="1931"/>
      <c r="F31" s="1931"/>
      <c r="G31" s="1931"/>
      <c r="I31" s="1910"/>
    </row>
    <row r="32" spans="1:9" s="1922" customFormat="1" ht="44.25" customHeight="1" x14ac:dyDescent="0.5">
      <c r="A32" s="1918" t="s">
        <v>1275</v>
      </c>
      <c r="B32" s="1940">
        <f>'[7]létszám ei mód RM III.'!F32</f>
        <v>26.5</v>
      </c>
      <c r="C32" s="1941">
        <f>'[7]létszám ei mód RM III.'!G32</f>
        <v>26</v>
      </c>
      <c r="D32" s="1940">
        <f>'[7]létszám ei mód RM III.'!L32</f>
        <v>16.5</v>
      </c>
      <c r="E32" s="1941">
        <f>'[7]létszám ei mód RM III.'!M32</f>
        <v>17</v>
      </c>
      <c r="F32" s="1940">
        <f t="shared" ref="F32:G36" si="3">B32+D32</f>
        <v>43</v>
      </c>
      <c r="G32" s="1941">
        <f t="shared" si="3"/>
        <v>43</v>
      </c>
      <c r="I32" s="1910"/>
    </row>
    <row r="33" spans="1:9" s="1922" customFormat="1" ht="44.25" customHeight="1" x14ac:dyDescent="0.5">
      <c r="A33" s="1923" t="s">
        <v>245</v>
      </c>
      <c r="B33" s="1931">
        <f>'[7]létszám ei mód RM III.'!F33</f>
        <v>18</v>
      </c>
      <c r="C33" s="1930">
        <f>'[7]létszám ei mód RM III.'!G33</f>
        <v>18</v>
      </c>
      <c r="D33" s="1931">
        <f>'[7]létszám ei mód RM III.'!L33</f>
        <v>1</v>
      </c>
      <c r="E33" s="1930">
        <f>'[7]létszám ei mód RM III.'!M33</f>
        <v>1</v>
      </c>
      <c r="F33" s="1931">
        <f t="shared" si="3"/>
        <v>19</v>
      </c>
      <c r="G33" s="1930">
        <f t="shared" si="3"/>
        <v>19</v>
      </c>
      <c r="I33" s="1910"/>
    </row>
    <row r="34" spans="1:9" s="1922" customFormat="1" ht="44.25" customHeight="1" x14ac:dyDescent="0.5">
      <c r="A34" s="1923" t="s">
        <v>1276</v>
      </c>
      <c r="B34" s="1942">
        <f>'[7]létszám ei mód RM III.'!F34</f>
        <v>77</v>
      </c>
      <c r="C34" s="1927">
        <f>'[7]létszám ei mód RM III.'!G34</f>
        <v>77</v>
      </c>
      <c r="D34" s="1926">
        <f>'[7]létszám ei mód RM III.'!L34</f>
        <v>7.5</v>
      </c>
      <c r="E34" s="1927">
        <f>'[7]létszám ei mód RM III.'!M34</f>
        <v>7</v>
      </c>
      <c r="F34" s="1926">
        <f t="shared" si="3"/>
        <v>84.5</v>
      </c>
      <c r="G34" s="1927">
        <f t="shared" si="3"/>
        <v>84</v>
      </c>
      <c r="I34" s="1910"/>
    </row>
    <row r="35" spans="1:9" s="1922" customFormat="1" ht="44.25" customHeight="1" x14ac:dyDescent="0.5">
      <c r="A35" s="1923" t="s">
        <v>1277</v>
      </c>
      <c r="B35" s="1942">
        <f>'[7]létszám ei mód RM III.'!F35</f>
        <v>35</v>
      </c>
      <c r="C35" s="1927">
        <f>'[7]létszám ei mód RM III.'!G35</f>
        <v>35</v>
      </c>
      <c r="D35" s="1926">
        <f>'[7]létszám ei mód RM III.'!L35</f>
        <v>11</v>
      </c>
      <c r="E35" s="1927">
        <f>'[7]létszám ei mód RM III.'!M35</f>
        <v>11</v>
      </c>
      <c r="F35" s="1926">
        <f t="shared" si="3"/>
        <v>46</v>
      </c>
      <c r="G35" s="1927">
        <f t="shared" si="3"/>
        <v>46</v>
      </c>
      <c r="I35" s="1910"/>
    </row>
    <row r="36" spans="1:9" s="1922" customFormat="1" ht="44.25" customHeight="1" thickBot="1" x14ac:dyDescent="0.55000000000000004">
      <c r="A36" s="1943" t="s">
        <v>1278</v>
      </c>
      <c r="B36" s="1931">
        <f>'[7]létszám ei mód RM III.'!F36</f>
        <v>66.5</v>
      </c>
      <c r="C36" s="1930">
        <f>'[7]létszám ei mód RM III.'!G36</f>
        <v>67</v>
      </c>
      <c r="D36" s="1931">
        <f>'[7]létszám ei mód RM III.'!L36</f>
        <v>34.25</v>
      </c>
      <c r="E36" s="1930">
        <f>'[7]létszám ei mód RM III.'!M36</f>
        <v>34</v>
      </c>
      <c r="F36" s="1931">
        <f t="shared" si="3"/>
        <v>100.75</v>
      </c>
      <c r="G36" s="1930">
        <f t="shared" si="3"/>
        <v>101</v>
      </c>
      <c r="I36" s="1910"/>
    </row>
    <row r="37" spans="1:9" s="1922" customFormat="1" ht="44.25" customHeight="1" thickBot="1" x14ac:dyDescent="0.55000000000000004">
      <c r="A37" s="1932" t="s">
        <v>1279</v>
      </c>
      <c r="B37" s="1944">
        <f t="shared" ref="B37:G37" si="4">SUM(B32:B36)</f>
        <v>223</v>
      </c>
      <c r="C37" s="1938">
        <f t="shared" si="4"/>
        <v>223</v>
      </c>
      <c r="D37" s="1944">
        <f t="shared" si="4"/>
        <v>70.25</v>
      </c>
      <c r="E37" s="1938">
        <f t="shared" si="4"/>
        <v>70</v>
      </c>
      <c r="F37" s="1944">
        <f t="shared" si="4"/>
        <v>293.25</v>
      </c>
      <c r="G37" s="1938">
        <f t="shared" si="4"/>
        <v>293</v>
      </c>
      <c r="I37" s="1910"/>
    </row>
    <row r="38" spans="1:9" s="1922" customFormat="1" ht="45.75" customHeight="1" x14ac:dyDescent="0.5">
      <c r="A38" s="1939" t="s">
        <v>1280</v>
      </c>
      <c r="B38" s="1945"/>
      <c r="C38" s="1945"/>
      <c r="D38" s="1945"/>
      <c r="E38" s="1945"/>
      <c r="F38" s="1945"/>
      <c r="G38" s="1945"/>
      <c r="I38" s="1910"/>
    </row>
    <row r="39" spans="1:9" s="1922" customFormat="1" ht="68.25" thickBot="1" x14ac:dyDescent="0.55000000000000004">
      <c r="A39" s="1946" t="s">
        <v>1281</v>
      </c>
      <c r="B39" s="1929">
        <f>'[7]létszám ei mód RM III.'!F39</f>
        <v>167.25</v>
      </c>
      <c r="C39" s="1930">
        <f>'[7]létszám ei mód RM III.'!G39</f>
        <v>167</v>
      </c>
      <c r="D39" s="1931">
        <f>'[7]létszám ei mód RM III.'!L39</f>
        <v>21</v>
      </c>
      <c r="E39" s="1930">
        <f>'[7]létszám ei mód RM III.'!M39</f>
        <v>21</v>
      </c>
      <c r="F39" s="1931">
        <f>B39+D39</f>
        <v>188.25</v>
      </c>
      <c r="G39" s="1930">
        <f>C39+E39</f>
        <v>188</v>
      </c>
      <c r="I39" s="1910"/>
    </row>
    <row r="40" spans="1:9" s="1922" customFormat="1" ht="44.25" customHeight="1" x14ac:dyDescent="0.5">
      <c r="A40" s="1939" t="s">
        <v>1282</v>
      </c>
      <c r="B40" s="1945"/>
      <c r="C40" s="1945"/>
      <c r="D40" s="1945"/>
      <c r="E40" s="1945"/>
      <c r="F40" s="1945"/>
      <c r="G40" s="1945"/>
      <c r="I40" s="1910"/>
    </row>
    <row r="41" spans="1:9" s="1922" customFormat="1" ht="45.75" customHeight="1" thickBot="1" x14ac:dyDescent="0.55000000000000004">
      <c r="A41" s="1947" t="s">
        <v>1283</v>
      </c>
      <c r="B41" s="1929">
        <f>'[7]létszám ei mód RM III.'!F41</f>
        <v>81</v>
      </c>
      <c r="C41" s="1930">
        <f>'[7]létszám ei mód RM III.'!G41</f>
        <v>81</v>
      </c>
      <c r="D41" s="1931">
        <f>'[7]létszám ei mód RM III.'!L41</f>
        <v>41</v>
      </c>
      <c r="E41" s="1930">
        <f>'[7]létszám ei mód RM III.'!M41</f>
        <v>41</v>
      </c>
      <c r="F41" s="1931">
        <f>B41+D41</f>
        <v>122</v>
      </c>
      <c r="G41" s="1930">
        <f>C41+E41</f>
        <v>122</v>
      </c>
      <c r="I41" s="1910"/>
    </row>
    <row r="42" spans="1:9" s="1922" customFormat="1" ht="45" customHeight="1" x14ac:dyDescent="0.5">
      <c r="A42" s="1939" t="s">
        <v>1284</v>
      </c>
      <c r="B42" s="1945"/>
      <c r="C42" s="1945"/>
      <c r="D42" s="1945"/>
      <c r="E42" s="1945"/>
      <c r="F42" s="1945"/>
      <c r="G42" s="1945"/>
      <c r="I42" s="1910"/>
    </row>
    <row r="43" spans="1:9" s="1922" customFormat="1" ht="44.25" customHeight="1" thickBot="1" x14ac:dyDescent="0.55000000000000004">
      <c r="A43" s="1947" t="s">
        <v>1285</v>
      </c>
      <c r="B43" s="1929">
        <f>'[7]létszám ei mód RM III.'!F43</f>
        <v>135.01</v>
      </c>
      <c r="C43" s="1930">
        <f>'[7]létszám ei mód RM III.'!G43</f>
        <v>135</v>
      </c>
      <c r="D43" s="1931">
        <f>'[7]létszám ei mód RM III.'!L43</f>
        <v>40.74499999999999</v>
      </c>
      <c r="E43" s="1930">
        <f>'[7]létszám ei mód RM III.'!M43</f>
        <v>41</v>
      </c>
      <c r="F43" s="1931">
        <f>B43+D43</f>
        <v>175.755</v>
      </c>
      <c r="G43" s="1930">
        <f>C43+E43</f>
        <v>176</v>
      </c>
      <c r="I43" s="1910"/>
    </row>
    <row r="44" spans="1:9" s="1922" customFormat="1" ht="45.75" customHeight="1" x14ac:dyDescent="0.5">
      <c r="A44" s="1939" t="s">
        <v>1286</v>
      </c>
      <c r="B44" s="1945"/>
      <c r="C44" s="1945"/>
      <c r="D44" s="1945"/>
      <c r="E44" s="1945"/>
      <c r="F44" s="1945"/>
      <c r="G44" s="1945"/>
      <c r="I44" s="1910"/>
    </row>
    <row r="45" spans="1:9" s="1922" customFormat="1" ht="44.25" customHeight="1" x14ac:dyDescent="0.5">
      <c r="A45" s="1947" t="s">
        <v>1287</v>
      </c>
      <c r="B45" s="1929">
        <f>'[7]létszám ei mód RM III.'!F45</f>
        <v>1</v>
      </c>
      <c r="C45" s="1930">
        <f>'[7]létszám ei mód RM III.'!G45</f>
        <v>1</v>
      </c>
      <c r="D45" s="1948">
        <f>'[7]létszám ei mód RM III.'!L45</f>
        <v>15</v>
      </c>
      <c r="E45" s="1941">
        <f>'[7]létszám ei mód RM III.'!M45</f>
        <v>15</v>
      </c>
      <c r="F45" s="1940">
        <f t="shared" ref="F45:G46" si="5">B45+D45</f>
        <v>16</v>
      </c>
      <c r="G45" s="1941">
        <f t="shared" si="5"/>
        <v>16</v>
      </c>
      <c r="I45" s="1910"/>
    </row>
    <row r="46" spans="1:9" s="1922" customFormat="1" ht="45" customHeight="1" thickBot="1" x14ac:dyDescent="0.55000000000000004">
      <c r="A46" s="1949" t="s">
        <v>47</v>
      </c>
      <c r="B46" s="1926">
        <f>'[7]létszám ei mód RM III.'!F46</f>
        <v>280.5</v>
      </c>
      <c r="C46" s="1927">
        <f>'[7]létszám ei mód RM III.'!G46</f>
        <v>281</v>
      </c>
      <c r="D46" s="1942">
        <f>'[7]létszám ei mód RM III.'!L46</f>
        <v>0</v>
      </c>
      <c r="E46" s="1927">
        <f>'[7]létszám ei mód RM III.'!M46</f>
        <v>0</v>
      </c>
      <c r="F46" s="1942">
        <f t="shared" si="5"/>
        <v>280.5</v>
      </c>
      <c r="G46" s="1927">
        <f t="shared" si="5"/>
        <v>281</v>
      </c>
      <c r="I46" s="1910"/>
    </row>
    <row r="47" spans="1:9" s="1922" customFormat="1" ht="44.25" customHeight="1" thickBot="1" x14ac:dyDescent="0.55000000000000004">
      <c r="A47" s="1932" t="s">
        <v>1279</v>
      </c>
      <c r="B47" s="1950">
        <f t="shared" ref="B47:G47" si="6">SUM(B45:B46)</f>
        <v>281.5</v>
      </c>
      <c r="C47" s="1951">
        <f t="shared" si="6"/>
        <v>282</v>
      </c>
      <c r="D47" s="1950">
        <f t="shared" si="6"/>
        <v>15</v>
      </c>
      <c r="E47" s="1951">
        <f t="shared" si="6"/>
        <v>15</v>
      </c>
      <c r="F47" s="1950">
        <f t="shared" si="6"/>
        <v>296.5</v>
      </c>
      <c r="G47" s="1951">
        <f t="shared" si="6"/>
        <v>297</v>
      </c>
      <c r="I47" s="1910"/>
    </row>
    <row r="48" spans="1:9" s="1922" customFormat="1" ht="44.25" customHeight="1" thickBot="1" x14ac:dyDescent="0.55000000000000004">
      <c r="A48" s="1952" t="s">
        <v>1288</v>
      </c>
      <c r="B48" s="1950">
        <f t="shared" ref="B48:G48" si="7">B37+B39+B41+B43+B47</f>
        <v>887.76</v>
      </c>
      <c r="C48" s="1951">
        <f t="shared" si="7"/>
        <v>888</v>
      </c>
      <c r="D48" s="1950">
        <f t="shared" si="7"/>
        <v>187.995</v>
      </c>
      <c r="E48" s="1951">
        <f t="shared" si="7"/>
        <v>188</v>
      </c>
      <c r="F48" s="1950">
        <f t="shared" si="7"/>
        <v>1075.7550000000001</v>
      </c>
      <c r="G48" s="1951">
        <f t="shared" si="7"/>
        <v>1076</v>
      </c>
      <c r="I48" s="1910"/>
    </row>
    <row r="49" spans="1:22" s="1922" customFormat="1" ht="44.25" customHeight="1" thickBot="1" x14ac:dyDescent="0.55000000000000004">
      <c r="A49" s="1953" t="s">
        <v>1289</v>
      </c>
      <c r="B49" s="1950">
        <f t="shared" ref="B49:G49" si="8">B29+B48</f>
        <v>1279.76</v>
      </c>
      <c r="C49" s="1951">
        <f t="shared" si="8"/>
        <v>1280</v>
      </c>
      <c r="D49" s="1950">
        <f t="shared" si="8"/>
        <v>250.495</v>
      </c>
      <c r="E49" s="1951">
        <f t="shared" si="8"/>
        <v>250</v>
      </c>
      <c r="F49" s="1950">
        <f t="shared" si="8"/>
        <v>1530.2550000000001</v>
      </c>
      <c r="G49" s="1951">
        <f t="shared" si="8"/>
        <v>1530</v>
      </c>
      <c r="I49" s="1910"/>
    </row>
    <row r="50" spans="1:22" s="1876" customFormat="1" x14ac:dyDescent="0.5">
      <c r="A50" s="1873"/>
      <c r="B50" s="1874"/>
      <c r="C50" s="1875"/>
      <c r="I50" s="1877"/>
    </row>
    <row r="51" spans="1:22" s="1871" customFormat="1" x14ac:dyDescent="0.5">
      <c r="A51" s="1878"/>
      <c r="E51" s="1872"/>
      <c r="F51" s="1879"/>
      <c r="G51" s="1879"/>
      <c r="I51" s="1880"/>
    </row>
    <row r="52" spans="1:22" s="1871" customFormat="1" x14ac:dyDescent="0.5">
      <c r="A52" s="1878"/>
      <c r="E52" s="1872"/>
      <c r="F52" s="1872"/>
      <c r="G52" s="1872"/>
      <c r="I52" s="1880"/>
    </row>
    <row r="53" spans="1:22" s="1876" customFormat="1" ht="35.25" x14ac:dyDescent="0.5">
      <c r="A53" s="1881"/>
      <c r="B53" s="1882"/>
      <c r="C53" s="1883"/>
      <c r="E53" s="1884"/>
      <c r="F53" s="1884"/>
      <c r="G53" s="1885"/>
      <c r="I53" s="1877"/>
    </row>
    <row r="54" spans="1:22" x14ac:dyDescent="0.5">
      <c r="B54" s="1886"/>
      <c r="C54" s="1887"/>
    </row>
    <row r="56" spans="1:22" s="1871" customFormat="1" ht="35.25" x14ac:dyDescent="0.5">
      <c r="A56" s="1888"/>
      <c r="B56" s="1882"/>
      <c r="C56" s="1883"/>
      <c r="D56" s="1883"/>
      <c r="E56" s="1889"/>
      <c r="F56" s="1889"/>
      <c r="G56" s="1889"/>
      <c r="H56" s="1889"/>
      <c r="I56" s="1890"/>
      <c r="O56" s="1872"/>
      <c r="P56" s="1872"/>
      <c r="Q56" s="1872"/>
      <c r="V56" s="1880"/>
    </row>
    <row r="57" spans="1:22" s="1871" customFormat="1" ht="35.25" x14ac:dyDescent="0.5">
      <c r="A57" s="1881"/>
      <c r="B57" s="1882"/>
      <c r="C57" s="1891"/>
      <c r="D57" s="1883"/>
      <c r="E57" s="1889"/>
      <c r="F57" s="1889"/>
      <c r="G57" s="1889"/>
      <c r="H57" s="1889"/>
      <c r="I57" s="1890"/>
      <c r="O57" s="1872"/>
      <c r="P57" s="1872"/>
      <c r="Q57" s="1872"/>
      <c r="V57" s="1880"/>
    </row>
    <row r="58" spans="1:22" s="1871" customFormat="1" ht="35.25" x14ac:dyDescent="0.5">
      <c r="A58" s="1881"/>
      <c r="B58" s="1882"/>
      <c r="C58" s="1891"/>
      <c r="D58" s="1883"/>
      <c r="E58" s="1889"/>
      <c r="F58" s="1889"/>
      <c r="G58" s="1889"/>
      <c r="H58" s="1889"/>
      <c r="I58" s="1892"/>
      <c r="O58" s="1872"/>
      <c r="P58" s="1872"/>
      <c r="Q58" s="1872"/>
      <c r="V58" s="1880"/>
    </row>
    <row r="59" spans="1:22" s="1871" customFormat="1" ht="35.25" x14ac:dyDescent="0.5">
      <c r="A59" s="1883"/>
      <c r="B59" s="1882"/>
      <c r="C59" s="1883"/>
      <c r="D59" s="1883"/>
      <c r="E59" s="1889"/>
      <c r="F59" s="1889"/>
      <c r="G59" s="1889"/>
      <c r="H59" s="1889"/>
      <c r="I59" s="1890"/>
      <c r="O59" s="1872"/>
      <c r="P59" s="1872"/>
      <c r="Q59" s="1872"/>
      <c r="V59" s="1880"/>
    </row>
  </sheetData>
  <mergeCells count="9">
    <mergeCell ref="B6:C6"/>
    <mergeCell ref="D6:E6"/>
    <mergeCell ref="A1:G1"/>
    <mergeCell ref="A2:G2"/>
    <mergeCell ref="B3:E3"/>
    <mergeCell ref="B4:E4"/>
    <mergeCell ref="F4:G5"/>
    <mergeCell ref="B5:C5"/>
    <mergeCell ref="D5:E5"/>
  </mergeCells>
  <printOptions horizontalCentered="1" verticalCentered="1"/>
  <pageMargins left="0.39370078740157483" right="0" top="0" bottom="0" header="0.59055118110236227" footer="0"/>
  <pageSetup paperSize="9" scale="25" orientation="portrait" r:id="rId1"/>
  <headerFooter alignWithMargins="0">
    <oddHeader xml:space="preserve">&amp;R&amp;30 &amp;"Times New Roman CE,Félkövér"7. melléklet a .../2022. (........) önkormányzati rendelethez 
</oddHeader>
  </headerFooter>
  <rowBreaks count="1" manualBreakCount="1">
    <brk id="49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/>
  <dimension ref="B1:G42"/>
  <sheetViews>
    <sheetView zoomScale="75" zoomScaleNormal="75" zoomScaleSheetLayoutView="75" workbookViewId="0">
      <selection activeCell="R13" sqref="R13"/>
    </sheetView>
  </sheetViews>
  <sheetFormatPr defaultColWidth="9.33203125" defaultRowHeight="15" customHeight="1" x14ac:dyDescent="0.2"/>
  <cols>
    <col min="1" max="1" width="9.33203125" style="10"/>
    <col min="2" max="2" width="14.1640625" style="10" customWidth="1"/>
    <col min="3" max="3" width="117.83203125" style="10" customWidth="1"/>
    <col min="4" max="7" width="27.33203125" style="10" customWidth="1"/>
    <col min="8" max="16384" width="9.33203125" style="10"/>
  </cols>
  <sheetData>
    <row r="1" spans="2:7" ht="15" customHeight="1" x14ac:dyDescent="0.25">
      <c r="C1" s="2436"/>
      <c r="D1" s="2436"/>
    </row>
    <row r="2" spans="2:7" ht="24.75" customHeight="1" x14ac:dyDescent="0.35">
      <c r="C2" s="2439" t="s">
        <v>23</v>
      </c>
      <c r="D2" s="2439"/>
      <c r="E2" s="2439"/>
      <c r="F2" s="2439"/>
      <c r="G2" s="2439"/>
    </row>
    <row r="3" spans="2:7" ht="15" customHeight="1" x14ac:dyDescent="0.25">
      <c r="C3" s="171"/>
      <c r="D3" s="171"/>
    </row>
    <row r="4" spans="2:7" ht="24.75" customHeight="1" thickBot="1" x14ac:dyDescent="0.35">
      <c r="C4" s="289" t="s">
        <v>158</v>
      </c>
      <c r="D4" s="530"/>
      <c r="E4" s="530"/>
      <c r="F4" s="530"/>
      <c r="G4" s="958" t="s">
        <v>19</v>
      </c>
    </row>
    <row r="5" spans="2:7" ht="24.75" customHeight="1" x14ac:dyDescent="0.25">
      <c r="C5" s="531" t="s">
        <v>33</v>
      </c>
      <c r="D5" s="2437" t="s">
        <v>514</v>
      </c>
      <c r="E5" s="2438"/>
      <c r="F5" s="422" t="s">
        <v>410</v>
      </c>
      <c r="G5" s="423" t="s">
        <v>107</v>
      </c>
    </row>
    <row r="6" spans="2:7" ht="30.75" customHeight="1" thickBot="1" x14ac:dyDescent="0.3">
      <c r="C6" s="532"/>
      <c r="D6" s="426" t="s">
        <v>213</v>
      </c>
      <c r="E6" s="426" t="s">
        <v>105</v>
      </c>
      <c r="F6" s="428" t="s">
        <v>106</v>
      </c>
      <c r="G6" s="429" t="s">
        <v>108</v>
      </c>
    </row>
    <row r="7" spans="2:7" ht="24.75" customHeight="1" x14ac:dyDescent="0.25">
      <c r="C7" s="568" t="s">
        <v>87</v>
      </c>
      <c r="D7" s="966">
        <v>1899899</v>
      </c>
      <c r="E7" s="966">
        <v>1950053</v>
      </c>
      <c r="F7" s="546">
        <v>1779944</v>
      </c>
      <c r="G7" s="547">
        <f t="shared" ref="G7:G8" si="0">+F7/E7*100</f>
        <v>91.276698633319199</v>
      </c>
    </row>
    <row r="8" spans="2:7" ht="24.75" customHeight="1" x14ac:dyDescent="0.25">
      <c r="C8" s="535" t="s">
        <v>144</v>
      </c>
      <c r="D8" s="536">
        <v>1387679</v>
      </c>
      <c r="E8" s="536">
        <v>1429321</v>
      </c>
      <c r="F8" s="537">
        <v>1222700</v>
      </c>
      <c r="G8" s="534">
        <f t="shared" si="0"/>
        <v>85.544115002858007</v>
      </c>
    </row>
    <row r="9" spans="2:7" ht="24.75" customHeight="1" x14ac:dyDescent="0.25">
      <c r="C9" s="538"/>
      <c r="D9" s="539"/>
      <c r="E9" s="539"/>
      <c r="F9" s="540"/>
      <c r="G9" s="541"/>
    </row>
    <row r="10" spans="2:7" ht="24.75" customHeight="1" thickBot="1" x14ac:dyDescent="0.3">
      <c r="C10" s="542" t="s">
        <v>12</v>
      </c>
      <c r="D10" s="543">
        <f>SUM(D7:D9)</f>
        <v>3287578</v>
      </c>
      <c r="E10" s="543">
        <f>SUM(E7:E9)</f>
        <v>3379374</v>
      </c>
      <c r="F10" s="543">
        <f>SUM(F7:F9)</f>
        <v>3002644</v>
      </c>
      <c r="G10" s="544">
        <f>+F10/E10*100</f>
        <v>88.85207733740036</v>
      </c>
    </row>
    <row r="11" spans="2:7" ht="42.75" customHeight="1" x14ac:dyDescent="0.25">
      <c r="B11" s="1041"/>
      <c r="C11" s="545" t="s">
        <v>414</v>
      </c>
      <c r="D11" s="546">
        <v>30000</v>
      </c>
      <c r="E11" s="546">
        <v>42099</v>
      </c>
      <c r="F11" s="546"/>
      <c r="G11" s="547">
        <f>+F11/E11*100</f>
        <v>0</v>
      </c>
    </row>
    <row r="12" spans="2:7" ht="41.25" customHeight="1" x14ac:dyDescent="0.25">
      <c r="B12" s="1041"/>
      <c r="C12" s="1049" t="s">
        <v>316</v>
      </c>
      <c r="D12" s="1043">
        <v>7034</v>
      </c>
      <c r="E12" s="1043">
        <v>14304</v>
      </c>
      <c r="F12" s="1043">
        <v>7152</v>
      </c>
      <c r="G12" s="541">
        <f>+F12/E12*100</f>
        <v>50</v>
      </c>
    </row>
    <row r="13" spans="2:7" ht="33" customHeight="1" x14ac:dyDescent="0.25">
      <c r="B13" s="1041"/>
      <c r="C13" s="548" t="s">
        <v>317</v>
      </c>
      <c r="D13" s="533">
        <v>4000</v>
      </c>
      <c r="E13" s="533">
        <v>4000</v>
      </c>
      <c r="F13" s="533"/>
      <c r="G13" s="534">
        <f t="shared" ref="G13:G24" si="1">+F13/E13*100</f>
        <v>0</v>
      </c>
    </row>
    <row r="14" spans="2:7" ht="45" customHeight="1" x14ac:dyDescent="0.25">
      <c r="B14" s="1041"/>
      <c r="C14" s="549" t="s">
        <v>134</v>
      </c>
      <c r="D14" s="550"/>
      <c r="E14" s="550">
        <v>468</v>
      </c>
      <c r="F14" s="551">
        <v>400</v>
      </c>
      <c r="G14" s="541">
        <f t="shared" si="1"/>
        <v>85.470085470085465</v>
      </c>
    </row>
    <row r="15" spans="2:7" ht="34.5" customHeight="1" x14ac:dyDescent="0.25">
      <c r="B15" s="1041"/>
      <c r="C15" s="549" t="s">
        <v>629</v>
      </c>
      <c r="D15" s="550">
        <v>500</v>
      </c>
      <c r="E15" s="550">
        <v>500</v>
      </c>
      <c r="F15" s="551"/>
      <c r="G15" s="541">
        <f t="shared" si="1"/>
        <v>0</v>
      </c>
    </row>
    <row r="16" spans="2:7" ht="33" customHeight="1" x14ac:dyDescent="0.25">
      <c r="B16" s="1041"/>
      <c r="C16" s="548" t="s">
        <v>247</v>
      </c>
      <c r="D16" s="533">
        <v>4000</v>
      </c>
      <c r="E16" s="533">
        <v>0</v>
      </c>
      <c r="F16" s="533"/>
      <c r="G16" s="534"/>
    </row>
    <row r="17" spans="2:7" ht="24.75" customHeight="1" x14ac:dyDescent="0.25">
      <c r="B17" s="1041"/>
      <c r="C17" s="549" t="s">
        <v>70</v>
      </c>
      <c r="D17" s="550"/>
      <c r="E17" s="550">
        <v>4941</v>
      </c>
      <c r="F17" s="551">
        <v>4551</v>
      </c>
      <c r="G17" s="541">
        <f t="shared" si="1"/>
        <v>92.106860959319974</v>
      </c>
    </row>
    <row r="18" spans="2:7" ht="24.75" customHeight="1" x14ac:dyDescent="0.25">
      <c r="B18" s="1041"/>
      <c r="C18" s="549" t="s">
        <v>100</v>
      </c>
      <c r="D18" s="550">
        <v>1250</v>
      </c>
      <c r="E18" s="550">
        <v>1250</v>
      </c>
      <c r="F18" s="551">
        <v>250</v>
      </c>
      <c r="G18" s="541">
        <f t="shared" si="1"/>
        <v>20</v>
      </c>
    </row>
    <row r="19" spans="2:7" ht="24.75" customHeight="1" x14ac:dyDescent="0.25">
      <c r="B19" s="1041"/>
      <c r="C19" s="549" t="s">
        <v>110</v>
      </c>
      <c r="D19" s="550">
        <v>9350</v>
      </c>
      <c r="E19" s="550">
        <v>9350</v>
      </c>
      <c r="F19" s="551">
        <v>9050</v>
      </c>
      <c r="G19" s="541">
        <f t="shared" si="1"/>
        <v>96.791443850267385</v>
      </c>
    </row>
    <row r="20" spans="2:7" ht="24.75" customHeight="1" x14ac:dyDescent="0.25">
      <c r="B20" s="1041"/>
      <c r="C20" s="549" t="s">
        <v>1</v>
      </c>
      <c r="D20" s="550">
        <v>600</v>
      </c>
      <c r="E20" s="550">
        <v>650</v>
      </c>
      <c r="F20" s="550">
        <v>650</v>
      </c>
      <c r="G20" s="541">
        <f t="shared" si="1"/>
        <v>100</v>
      </c>
    </row>
    <row r="21" spans="2:7" ht="37.5" customHeight="1" x14ac:dyDescent="0.25">
      <c r="B21" s="1041"/>
      <c r="C21" s="72" t="s">
        <v>17</v>
      </c>
      <c r="D21" s="550">
        <v>500</v>
      </c>
      <c r="E21" s="550">
        <v>382</v>
      </c>
      <c r="F21" s="551">
        <v>255</v>
      </c>
      <c r="G21" s="541">
        <f t="shared" si="1"/>
        <v>66.753926701570677</v>
      </c>
    </row>
    <row r="22" spans="2:7" ht="24.75" customHeight="1" x14ac:dyDescent="0.25">
      <c r="C22" s="552" t="s">
        <v>630</v>
      </c>
      <c r="D22" s="550">
        <v>5000</v>
      </c>
      <c r="E22" s="550">
        <v>15000</v>
      </c>
      <c r="F22" s="553">
        <v>10000</v>
      </c>
      <c r="G22" s="541">
        <f t="shared" si="1"/>
        <v>66.666666666666657</v>
      </c>
    </row>
    <row r="23" spans="2:7" ht="41.25" customHeight="1" x14ac:dyDescent="0.25">
      <c r="C23" s="1040" t="s">
        <v>95</v>
      </c>
      <c r="D23" s="550">
        <v>2050</v>
      </c>
      <c r="E23" s="550">
        <v>2050</v>
      </c>
      <c r="F23" s="550"/>
      <c r="G23" s="1080">
        <f t="shared" si="1"/>
        <v>0</v>
      </c>
    </row>
    <row r="24" spans="2:7" ht="36.75" customHeight="1" x14ac:dyDescent="0.25">
      <c r="C24" s="554" t="s">
        <v>369</v>
      </c>
      <c r="D24" s="555"/>
      <c r="E24" s="555">
        <v>300</v>
      </c>
      <c r="F24" s="555">
        <v>15</v>
      </c>
      <c r="G24" s="541">
        <f t="shared" si="1"/>
        <v>5</v>
      </c>
    </row>
    <row r="25" spans="2:7" ht="24.75" customHeight="1" thickBot="1" x14ac:dyDescent="0.3">
      <c r="C25" s="556" t="s">
        <v>318</v>
      </c>
      <c r="D25" s="543">
        <f>SUM(D11:D24)</f>
        <v>64284</v>
      </c>
      <c r="E25" s="543">
        <f>SUM(E11:E24)</f>
        <v>95294</v>
      </c>
      <c r="F25" s="543">
        <f>SUM(F11:F24)</f>
        <v>32323</v>
      </c>
      <c r="G25" s="557">
        <f>+F25/E25*100</f>
        <v>33.919239406468407</v>
      </c>
    </row>
    <row r="26" spans="2:7" s="18" customFormat="1" ht="24.75" customHeight="1" thickBot="1" x14ac:dyDescent="0.3">
      <c r="C26" s="558" t="s">
        <v>422</v>
      </c>
      <c r="D26" s="559">
        <f>D10+D25</f>
        <v>3351862</v>
      </c>
      <c r="E26" s="559">
        <f>E10+E25</f>
        <v>3474668</v>
      </c>
      <c r="F26" s="559">
        <f>F10+F25</f>
        <v>3034967</v>
      </c>
      <c r="G26" s="560">
        <f>+F26/E26*100</f>
        <v>87.345524809852336</v>
      </c>
    </row>
    <row r="27" spans="2:7" ht="24.75" customHeight="1" x14ac:dyDescent="0.25">
      <c r="C27" s="562"/>
      <c r="D27" s="563"/>
      <c r="E27" s="147"/>
      <c r="F27" s="147"/>
      <c r="G27" s="147"/>
    </row>
    <row r="28" spans="2:7" ht="24.75" customHeight="1" x14ac:dyDescent="0.25">
      <c r="C28" s="147"/>
      <c r="D28" s="563"/>
      <c r="E28" s="563"/>
      <c r="F28" s="563"/>
      <c r="G28" s="147"/>
    </row>
    <row r="29" spans="2:7" ht="24.75" customHeight="1" thickBot="1" x14ac:dyDescent="0.35">
      <c r="C29" s="56" t="s">
        <v>20</v>
      </c>
      <c r="D29" s="290"/>
      <c r="E29" s="290"/>
      <c r="F29" s="147"/>
      <c r="G29" s="290"/>
    </row>
    <row r="30" spans="2:7" ht="24.75" customHeight="1" x14ac:dyDescent="0.25">
      <c r="C30" s="564" t="s">
        <v>33</v>
      </c>
      <c r="D30" s="2437" t="s">
        <v>514</v>
      </c>
      <c r="E30" s="2438"/>
      <c r="F30" s="422" t="s">
        <v>410</v>
      </c>
      <c r="G30" s="565" t="s">
        <v>107</v>
      </c>
    </row>
    <row r="31" spans="2:7" ht="24.75" customHeight="1" thickBot="1" x14ac:dyDescent="0.3">
      <c r="C31" s="566"/>
      <c r="D31" s="426" t="s">
        <v>213</v>
      </c>
      <c r="E31" s="426" t="s">
        <v>105</v>
      </c>
      <c r="F31" s="428" t="s">
        <v>106</v>
      </c>
      <c r="G31" s="567" t="s">
        <v>108</v>
      </c>
    </row>
    <row r="32" spans="2:7" ht="24.75" customHeight="1" x14ac:dyDescent="0.25">
      <c r="C32" s="568" t="s">
        <v>87</v>
      </c>
      <c r="D32" s="546"/>
      <c r="E32" s="569">
        <v>51862</v>
      </c>
      <c r="F32" s="570">
        <v>41953</v>
      </c>
      <c r="G32" s="571">
        <f t="shared" ref="G32:G34" si="2">+F32/E32*100</f>
        <v>80.893525124368509</v>
      </c>
    </row>
    <row r="33" spans="3:7" ht="24.75" customHeight="1" x14ac:dyDescent="0.25">
      <c r="C33" s="535" t="s">
        <v>144</v>
      </c>
      <c r="D33" s="572"/>
      <c r="E33" s="573">
        <v>73677</v>
      </c>
      <c r="F33" s="573">
        <v>63560</v>
      </c>
      <c r="G33" s="574">
        <f t="shared" si="2"/>
        <v>86.268441983251222</v>
      </c>
    </row>
    <row r="34" spans="3:7" ht="24.75" customHeight="1" thickBot="1" x14ac:dyDescent="0.3">
      <c r="C34" s="542" t="s">
        <v>423</v>
      </c>
      <c r="D34" s="575">
        <f>SUM(D32:D33)</f>
        <v>0</v>
      </c>
      <c r="E34" s="575">
        <f>SUM(E32:E33)</f>
        <v>125539</v>
      </c>
      <c r="F34" s="575">
        <f>SUM(F32:F33)</f>
        <v>105513</v>
      </c>
      <c r="G34" s="576">
        <f t="shared" si="2"/>
        <v>84.047985088299242</v>
      </c>
    </row>
    <row r="35" spans="3:7" ht="15" customHeight="1" thickBot="1" x14ac:dyDescent="0.3">
      <c r="C35" s="156"/>
      <c r="D35" s="577"/>
      <c r="E35" s="577"/>
      <c r="F35" s="578"/>
      <c r="G35" s="579"/>
    </row>
    <row r="36" spans="3:7" ht="24.75" customHeight="1" thickBot="1" x14ac:dyDescent="0.3">
      <c r="C36" s="73" t="s">
        <v>424</v>
      </c>
      <c r="D36" s="561">
        <f>+D26+D34</f>
        <v>3351862</v>
      </c>
      <c r="E36" s="561">
        <f>+E26+E34</f>
        <v>3600207</v>
      </c>
      <c r="F36" s="561">
        <f>+F34+F26</f>
        <v>3140480</v>
      </c>
      <c r="G36" s="580">
        <f>+F36/E36*100</f>
        <v>87.230539799517075</v>
      </c>
    </row>
    <row r="38" spans="3:7" ht="15" customHeight="1" x14ac:dyDescent="0.2">
      <c r="F38" s="5"/>
    </row>
    <row r="39" spans="3:7" ht="15" customHeight="1" x14ac:dyDescent="0.2">
      <c r="E39" s="17"/>
      <c r="F39" s="5"/>
    </row>
    <row r="40" spans="3:7" ht="15" customHeight="1" x14ac:dyDescent="0.2">
      <c r="F40" s="5"/>
    </row>
    <row r="42" spans="3:7" ht="15" customHeight="1" x14ac:dyDescent="0.2">
      <c r="F42" s="5"/>
    </row>
  </sheetData>
  <mergeCells count="4">
    <mergeCell ref="C1:D1"/>
    <mergeCell ref="D5:E5"/>
    <mergeCell ref="D30:E30"/>
    <mergeCell ref="C2:G2"/>
  </mergeCells>
  <phoneticPr fontId="0" type="noConversion"/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50" orientation="portrait" r:id="rId1"/>
  <headerFooter alignWithMargins="0">
    <oddHeader xml:space="preserve">&amp;C&amp;"Times New Roman CE,Félkövér"&amp;14
&amp;R&amp;"Arial,Félkövér"&amp;16 8. melléklet  a .../2022. (........) önkormányzati rendelethez &amp;"Arial,Normál"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3"/>
  <dimension ref="A1:L127"/>
  <sheetViews>
    <sheetView zoomScale="75" zoomScaleNormal="75" zoomScaleSheetLayoutView="75" workbookViewId="0">
      <selection activeCell="H67" sqref="H67"/>
    </sheetView>
  </sheetViews>
  <sheetFormatPr defaultColWidth="9.33203125" defaultRowHeight="15" customHeight="1" x14ac:dyDescent="0.2"/>
  <cols>
    <col min="1" max="1" width="12.5" style="10" bestFit="1" customWidth="1"/>
    <col min="2" max="2" width="136.83203125" style="10" customWidth="1"/>
    <col min="3" max="6" width="27.83203125" style="10" customWidth="1"/>
    <col min="7" max="7" width="26.6640625" style="5" customWidth="1"/>
    <col min="8" max="8" width="21" style="5" bestFit="1" customWidth="1"/>
    <col min="9" max="9" width="21.6640625" style="5" customWidth="1"/>
    <col min="10" max="10" width="59" style="5" customWidth="1"/>
    <col min="11" max="12" width="59" style="962" customWidth="1"/>
    <col min="13" max="16384" width="9.33203125" style="10"/>
  </cols>
  <sheetData>
    <row r="1" spans="2:12" ht="15" customHeight="1" x14ac:dyDescent="0.25">
      <c r="B1" s="16"/>
    </row>
    <row r="2" spans="2:12" ht="24" customHeight="1" x14ac:dyDescent="0.35">
      <c r="B2" s="2442" t="s">
        <v>340</v>
      </c>
      <c r="C2" s="2442"/>
      <c r="D2" s="2442"/>
      <c r="E2" s="2442"/>
      <c r="F2" s="2442"/>
    </row>
    <row r="3" spans="2:12" ht="15" customHeight="1" x14ac:dyDescent="0.25">
      <c r="B3" s="16"/>
      <c r="C3" s="16"/>
    </row>
    <row r="4" spans="2:12" ht="24.75" customHeight="1" thickBot="1" x14ac:dyDescent="0.35">
      <c r="B4" s="289" t="s">
        <v>158</v>
      </c>
      <c r="C4" s="290"/>
      <c r="D4" s="147"/>
      <c r="E4" s="147"/>
      <c r="F4" s="958" t="s">
        <v>19</v>
      </c>
    </row>
    <row r="5" spans="2:12" ht="24.75" customHeight="1" x14ac:dyDescent="0.25">
      <c r="B5" s="482" t="s">
        <v>33</v>
      </c>
      <c r="C5" s="2440" t="s">
        <v>514</v>
      </c>
      <c r="D5" s="2440"/>
      <c r="E5" s="664" t="s">
        <v>410</v>
      </c>
      <c r="F5" s="665" t="s">
        <v>107</v>
      </c>
    </row>
    <row r="6" spans="2:12" ht="24.75" customHeight="1" thickBot="1" x14ac:dyDescent="0.3">
      <c r="B6" s="291"/>
      <c r="C6" s="666" t="s">
        <v>213</v>
      </c>
      <c r="D6" s="667" t="s">
        <v>105</v>
      </c>
      <c r="E6" s="668" t="s">
        <v>106</v>
      </c>
      <c r="F6" s="669" t="s">
        <v>108</v>
      </c>
    </row>
    <row r="7" spans="2:12" s="19" customFormat="1" ht="17.100000000000001" customHeight="1" x14ac:dyDescent="0.25">
      <c r="B7" s="41" t="s">
        <v>77</v>
      </c>
      <c r="C7" s="42"/>
      <c r="D7" s="42"/>
      <c r="E7" s="42"/>
      <c r="F7" s="42"/>
      <c r="G7" s="5"/>
      <c r="H7" s="5"/>
      <c r="I7" s="5"/>
      <c r="J7" s="5"/>
      <c r="K7" s="962"/>
      <c r="L7" s="962"/>
    </row>
    <row r="8" spans="2:12" ht="24.95" customHeight="1" x14ac:dyDescent="0.25">
      <c r="B8" s="582" t="s">
        <v>78</v>
      </c>
      <c r="C8" s="583"/>
      <c r="D8" s="583"/>
      <c r="E8" s="583"/>
      <c r="F8" s="584"/>
    </row>
    <row r="9" spans="2:12" ht="25.5" customHeight="1" x14ac:dyDescent="0.25">
      <c r="B9" s="585" t="s">
        <v>378</v>
      </c>
      <c r="C9" s="586">
        <v>84254</v>
      </c>
      <c r="D9" s="586">
        <v>114709</v>
      </c>
      <c r="E9" s="586">
        <f>367749-E10-E11</f>
        <v>114707</v>
      </c>
      <c r="F9" s="587">
        <f t="shared" ref="F9:F11" si="0">+E9/D9*100</f>
        <v>99.998256457644999</v>
      </c>
    </row>
    <row r="10" spans="2:12" ht="24.95" customHeight="1" x14ac:dyDescent="0.25">
      <c r="B10" s="588" t="s">
        <v>379</v>
      </c>
      <c r="C10" s="589">
        <v>224317</v>
      </c>
      <c r="D10" s="589">
        <v>146005</v>
      </c>
      <c r="E10" s="589">
        <v>146005</v>
      </c>
      <c r="F10" s="587">
        <f t="shared" si="0"/>
        <v>100</v>
      </c>
    </row>
    <row r="11" spans="2:12" ht="24.95" customHeight="1" thickBot="1" x14ac:dyDescent="0.3">
      <c r="B11" s="588" t="s">
        <v>558</v>
      </c>
      <c r="C11" s="589"/>
      <c r="D11" s="589">
        <v>107037</v>
      </c>
      <c r="E11" s="589">
        <v>107037</v>
      </c>
      <c r="F11" s="587">
        <f t="shared" si="0"/>
        <v>100</v>
      </c>
    </row>
    <row r="12" spans="2:12" ht="24.95" customHeight="1" thickBot="1" x14ac:dyDescent="0.3">
      <c r="B12" s="590" t="s">
        <v>319</v>
      </c>
      <c r="C12" s="591">
        <f>SUM(C9:C11)</f>
        <v>308571</v>
      </c>
      <c r="D12" s="591">
        <f>SUM(D9:D11)</f>
        <v>367751</v>
      </c>
      <c r="E12" s="591">
        <f t="shared" ref="E12" si="1">SUM(E9:E11)</f>
        <v>367749</v>
      </c>
      <c r="F12" s="592">
        <f>+E12/D12*100</f>
        <v>99.999456153756199</v>
      </c>
    </row>
    <row r="13" spans="2:12" ht="24.95" customHeight="1" x14ac:dyDescent="0.25">
      <c r="B13" s="588" t="s">
        <v>380</v>
      </c>
      <c r="C13" s="589">
        <v>43672</v>
      </c>
      <c r="D13" s="589">
        <v>67694</v>
      </c>
      <c r="E13" s="589">
        <f>143440-E14-E15-E16</f>
        <v>46178</v>
      </c>
      <c r="F13" s="587">
        <f t="shared" ref="F13:F16" si="2">+E13/D13*100</f>
        <v>68.215794605134874</v>
      </c>
    </row>
    <row r="14" spans="2:12" ht="24.95" customHeight="1" x14ac:dyDescent="0.25">
      <c r="B14" s="588" t="s">
        <v>283</v>
      </c>
      <c r="C14" s="589">
        <v>25400</v>
      </c>
      <c r="D14" s="589">
        <v>42080</v>
      </c>
      <c r="E14" s="589">
        <v>42080</v>
      </c>
      <c r="F14" s="587">
        <f t="shared" si="2"/>
        <v>100</v>
      </c>
    </row>
    <row r="15" spans="2:12" ht="24.95" customHeight="1" x14ac:dyDescent="0.25">
      <c r="B15" s="601" t="s">
        <v>500</v>
      </c>
      <c r="C15" s="602">
        <v>53000</v>
      </c>
      <c r="D15" s="602">
        <v>53000</v>
      </c>
      <c r="E15" s="602">
        <v>53000</v>
      </c>
      <c r="F15" s="603">
        <f t="shared" si="2"/>
        <v>100</v>
      </c>
    </row>
    <row r="16" spans="2:12" ht="24.95" customHeight="1" thickBot="1" x14ac:dyDescent="0.3">
      <c r="B16" s="595" t="s">
        <v>559</v>
      </c>
      <c r="C16" s="596"/>
      <c r="D16" s="596">
        <v>2182</v>
      </c>
      <c r="E16" s="596">
        <v>2182</v>
      </c>
      <c r="F16" s="594">
        <f t="shared" si="2"/>
        <v>100</v>
      </c>
    </row>
    <row r="17" spans="2:6" ht="24.95" customHeight="1" thickBot="1" x14ac:dyDescent="0.3">
      <c r="B17" s="597" t="s">
        <v>252</v>
      </c>
      <c r="C17" s="591">
        <f>SUM(C13:C16)</f>
        <v>122072</v>
      </c>
      <c r="D17" s="591">
        <f>SUM(D13:D16)</f>
        <v>164956</v>
      </c>
      <c r="E17" s="591">
        <f>SUM(E13:E16)</f>
        <v>143440</v>
      </c>
      <c r="F17" s="592">
        <f>+E17/D17*100</f>
        <v>86.956521739130437</v>
      </c>
    </row>
    <row r="18" spans="2:6" ht="24.75" customHeight="1" x14ac:dyDescent="0.25">
      <c r="B18" s="598" t="s">
        <v>381</v>
      </c>
      <c r="C18" s="599">
        <v>100842</v>
      </c>
      <c r="D18" s="599">
        <v>202964</v>
      </c>
      <c r="E18" s="599">
        <f>519211-E19-E20-E21</f>
        <v>0</v>
      </c>
      <c r="F18" s="600">
        <f t="shared" ref="F18:F21" si="3">+E18/D18*100</f>
        <v>0</v>
      </c>
    </row>
    <row r="19" spans="2:6" ht="24.95" customHeight="1" x14ac:dyDescent="0.25">
      <c r="B19" s="601" t="s">
        <v>382</v>
      </c>
      <c r="C19" s="602">
        <v>255350</v>
      </c>
      <c r="D19" s="602">
        <v>255350</v>
      </c>
      <c r="E19" s="602">
        <f>+'3 bev.részl'!I18</f>
        <v>255350</v>
      </c>
      <c r="F19" s="603">
        <f t="shared" si="3"/>
        <v>100</v>
      </c>
    </row>
    <row r="20" spans="2:6" ht="24.95" customHeight="1" x14ac:dyDescent="0.25">
      <c r="B20" s="601" t="s">
        <v>383</v>
      </c>
      <c r="C20" s="602">
        <v>68788</v>
      </c>
      <c r="D20" s="602">
        <v>186284</v>
      </c>
      <c r="E20" s="602">
        <f>186284-23389</f>
        <v>162895</v>
      </c>
      <c r="F20" s="603">
        <f t="shared" si="3"/>
        <v>87.444439672757724</v>
      </c>
    </row>
    <row r="21" spans="2:6" ht="24.95" customHeight="1" thickBot="1" x14ac:dyDescent="0.3">
      <c r="B21" s="595" t="s">
        <v>560</v>
      </c>
      <c r="C21" s="596"/>
      <c r="D21" s="596">
        <v>100966</v>
      </c>
      <c r="E21" s="596">
        <v>100966</v>
      </c>
      <c r="F21" s="604">
        <f t="shared" si="3"/>
        <v>100</v>
      </c>
    </row>
    <row r="22" spans="2:6" ht="24.95" customHeight="1" thickBot="1" x14ac:dyDescent="0.3">
      <c r="B22" s="605" t="s">
        <v>253</v>
      </c>
      <c r="C22" s="606">
        <f>SUM(C18:C20)</f>
        <v>424980</v>
      </c>
      <c r="D22" s="606">
        <f>SUM(D18:D21)</f>
        <v>745564</v>
      </c>
      <c r="E22" s="606">
        <f t="shared" ref="E22" si="4">SUM(E18:E21)</f>
        <v>519211</v>
      </c>
      <c r="F22" s="592">
        <f>+E22/D22*100</f>
        <v>69.640030902779642</v>
      </c>
    </row>
    <row r="23" spans="2:6" ht="24.75" customHeight="1" x14ac:dyDescent="0.25">
      <c r="B23" s="970" t="s">
        <v>384</v>
      </c>
      <c r="C23" s="607">
        <v>63576</v>
      </c>
      <c r="D23" s="607">
        <v>229463</v>
      </c>
      <c r="E23" s="607">
        <f>419582-E24-E25-E26</f>
        <v>153372</v>
      </c>
      <c r="F23" s="608">
        <f t="shared" ref="F23:F26" si="5">+E23/D23*100</f>
        <v>66.839534042525372</v>
      </c>
    </row>
    <row r="24" spans="2:6" ht="24.95" customHeight="1" x14ac:dyDescent="0.25">
      <c r="B24" s="609" t="s">
        <v>3</v>
      </c>
      <c r="C24" s="610">
        <v>150000</v>
      </c>
      <c r="D24" s="610">
        <v>150000</v>
      </c>
      <c r="E24" s="610">
        <f>+'3 bev.részl'!I20</f>
        <v>150000</v>
      </c>
      <c r="F24" s="611">
        <f t="shared" si="5"/>
        <v>100</v>
      </c>
    </row>
    <row r="25" spans="2:6" ht="24.95" customHeight="1" x14ac:dyDescent="0.25">
      <c r="B25" s="588" t="s">
        <v>385</v>
      </c>
      <c r="C25" s="589">
        <v>24000</v>
      </c>
      <c r="D25" s="589">
        <v>49680</v>
      </c>
      <c r="E25" s="589">
        <v>49680</v>
      </c>
      <c r="F25" s="612">
        <f t="shared" si="5"/>
        <v>100</v>
      </c>
    </row>
    <row r="26" spans="2:6" ht="24.95" customHeight="1" thickBot="1" x14ac:dyDescent="0.3">
      <c r="B26" s="588" t="s">
        <v>561</v>
      </c>
      <c r="C26" s="610"/>
      <c r="D26" s="610">
        <v>66530</v>
      </c>
      <c r="E26" s="610">
        <v>66530</v>
      </c>
      <c r="F26" s="611">
        <f t="shared" si="5"/>
        <v>100</v>
      </c>
    </row>
    <row r="27" spans="2:6" ht="24.95" customHeight="1" thickBot="1" x14ac:dyDescent="0.3">
      <c r="B27" s="590" t="s">
        <v>165</v>
      </c>
      <c r="C27" s="591">
        <f>+C25+C23+C24+C26</f>
        <v>237576</v>
      </c>
      <c r="D27" s="591">
        <f>+D25+D23+D24+D26</f>
        <v>495673</v>
      </c>
      <c r="E27" s="591">
        <f t="shared" ref="E27" si="6">+E25+E23+E24+E26</f>
        <v>419582</v>
      </c>
      <c r="F27" s="592">
        <f>+E27/D27*100</f>
        <v>84.648952030875193</v>
      </c>
    </row>
    <row r="28" spans="2:6" ht="24.95" customHeight="1" x14ac:dyDescent="0.25">
      <c r="B28" s="613" t="s">
        <v>386</v>
      </c>
      <c r="C28" s="599">
        <v>166265</v>
      </c>
      <c r="D28" s="599">
        <v>270992</v>
      </c>
      <c r="E28" s="599">
        <f>-E29+646937-E30-E31</f>
        <v>234854</v>
      </c>
      <c r="F28" s="600">
        <f t="shared" ref="F28:F31" si="7">+E28/D28*100</f>
        <v>86.664550983054852</v>
      </c>
    </row>
    <row r="29" spans="2:6" ht="24.95" customHeight="1" x14ac:dyDescent="0.25">
      <c r="B29" s="614" t="s">
        <v>387</v>
      </c>
      <c r="C29" s="602">
        <v>150760</v>
      </c>
      <c r="D29" s="602">
        <v>150760</v>
      </c>
      <c r="E29" s="602">
        <f>+'3 bev.részl'!I19</f>
        <v>150760</v>
      </c>
      <c r="F29" s="603">
        <f t="shared" si="7"/>
        <v>100</v>
      </c>
    </row>
    <row r="30" spans="2:6" ht="24.95" customHeight="1" x14ac:dyDescent="0.25">
      <c r="B30" s="614" t="s">
        <v>388</v>
      </c>
      <c r="C30" s="602">
        <v>189833</v>
      </c>
      <c r="D30" s="602">
        <v>184234</v>
      </c>
      <c r="E30" s="602">
        <v>184234</v>
      </c>
      <c r="F30" s="594">
        <f t="shared" si="7"/>
        <v>100</v>
      </c>
    </row>
    <row r="31" spans="2:6" ht="24.95" customHeight="1" thickBot="1" x14ac:dyDescent="0.3">
      <c r="B31" s="615" t="s">
        <v>562</v>
      </c>
      <c r="C31" s="596"/>
      <c r="D31" s="596">
        <v>77089</v>
      </c>
      <c r="E31" s="596">
        <v>77089</v>
      </c>
      <c r="F31" s="594">
        <f t="shared" si="7"/>
        <v>100</v>
      </c>
    </row>
    <row r="32" spans="2:6" ht="24.95" customHeight="1" thickBot="1" x14ac:dyDescent="0.3">
      <c r="B32" s="590" t="s">
        <v>2</v>
      </c>
      <c r="C32" s="591">
        <f>SUM(C28:C31)</f>
        <v>506858</v>
      </c>
      <c r="D32" s="591">
        <f>+D30+D28+D29+D31</f>
        <v>683075</v>
      </c>
      <c r="E32" s="591">
        <f t="shared" ref="E32" si="8">+E30+E28+E29+E31</f>
        <v>646937</v>
      </c>
      <c r="F32" s="592">
        <f>+E32/D32*100</f>
        <v>94.70951213263551</v>
      </c>
    </row>
    <row r="33" spans="2:12" ht="24.95" customHeight="1" thickBot="1" x14ac:dyDescent="0.3">
      <c r="B33" s="590" t="s">
        <v>341</v>
      </c>
      <c r="C33" s="591">
        <f>+C12+C17+C22+C27+C32</f>
        <v>1600057</v>
      </c>
      <c r="D33" s="591">
        <f>+D12+D17+D22+D27+D32</f>
        <v>2457019</v>
      </c>
      <c r="E33" s="591">
        <f>+E12+E17+E22+E27+E32</f>
        <v>2096919</v>
      </c>
      <c r="F33" s="592">
        <f>+E33/D33*100</f>
        <v>85.344028678654908</v>
      </c>
    </row>
    <row r="34" spans="2:12" ht="24.75" customHeight="1" x14ac:dyDescent="0.25">
      <c r="B34" s="616" t="s">
        <v>389</v>
      </c>
      <c r="C34" s="593">
        <v>202324</v>
      </c>
      <c r="D34" s="593">
        <v>186739</v>
      </c>
      <c r="E34" s="593">
        <v>186739</v>
      </c>
      <c r="F34" s="594">
        <f t="shared" ref="F34:F37" si="9">+E34/D34*100</f>
        <v>100</v>
      </c>
    </row>
    <row r="35" spans="2:12" ht="24.95" customHeight="1" thickBot="1" x14ac:dyDescent="0.3">
      <c r="B35" s="620" t="s">
        <v>499</v>
      </c>
      <c r="C35" s="629">
        <v>302075</v>
      </c>
      <c r="D35" s="629">
        <v>302075</v>
      </c>
      <c r="E35" s="1077">
        <v>302075</v>
      </c>
      <c r="F35" s="1018">
        <f t="shared" si="9"/>
        <v>100</v>
      </c>
    </row>
    <row r="36" spans="2:12" s="33" customFormat="1" ht="24.95" customHeight="1" thickBot="1" x14ac:dyDescent="0.3">
      <c r="B36" s="590" t="s">
        <v>79</v>
      </c>
      <c r="C36" s="591">
        <f>SUM(C34:C35)</f>
        <v>504399</v>
      </c>
      <c r="D36" s="591">
        <f>SUM(D34:D35)</f>
        <v>488814</v>
      </c>
      <c r="E36" s="591">
        <f>SUM(E34:E35)</f>
        <v>488814</v>
      </c>
      <c r="F36" s="592">
        <f t="shared" si="9"/>
        <v>100</v>
      </c>
      <c r="G36" s="5"/>
      <c r="H36" s="5"/>
      <c r="I36" s="5"/>
      <c r="J36" s="5"/>
      <c r="K36" s="962"/>
      <c r="L36" s="962"/>
    </row>
    <row r="37" spans="2:12" ht="24.95" customHeight="1" thickBot="1" x14ac:dyDescent="0.3">
      <c r="B37" s="617" t="s">
        <v>80</v>
      </c>
      <c r="C37" s="618">
        <f>+C33+C36</f>
        <v>2104456</v>
      </c>
      <c r="D37" s="618">
        <f>+D33+D36</f>
        <v>2945833</v>
      </c>
      <c r="E37" s="618">
        <f>+E33+E36</f>
        <v>2585733</v>
      </c>
      <c r="F37" s="592">
        <f t="shared" si="9"/>
        <v>87.77595335512909</v>
      </c>
    </row>
    <row r="38" spans="2:12" ht="24.95" customHeight="1" x14ac:dyDescent="0.25">
      <c r="B38" s="619" t="s">
        <v>320</v>
      </c>
      <c r="C38" s="599"/>
      <c r="D38" s="599"/>
      <c r="E38" s="599"/>
      <c r="F38" s="600"/>
    </row>
    <row r="39" spans="2:12" ht="24.95" customHeight="1" x14ac:dyDescent="0.25">
      <c r="B39" s="620" t="s">
        <v>259</v>
      </c>
      <c r="C39" s="621">
        <v>300</v>
      </c>
      <c r="D39" s="621">
        <v>3000</v>
      </c>
      <c r="E39" s="1017">
        <v>3000</v>
      </c>
      <c r="F39" s="1018">
        <f t="shared" ref="F39:F58" si="10">+E39/D39*100</f>
        <v>100</v>
      </c>
    </row>
    <row r="40" spans="2:12" s="19" customFormat="1" ht="24.95" customHeight="1" x14ac:dyDescent="0.25">
      <c r="B40" s="623" t="s">
        <v>4</v>
      </c>
      <c r="C40" s="624">
        <v>100</v>
      </c>
      <c r="D40" s="624">
        <v>1200</v>
      </c>
      <c r="E40" s="1019">
        <v>1200</v>
      </c>
      <c r="F40" s="1018">
        <f t="shared" si="10"/>
        <v>100</v>
      </c>
      <c r="G40" s="5"/>
      <c r="H40" s="5"/>
      <c r="I40" s="5"/>
      <c r="J40" s="5"/>
      <c r="K40" s="962"/>
      <c r="L40" s="962"/>
    </row>
    <row r="41" spans="2:12" ht="24.95" customHeight="1" x14ac:dyDescent="0.25">
      <c r="B41" s="625" t="s">
        <v>135</v>
      </c>
      <c r="C41" s="626">
        <v>550</v>
      </c>
      <c r="D41" s="626">
        <v>3000</v>
      </c>
      <c r="E41" s="1020">
        <v>3000</v>
      </c>
      <c r="F41" s="1018">
        <f t="shared" si="10"/>
        <v>100</v>
      </c>
    </row>
    <row r="42" spans="2:12" s="19" customFormat="1" ht="24.95" customHeight="1" x14ac:dyDescent="0.25">
      <c r="B42" s="623" t="s">
        <v>136</v>
      </c>
      <c r="C42" s="624">
        <v>750</v>
      </c>
      <c r="D42" s="624">
        <v>4000</v>
      </c>
      <c r="E42" s="1019">
        <v>4000</v>
      </c>
      <c r="F42" s="1018">
        <f t="shared" si="10"/>
        <v>100</v>
      </c>
      <c r="G42" s="5"/>
      <c r="H42" s="5"/>
      <c r="I42" s="5"/>
      <c r="J42" s="5"/>
      <c r="K42" s="962"/>
      <c r="L42" s="962"/>
    </row>
    <row r="43" spans="2:12" ht="24.95" customHeight="1" x14ac:dyDescent="0.25">
      <c r="B43" s="620" t="s">
        <v>137</v>
      </c>
      <c r="C43" s="626">
        <v>2000</v>
      </c>
      <c r="D43" s="626">
        <v>4000</v>
      </c>
      <c r="E43" s="1020">
        <v>4000</v>
      </c>
      <c r="F43" s="1018">
        <f t="shared" si="10"/>
        <v>100</v>
      </c>
    </row>
    <row r="44" spans="2:12" s="19" customFormat="1" ht="24.95" customHeight="1" x14ac:dyDescent="0.25">
      <c r="B44" s="623" t="s">
        <v>138</v>
      </c>
      <c r="C44" s="624">
        <v>180</v>
      </c>
      <c r="D44" s="624">
        <v>1000</v>
      </c>
      <c r="E44" s="1019">
        <v>1000</v>
      </c>
      <c r="F44" s="1018">
        <f t="shared" si="10"/>
        <v>100</v>
      </c>
      <c r="G44" s="5"/>
      <c r="H44" s="5"/>
      <c r="I44" s="5"/>
      <c r="J44" s="5"/>
      <c r="K44" s="962"/>
      <c r="L44" s="962"/>
    </row>
    <row r="45" spans="2:12" ht="24.95" customHeight="1" x14ac:dyDescent="0.25">
      <c r="B45" s="625" t="s">
        <v>139</v>
      </c>
      <c r="C45" s="626">
        <v>300</v>
      </c>
      <c r="D45" s="626">
        <v>2200</v>
      </c>
      <c r="E45" s="1020">
        <v>2200</v>
      </c>
      <c r="F45" s="1018">
        <f t="shared" si="10"/>
        <v>100</v>
      </c>
    </row>
    <row r="46" spans="2:12" ht="24.95" customHeight="1" x14ac:dyDescent="0.25">
      <c r="B46" s="625" t="s">
        <v>346</v>
      </c>
      <c r="C46" s="626">
        <v>250</v>
      </c>
      <c r="D46" s="626">
        <v>2000</v>
      </c>
      <c r="E46" s="1020">
        <v>2000</v>
      </c>
      <c r="F46" s="1018">
        <f t="shared" si="10"/>
        <v>100</v>
      </c>
    </row>
    <row r="47" spans="2:12" ht="24.95" customHeight="1" x14ac:dyDescent="0.25">
      <c r="B47" s="620" t="s">
        <v>5</v>
      </c>
      <c r="C47" s="627">
        <v>100</v>
      </c>
      <c r="D47" s="627">
        <v>650</v>
      </c>
      <c r="E47" s="1021">
        <v>650</v>
      </c>
      <c r="F47" s="1022">
        <f t="shared" si="10"/>
        <v>100</v>
      </c>
    </row>
    <row r="48" spans="2:12" ht="24.95" customHeight="1" x14ac:dyDescent="0.25">
      <c r="B48" s="614" t="s">
        <v>18</v>
      </c>
      <c r="C48" s="629">
        <v>300</v>
      </c>
      <c r="D48" s="629">
        <v>2000</v>
      </c>
      <c r="E48" s="1077">
        <v>2000</v>
      </c>
      <c r="F48" s="1022">
        <f t="shared" si="10"/>
        <v>100</v>
      </c>
    </row>
    <row r="49" spans="1:12" ht="24.95" customHeight="1" x14ac:dyDescent="0.25">
      <c r="B49" s="620" t="s">
        <v>8</v>
      </c>
      <c r="C49" s="627">
        <v>200</v>
      </c>
      <c r="D49" s="627">
        <v>3000</v>
      </c>
      <c r="E49" s="1021">
        <v>3000</v>
      </c>
      <c r="F49" s="1022">
        <f t="shared" si="10"/>
        <v>100</v>
      </c>
    </row>
    <row r="50" spans="1:12" ht="24.95" customHeight="1" x14ac:dyDescent="0.25">
      <c r="B50" s="620" t="s">
        <v>593</v>
      </c>
      <c r="C50" s="627">
        <v>100</v>
      </c>
      <c r="D50" s="627">
        <v>2000</v>
      </c>
      <c r="E50" s="1021">
        <v>2000</v>
      </c>
      <c r="F50" s="1022">
        <f t="shared" si="10"/>
        <v>100</v>
      </c>
    </row>
    <row r="51" spans="1:12" ht="24.95" customHeight="1" x14ac:dyDescent="0.25">
      <c r="B51" s="625" t="s">
        <v>149</v>
      </c>
      <c r="C51" s="626">
        <v>200</v>
      </c>
      <c r="D51" s="626">
        <v>1500</v>
      </c>
      <c r="E51" s="1020">
        <v>1500</v>
      </c>
      <c r="F51" s="1018">
        <f t="shared" si="10"/>
        <v>100</v>
      </c>
    </row>
    <row r="52" spans="1:12" ht="24.95" customHeight="1" x14ac:dyDescent="0.25">
      <c r="B52" s="630" t="s">
        <v>230</v>
      </c>
      <c r="C52" s="627">
        <v>800</v>
      </c>
      <c r="D52" s="627">
        <v>1600</v>
      </c>
      <c r="E52" s="1021">
        <v>1600</v>
      </c>
      <c r="F52" s="1018">
        <f t="shared" si="10"/>
        <v>100</v>
      </c>
    </row>
    <row r="53" spans="1:12" ht="42.75" customHeight="1" x14ac:dyDescent="0.25">
      <c r="B53" s="625" t="s">
        <v>29</v>
      </c>
      <c r="C53" s="627">
        <v>100</v>
      </c>
      <c r="D53" s="627">
        <v>1000</v>
      </c>
      <c r="E53" s="1021">
        <v>1000</v>
      </c>
      <c r="F53" s="1022">
        <f t="shared" si="10"/>
        <v>100</v>
      </c>
    </row>
    <row r="54" spans="1:12" ht="24.95" customHeight="1" x14ac:dyDescent="0.25">
      <c r="B54" s="620" t="s">
        <v>347</v>
      </c>
      <c r="C54" s="627">
        <v>600</v>
      </c>
      <c r="D54" s="627">
        <v>1200</v>
      </c>
      <c r="E54" s="1021">
        <v>1200</v>
      </c>
      <c r="F54" s="1022">
        <f t="shared" si="10"/>
        <v>100</v>
      </c>
    </row>
    <row r="55" spans="1:12" ht="24.95" customHeight="1" x14ac:dyDescent="0.25">
      <c r="B55" s="630" t="s">
        <v>348</v>
      </c>
      <c r="C55" s="627"/>
      <c r="D55" s="627">
        <v>800</v>
      </c>
      <c r="E55" s="1021">
        <v>800</v>
      </c>
      <c r="F55" s="1022">
        <f t="shared" si="10"/>
        <v>100</v>
      </c>
    </row>
    <row r="56" spans="1:12" ht="47.25" customHeight="1" x14ac:dyDescent="0.25">
      <c r="B56" s="625" t="s">
        <v>349</v>
      </c>
      <c r="C56" s="626"/>
      <c r="D56" s="626">
        <v>1500</v>
      </c>
      <c r="E56" s="1020">
        <v>1500</v>
      </c>
      <c r="F56" s="1022">
        <f t="shared" si="10"/>
        <v>100</v>
      </c>
    </row>
    <row r="57" spans="1:12" ht="33" customHeight="1" x14ac:dyDescent="0.25">
      <c r="A57" s="1041"/>
      <c r="B57" s="630" t="s">
        <v>335</v>
      </c>
      <c r="C57" s="627">
        <v>100</v>
      </c>
      <c r="D57" s="627">
        <v>1000</v>
      </c>
      <c r="E57" s="1021">
        <v>1000</v>
      </c>
      <c r="F57" s="1022">
        <f t="shared" si="10"/>
        <v>100</v>
      </c>
    </row>
    <row r="58" spans="1:12" ht="24.95" customHeight="1" x14ac:dyDescent="0.25">
      <c r="B58" s="620" t="s">
        <v>594</v>
      </c>
      <c r="C58" s="627">
        <v>200</v>
      </c>
      <c r="D58" s="627">
        <v>1000</v>
      </c>
      <c r="E58" s="1021">
        <v>1000</v>
      </c>
      <c r="F58" s="1022">
        <f t="shared" si="10"/>
        <v>100</v>
      </c>
    </row>
    <row r="59" spans="1:12" ht="24.95" customHeight="1" thickBot="1" x14ac:dyDescent="0.3">
      <c r="B59" s="631" t="s">
        <v>321</v>
      </c>
      <c r="C59" s="632">
        <f>SUM(C39:C58)</f>
        <v>7130</v>
      </c>
      <c r="D59" s="632">
        <f>SUM(D39:D58)</f>
        <v>37650</v>
      </c>
      <c r="E59" s="632">
        <f>SUM(E39:E58)</f>
        <v>37650</v>
      </c>
      <c r="F59" s="636">
        <f t="shared" ref="F59:F60" si="11">+E59/D59*100</f>
        <v>100</v>
      </c>
    </row>
    <row r="60" spans="1:12" ht="33" customHeight="1" thickBot="1" x14ac:dyDescent="0.3">
      <c r="B60" s="633" t="s">
        <v>81</v>
      </c>
      <c r="C60" s="634">
        <f>C37+C59</f>
        <v>2111586</v>
      </c>
      <c r="D60" s="634">
        <f>D37+D59</f>
        <v>2983483</v>
      </c>
      <c r="E60" s="634">
        <f>E37+E59</f>
        <v>2623383</v>
      </c>
      <c r="F60" s="637">
        <f t="shared" si="11"/>
        <v>87.930214450694038</v>
      </c>
    </row>
    <row r="61" spans="1:12" s="19" customFormat="1" ht="24.75" customHeight="1" x14ac:dyDescent="0.25">
      <c r="B61" s="43" t="s">
        <v>254</v>
      </c>
      <c r="C61" s="638"/>
      <c r="D61" s="638"/>
      <c r="E61" s="638"/>
      <c r="F61" s="639"/>
      <c r="G61" s="5"/>
      <c r="H61" s="5"/>
      <c r="I61" s="5"/>
      <c r="J61" s="5"/>
      <c r="K61" s="962"/>
      <c r="L61" s="962"/>
    </row>
    <row r="62" spans="1:12" s="19" customFormat="1" ht="24.75" customHeight="1" x14ac:dyDescent="0.25">
      <c r="B62" s="48"/>
      <c r="C62" s="45"/>
      <c r="D62" s="45"/>
      <c r="E62" s="45"/>
      <c r="F62" s="47"/>
      <c r="G62" s="5"/>
      <c r="H62" s="5"/>
      <c r="I62" s="5"/>
      <c r="J62" s="5"/>
      <c r="K62" s="962"/>
      <c r="L62" s="962"/>
    </row>
    <row r="63" spans="1:12" ht="24.75" customHeight="1" thickBot="1" x14ac:dyDescent="0.3">
      <c r="B63" s="633" t="s">
        <v>96</v>
      </c>
      <c r="C63" s="634"/>
      <c r="D63" s="634">
        <v>12826</v>
      </c>
      <c r="E63" s="634">
        <v>1200</v>
      </c>
      <c r="F63" s="635">
        <f>+E63/D63*100</f>
        <v>9.3559956338687034</v>
      </c>
    </row>
    <row r="64" spans="1:12" s="19" customFormat="1" ht="24.75" customHeight="1" x14ac:dyDescent="0.25">
      <c r="B64" s="43" t="s">
        <v>82</v>
      </c>
      <c r="C64" s="44"/>
      <c r="D64" s="44"/>
      <c r="E64" s="44"/>
      <c r="F64" s="46"/>
      <c r="G64" s="5"/>
      <c r="H64" s="5"/>
      <c r="I64" s="5"/>
      <c r="J64" s="5"/>
      <c r="K64" s="962"/>
      <c r="L64" s="962"/>
    </row>
    <row r="65" spans="2:12" ht="18" customHeight="1" thickBot="1" x14ac:dyDescent="0.25">
      <c r="B65" s="63"/>
      <c r="C65" s="61"/>
      <c r="D65" s="61"/>
      <c r="E65" s="61"/>
      <c r="F65" s="62"/>
    </row>
    <row r="66" spans="2:12" ht="24.75" customHeight="1" thickBot="1" x14ac:dyDescent="0.3">
      <c r="B66" s="640" t="s">
        <v>680</v>
      </c>
      <c r="C66" s="618">
        <v>10000</v>
      </c>
      <c r="D66" s="618">
        <v>0</v>
      </c>
      <c r="E66" s="618"/>
      <c r="F66" s="637">
        <v>0</v>
      </c>
    </row>
    <row r="67" spans="2:12" s="19" customFormat="1" ht="24.75" customHeight="1" x14ac:dyDescent="0.25">
      <c r="B67" s="641" t="s">
        <v>83</v>
      </c>
      <c r="C67" s="638"/>
      <c r="D67" s="638"/>
      <c r="E67" s="638"/>
      <c r="F67" s="639"/>
      <c r="G67" s="5"/>
      <c r="H67" s="5"/>
      <c r="I67" s="5"/>
      <c r="J67" s="5"/>
      <c r="K67" s="962"/>
      <c r="L67" s="962"/>
    </row>
    <row r="68" spans="2:12" s="19" customFormat="1" ht="24.75" customHeight="1" x14ac:dyDescent="0.25">
      <c r="B68" s="641"/>
      <c r="C68" s="638"/>
      <c r="D68" s="638"/>
      <c r="E68" s="638"/>
      <c r="F68" s="639"/>
      <c r="G68" s="5"/>
      <c r="H68" s="5"/>
      <c r="I68" s="5"/>
      <c r="J68" s="5"/>
      <c r="K68" s="962"/>
      <c r="L68" s="962"/>
    </row>
    <row r="69" spans="2:12" ht="24.95" customHeight="1" thickBot="1" x14ac:dyDescent="0.3">
      <c r="B69" s="633" t="s">
        <v>84</v>
      </c>
      <c r="C69" s="634">
        <f>SUM(C68)</f>
        <v>0</v>
      </c>
      <c r="D69" s="634">
        <f>SUM(D68)</f>
        <v>0</v>
      </c>
      <c r="E69" s="634">
        <f>SUM(E68)</f>
        <v>0</v>
      </c>
      <c r="F69" s="642"/>
    </row>
    <row r="70" spans="2:12" ht="24.95" customHeight="1" thickBot="1" x14ac:dyDescent="0.3">
      <c r="B70" s="633" t="s">
        <v>85</v>
      </c>
      <c r="C70" s="634">
        <f>C66+C69</f>
        <v>10000</v>
      </c>
      <c r="D70" s="634">
        <f>D66+D69</f>
        <v>0</v>
      </c>
      <c r="E70" s="634">
        <f>E66+E69</f>
        <v>0</v>
      </c>
      <c r="F70" s="592"/>
    </row>
    <row r="71" spans="2:12" s="1109" customFormat="1" ht="24.95" customHeight="1" x14ac:dyDescent="0.25">
      <c r="B71" s="43" t="s">
        <v>681</v>
      </c>
      <c r="C71" s="1110"/>
      <c r="D71" s="1110"/>
      <c r="E71" s="1110"/>
      <c r="F71" s="1111"/>
      <c r="G71" s="1107"/>
      <c r="H71" s="1107"/>
      <c r="I71" s="1107"/>
      <c r="J71" s="1107"/>
      <c r="K71" s="1108"/>
      <c r="L71" s="1108"/>
    </row>
    <row r="72" spans="2:12" s="19" customFormat="1" ht="40.5" customHeight="1" x14ac:dyDescent="0.25">
      <c r="B72" s="643" t="s">
        <v>255</v>
      </c>
      <c r="C72" s="644"/>
      <c r="D72" s="644"/>
      <c r="E72" s="644"/>
      <c r="F72" s="645"/>
      <c r="G72" s="5"/>
      <c r="H72" s="5"/>
      <c r="I72" s="5"/>
      <c r="J72" s="5"/>
      <c r="K72" s="962"/>
      <c r="L72" s="962"/>
    </row>
    <row r="73" spans="2:12" ht="24.95" customHeight="1" x14ac:dyDescent="0.25">
      <c r="B73" s="623" t="s">
        <v>322</v>
      </c>
      <c r="C73" s="626"/>
      <c r="D73" s="626">
        <v>1979</v>
      </c>
      <c r="E73" s="1020">
        <v>1844</v>
      </c>
      <c r="F73" s="1018">
        <f t="shared" ref="F73:F81" si="12">+E73/D73*100</f>
        <v>93.178372915613949</v>
      </c>
    </row>
    <row r="74" spans="2:12" ht="24.95" customHeight="1" x14ac:dyDescent="0.25">
      <c r="B74" s="623" t="s">
        <v>505</v>
      </c>
      <c r="C74" s="626">
        <v>24084</v>
      </c>
      <c r="D74" s="626">
        <v>31633</v>
      </c>
      <c r="E74" s="1020">
        <v>31633</v>
      </c>
      <c r="F74" s="1018">
        <f t="shared" si="12"/>
        <v>100</v>
      </c>
    </row>
    <row r="75" spans="2:12" ht="24.95" customHeight="1" x14ac:dyDescent="0.25">
      <c r="B75" s="623" t="s">
        <v>595</v>
      </c>
      <c r="C75" s="626"/>
      <c r="D75" s="626">
        <v>9170</v>
      </c>
      <c r="E75" s="1020">
        <v>9170</v>
      </c>
      <c r="F75" s="1018">
        <f t="shared" si="12"/>
        <v>100</v>
      </c>
    </row>
    <row r="76" spans="2:12" ht="24.95" customHeight="1" x14ac:dyDescent="0.25">
      <c r="B76" s="623" t="s">
        <v>524</v>
      </c>
      <c r="C76" s="626">
        <v>6000</v>
      </c>
      <c r="D76" s="626">
        <v>7790</v>
      </c>
      <c r="E76" s="1020">
        <v>5372</v>
      </c>
      <c r="F76" s="1018">
        <f t="shared" si="12"/>
        <v>68.960205391527595</v>
      </c>
    </row>
    <row r="77" spans="2:12" ht="24.95" customHeight="1" x14ac:dyDescent="0.25">
      <c r="B77" s="623" t="s">
        <v>631</v>
      </c>
      <c r="C77" s="626"/>
      <c r="D77" s="626">
        <v>10000</v>
      </c>
      <c r="E77" s="1020">
        <v>10000</v>
      </c>
      <c r="F77" s="1018">
        <f t="shared" si="12"/>
        <v>100</v>
      </c>
    </row>
    <row r="78" spans="2:12" ht="24.95" customHeight="1" x14ac:dyDescent="0.25">
      <c r="B78" s="623" t="s">
        <v>624</v>
      </c>
      <c r="C78" s="626"/>
      <c r="D78" s="626">
        <v>7500</v>
      </c>
      <c r="E78" s="1020">
        <v>4190</v>
      </c>
      <c r="F78" s="1018">
        <f t="shared" si="12"/>
        <v>55.866666666666667</v>
      </c>
    </row>
    <row r="79" spans="2:12" s="19" customFormat="1" ht="42.75" customHeight="1" x14ac:dyDescent="0.25">
      <c r="B79" s="623" t="s">
        <v>653</v>
      </c>
      <c r="C79" s="624"/>
      <c r="D79" s="624">
        <v>1000</v>
      </c>
      <c r="E79" s="1019">
        <v>1000</v>
      </c>
      <c r="F79" s="1018">
        <f t="shared" si="12"/>
        <v>100</v>
      </c>
      <c r="G79" s="5"/>
      <c r="H79" s="5"/>
      <c r="I79" s="5"/>
      <c r="J79" s="5"/>
      <c r="K79" s="962"/>
      <c r="L79" s="962"/>
    </row>
    <row r="80" spans="2:12" ht="24.95" customHeight="1" x14ac:dyDescent="0.25">
      <c r="B80" s="623" t="s">
        <v>664</v>
      </c>
      <c r="C80" s="626"/>
      <c r="D80" s="626">
        <v>22978</v>
      </c>
      <c r="E80" s="1020"/>
      <c r="F80" s="1018">
        <f t="shared" si="12"/>
        <v>0</v>
      </c>
    </row>
    <row r="81" spans="2:12" ht="42" customHeight="1" thickBot="1" x14ac:dyDescent="0.3">
      <c r="B81" s="1140" t="s">
        <v>682</v>
      </c>
      <c r="C81" s="646">
        <f>SUM(C73:C80)</f>
        <v>30084</v>
      </c>
      <c r="D81" s="646">
        <f>SUM(D73:D80)</f>
        <v>92050</v>
      </c>
      <c r="E81" s="646">
        <f>SUM(E72:E80)</f>
        <v>63209</v>
      </c>
      <c r="F81" s="1141">
        <f t="shared" si="12"/>
        <v>68.668115154807168</v>
      </c>
    </row>
    <row r="82" spans="2:12" s="19" customFormat="1" ht="24.95" customHeight="1" x14ac:dyDescent="0.25">
      <c r="B82" s="641" t="s">
        <v>188</v>
      </c>
      <c r="C82" s="638"/>
      <c r="D82" s="638"/>
      <c r="E82" s="638"/>
      <c r="F82" s="639"/>
      <c r="G82" s="5"/>
      <c r="H82" s="5"/>
      <c r="I82" s="5"/>
      <c r="J82" s="5"/>
      <c r="K82" s="962"/>
      <c r="L82" s="962"/>
    </row>
    <row r="83" spans="2:12" ht="24.95" customHeight="1" x14ac:dyDescent="0.25">
      <c r="B83" s="647" t="s">
        <v>449</v>
      </c>
      <c r="C83" s="626">
        <v>2084</v>
      </c>
      <c r="D83" s="626">
        <v>2321</v>
      </c>
      <c r="E83" s="626">
        <v>2051</v>
      </c>
      <c r="F83" s="622">
        <f>+E83/D83*100</f>
        <v>88.367083153813013</v>
      </c>
    </row>
    <row r="84" spans="2:12" ht="24.95" customHeight="1" thickBot="1" x14ac:dyDescent="0.3">
      <c r="B84" s="633" t="s">
        <v>203</v>
      </c>
      <c r="C84" s="634">
        <f>SUM(C83:C83)</f>
        <v>2084</v>
      </c>
      <c r="D84" s="634">
        <f>SUM(D83:D83)</f>
        <v>2321</v>
      </c>
      <c r="E84" s="634">
        <f>SUM(E83:E83)</f>
        <v>2051</v>
      </c>
      <c r="F84" s="642">
        <f>+E84/D84*100</f>
        <v>88.367083153813013</v>
      </c>
    </row>
    <row r="85" spans="2:12" ht="24.75" customHeight="1" thickBot="1" x14ac:dyDescent="0.3">
      <c r="B85" s="633" t="s">
        <v>204</v>
      </c>
      <c r="C85" s="634">
        <f>C81+C84</f>
        <v>32168</v>
      </c>
      <c r="D85" s="634">
        <f>D81+D84</f>
        <v>94371</v>
      </c>
      <c r="E85" s="634">
        <f>E81+E84</f>
        <v>65260</v>
      </c>
      <c r="F85" s="592">
        <f>+E85/D85*100</f>
        <v>69.152599845291448</v>
      </c>
    </row>
    <row r="86" spans="2:12" ht="24.75" customHeight="1" x14ac:dyDescent="0.25">
      <c r="B86" s="648" t="s">
        <v>205</v>
      </c>
      <c r="C86" s="638"/>
      <c r="D86" s="638"/>
      <c r="E86" s="638"/>
      <c r="F86" s="639"/>
    </row>
    <row r="87" spans="2:12" ht="24.75" customHeight="1" x14ac:dyDescent="0.25">
      <c r="B87" s="614" t="s">
        <v>307</v>
      </c>
      <c r="C87" s="602">
        <v>100000</v>
      </c>
      <c r="D87" s="602">
        <v>178200</v>
      </c>
      <c r="E87" s="1023">
        <v>170800</v>
      </c>
      <c r="F87" s="1024">
        <f t="shared" ref="F87:F92" si="13">+E87/D87*100</f>
        <v>95.847362514029172</v>
      </c>
    </row>
    <row r="88" spans="2:12" ht="24.75" customHeight="1" x14ac:dyDescent="0.25">
      <c r="B88" s="614" t="s">
        <v>632</v>
      </c>
      <c r="C88" s="602"/>
      <c r="D88" s="602">
        <v>7207</v>
      </c>
      <c r="E88" s="1023">
        <v>7207</v>
      </c>
      <c r="F88" s="1024">
        <f t="shared" si="13"/>
        <v>100</v>
      </c>
    </row>
    <row r="89" spans="2:12" ht="24.95" customHeight="1" thickBot="1" x14ac:dyDescent="0.3">
      <c r="B89" s="633" t="s">
        <v>206</v>
      </c>
      <c r="C89" s="634">
        <f>SUM(C87:C88)</f>
        <v>100000</v>
      </c>
      <c r="D89" s="634">
        <f>SUM(D87:D88)</f>
        <v>185407</v>
      </c>
      <c r="E89" s="634">
        <f>SUM(E87:E88)</f>
        <v>178007</v>
      </c>
      <c r="F89" s="642">
        <f t="shared" si="13"/>
        <v>96.008780682498511</v>
      </c>
    </row>
    <row r="90" spans="2:12" ht="24.95" customHeight="1" thickBot="1" x14ac:dyDescent="0.3">
      <c r="B90" s="633" t="s">
        <v>207</v>
      </c>
      <c r="C90" s="634">
        <f>C89</f>
        <v>100000</v>
      </c>
      <c r="D90" s="634">
        <f>D89</f>
        <v>185407</v>
      </c>
      <c r="E90" s="634">
        <f>E89</f>
        <v>178007</v>
      </c>
      <c r="F90" s="637">
        <f t="shared" si="13"/>
        <v>96.008780682498511</v>
      </c>
    </row>
    <row r="91" spans="2:12" ht="24.95" customHeight="1" thickBot="1" x14ac:dyDescent="0.3">
      <c r="B91" s="633" t="s">
        <v>323</v>
      </c>
      <c r="C91" s="646">
        <f>+C70+C85+C90+C63</f>
        <v>142168</v>
      </c>
      <c r="D91" s="646">
        <f>+D70+D85+D90+D63</f>
        <v>292604</v>
      </c>
      <c r="E91" s="646">
        <f>+E70+E85+E90+E63</f>
        <v>244467</v>
      </c>
      <c r="F91" s="637">
        <f t="shared" si="13"/>
        <v>83.548755314349762</v>
      </c>
    </row>
    <row r="92" spans="2:12" ht="24.95" customHeight="1" thickBot="1" x14ac:dyDescent="0.3">
      <c r="B92" s="640" t="s">
        <v>370</v>
      </c>
      <c r="C92" s="618">
        <f>+C60+C91</f>
        <v>2253754</v>
      </c>
      <c r="D92" s="618">
        <f>+D60+D91</f>
        <v>3276087</v>
      </c>
      <c r="E92" s="618">
        <f>+E60+E91</f>
        <v>2867850</v>
      </c>
      <c r="F92" s="637">
        <f t="shared" si="13"/>
        <v>87.538884040625291</v>
      </c>
    </row>
    <row r="93" spans="2:12" ht="15" customHeight="1" x14ac:dyDescent="0.2">
      <c r="B93" s="19"/>
      <c r="C93" s="19"/>
      <c r="D93" s="19"/>
      <c r="E93" s="19"/>
      <c r="F93" s="19"/>
    </row>
    <row r="94" spans="2:12" ht="15" customHeight="1" x14ac:dyDescent="0.2">
      <c r="B94" s="19"/>
      <c r="C94" s="19"/>
      <c r="D94" s="19"/>
      <c r="E94" s="34"/>
      <c r="F94" s="19"/>
    </row>
    <row r="95" spans="2:12" ht="24.75" customHeight="1" thickBot="1" x14ac:dyDescent="0.35">
      <c r="B95" s="56" t="s">
        <v>20</v>
      </c>
      <c r="C95" s="40"/>
      <c r="D95" s="40"/>
      <c r="E95" s="40"/>
      <c r="F95" s="40"/>
    </row>
    <row r="96" spans="2:12" ht="24.75" customHeight="1" x14ac:dyDescent="0.25">
      <c r="B96" s="292" t="s">
        <v>33</v>
      </c>
      <c r="C96" s="2441" t="s">
        <v>514</v>
      </c>
      <c r="D96" s="2441"/>
      <c r="E96" s="649" t="s">
        <v>410</v>
      </c>
      <c r="F96" s="649" t="s">
        <v>107</v>
      </c>
    </row>
    <row r="97" spans="2:6" ht="24.75" customHeight="1" thickBot="1" x14ac:dyDescent="0.3">
      <c r="B97" s="293"/>
      <c r="C97" s="650" t="s">
        <v>213</v>
      </c>
      <c r="D97" s="651" t="s">
        <v>105</v>
      </c>
      <c r="E97" s="652" t="s">
        <v>106</v>
      </c>
      <c r="F97" s="652" t="s">
        <v>108</v>
      </c>
    </row>
    <row r="98" spans="2:6" ht="24.75" customHeight="1" x14ac:dyDescent="0.25">
      <c r="B98" s="614" t="s">
        <v>390</v>
      </c>
      <c r="C98" s="602"/>
      <c r="D98" s="602">
        <v>13872</v>
      </c>
      <c r="E98" s="1023">
        <f>21279-E99</f>
        <v>13871</v>
      </c>
      <c r="F98" s="1024">
        <f t="shared" ref="F98:F118" si="14">+E98/D98*100</f>
        <v>99.992791234140711</v>
      </c>
    </row>
    <row r="99" spans="2:6" ht="24.75" customHeight="1" x14ac:dyDescent="0.25">
      <c r="B99" s="614" t="s">
        <v>391</v>
      </c>
      <c r="C99" s="602"/>
      <c r="D99" s="602">
        <v>7408</v>
      </c>
      <c r="E99" s="1023">
        <v>7408</v>
      </c>
      <c r="F99" s="1024">
        <f t="shared" si="14"/>
        <v>100</v>
      </c>
    </row>
    <row r="100" spans="2:6" ht="24.75" customHeight="1" thickBot="1" x14ac:dyDescent="0.3">
      <c r="B100" s="614" t="s">
        <v>563</v>
      </c>
      <c r="C100" s="602"/>
      <c r="D100" s="602"/>
      <c r="E100" s="1023"/>
      <c r="F100" s="1024"/>
    </row>
    <row r="101" spans="2:6" ht="24.75" customHeight="1" thickBot="1" x14ac:dyDescent="0.3">
      <c r="B101" s="590" t="s">
        <v>319</v>
      </c>
      <c r="C101" s="591">
        <f t="shared" ref="C101:E101" si="15">SUM(C98:C100)</f>
        <v>0</v>
      </c>
      <c r="D101" s="591">
        <f t="shared" si="15"/>
        <v>21280</v>
      </c>
      <c r="E101" s="591">
        <f t="shared" si="15"/>
        <v>21279</v>
      </c>
      <c r="F101" s="591">
        <f t="shared" si="14"/>
        <v>99.995300751879697</v>
      </c>
    </row>
    <row r="102" spans="2:6" ht="24.75" customHeight="1" x14ac:dyDescent="0.25">
      <c r="B102" s="601" t="s">
        <v>392</v>
      </c>
      <c r="C102" s="654"/>
      <c r="D102" s="655">
        <v>7963</v>
      </c>
      <c r="E102" s="655">
        <f>4032-E103</f>
        <v>0</v>
      </c>
      <c r="F102" s="967">
        <f t="shared" si="14"/>
        <v>0</v>
      </c>
    </row>
    <row r="103" spans="2:6" ht="24.75" customHeight="1" x14ac:dyDescent="0.25">
      <c r="B103" s="601" t="s">
        <v>393</v>
      </c>
      <c r="C103" s="654"/>
      <c r="D103" s="655">
        <v>11929</v>
      </c>
      <c r="E103" s="655">
        <v>4032</v>
      </c>
      <c r="F103" s="967">
        <f t="shared" si="14"/>
        <v>33.799983234135297</v>
      </c>
    </row>
    <row r="104" spans="2:6" ht="24.75" customHeight="1" thickBot="1" x14ac:dyDescent="0.3">
      <c r="B104" s="601" t="s">
        <v>564</v>
      </c>
      <c r="C104" s="654"/>
      <c r="D104" s="655"/>
      <c r="E104" s="655"/>
      <c r="F104" s="967"/>
    </row>
    <row r="105" spans="2:6" ht="24.75" customHeight="1" thickBot="1" x14ac:dyDescent="0.3">
      <c r="B105" s="656" t="s">
        <v>252</v>
      </c>
      <c r="C105" s="591">
        <f>SUM(C102:C104)</f>
        <v>0</v>
      </c>
      <c r="D105" s="591">
        <f>SUM(D102:D104)</f>
        <v>19892</v>
      </c>
      <c r="E105" s="591">
        <f t="shared" ref="E105" si="16">SUM(E102:E104)</f>
        <v>4032</v>
      </c>
      <c r="F105" s="591">
        <f t="shared" si="14"/>
        <v>20.269455057309472</v>
      </c>
    </row>
    <row r="106" spans="2:6" ht="24.75" customHeight="1" x14ac:dyDescent="0.25">
      <c r="B106" s="601" t="s">
        <v>381</v>
      </c>
      <c r="C106" s="654"/>
      <c r="D106" s="655">
        <v>48696</v>
      </c>
      <c r="E106" s="655">
        <f>29232-E107</f>
        <v>4996</v>
      </c>
      <c r="F106" s="967">
        <f t="shared" si="14"/>
        <v>10.25956957450304</v>
      </c>
    </row>
    <row r="107" spans="2:6" ht="24.75" customHeight="1" x14ac:dyDescent="0.25">
      <c r="B107" s="601" t="s">
        <v>394</v>
      </c>
      <c r="C107" s="654"/>
      <c r="D107" s="655">
        <v>24236</v>
      </c>
      <c r="E107" s="655">
        <v>24236</v>
      </c>
      <c r="F107" s="967">
        <f t="shared" si="14"/>
        <v>100</v>
      </c>
    </row>
    <row r="108" spans="2:6" ht="24.75" customHeight="1" thickBot="1" x14ac:dyDescent="0.3">
      <c r="B108" s="601" t="s">
        <v>565</v>
      </c>
      <c r="C108" s="654"/>
      <c r="D108" s="655"/>
      <c r="E108" s="655"/>
      <c r="F108" s="967"/>
    </row>
    <row r="109" spans="2:6" ht="24.75" customHeight="1" thickBot="1" x14ac:dyDescent="0.3">
      <c r="B109" s="656" t="s">
        <v>325</v>
      </c>
      <c r="C109" s="657">
        <f t="shared" ref="C109:E109" si="17">SUM(C106:C108)</f>
        <v>0</v>
      </c>
      <c r="D109" s="591">
        <f t="shared" si="17"/>
        <v>72932</v>
      </c>
      <c r="E109" s="591">
        <f t="shared" si="17"/>
        <v>29232</v>
      </c>
      <c r="F109" s="591">
        <f t="shared" si="14"/>
        <v>40.081171502221245</v>
      </c>
    </row>
    <row r="110" spans="2:6" ht="24.75" customHeight="1" x14ac:dyDescent="0.25">
      <c r="B110" s="658" t="s">
        <v>395</v>
      </c>
      <c r="C110" s="586"/>
      <c r="D110" s="607">
        <v>43773</v>
      </c>
      <c r="E110" s="607">
        <v>41278</v>
      </c>
      <c r="F110" s="608">
        <f t="shared" si="14"/>
        <v>94.30013935531035</v>
      </c>
    </row>
    <row r="111" spans="2:6" ht="24.75" customHeight="1" x14ac:dyDescent="0.25">
      <c r="B111" s="658" t="s">
        <v>396</v>
      </c>
      <c r="C111" s="586"/>
      <c r="D111" s="610"/>
      <c r="E111" s="610"/>
      <c r="F111" s="611"/>
    </row>
    <row r="112" spans="2:6" ht="24.75" customHeight="1" thickBot="1" x14ac:dyDescent="0.3">
      <c r="B112" s="658" t="s">
        <v>566</v>
      </c>
      <c r="C112" s="586"/>
      <c r="D112" s="589"/>
      <c r="E112" s="589"/>
      <c r="F112" s="612"/>
    </row>
    <row r="113" spans="2:6" ht="24.75" customHeight="1" thickBot="1" x14ac:dyDescent="0.3">
      <c r="B113" s="590" t="s">
        <v>165</v>
      </c>
      <c r="C113" s="657">
        <f>SUM(C110:C112)</f>
        <v>0</v>
      </c>
      <c r="D113" s="591">
        <f>SUM(D110:D112)</f>
        <v>43773</v>
      </c>
      <c r="E113" s="591">
        <f t="shared" ref="E113" si="18">SUM(E110:E112)</f>
        <v>41278</v>
      </c>
      <c r="F113" s="591">
        <f t="shared" si="14"/>
        <v>94.30013935531035</v>
      </c>
    </row>
    <row r="114" spans="2:6" ht="24.75" customHeight="1" x14ac:dyDescent="0.25">
      <c r="B114" s="659" t="s">
        <v>397</v>
      </c>
      <c r="C114" s="660"/>
      <c r="D114" s="627">
        <v>19510</v>
      </c>
      <c r="E114" s="627">
        <f>18714-E115</f>
        <v>17263</v>
      </c>
      <c r="F114" s="628">
        <f t="shared" si="14"/>
        <v>88.4828293182983</v>
      </c>
    </row>
    <row r="115" spans="2:6" ht="24.75" customHeight="1" x14ac:dyDescent="0.25">
      <c r="B115" s="659" t="s">
        <v>398</v>
      </c>
      <c r="C115" s="661"/>
      <c r="D115" s="627">
        <v>1451</v>
      </c>
      <c r="E115" s="627">
        <v>1451</v>
      </c>
      <c r="F115" s="628">
        <f t="shared" si="14"/>
        <v>100</v>
      </c>
    </row>
    <row r="116" spans="2:6" ht="24.75" customHeight="1" thickBot="1" x14ac:dyDescent="0.3">
      <c r="B116" s="601" t="s">
        <v>567</v>
      </c>
      <c r="C116" s="654"/>
      <c r="D116" s="627"/>
      <c r="E116" s="627"/>
      <c r="F116" s="628"/>
    </row>
    <row r="117" spans="2:6" ht="24.75" customHeight="1" thickBot="1" x14ac:dyDescent="0.3">
      <c r="B117" s="590" t="s">
        <v>2</v>
      </c>
      <c r="C117" s="591">
        <f t="shared" ref="C117:E117" si="19">SUM(C114:C116)</f>
        <v>0</v>
      </c>
      <c r="D117" s="591">
        <f t="shared" si="19"/>
        <v>20961</v>
      </c>
      <c r="E117" s="591">
        <f t="shared" si="19"/>
        <v>18714</v>
      </c>
      <c r="F117" s="591">
        <f t="shared" si="14"/>
        <v>89.280091598683271</v>
      </c>
    </row>
    <row r="118" spans="2:6" ht="24.75" customHeight="1" thickBot="1" x14ac:dyDescent="0.3">
      <c r="B118" s="662" t="s">
        <v>425</v>
      </c>
      <c r="C118" s="663">
        <f>C101+C105+C109+C113+C117</f>
        <v>0</v>
      </c>
      <c r="D118" s="663">
        <f>D101+D105+D109+D113+D117</f>
        <v>178838</v>
      </c>
      <c r="E118" s="663">
        <f t="shared" ref="E118" si="20">E101+E105+E109+E113+E117</f>
        <v>114535</v>
      </c>
      <c r="F118" s="663">
        <f t="shared" si="14"/>
        <v>64.043995124078776</v>
      </c>
    </row>
    <row r="119" spans="2:6" ht="15" customHeight="1" thickBot="1" x14ac:dyDescent="0.3">
      <c r="B119" s="64"/>
      <c r="C119" s="58"/>
      <c r="D119" s="58"/>
      <c r="E119" s="57"/>
      <c r="F119" s="288"/>
    </row>
    <row r="120" spans="2:6" ht="21.75" customHeight="1" thickBot="1" x14ac:dyDescent="0.3">
      <c r="B120" s="170" t="s">
        <v>426</v>
      </c>
      <c r="C120" s="117">
        <f t="shared" ref="C120:E120" si="21">+C92+C118</f>
        <v>2253754</v>
      </c>
      <c r="D120" s="117">
        <f t="shared" si="21"/>
        <v>3454925</v>
      </c>
      <c r="E120" s="117">
        <f t="shared" si="21"/>
        <v>2982385</v>
      </c>
      <c r="F120" s="581">
        <f>+E120/D120*100</f>
        <v>86.32271322821768</v>
      </c>
    </row>
    <row r="121" spans="2:6" ht="15" customHeight="1" x14ac:dyDescent="0.2">
      <c r="E121" s="5"/>
    </row>
    <row r="122" spans="2:6" ht="15" customHeight="1" x14ac:dyDescent="0.2">
      <c r="E122" s="5"/>
      <c r="F122" s="5"/>
    </row>
    <row r="123" spans="2:6" ht="15" customHeight="1" x14ac:dyDescent="0.2">
      <c r="E123" s="5"/>
      <c r="F123" s="5"/>
    </row>
    <row r="126" spans="2:6" ht="15" customHeight="1" x14ac:dyDescent="0.2">
      <c r="E126" s="5"/>
    </row>
    <row r="127" spans="2:6" ht="15" customHeight="1" x14ac:dyDescent="0.2">
      <c r="E127" s="5"/>
    </row>
  </sheetData>
  <mergeCells count="3">
    <mergeCell ref="C5:D5"/>
    <mergeCell ref="C96:D96"/>
    <mergeCell ref="B2:F2"/>
  </mergeCells>
  <phoneticPr fontId="0" type="noConversion"/>
  <printOptions horizontalCentered="1" verticalCentered="1"/>
  <pageMargins left="0" right="0" top="0" bottom="0" header="0.51181102362204722" footer="0.51181102362204722"/>
  <pageSetup paperSize="9" scale="45" orientation="portrait" r:id="rId1"/>
  <headerFooter alignWithMargins="0">
    <oddHeader xml:space="preserve">&amp;R&amp;"Arial,Félkövér"&amp;16 9. melléklet a .../2022. (........) önkormányzati rendelethez 
</oddHeader>
  </headerFooter>
  <rowBreaks count="1" manualBreakCount="1">
    <brk id="60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30</vt:i4>
      </vt:variant>
      <vt:variant>
        <vt:lpstr>Névvel ellátott tartományok</vt:lpstr>
      </vt:variant>
      <vt:variant>
        <vt:i4>40</vt:i4>
      </vt:variant>
    </vt:vector>
  </HeadingPairs>
  <TitlesOfParts>
    <vt:vector size="70" baseType="lpstr">
      <vt:lpstr>1 kiemelt előirányzatok telj. </vt:lpstr>
      <vt:lpstr>2 mérleg </vt:lpstr>
      <vt:lpstr>3 bev.részl</vt:lpstr>
      <vt:lpstr>4 int bevétel</vt:lpstr>
      <vt:lpstr>5 normatíva</vt:lpstr>
      <vt:lpstr>6 int kiadás</vt:lpstr>
      <vt:lpstr>7.létszám ei zárás 2021 év</vt:lpstr>
      <vt:lpstr>8 okt.</vt:lpstr>
      <vt:lpstr>9 kult.</vt:lpstr>
      <vt:lpstr>10 szoc.</vt:lpstr>
      <vt:lpstr>11 eü.</vt:lpstr>
      <vt:lpstr>12 Gyerm.</vt:lpstr>
      <vt:lpstr>13 egyéb</vt:lpstr>
      <vt:lpstr>14 sport</vt:lpstr>
      <vt:lpstr>15 város.ü.,körny</vt:lpstr>
      <vt:lpstr>16 út-híd</vt:lpstr>
      <vt:lpstr>17 fbev.</vt:lpstr>
      <vt:lpstr>18 fkia.</vt:lpstr>
      <vt:lpstr>19 pénzeszkváltsa</vt:lpstr>
      <vt:lpstr>20 közvetett támogatás</vt:lpstr>
      <vt:lpstr>21 Eu projektek</vt:lpstr>
      <vt:lpstr>22 többév1</vt:lpstr>
      <vt:lpstr>23 eszközök</vt:lpstr>
      <vt:lpstr>24 források</vt:lpstr>
      <vt:lpstr>25 lakásalapelsz</vt:lpstr>
      <vt:lpstr>26 segély</vt:lpstr>
      <vt:lpstr>27 kataszter</vt:lpstr>
      <vt:lpstr>28 vagyonkimutatás </vt:lpstr>
      <vt:lpstr>29 Részesedések</vt:lpstr>
      <vt:lpstr>30 Lízing</vt:lpstr>
      <vt:lpstr>'13 egyéb'!Nyomtatási_cím</vt:lpstr>
      <vt:lpstr>'14 sport'!Nyomtatási_cím</vt:lpstr>
      <vt:lpstr>'17 fbev.'!Nyomtatási_cím</vt:lpstr>
      <vt:lpstr>'18 fkia.'!Nyomtatási_cím</vt:lpstr>
      <vt:lpstr>'19 pénzeszkváltsa'!Nyomtatási_cím</vt:lpstr>
      <vt:lpstr>'28 vagyonkimutatás '!Nyomtatási_cím</vt:lpstr>
      <vt:lpstr>'3 bev.részl'!Nyomtatási_cím</vt:lpstr>
      <vt:lpstr>'5 normatíva'!Nyomtatási_cím</vt:lpstr>
      <vt:lpstr>'7.létszám ei zárás 2021 év'!Nyomtatási_cím</vt:lpstr>
      <vt:lpstr>'9 kult.'!Nyomtatási_cím</vt:lpstr>
      <vt:lpstr>'1 kiemelt előirányzatok telj. '!Nyomtatási_terület</vt:lpstr>
      <vt:lpstr>'10 szoc.'!Nyomtatási_terület</vt:lpstr>
      <vt:lpstr>'11 eü.'!Nyomtatási_terület</vt:lpstr>
      <vt:lpstr>'12 Gyerm.'!Nyomtatási_terület</vt:lpstr>
      <vt:lpstr>'13 egyéb'!Nyomtatási_terület</vt:lpstr>
      <vt:lpstr>'14 sport'!Nyomtatási_terület</vt:lpstr>
      <vt:lpstr>'15 város.ü.,körny'!Nyomtatási_terület</vt:lpstr>
      <vt:lpstr>'16 út-híd'!Nyomtatási_terület</vt:lpstr>
      <vt:lpstr>'17 fbev.'!Nyomtatási_terület</vt:lpstr>
      <vt:lpstr>'18 fkia.'!Nyomtatási_terület</vt:lpstr>
      <vt:lpstr>'19 pénzeszkváltsa'!Nyomtatási_terület</vt:lpstr>
      <vt:lpstr>'2 mérleg '!Nyomtatási_terület</vt:lpstr>
      <vt:lpstr>'20 közvetett támogatás'!Nyomtatási_terület</vt:lpstr>
      <vt:lpstr>'21 Eu projektek'!Nyomtatási_terület</vt:lpstr>
      <vt:lpstr>'22 többév1'!Nyomtatási_terület</vt:lpstr>
      <vt:lpstr>'23 eszközök'!Nyomtatási_terület</vt:lpstr>
      <vt:lpstr>'24 források'!Nyomtatási_terület</vt:lpstr>
      <vt:lpstr>'25 lakásalapelsz'!Nyomtatási_terület</vt:lpstr>
      <vt:lpstr>'26 segély'!Nyomtatási_terület</vt:lpstr>
      <vt:lpstr>'27 kataszter'!Nyomtatási_terület</vt:lpstr>
      <vt:lpstr>'28 vagyonkimutatás '!Nyomtatási_terület</vt:lpstr>
      <vt:lpstr>'29 Részesedések'!Nyomtatási_terület</vt:lpstr>
      <vt:lpstr>'3 bev.részl'!Nyomtatási_terület</vt:lpstr>
      <vt:lpstr>'30 Lízing'!Nyomtatási_terület</vt:lpstr>
      <vt:lpstr>'4 int bevétel'!Nyomtatási_terület</vt:lpstr>
      <vt:lpstr>'5 normatíva'!Nyomtatási_terület</vt:lpstr>
      <vt:lpstr>'6 int kiadás'!Nyomtatási_terület</vt:lpstr>
      <vt:lpstr>'7.létszám ei zárás 2021 év'!Nyomtatási_terület</vt:lpstr>
      <vt:lpstr>'8 okt.'!Nyomtatási_terület</vt:lpstr>
      <vt:lpstr>'9 kult.'!Nyomtatási_terület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Molnár Vilmosné</cp:lastModifiedBy>
  <cp:lastPrinted>2022-05-05T05:47:51Z</cp:lastPrinted>
  <dcterms:created xsi:type="dcterms:W3CDTF">1998-01-10T07:52:54Z</dcterms:created>
  <dcterms:modified xsi:type="dcterms:W3CDTF">2022-05-05T06:18:33Z</dcterms:modified>
</cp:coreProperties>
</file>