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Kozgazdasagi\polgar.anita\asztal\Zárszámadás-kgy\"/>
    </mc:Choice>
  </mc:AlternateContent>
  <xr:revisionPtr revIDLastSave="0" documentId="13_ncr:1_{909DF688-2603-4B4E-9105-71597FD397AA}" xr6:coauthVersionLast="45" xr6:coauthVersionMax="45" xr10:uidLastSave="{00000000-0000-0000-0000-000000000000}"/>
  <bookViews>
    <workbookView xWindow="-120" yWindow="-120" windowWidth="29040" windowHeight="15840" tabRatio="597" xr2:uid="{00000000-000D-0000-FFFF-FFFF00000000}"/>
  </bookViews>
  <sheets>
    <sheet name="1 kiemelt előirányzatok telj. " sheetId="50" r:id="rId1"/>
    <sheet name="2 mérleg " sheetId="41" r:id="rId2"/>
    <sheet name="3 bev.részl" sheetId="39" r:id="rId3"/>
    <sheet name="4 int bevétel" sheetId="66" r:id="rId4"/>
    <sheet name="Normatíva" sheetId="71" r:id="rId5"/>
    <sheet name="6 int kiadás" sheetId="67" r:id="rId6"/>
    <sheet name="7.létszám ei zárás 2019 év" sheetId="65" r:id="rId7"/>
    <sheet name="8 okt." sheetId="9" r:id="rId8"/>
    <sheet name="9 kult." sheetId="36" r:id="rId9"/>
    <sheet name="10 szoc." sheetId="11" r:id="rId10"/>
    <sheet name="11 eü." sheetId="12" r:id="rId11"/>
    <sheet name="12 Gyerm." sheetId="13" r:id="rId12"/>
    <sheet name="13 egyéb" sheetId="14" r:id="rId13"/>
    <sheet name="14 sport" sheetId="22" r:id="rId14"/>
    <sheet name="15 város.ü.,körny" sheetId="24" r:id="rId15"/>
    <sheet name="16 út-híd" sheetId="25" r:id="rId16"/>
    <sheet name="17 fbev." sheetId="40" r:id="rId17"/>
    <sheet name="18 fkia." sheetId="43" r:id="rId18"/>
    <sheet name="19 pénzeszkváltsa" sheetId="51" r:id="rId19"/>
    <sheet name="20 közvetett támogatás" sheetId="52" r:id="rId20"/>
    <sheet name="21 Eu projektek" sheetId="53" r:id="rId21"/>
    <sheet name="22 többév1" sheetId="54" r:id="rId22"/>
    <sheet name="23 eszközök" sheetId="55" r:id="rId23"/>
    <sheet name="24 források" sheetId="56" r:id="rId24"/>
    <sheet name="25 lakásalapelsz" sheetId="57" r:id="rId25"/>
    <sheet name="26 segély " sheetId="58" r:id="rId26"/>
    <sheet name="27 kataszter" sheetId="59" r:id="rId27"/>
    <sheet name="28 vagyonkimutatás " sheetId="60" r:id="rId28"/>
    <sheet name="29 felhalmozás" sheetId="68" r:id="rId29"/>
    <sheet name="30 felújítás" sheetId="69" r:id="rId30"/>
    <sheet name="31 Részesedések" sheetId="63" r:id="rId31"/>
    <sheet name="32 Lízing" sheetId="6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besz" localSheetId="0">#REF!</definedName>
    <definedName name="besz" localSheetId="17">#REF!</definedName>
    <definedName name="besz" localSheetId="30">#REF!</definedName>
    <definedName name="besz">#REF!</definedName>
    <definedName name="bk" localSheetId="0">#REF!</definedName>
    <definedName name="bk" localSheetId="17">#REF!</definedName>
    <definedName name="bk" localSheetId="6">#REF!</definedName>
    <definedName name="bk">#REF!</definedName>
    <definedName name="cel_c" localSheetId="0">#REF!</definedName>
    <definedName name="cel_c" localSheetId="17">#REF!</definedName>
    <definedName name="cel_c">#REF!</definedName>
    <definedName name="cel_g" localSheetId="0">#REF!</definedName>
    <definedName name="cel_g" localSheetId="17">#REF!</definedName>
    <definedName name="cel_g">#REF!</definedName>
    <definedName name="cel_k" localSheetId="17">#REF!</definedName>
    <definedName name="cel_k">#REF!</definedName>
    <definedName name="cel_m" localSheetId="17">#REF!</definedName>
    <definedName name="cel_m">#REF!</definedName>
    <definedName name="cel_p" localSheetId="17">#REF!</definedName>
    <definedName name="cel_p">#REF!</definedName>
    <definedName name="css" localSheetId="0">#REF!</definedName>
    <definedName name="css" localSheetId="16">#REF!</definedName>
    <definedName name="css" localSheetId="17">#REF!</definedName>
    <definedName name="css" localSheetId="1">#REF!</definedName>
    <definedName name="css" localSheetId="2">#REF!</definedName>
    <definedName name="css" localSheetId="31">#REF!</definedName>
    <definedName name="css" localSheetId="6">#REF!</definedName>
    <definedName name="css" localSheetId="8">#REF!</definedName>
    <definedName name="css" localSheetId="4">#REF!</definedName>
    <definedName name="css">#REF!</definedName>
    <definedName name="css_k" localSheetId="0">[1]Családsegítés!$C$27:$C$86</definedName>
    <definedName name="css_k" localSheetId="4">[2]Családsegítés!$C$27:$C$86</definedName>
    <definedName name="css_k">[2]Családsegítés!$C$27:$C$86</definedName>
    <definedName name="css_k_" localSheetId="0">#REF!</definedName>
    <definedName name="css_k_" localSheetId="16">#REF!</definedName>
    <definedName name="css_k_" localSheetId="17">#REF!</definedName>
    <definedName name="css_k_" localSheetId="1">#REF!</definedName>
    <definedName name="css_k_" localSheetId="2">#REF!</definedName>
    <definedName name="css_k_" localSheetId="31">#REF!</definedName>
    <definedName name="css_k_" localSheetId="6">#REF!</definedName>
    <definedName name="css_k_" localSheetId="8">#REF!</definedName>
    <definedName name="css_k_" localSheetId="4">#REF!</definedName>
    <definedName name="css_k_">#REF!</definedName>
    <definedName name="d" localSheetId="17">#REF!</definedName>
    <definedName name="d">#REF!</definedName>
    <definedName name="eredetiköltségvetés2017" localSheetId="4">#REF!</definedName>
    <definedName name="eredetiköltségvetés2017">#REF!</definedName>
    <definedName name="feljéc">#REF!</definedName>
    <definedName name="ffff" localSheetId="0">#REF!</definedName>
    <definedName name="ffff" localSheetId="17">#REF!</definedName>
    <definedName name="ffff">#REF!</definedName>
    <definedName name="g" localSheetId="0">#REF!</definedName>
    <definedName name="g" localSheetId="17">#REF!</definedName>
    <definedName name="g">#REF!</definedName>
    <definedName name="gyj" localSheetId="0">#REF!</definedName>
    <definedName name="gyj" localSheetId="16">#REF!</definedName>
    <definedName name="gyj" localSheetId="17">#REF!</definedName>
    <definedName name="gyj" localSheetId="1">#REF!</definedName>
    <definedName name="gyj" localSheetId="2">#REF!</definedName>
    <definedName name="gyj" localSheetId="31">#REF!</definedName>
    <definedName name="gyj" localSheetId="6">#REF!</definedName>
    <definedName name="gyj" localSheetId="8">#REF!</definedName>
    <definedName name="gyj" localSheetId="4">#REF!</definedName>
    <definedName name="gyj">#REF!</definedName>
    <definedName name="gyj_k" localSheetId="0">[1]Gyermekjóléti!$C$27:$C$86</definedName>
    <definedName name="gyj_k" localSheetId="4">[2]Gyermekjóléti!$C$27:$C$86</definedName>
    <definedName name="gyj_k">[2]Gyermekjóléti!$C$27:$C$86</definedName>
    <definedName name="gyj_k_" localSheetId="0">#REF!</definedName>
    <definedName name="gyj_k_" localSheetId="16">#REF!</definedName>
    <definedName name="gyj_k_" localSheetId="17">#REF!</definedName>
    <definedName name="gyj_k_" localSheetId="1">#REF!</definedName>
    <definedName name="gyj_k_" localSheetId="2">#REF!</definedName>
    <definedName name="gyj_k_" localSheetId="31">#REF!</definedName>
    <definedName name="gyj_k_" localSheetId="6">#REF!</definedName>
    <definedName name="gyj_k_" localSheetId="8">#REF!</definedName>
    <definedName name="gyj_k_" localSheetId="4">#REF!</definedName>
    <definedName name="gyj_k_">#REF!</definedName>
    <definedName name="gyj_kl" localSheetId="0">#REF!</definedName>
    <definedName name="gyj_kl" localSheetId="17">#REF!</definedName>
    <definedName name="gyj_kl">#REF!</definedName>
    <definedName name="k" localSheetId="17">#REF!</definedName>
    <definedName name="k">#REF!</definedName>
    <definedName name="kjz" localSheetId="0">#REF!</definedName>
    <definedName name="kjz" localSheetId="16">#REF!</definedName>
    <definedName name="kjz" localSheetId="17">#REF!</definedName>
    <definedName name="kjz" localSheetId="1">#REF!</definedName>
    <definedName name="kjz" localSheetId="2">#REF!</definedName>
    <definedName name="kjz" localSheetId="31">#REF!</definedName>
    <definedName name="kjz" localSheetId="6">#REF!</definedName>
    <definedName name="kjz" localSheetId="8">#REF!</definedName>
    <definedName name="kjz" localSheetId="4">#REF!</definedName>
    <definedName name="kjz">#REF!</definedName>
    <definedName name="kjz_k" localSheetId="0">[1]körjegyzőség!$C$9:$C$28</definedName>
    <definedName name="kjz_k" localSheetId="4">[2]körjegyzőség!$C$9:$C$28</definedName>
    <definedName name="kjz_k">[2]körjegyzőség!$C$9:$C$28</definedName>
    <definedName name="kjz_k_" localSheetId="0">#REF!</definedName>
    <definedName name="kjz_k_" localSheetId="16">#REF!</definedName>
    <definedName name="kjz_k_" localSheetId="17">#REF!</definedName>
    <definedName name="kjz_k_" localSheetId="1">#REF!</definedName>
    <definedName name="kjz_k_" localSheetId="2">#REF!</definedName>
    <definedName name="kjz_k_" localSheetId="31">#REF!</definedName>
    <definedName name="kjz_k_" localSheetId="6">#REF!</definedName>
    <definedName name="kjz_k_" localSheetId="8">#REF!</definedName>
    <definedName name="kjz_k_" localSheetId="4">#REF!</definedName>
    <definedName name="kjz_k_">#REF!</definedName>
    <definedName name="klj" localSheetId="17">#REF!</definedName>
    <definedName name="klj">#REF!</definedName>
    <definedName name="klj_k_" localSheetId="17">#REF!</definedName>
    <definedName name="klj_k_">#REF!</definedName>
    <definedName name="nev_b" localSheetId="4">#REF!</definedName>
    <definedName name="nev_b">#REF!</definedName>
    <definedName name="nev_c" localSheetId="0">#REF!</definedName>
    <definedName name="nev_c" localSheetId="16">#REF!</definedName>
    <definedName name="nev_c" localSheetId="17">#REF!</definedName>
    <definedName name="nev_c" localSheetId="1">#REF!</definedName>
    <definedName name="nev_c" localSheetId="2">#REF!</definedName>
    <definedName name="nev_c" localSheetId="31">#REF!</definedName>
    <definedName name="nev_c" localSheetId="6">#REF!</definedName>
    <definedName name="nev_c" localSheetId="8">#REF!</definedName>
    <definedName name="nev_c" localSheetId="4">#REF!</definedName>
    <definedName name="nev_c">#REF!</definedName>
    <definedName name="nev_g" localSheetId="0">#REF!</definedName>
    <definedName name="nev_g" localSheetId="16">#REF!</definedName>
    <definedName name="nev_g" localSheetId="17">#REF!</definedName>
    <definedName name="nev_g" localSheetId="1">#REF!</definedName>
    <definedName name="nev_g" localSheetId="2">#REF!</definedName>
    <definedName name="nev_g" localSheetId="31">#REF!</definedName>
    <definedName name="nev_g" localSheetId="6">#REF!</definedName>
    <definedName name="nev_g" localSheetId="8">#REF!</definedName>
    <definedName name="nev_g" localSheetId="4">#REF!</definedName>
    <definedName name="nev_g">#REF!</definedName>
    <definedName name="nev_k" localSheetId="0">#REF!</definedName>
    <definedName name="nev_k" localSheetId="16">#REF!</definedName>
    <definedName name="nev_k" localSheetId="17">#REF!</definedName>
    <definedName name="nev_k" localSheetId="1">#REF!</definedName>
    <definedName name="nev_k" localSheetId="2">#REF!</definedName>
    <definedName name="nev_k" localSheetId="31">#REF!</definedName>
    <definedName name="nev_k" localSheetId="6">#REF!</definedName>
    <definedName name="nev_k" localSheetId="8">#REF!</definedName>
    <definedName name="nev_k" localSheetId="4">#REF!</definedName>
    <definedName name="nev_k">#REF!</definedName>
    <definedName name="normatíva">[3]Családsegítés!$C$27:$C$86</definedName>
    <definedName name="_xlnm.Print_Titles" localSheetId="12">'13 egyéb'!$4:$5</definedName>
    <definedName name="_xlnm.Print_Titles" localSheetId="16">'17 fbev.'!$2:$4</definedName>
    <definedName name="_xlnm.Print_Titles" localSheetId="17">'18 fkia.'!$1:$5</definedName>
    <definedName name="_xlnm.Print_Titles" localSheetId="18">'19 pénzeszkváltsa'!$3:$5</definedName>
    <definedName name="_xlnm.Print_Titles" localSheetId="28">'29 felhalmozás'!$6:$9</definedName>
    <definedName name="_xlnm.Print_Titles" localSheetId="2">'3 bev.részl'!$4:$6</definedName>
    <definedName name="_xlnm.Print_Titles" localSheetId="29">'30 felújítás'!$6:$8</definedName>
    <definedName name="_xlnm.Print_Titles" localSheetId="6">'7.létszám ei zárás 2019 év'!$1:$8</definedName>
    <definedName name="_xlnm.Print_Titles" localSheetId="8">'9 kult.'!$4:$6</definedName>
    <definedName name="_xlnm.Print_Area" localSheetId="0">'1 kiemelt előirányzatok telj. '!$A$1:$K$23</definedName>
    <definedName name="_xlnm.Print_Area" localSheetId="9">'10 szoc.'!$B$2:$F$50</definedName>
    <definedName name="_xlnm.Print_Area" localSheetId="10">'11 eü.'!$B$2:$F$35</definedName>
    <definedName name="_xlnm.Print_Area" localSheetId="11">'12 Gyerm.'!$B$2:$F$26</definedName>
    <definedName name="_xlnm.Print_Area" localSheetId="12">'13 egyéb'!$B$2:$F$119</definedName>
    <definedName name="_xlnm.Print_Area" localSheetId="13">'14 sport'!$B$2:$F$46</definedName>
    <definedName name="_xlnm.Print_Area" localSheetId="14">'15 város.ü.,körny'!$B$2:$J$27</definedName>
    <definedName name="_xlnm.Print_Area" localSheetId="15">'16 út-híd'!$B$2:$F$32</definedName>
    <definedName name="_xlnm.Print_Area" localSheetId="16">'17 fbev.'!$B$1:$G$66</definedName>
    <definedName name="_xlnm.Print_Area" localSheetId="17">'18 fkia.'!$C$1:$H$201</definedName>
    <definedName name="_xlnm.Print_Area" localSheetId="18">'19 pénzeszkváltsa'!$B$1:$C$11</definedName>
    <definedName name="_xlnm.Print_Area" localSheetId="1">'2 mérleg '!$A$2:$M$58</definedName>
    <definedName name="_xlnm.Print_Area" localSheetId="19">'20 közvetett támogatás'!$A$1:$C$24</definedName>
    <definedName name="_xlnm.Print_Area" localSheetId="20">'21 Eu projektek'!$B$1:$D$119</definedName>
    <definedName name="_xlnm.Print_Area" localSheetId="21">'22 többév1'!$B$1:$H$34</definedName>
    <definedName name="_xlnm.Print_Area" localSheetId="22">'23 eszközök'!$B$4:$G$139</definedName>
    <definedName name="_xlnm.Print_Area" localSheetId="23">'24 források'!$B$2:$G$76</definedName>
    <definedName name="_xlnm.Print_Area" localSheetId="24">'25 lakásalapelsz'!$B$3:$F$208</definedName>
    <definedName name="_xlnm.Print_Area" localSheetId="25">'26 segély '!$B$3:$G$22</definedName>
    <definedName name="_xlnm.Print_Area" localSheetId="26">'27 kataszter'!$A$2:$K$38</definedName>
    <definedName name="_xlnm.Print_Area" localSheetId="27">'28 vagyonkimutatás '!$B$5:$G$90</definedName>
    <definedName name="_xlnm.Print_Area" localSheetId="28">'29 felhalmozás'!$B$3:$D$247</definedName>
    <definedName name="_xlnm.Print_Area" localSheetId="2">'3 bev.részl'!$B$1:$J$134</definedName>
    <definedName name="_xlnm.Print_Area" localSheetId="29">'30 felújítás'!$B$3:$D$54</definedName>
    <definedName name="_xlnm.Print_Area" localSheetId="30">'31 Részesedések'!$B$1:$K$32</definedName>
    <definedName name="_xlnm.Print_Area" localSheetId="31">'32 Lízing'!$B$2:$E$20</definedName>
    <definedName name="_xlnm.Print_Area" localSheetId="3">'4 int bevétel'!$A$1:$BG$51</definedName>
    <definedName name="_xlnm.Print_Area" localSheetId="5">'6 int kiadás'!$A$1:$AV$51</definedName>
    <definedName name="_xlnm.Print_Area" localSheetId="6">'7.létszám ei zárás 2019 év'!$B$1:$H$51</definedName>
    <definedName name="_xlnm.Print_Area" localSheetId="7">'8 okt.'!$C$1:$G$45</definedName>
    <definedName name="_xlnm.Print_Area" localSheetId="8">'9 kult.'!$B$1:$F$129</definedName>
    <definedName name="_xlnm.Print_Area" localSheetId="4">Normatíva!$A$1:$E$53</definedName>
    <definedName name="Projektek_2019ei" localSheetId="0">#REF!</definedName>
    <definedName name="Projektek_2019ei">#REF!</definedName>
    <definedName name="rmI" localSheetId="4">#REF!</definedName>
    <definedName name="rmI">#REF!</definedName>
    <definedName name="x" localSheetId="0">#REF!</definedName>
    <definedName name="x" localSheetId="17">#REF!</definedName>
    <definedName name="x" localSheetId="31">#REF!</definedName>
    <definedName name="x" localSheetId="6">#REF!</definedName>
    <definedName name="x" localSheetId="4">#REF!</definedName>
    <definedName name="x">#REF!</definedName>
    <definedName name="Z_186732C5_520C_4E06_B066_B4F3F0A3E322_.wvu.PrintArea" localSheetId="16" hidden="1">'17 fbev.'!$B$1:$C$51</definedName>
    <definedName name="Z_186732C5_520C_4E06_B066_B4F3F0A3E322_.wvu.PrintArea" localSheetId="1" hidden="1">'2 mérleg '!$A$2:$I$59</definedName>
    <definedName name="Z_186732C5_520C_4E06_B066_B4F3F0A3E322_.wvu.PrintArea" localSheetId="20" hidden="1">'21 Eu projektek'!$B$3:$C$33</definedName>
    <definedName name="Z_186732C5_520C_4E06_B066_B4F3F0A3E322_.wvu.PrintArea" localSheetId="2" hidden="1">'3 bev.részl'!$B$1:$F$134</definedName>
    <definedName name="Z_186732C5_520C_4E06_B066_B4F3F0A3E322_.wvu.PrintArea" localSheetId="8" hidden="1">'9 kult.'!$B$1:$B$101</definedName>
    <definedName name="Z_6D4B996F_8915_4E78_98C2_E7EAE9C4580C_.wvu.PrintArea" localSheetId="16" hidden="1">'17 fbev.'!$B$1:$C$51</definedName>
    <definedName name="Z_6D4B996F_8915_4E78_98C2_E7EAE9C4580C_.wvu.PrintArea" localSheetId="1" hidden="1">'2 mérleg '!$A$2:$I$59</definedName>
    <definedName name="Z_6D4B996F_8915_4E78_98C2_E7EAE9C4580C_.wvu.PrintArea" localSheetId="20" hidden="1">'21 Eu projektek'!$B$3:$C$33</definedName>
    <definedName name="Z_6D4B996F_8915_4E78_98C2_E7EAE9C4580C_.wvu.PrintArea" localSheetId="2" hidden="1">'3 bev.részl'!$B$1:$F$134</definedName>
    <definedName name="Z_6D4B996F_8915_4E78_98C2_E7EAE9C4580C_.wvu.PrintArea" localSheetId="8" hidden="1">'9 kult.'!$B$1:$B$101</definedName>
    <definedName name="Z_F05CDCE5_D631_41F9_80C7_3F3E8464BF12_.wvu.PrintArea" localSheetId="6" hidden="1">'7.létszám ei zárás 2019 év'!$B$1:$F$51</definedName>
    <definedName name="Z_F05CDCE5_D631_41F9_80C7_3F3E8464BF12_.wvu.PrintTitles" localSheetId="6" hidden="1">'7.létszám ei zárás 2019 év'!$1:$8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40" l="1"/>
  <c r="F46" i="22"/>
  <c r="F46" i="14"/>
  <c r="F46" i="11"/>
  <c r="F46" i="36"/>
  <c r="F46" i="65"/>
  <c r="F46" i="67"/>
  <c r="F46" i="66"/>
  <c r="G46" i="60"/>
  <c r="G46" i="40"/>
  <c r="G46" i="65"/>
  <c r="G46" i="67"/>
  <c r="G46" i="66"/>
  <c r="D30" i="71" l="1"/>
  <c r="J27" i="63" l="1"/>
  <c r="J31" i="63"/>
  <c r="K30" i="63"/>
  <c r="K29" i="63"/>
  <c r="K28" i="63"/>
  <c r="K26" i="63"/>
  <c r="K25" i="63"/>
  <c r="K24" i="63"/>
  <c r="K22" i="63"/>
  <c r="K20" i="63"/>
  <c r="K19" i="63"/>
  <c r="K18" i="63"/>
  <c r="K16" i="63"/>
  <c r="K14" i="63"/>
  <c r="K13" i="63"/>
  <c r="K12" i="63"/>
  <c r="K11" i="63"/>
  <c r="K9" i="63"/>
  <c r="J15" i="63"/>
  <c r="F17" i="63"/>
  <c r="F10" i="63"/>
  <c r="J32" i="63" l="1"/>
  <c r="E52" i="71"/>
  <c r="D49" i="71"/>
  <c r="C49" i="71"/>
  <c r="B49" i="71"/>
  <c r="E48" i="71"/>
  <c r="E47" i="71"/>
  <c r="E45" i="71"/>
  <c r="D42" i="71"/>
  <c r="C42" i="71"/>
  <c r="B42" i="71"/>
  <c r="E41" i="71"/>
  <c r="E40" i="71"/>
  <c r="E39" i="71"/>
  <c r="D37" i="71"/>
  <c r="C37" i="71"/>
  <c r="B37" i="71"/>
  <c r="E36" i="71"/>
  <c r="E35" i="71"/>
  <c r="C33" i="71"/>
  <c r="B33" i="71"/>
  <c r="E32" i="71"/>
  <c r="D31" i="71"/>
  <c r="E31" i="71" s="1"/>
  <c r="E30" i="71"/>
  <c r="E29" i="71"/>
  <c r="E28" i="71"/>
  <c r="E27" i="71"/>
  <c r="D26" i="71"/>
  <c r="E26" i="71" s="1"/>
  <c r="E25" i="71"/>
  <c r="E24" i="71"/>
  <c r="D22" i="71"/>
  <c r="E22" i="71" s="1"/>
  <c r="C20" i="71"/>
  <c r="B20" i="71"/>
  <c r="E19" i="71"/>
  <c r="E18" i="71"/>
  <c r="E17" i="71"/>
  <c r="E16" i="71"/>
  <c r="D15" i="71"/>
  <c r="D20" i="71" s="1"/>
  <c r="C12" i="71"/>
  <c r="B12" i="71"/>
  <c r="D11" i="71"/>
  <c r="E11" i="71" s="1"/>
  <c r="E10" i="71"/>
  <c r="C50" i="71" l="1"/>
  <c r="C51" i="71" s="1"/>
  <c r="E37" i="71"/>
  <c r="E49" i="71"/>
  <c r="E42" i="71"/>
  <c r="B50" i="71"/>
  <c r="B51" i="71" s="1"/>
  <c r="E12" i="71"/>
  <c r="E15" i="71"/>
  <c r="E20" i="71" s="1"/>
  <c r="E33" i="71"/>
  <c r="D12" i="71"/>
  <c r="D33" i="71"/>
  <c r="D50" i="71" s="1"/>
  <c r="C53" i="71" l="1"/>
  <c r="B53" i="71"/>
  <c r="E50" i="71"/>
  <c r="E53" i="71" s="1"/>
  <c r="D53" i="71"/>
  <c r="D51" i="71"/>
  <c r="E51" i="71" l="1"/>
  <c r="F38" i="40" l="1"/>
  <c r="F87" i="60" l="1"/>
  <c r="E16" i="12" l="1"/>
  <c r="H47" i="66"/>
  <c r="I15" i="50"/>
  <c r="H12" i="50"/>
  <c r="U47" i="67"/>
  <c r="I14" i="50"/>
  <c r="I19" i="50"/>
  <c r="I12" i="50"/>
  <c r="G21" i="56" l="1"/>
  <c r="G23" i="56"/>
  <c r="E41" i="60"/>
  <c r="E34" i="60" l="1"/>
  <c r="E16" i="60"/>
  <c r="G27" i="55"/>
  <c r="G23" i="55"/>
  <c r="F37" i="60"/>
  <c r="F34" i="60" l="1"/>
  <c r="G54" i="60" l="1"/>
  <c r="E53" i="60"/>
  <c r="E37" i="60"/>
  <c r="G29" i="60"/>
  <c r="G30" i="60"/>
  <c r="G32" i="60"/>
  <c r="G34" i="60"/>
  <c r="F33" i="60"/>
  <c r="F31" i="60"/>
  <c r="E33" i="60"/>
  <c r="F24" i="60"/>
  <c r="F11" i="60"/>
  <c r="E11" i="60"/>
  <c r="G12" i="60"/>
  <c r="G13" i="60"/>
  <c r="G33" i="60" l="1"/>
  <c r="D51" i="69"/>
  <c r="D52" i="69" s="1"/>
  <c r="D48" i="69"/>
  <c r="D47" i="69"/>
  <c r="D44" i="69"/>
  <c r="D43" i="69"/>
  <c r="D42" i="69"/>
  <c r="D39" i="69"/>
  <c r="D38" i="69"/>
  <c r="D37" i="69"/>
  <c r="D36" i="69"/>
  <c r="D32" i="69"/>
  <c r="D31" i="69"/>
  <c r="D30" i="69"/>
  <c r="D29" i="69"/>
  <c r="D27" i="69"/>
  <c r="D26" i="69"/>
  <c r="D25" i="69"/>
  <c r="D24" i="69"/>
  <c r="D23" i="69"/>
  <c r="D22" i="69"/>
  <c r="D21" i="69"/>
  <c r="D20" i="69"/>
  <c r="D19" i="69"/>
  <c r="D18" i="69"/>
  <c r="D17" i="69"/>
  <c r="D16" i="69"/>
  <c r="D15" i="69"/>
  <c r="D14" i="69"/>
  <c r="D13" i="69"/>
  <c r="D12" i="69"/>
  <c r="D11" i="69"/>
  <c r="D10" i="69"/>
  <c r="D245" i="68"/>
  <c r="D243" i="68"/>
  <c r="D242" i="68"/>
  <c r="D241" i="68"/>
  <c r="D238" i="68"/>
  <c r="D237" i="68"/>
  <c r="D236" i="68"/>
  <c r="D235" i="68"/>
  <c r="D234" i="68"/>
  <c r="D233" i="68"/>
  <c r="D232" i="68"/>
  <c r="D231" i="68"/>
  <c r="D230" i="68"/>
  <c r="D229" i="68"/>
  <c r="D228" i="68"/>
  <c r="D227" i="68"/>
  <c r="D225" i="68"/>
  <c r="D224" i="68"/>
  <c r="D223" i="68"/>
  <c r="D222" i="68"/>
  <c r="D221" i="68"/>
  <c r="D218" i="68"/>
  <c r="D217" i="68"/>
  <c r="D216" i="68"/>
  <c r="D215" i="68"/>
  <c r="D214" i="68"/>
  <c r="D213" i="68"/>
  <c r="D212" i="68"/>
  <c r="D211" i="68"/>
  <c r="D210" i="68"/>
  <c r="D209" i="68"/>
  <c r="D208" i="68"/>
  <c r="D207" i="68"/>
  <c r="D206" i="68"/>
  <c r="D205" i="68"/>
  <c r="D204" i="68"/>
  <c r="D203" i="68"/>
  <c r="D202" i="68"/>
  <c r="D201" i="68"/>
  <c r="D200" i="68"/>
  <c r="D199" i="68"/>
  <c r="D198" i="68"/>
  <c r="D197" i="68"/>
  <c r="D196" i="68"/>
  <c r="D195" i="68"/>
  <c r="D194" i="68"/>
  <c r="D193" i="68"/>
  <c r="D192" i="68"/>
  <c r="D191" i="68"/>
  <c r="D190" i="68"/>
  <c r="D189" i="68"/>
  <c r="D187" i="68"/>
  <c r="D186" i="68"/>
  <c r="D185" i="68"/>
  <c r="D183" i="68"/>
  <c r="D182" i="68"/>
  <c r="D181" i="68"/>
  <c r="D180" i="68"/>
  <c r="D179" i="68"/>
  <c r="D178" i="68"/>
  <c r="D176" i="68"/>
  <c r="D172" i="68"/>
  <c r="D171" i="68"/>
  <c r="D170" i="68"/>
  <c r="D169" i="68"/>
  <c r="D168" i="68"/>
  <c r="D167" i="68"/>
  <c r="D166" i="68"/>
  <c r="D165" i="68"/>
  <c r="D164" i="68"/>
  <c r="D163" i="68"/>
  <c r="D162" i="68"/>
  <c r="D161" i="68"/>
  <c r="D160" i="68"/>
  <c r="D157" i="68"/>
  <c r="D156" i="68"/>
  <c r="D155" i="68"/>
  <c r="D154" i="68"/>
  <c r="D153" i="68"/>
  <c r="D152" i="68"/>
  <c r="D151" i="68"/>
  <c r="D150" i="68"/>
  <c r="D149" i="68"/>
  <c r="D148" i="68"/>
  <c r="D147" i="68"/>
  <c r="D146" i="68"/>
  <c r="D145" i="68"/>
  <c r="D144" i="68"/>
  <c r="D143" i="68"/>
  <c r="D139" i="68"/>
  <c r="D138" i="68"/>
  <c r="D137" i="68"/>
  <c r="D136" i="68"/>
  <c r="D135" i="68"/>
  <c r="D134" i="68"/>
  <c r="D133" i="68"/>
  <c r="D132" i="68"/>
  <c r="D131" i="68"/>
  <c r="D129" i="68"/>
  <c r="D128" i="68"/>
  <c r="D127" i="68"/>
  <c r="D126" i="68"/>
  <c r="D125" i="68"/>
  <c r="D124" i="68"/>
  <c r="D123" i="68"/>
  <c r="D122" i="68"/>
  <c r="D120" i="68"/>
  <c r="D119" i="68"/>
  <c r="D118" i="68"/>
  <c r="D117" i="68"/>
  <c r="D116" i="68"/>
  <c r="D115" i="68"/>
  <c r="D114" i="68"/>
  <c r="D113" i="68"/>
  <c r="D112" i="68"/>
  <c r="D110" i="68"/>
  <c r="D109" i="68"/>
  <c r="D108" i="68"/>
  <c r="D106" i="68"/>
  <c r="D105" i="68"/>
  <c r="D104" i="68"/>
  <c r="D103" i="68"/>
  <c r="D102" i="68"/>
  <c r="D101" i="68"/>
  <c r="D100" i="68"/>
  <c r="D99" i="68"/>
  <c r="D98" i="68"/>
  <c r="D97" i="68"/>
  <c r="D96" i="68"/>
  <c r="D95" i="68"/>
  <c r="D94" i="68"/>
  <c r="D93" i="68"/>
  <c r="D92" i="68"/>
  <c r="D91" i="68"/>
  <c r="D90" i="68"/>
  <c r="D89" i="68"/>
  <c r="D88" i="68"/>
  <c r="D83" i="68"/>
  <c r="D82" i="68"/>
  <c r="D81" i="68"/>
  <c r="D80" i="68"/>
  <c r="D79" i="68"/>
  <c r="D78" i="68"/>
  <c r="D77" i="68"/>
  <c r="D76" i="68"/>
  <c r="D75" i="68"/>
  <c r="D74" i="68"/>
  <c r="D73" i="68"/>
  <c r="D72" i="68"/>
  <c r="D71" i="68"/>
  <c r="D70" i="68"/>
  <c r="D69" i="68"/>
  <c r="D68" i="68"/>
  <c r="D67" i="68"/>
  <c r="D66" i="68"/>
  <c r="D65" i="68"/>
  <c r="D64" i="68"/>
  <c r="D63" i="68"/>
  <c r="D62" i="68"/>
  <c r="D61" i="68"/>
  <c r="D60" i="68"/>
  <c r="D59" i="68"/>
  <c r="D58" i="68"/>
  <c r="D57" i="68"/>
  <c r="D56" i="68"/>
  <c r="D55" i="68"/>
  <c r="D54" i="68"/>
  <c r="D53" i="68"/>
  <c r="D52" i="68"/>
  <c r="D50" i="68"/>
  <c r="D49" i="68"/>
  <c r="D48" i="68"/>
  <c r="D47" i="68"/>
  <c r="D46" i="68"/>
  <c r="D45" i="68"/>
  <c r="D44" i="68"/>
  <c r="D43" i="68"/>
  <c r="D42" i="68"/>
  <c r="D41" i="68"/>
  <c r="D40" i="68"/>
  <c r="D39" i="68"/>
  <c r="D38" i="68"/>
  <c r="D37" i="68"/>
  <c r="D36" i="68"/>
  <c r="D35" i="68"/>
  <c r="D34" i="68"/>
  <c r="D33" i="68"/>
  <c r="D32" i="68"/>
  <c r="D31" i="68"/>
  <c r="D30" i="68"/>
  <c r="D29" i="68"/>
  <c r="D28" i="68"/>
  <c r="D27" i="68"/>
  <c r="D26" i="68"/>
  <c r="D25" i="68"/>
  <c r="D24" i="68"/>
  <c r="D23" i="68"/>
  <c r="D22" i="68"/>
  <c r="D21" i="68"/>
  <c r="D20" i="68"/>
  <c r="D19" i="68"/>
  <c r="D18" i="68"/>
  <c r="D17" i="68"/>
  <c r="D16" i="68"/>
  <c r="D15" i="68"/>
  <c r="D14" i="68"/>
  <c r="D13" i="68"/>
  <c r="D12" i="68"/>
  <c r="D11" i="68"/>
  <c r="D45" i="69" l="1"/>
  <c r="D49" i="69"/>
  <c r="D111" i="68"/>
  <c r="D244" i="68"/>
  <c r="D239" i="68"/>
  <c r="D226" i="68"/>
  <c r="D107" i="68"/>
  <c r="D51" i="68"/>
  <c r="D84" i="68"/>
  <c r="D130" i="68"/>
  <c r="D140" i="68"/>
  <c r="D121" i="68"/>
  <c r="D158" i="68"/>
  <c r="D173" i="68"/>
  <c r="D219" i="68"/>
  <c r="D40" i="69"/>
  <c r="D28" i="69"/>
  <c r="D33" i="69" s="1"/>
  <c r="D53" i="69" l="1"/>
  <c r="D54" i="69" s="1"/>
  <c r="D85" i="68"/>
  <c r="D141" i="68"/>
  <c r="D246" i="68" s="1"/>
  <c r="D247" i="68" s="1"/>
  <c r="C5" i="51" l="1"/>
  <c r="F34" i="9" l="1"/>
  <c r="F43" i="9"/>
  <c r="G64" i="40"/>
  <c r="G62" i="40"/>
  <c r="G61" i="40"/>
  <c r="G52" i="40"/>
  <c r="G53" i="40"/>
  <c r="G54" i="40"/>
  <c r="G55" i="40"/>
  <c r="G56" i="40"/>
  <c r="G57" i="40"/>
  <c r="G58" i="40"/>
  <c r="G59" i="40"/>
  <c r="Q15" i="50" l="1"/>
  <c r="Q12" i="50"/>
  <c r="Q14" i="50"/>
  <c r="AT53" i="67" l="1"/>
  <c r="AS53" i="67"/>
  <c r="AQ53" i="67"/>
  <c r="AU53" i="67" s="1"/>
  <c r="AP53" i="67"/>
  <c r="AO53" i="67"/>
  <c r="AK53" i="67"/>
  <c r="AJ53" i="67"/>
  <c r="AG53" i="67"/>
  <c r="AF53" i="67"/>
  <c r="AC53" i="67"/>
  <c r="AB53" i="67"/>
  <c r="X53" i="67"/>
  <c r="W53" i="67"/>
  <c r="T53" i="67"/>
  <c r="S53" i="67"/>
  <c r="P53" i="67"/>
  <c r="O53" i="67"/>
  <c r="K53" i="67"/>
  <c r="J53" i="67"/>
  <c r="G53" i="67"/>
  <c r="F53" i="67"/>
  <c r="C53" i="67"/>
  <c r="B53" i="67"/>
  <c r="AL49" i="67"/>
  <c r="AH49" i="67"/>
  <c r="AD49" i="67"/>
  <c r="U49" i="67"/>
  <c r="Q49" i="67"/>
  <c r="L49" i="67"/>
  <c r="H49" i="67"/>
  <c r="D49" i="67"/>
  <c r="AQ48" i="67"/>
  <c r="AK48" i="67"/>
  <c r="AJ48" i="67"/>
  <c r="AG48" i="67"/>
  <c r="AF48" i="67"/>
  <c r="AC48" i="67"/>
  <c r="AE48" i="67" s="1"/>
  <c r="AB48" i="67"/>
  <c r="Y48" i="67"/>
  <c r="T48" i="67"/>
  <c r="S48" i="67"/>
  <c r="P48" i="67"/>
  <c r="O48" i="67"/>
  <c r="K48" i="67"/>
  <c r="M48" i="67" s="1"/>
  <c r="J48" i="67"/>
  <c r="G48" i="67"/>
  <c r="I48" i="67" s="1"/>
  <c r="F48" i="67"/>
  <c r="C48" i="67"/>
  <c r="B48" i="67"/>
  <c r="AQ47" i="67"/>
  <c r="AK47" i="67"/>
  <c r="AJ47" i="67"/>
  <c r="AG47" i="67"/>
  <c r="AI47" i="67" s="1"/>
  <c r="AF47" i="67"/>
  <c r="AC47" i="67"/>
  <c r="AB47" i="67"/>
  <c r="Y47" i="67"/>
  <c r="AU47" i="67" s="1"/>
  <c r="T47" i="67"/>
  <c r="S47" i="67"/>
  <c r="P47" i="67"/>
  <c r="O47" i="67"/>
  <c r="K47" i="67"/>
  <c r="M47" i="67" s="1"/>
  <c r="J47" i="67"/>
  <c r="G47" i="67"/>
  <c r="F47" i="67"/>
  <c r="C47" i="67"/>
  <c r="B47" i="67"/>
  <c r="AQ46" i="67"/>
  <c r="AK46" i="67"/>
  <c r="AJ46" i="67"/>
  <c r="AG46" i="67"/>
  <c r="AI46" i="67" s="1"/>
  <c r="AF46" i="67"/>
  <c r="AC46" i="67"/>
  <c r="AE46" i="67" s="1"/>
  <c r="AB46" i="67"/>
  <c r="Y46" i="67"/>
  <c r="T46" i="67"/>
  <c r="V46" i="67" s="1"/>
  <c r="S46" i="67"/>
  <c r="P46" i="67"/>
  <c r="O46" i="67"/>
  <c r="K46" i="67"/>
  <c r="M46" i="67" s="1"/>
  <c r="J46" i="67"/>
  <c r="I46" i="67"/>
  <c r="C46" i="67"/>
  <c r="B46" i="67"/>
  <c r="AQ44" i="67"/>
  <c r="AK44" i="67"/>
  <c r="AJ44" i="67"/>
  <c r="AG44" i="67"/>
  <c r="AI44" i="67" s="1"/>
  <c r="AF44" i="67"/>
  <c r="AC44" i="67"/>
  <c r="AE44" i="67" s="1"/>
  <c r="AB44" i="67"/>
  <c r="Y44" i="67"/>
  <c r="T44" i="67"/>
  <c r="S44" i="67"/>
  <c r="P44" i="67"/>
  <c r="O44" i="67"/>
  <c r="K44" i="67"/>
  <c r="M44" i="67" s="1"/>
  <c r="J44" i="67"/>
  <c r="G44" i="67"/>
  <c r="I44" i="67" s="1"/>
  <c r="F44" i="67"/>
  <c r="C44" i="67"/>
  <c r="B44" i="67"/>
  <c r="AQ42" i="67"/>
  <c r="AK42" i="67"/>
  <c r="AJ42" i="67"/>
  <c r="AG42" i="67"/>
  <c r="AI42" i="67" s="1"/>
  <c r="AF42" i="67"/>
  <c r="AC42" i="67"/>
  <c r="AE42" i="67" s="1"/>
  <c r="AB42" i="67"/>
  <c r="Y42" i="67"/>
  <c r="T42" i="67"/>
  <c r="S42" i="67"/>
  <c r="P42" i="67"/>
  <c r="O42" i="67"/>
  <c r="K42" i="67"/>
  <c r="M42" i="67" s="1"/>
  <c r="J42" i="67"/>
  <c r="G42" i="67"/>
  <c r="I42" i="67" s="1"/>
  <c r="F42" i="67"/>
  <c r="C42" i="67"/>
  <c r="B42" i="67"/>
  <c r="AY41" i="67"/>
  <c r="AW41" i="67"/>
  <c r="AQ40" i="67"/>
  <c r="AK40" i="67"/>
  <c r="AJ40" i="67"/>
  <c r="AG40" i="67"/>
  <c r="AI40" i="67" s="1"/>
  <c r="AF40" i="67"/>
  <c r="AC40" i="67"/>
  <c r="AE40" i="67" s="1"/>
  <c r="AB40" i="67"/>
  <c r="Y40" i="67"/>
  <c r="T40" i="67"/>
  <c r="S40" i="67"/>
  <c r="P40" i="67"/>
  <c r="O40" i="67"/>
  <c r="K40" i="67"/>
  <c r="M40" i="67" s="1"/>
  <c r="J40" i="67"/>
  <c r="G40" i="67"/>
  <c r="I40" i="67" s="1"/>
  <c r="F40" i="67"/>
  <c r="C40" i="67"/>
  <c r="B40" i="67"/>
  <c r="AL38" i="67"/>
  <c r="AH38" i="67"/>
  <c r="AD38" i="67"/>
  <c r="U38" i="67"/>
  <c r="Q38" i="67"/>
  <c r="Q50" i="67" s="1"/>
  <c r="L38" i="67"/>
  <c r="H38" i="67"/>
  <c r="D38" i="67"/>
  <c r="D50" i="67" s="1"/>
  <c r="AQ37" i="67"/>
  <c r="AK37" i="67"/>
  <c r="AJ37" i="67"/>
  <c r="AG37" i="67"/>
  <c r="AF37" i="67"/>
  <c r="AC37" i="67"/>
  <c r="AB37" i="67"/>
  <c r="Y37" i="67"/>
  <c r="T37" i="67"/>
  <c r="S37" i="67"/>
  <c r="P37" i="67"/>
  <c r="O37" i="67"/>
  <c r="K37" i="67"/>
  <c r="M37" i="67" s="1"/>
  <c r="J37" i="67"/>
  <c r="G37" i="67"/>
  <c r="I37" i="67" s="1"/>
  <c r="F37" i="67"/>
  <c r="C37" i="67"/>
  <c r="B37" i="67"/>
  <c r="AQ36" i="67"/>
  <c r="AK36" i="67"/>
  <c r="AJ36" i="67"/>
  <c r="AG36" i="67"/>
  <c r="AF36" i="67"/>
  <c r="AC36" i="67"/>
  <c r="AB36" i="67"/>
  <c r="Y36" i="67"/>
  <c r="T36" i="67"/>
  <c r="S36" i="67"/>
  <c r="P36" i="67"/>
  <c r="O36" i="67"/>
  <c r="K36" i="67"/>
  <c r="M36" i="67" s="1"/>
  <c r="J36" i="67"/>
  <c r="G36" i="67"/>
  <c r="I36" i="67" s="1"/>
  <c r="F36" i="67"/>
  <c r="C36" i="67"/>
  <c r="E36" i="67" s="1"/>
  <c r="B36" i="67"/>
  <c r="AQ35" i="67"/>
  <c r="AK35" i="67"/>
  <c r="AJ35" i="67"/>
  <c r="AG35" i="67"/>
  <c r="AF35" i="67"/>
  <c r="AC35" i="67"/>
  <c r="AE35" i="67" s="1"/>
  <c r="AB35" i="67"/>
  <c r="Y35" i="67"/>
  <c r="T35" i="67"/>
  <c r="S35" i="67"/>
  <c r="P35" i="67"/>
  <c r="O35" i="67"/>
  <c r="K35" i="67"/>
  <c r="M35" i="67" s="1"/>
  <c r="J35" i="67"/>
  <c r="G35" i="67"/>
  <c r="I35" i="67" s="1"/>
  <c r="F35" i="67"/>
  <c r="C35" i="67"/>
  <c r="B35" i="67"/>
  <c r="AQ34" i="67"/>
  <c r="AK34" i="67"/>
  <c r="AJ34" i="67"/>
  <c r="AG34" i="67"/>
  <c r="AF34" i="67"/>
  <c r="AC34" i="67"/>
  <c r="AB34" i="67"/>
  <c r="Y34" i="67"/>
  <c r="T34" i="67"/>
  <c r="S34" i="67"/>
  <c r="P34" i="67"/>
  <c r="O34" i="67"/>
  <c r="K34" i="67"/>
  <c r="M34" i="67" s="1"/>
  <c r="J34" i="67"/>
  <c r="G34" i="67"/>
  <c r="I34" i="67" s="1"/>
  <c r="F34" i="67"/>
  <c r="C34" i="67"/>
  <c r="E34" i="67" s="1"/>
  <c r="B34" i="67"/>
  <c r="AQ33" i="67"/>
  <c r="AK33" i="67"/>
  <c r="AJ33" i="67"/>
  <c r="AG33" i="67"/>
  <c r="AF33" i="67"/>
  <c r="AC33" i="67"/>
  <c r="AE33" i="67" s="1"/>
  <c r="AB33" i="67"/>
  <c r="Y33" i="67"/>
  <c r="T33" i="67"/>
  <c r="S33" i="67"/>
  <c r="P33" i="67"/>
  <c r="O33" i="67"/>
  <c r="K33" i="67"/>
  <c r="J33" i="67"/>
  <c r="G33" i="67"/>
  <c r="I33" i="67" s="1"/>
  <c r="F33" i="67"/>
  <c r="C33" i="67"/>
  <c r="E33" i="67" s="1"/>
  <c r="B33" i="67"/>
  <c r="AQ29" i="67"/>
  <c r="AK29" i="67"/>
  <c r="AJ29" i="67"/>
  <c r="AG29" i="67"/>
  <c r="AI29" i="67" s="1"/>
  <c r="AF29" i="67"/>
  <c r="AC29" i="67"/>
  <c r="AE29" i="67" s="1"/>
  <c r="AB29" i="67"/>
  <c r="Y29" i="67"/>
  <c r="T29" i="67"/>
  <c r="S29" i="67"/>
  <c r="P29" i="67"/>
  <c r="O29" i="67"/>
  <c r="K29" i="67"/>
  <c r="M29" i="67" s="1"/>
  <c r="J29" i="67"/>
  <c r="G29" i="67"/>
  <c r="I29" i="67" s="1"/>
  <c r="F29" i="67"/>
  <c r="C29" i="67"/>
  <c r="E29" i="67" s="1"/>
  <c r="B29" i="67"/>
  <c r="AL28" i="67"/>
  <c r="AL30" i="67" s="1"/>
  <c r="AH28" i="67"/>
  <c r="AD28" i="67"/>
  <c r="U28" i="67"/>
  <c r="U30" i="67" s="1"/>
  <c r="Q28" i="67"/>
  <c r="Q30" i="67" s="1"/>
  <c r="Q51" i="67" s="1"/>
  <c r="Q54" i="67" s="1"/>
  <c r="L28" i="67"/>
  <c r="L30" i="67" s="1"/>
  <c r="H28" i="67"/>
  <c r="D28" i="67"/>
  <c r="D30" i="67" s="1"/>
  <c r="AQ27" i="67"/>
  <c r="AK27" i="67"/>
  <c r="AJ27" i="67"/>
  <c r="AG27" i="67"/>
  <c r="AF27" i="67"/>
  <c r="AC27" i="67"/>
  <c r="AE27" i="67" s="1"/>
  <c r="AB27" i="67"/>
  <c r="Y27" i="67"/>
  <c r="AU27" i="67" s="1"/>
  <c r="T27" i="67"/>
  <c r="S27" i="67"/>
  <c r="P27" i="67"/>
  <c r="O27" i="67"/>
  <c r="K27" i="67"/>
  <c r="M27" i="67" s="1"/>
  <c r="J27" i="67"/>
  <c r="G27" i="67"/>
  <c r="I27" i="67" s="1"/>
  <c r="F27" i="67"/>
  <c r="C27" i="67"/>
  <c r="B27" i="67"/>
  <c r="AQ26" i="67"/>
  <c r="AK26" i="67"/>
  <c r="AJ26" i="67"/>
  <c r="AG26" i="67"/>
  <c r="AI26" i="67" s="1"/>
  <c r="AF26" i="67"/>
  <c r="AC26" i="67"/>
  <c r="AE26" i="67" s="1"/>
  <c r="AB26" i="67"/>
  <c r="Y26" i="67"/>
  <c r="T26" i="67"/>
  <c r="S26" i="67"/>
  <c r="P26" i="67"/>
  <c r="O26" i="67"/>
  <c r="K26" i="67"/>
  <c r="M26" i="67" s="1"/>
  <c r="J26" i="67"/>
  <c r="G26" i="67"/>
  <c r="I26" i="67" s="1"/>
  <c r="F26" i="67"/>
  <c r="C26" i="67"/>
  <c r="B26" i="67"/>
  <c r="AQ25" i="67"/>
  <c r="AK25" i="67"/>
  <c r="AJ25" i="67"/>
  <c r="AG25" i="67"/>
  <c r="AI25" i="67" s="1"/>
  <c r="AF25" i="67"/>
  <c r="AC25" i="67"/>
  <c r="AE25" i="67" s="1"/>
  <c r="AB25" i="67"/>
  <c r="Y25" i="67"/>
  <c r="T25" i="67"/>
  <c r="S25" i="67"/>
  <c r="P25" i="67"/>
  <c r="O25" i="67"/>
  <c r="K25" i="67"/>
  <c r="M25" i="67" s="1"/>
  <c r="J25" i="67"/>
  <c r="G25" i="67"/>
  <c r="I25" i="67" s="1"/>
  <c r="F25" i="67"/>
  <c r="C25" i="67"/>
  <c r="B25" i="67"/>
  <c r="AQ24" i="67"/>
  <c r="AK24" i="67"/>
  <c r="AJ24" i="67"/>
  <c r="AG24" i="67"/>
  <c r="AF24" i="67"/>
  <c r="AC24" i="67"/>
  <c r="AE24" i="67" s="1"/>
  <c r="AB24" i="67"/>
  <c r="Y24" i="67"/>
  <c r="T24" i="67"/>
  <c r="S24" i="67"/>
  <c r="P24" i="67"/>
  <c r="O24" i="67"/>
  <c r="K24" i="67"/>
  <c r="M24" i="67" s="1"/>
  <c r="J24" i="67"/>
  <c r="G24" i="67"/>
  <c r="I24" i="67" s="1"/>
  <c r="F24" i="67"/>
  <c r="C24" i="67"/>
  <c r="B24" i="67"/>
  <c r="AQ23" i="67"/>
  <c r="AK23" i="67"/>
  <c r="AJ23" i="67"/>
  <c r="AG23" i="67"/>
  <c r="AF23" i="67"/>
  <c r="AC23" i="67"/>
  <c r="AE23" i="67" s="1"/>
  <c r="AB23" i="67"/>
  <c r="Y23" i="67"/>
  <c r="T23" i="67"/>
  <c r="S23" i="67"/>
  <c r="P23" i="67"/>
  <c r="O23" i="67"/>
  <c r="K23" i="67"/>
  <c r="J23" i="67"/>
  <c r="G23" i="67"/>
  <c r="I23" i="67" s="1"/>
  <c r="F23" i="67"/>
  <c r="C23" i="67"/>
  <c r="E23" i="67" s="1"/>
  <c r="B23" i="67"/>
  <c r="AQ22" i="67"/>
  <c r="AK22" i="67"/>
  <c r="AJ22" i="67"/>
  <c r="AG22" i="67"/>
  <c r="AI22" i="67" s="1"/>
  <c r="AF22" i="67"/>
  <c r="AC22" i="67"/>
  <c r="AE22" i="67" s="1"/>
  <c r="AB22" i="67"/>
  <c r="Y22" i="67"/>
  <c r="T22" i="67"/>
  <c r="S22" i="67"/>
  <c r="P22" i="67"/>
  <c r="O22" i="67"/>
  <c r="K22" i="67"/>
  <c r="J22" i="67"/>
  <c r="G22" i="67"/>
  <c r="I22" i="67" s="1"/>
  <c r="F22" i="67"/>
  <c r="C22" i="67"/>
  <c r="E22" i="67" s="1"/>
  <c r="B22" i="67"/>
  <c r="AQ21" i="67"/>
  <c r="AK21" i="67"/>
  <c r="AJ21" i="67"/>
  <c r="AG21" i="67"/>
  <c r="AI21" i="67" s="1"/>
  <c r="AF21" i="67"/>
  <c r="AC21" i="67"/>
  <c r="AB21" i="67"/>
  <c r="Y21" i="67"/>
  <c r="T21" i="67"/>
  <c r="S21" i="67"/>
  <c r="P21" i="67"/>
  <c r="O21" i="67"/>
  <c r="K21" i="67"/>
  <c r="J21" i="67"/>
  <c r="G21" i="67"/>
  <c r="I21" i="67" s="1"/>
  <c r="F21" i="67"/>
  <c r="C21" i="67"/>
  <c r="E21" i="67" s="1"/>
  <c r="B21" i="67"/>
  <c r="AQ20" i="67"/>
  <c r="AK20" i="67"/>
  <c r="AJ20" i="67"/>
  <c r="AG20" i="67"/>
  <c r="AF20" i="67"/>
  <c r="AC20" i="67"/>
  <c r="AB20" i="67"/>
  <c r="Y20" i="67"/>
  <c r="T20" i="67"/>
  <c r="S20" i="67"/>
  <c r="P20" i="67"/>
  <c r="O20" i="67"/>
  <c r="K20" i="67"/>
  <c r="M20" i="67" s="1"/>
  <c r="J20" i="67"/>
  <c r="G20" i="67"/>
  <c r="I20" i="67" s="1"/>
  <c r="F20" i="67"/>
  <c r="C20" i="67"/>
  <c r="E20" i="67" s="1"/>
  <c r="B20" i="67"/>
  <c r="AQ19" i="67"/>
  <c r="AK19" i="67"/>
  <c r="AJ19" i="67"/>
  <c r="AG19" i="67"/>
  <c r="AI19" i="67" s="1"/>
  <c r="AF19" i="67"/>
  <c r="AC19" i="67"/>
  <c r="AE19" i="67" s="1"/>
  <c r="AB19" i="67"/>
  <c r="Y19" i="67"/>
  <c r="T19" i="67"/>
  <c r="S19" i="67"/>
  <c r="P19" i="67"/>
  <c r="O19" i="67"/>
  <c r="K19" i="67"/>
  <c r="M19" i="67" s="1"/>
  <c r="J19" i="67"/>
  <c r="G19" i="67"/>
  <c r="I19" i="67" s="1"/>
  <c r="F19" i="67"/>
  <c r="C19" i="67"/>
  <c r="E19" i="67" s="1"/>
  <c r="B19" i="67"/>
  <c r="AQ18" i="67"/>
  <c r="AK18" i="67"/>
  <c r="AJ18" i="67"/>
  <c r="AG18" i="67"/>
  <c r="AI18" i="67" s="1"/>
  <c r="AF18" i="67"/>
  <c r="AC18" i="67"/>
  <c r="AE18" i="67" s="1"/>
  <c r="AB18" i="67"/>
  <c r="Y18" i="67"/>
  <c r="T18" i="67"/>
  <c r="S18" i="67"/>
  <c r="P18" i="67"/>
  <c r="O18" i="67"/>
  <c r="K18" i="67"/>
  <c r="M18" i="67" s="1"/>
  <c r="J18" i="67"/>
  <c r="G18" i="67"/>
  <c r="I18" i="67" s="1"/>
  <c r="F18" i="67"/>
  <c r="C18" i="67"/>
  <c r="E18" i="67" s="1"/>
  <c r="B18" i="67"/>
  <c r="AQ17" i="67"/>
  <c r="AK17" i="67"/>
  <c r="AJ17" i="67"/>
  <c r="AG17" i="67"/>
  <c r="AI17" i="67" s="1"/>
  <c r="AF17" i="67"/>
  <c r="AC17" i="67"/>
  <c r="AE17" i="67" s="1"/>
  <c r="AB17" i="67"/>
  <c r="Y17" i="67"/>
  <c r="T17" i="67"/>
  <c r="S17" i="67"/>
  <c r="P17" i="67"/>
  <c r="O17" i="67"/>
  <c r="K17" i="67"/>
  <c r="M17" i="67" s="1"/>
  <c r="J17" i="67"/>
  <c r="G17" i="67"/>
  <c r="I17" i="67" s="1"/>
  <c r="F17" i="67"/>
  <c r="C17" i="67"/>
  <c r="E17" i="67" s="1"/>
  <c r="B17" i="67"/>
  <c r="AQ16" i="67"/>
  <c r="AK16" i="67"/>
  <c r="AJ16" i="67"/>
  <c r="AG16" i="67"/>
  <c r="AI16" i="67" s="1"/>
  <c r="AF16" i="67"/>
  <c r="AC16" i="67"/>
  <c r="AE16" i="67" s="1"/>
  <c r="AB16" i="67"/>
  <c r="Y16" i="67"/>
  <c r="T16" i="67"/>
  <c r="S16" i="67"/>
  <c r="P16" i="67"/>
  <c r="O16" i="67"/>
  <c r="K16" i="67"/>
  <c r="M16" i="67" s="1"/>
  <c r="J16" i="67"/>
  <c r="G16" i="67"/>
  <c r="I16" i="67" s="1"/>
  <c r="F16" i="67"/>
  <c r="C16" i="67"/>
  <c r="E16" i="67" s="1"/>
  <c r="B16" i="67"/>
  <c r="AQ15" i="67"/>
  <c r="AK15" i="67"/>
  <c r="AJ15" i="67"/>
  <c r="AG15" i="67"/>
  <c r="AI15" i="67" s="1"/>
  <c r="AF15" i="67"/>
  <c r="AC15" i="67"/>
  <c r="AE15" i="67" s="1"/>
  <c r="AB15" i="67"/>
  <c r="Y15" i="67"/>
  <c r="T15" i="67"/>
  <c r="S15" i="67"/>
  <c r="P15" i="67"/>
  <c r="O15" i="67"/>
  <c r="K15" i="67"/>
  <c r="M15" i="67" s="1"/>
  <c r="J15" i="67"/>
  <c r="G15" i="67"/>
  <c r="I15" i="67" s="1"/>
  <c r="F15" i="67"/>
  <c r="C15" i="67"/>
  <c r="E15" i="67" s="1"/>
  <c r="B15" i="67"/>
  <c r="AQ14" i="67"/>
  <c r="AK14" i="67"/>
  <c r="AJ14" i="67"/>
  <c r="AG14" i="67"/>
  <c r="AI14" i="67" s="1"/>
  <c r="AF14" i="67"/>
  <c r="AC14" i="67"/>
  <c r="AE14" i="67" s="1"/>
  <c r="AB14" i="67"/>
  <c r="Y14" i="67"/>
  <c r="T14" i="67"/>
  <c r="S14" i="67"/>
  <c r="P14" i="67"/>
  <c r="O14" i="67"/>
  <c r="K14" i="67"/>
  <c r="M14" i="67" s="1"/>
  <c r="J14" i="67"/>
  <c r="G14" i="67"/>
  <c r="I14" i="67" s="1"/>
  <c r="F14" i="67"/>
  <c r="C14" i="67"/>
  <c r="B14" i="67"/>
  <c r="AQ13" i="67"/>
  <c r="AK13" i="67"/>
  <c r="AJ13" i="67"/>
  <c r="AG13" i="67"/>
  <c r="AI13" i="67" s="1"/>
  <c r="AF13" i="67"/>
  <c r="AC13" i="67"/>
  <c r="AB13" i="67"/>
  <c r="Y13" i="67"/>
  <c r="T13" i="67"/>
  <c r="S13" i="67"/>
  <c r="P13" i="67"/>
  <c r="O13" i="67"/>
  <c r="K13" i="67"/>
  <c r="M13" i="67" s="1"/>
  <c r="J13" i="67"/>
  <c r="G13" i="67"/>
  <c r="I13" i="67" s="1"/>
  <c r="F13" i="67"/>
  <c r="C13" i="67"/>
  <c r="B13" i="67"/>
  <c r="AQ12" i="67"/>
  <c r="AK12" i="67"/>
  <c r="AJ12" i="67"/>
  <c r="AG12" i="67"/>
  <c r="AI12" i="67" s="1"/>
  <c r="AF12" i="67"/>
  <c r="AC12" i="67"/>
  <c r="AE12" i="67" s="1"/>
  <c r="AB12" i="67"/>
  <c r="Y12" i="67"/>
  <c r="T12" i="67"/>
  <c r="S12" i="67"/>
  <c r="P12" i="67"/>
  <c r="O12" i="67"/>
  <c r="K12" i="67"/>
  <c r="M12" i="67" s="1"/>
  <c r="J12" i="67"/>
  <c r="G12" i="67"/>
  <c r="I12" i="67" s="1"/>
  <c r="F12" i="67"/>
  <c r="C12" i="67"/>
  <c r="B12" i="67"/>
  <c r="AQ11" i="67"/>
  <c r="AK11" i="67"/>
  <c r="AJ11" i="67"/>
  <c r="AG11" i="67"/>
  <c r="AI11" i="67" s="1"/>
  <c r="AF11" i="67"/>
  <c r="AC11" i="67"/>
  <c r="AB11" i="67"/>
  <c r="Y11" i="67"/>
  <c r="T11" i="67"/>
  <c r="S11" i="67"/>
  <c r="P11" i="67"/>
  <c r="O11" i="67"/>
  <c r="K11" i="67"/>
  <c r="M11" i="67" s="1"/>
  <c r="J11" i="67"/>
  <c r="G11" i="67"/>
  <c r="I11" i="67" s="1"/>
  <c r="F11" i="67"/>
  <c r="C11" i="67"/>
  <c r="B11" i="67"/>
  <c r="AQ10" i="67"/>
  <c r="AK10" i="67"/>
  <c r="AJ10" i="67"/>
  <c r="AG10" i="67"/>
  <c r="AF10" i="67"/>
  <c r="AC10" i="67"/>
  <c r="AE10" i="67" s="1"/>
  <c r="AB10" i="67"/>
  <c r="Y10" i="67"/>
  <c r="T10" i="67"/>
  <c r="S10" i="67"/>
  <c r="P10" i="67"/>
  <c r="O10" i="67"/>
  <c r="K10" i="67"/>
  <c r="M10" i="67" s="1"/>
  <c r="J10" i="67"/>
  <c r="G10" i="67"/>
  <c r="F10" i="67"/>
  <c r="C10" i="67"/>
  <c r="E10" i="67" s="1"/>
  <c r="B10" i="67"/>
  <c r="BE53" i="66"/>
  <c r="BD53" i="66"/>
  <c r="BA53" i="66"/>
  <c r="AZ53" i="66"/>
  <c r="AW53" i="66"/>
  <c r="AV53" i="66"/>
  <c r="AS53" i="66"/>
  <c r="AR53" i="66"/>
  <c r="AN53" i="66"/>
  <c r="AK53" i="66"/>
  <c r="AJ53" i="66"/>
  <c r="AI53" i="66"/>
  <c r="AF53" i="66"/>
  <c r="AE53" i="66"/>
  <c r="AB53" i="66"/>
  <c r="AA53" i="66"/>
  <c r="X53" i="66"/>
  <c r="W53" i="66"/>
  <c r="T53" i="66"/>
  <c r="S53" i="66"/>
  <c r="R53" i="66"/>
  <c r="O53" i="66"/>
  <c r="N53" i="66"/>
  <c r="K53" i="66"/>
  <c r="J53" i="66"/>
  <c r="G53" i="66"/>
  <c r="F53" i="66"/>
  <c r="C53" i="66"/>
  <c r="B53" i="66"/>
  <c r="AX49" i="66"/>
  <c r="AO49" i="66"/>
  <c r="AM49" i="66"/>
  <c r="AG49" i="66"/>
  <c r="AC49" i="66"/>
  <c r="Y49" i="66"/>
  <c r="P49" i="66"/>
  <c r="L49" i="66"/>
  <c r="H49" i="66"/>
  <c r="D49" i="66"/>
  <c r="AW48" i="66"/>
  <c r="AY48" i="66" s="1"/>
  <c r="AV48" i="66"/>
  <c r="AT48" i="66"/>
  <c r="BB48" i="66" s="1"/>
  <c r="AS48" i="66"/>
  <c r="AR48" i="66"/>
  <c r="AN48" i="66"/>
  <c r="AP48" i="66" s="1"/>
  <c r="AK48" i="66"/>
  <c r="BH48" i="66" s="1"/>
  <c r="AF48" i="66"/>
  <c r="AE48" i="66"/>
  <c r="AB48" i="66"/>
  <c r="AA48" i="66"/>
  <c r="X48" i="66"/>
  <c r="W48" i="66"/>
  <c r="T48" i="66"/>
  <c r="O48" i="66"/>
  <c r="N48" i="66"/>
  <c r="K48" i="66"/>
  <c r="J48" i="66"/>
  <c r="G48" i="66"/>
  <c r="F48" i="66"/>
  <c r="C48" i="66"/>
  <c r="B48" i="66"/>
  <c r="AW47" i="66"/>
  <c r="AV47" i="66"/>
  <c r="AT47" i="66"/>
  <c r="BB47" i="66" s="1"/>
  <c r="AS47" i="66"/>
  <c r="AR47" i="66"/>
  <c r="AN47" i="66"/>
  <c r="AP47" i="66" s="1"/>
  <c r="AK47" i="66"/>
  <c r="BH47" i="66" s="1"/>
  <c r="AF47" i="66"/>
  <c r="AE47" i="66"/>
  <c r="AB47" i="66"/>
  <c r="AA47" i="66"/>
  <c r="X47" i="66"/>
  <c r="Z47" i="66" s="1"/>
  <c r="W47" i="66"/>
  <c r="T47" i="66"/>
  <c r="O47" i="66"/>
  <c r="Q47" i="66" s="1"/>
  <c r="N47" i="66"/>
  <c r="K47" i="66"/>
  <c r="J47" i="66"/>
  <c r="G47" i="66"/>
  <c r="I47" i="66" s="1"/>
  <c r="F47" i="66"/>
  <c r="C47" i="66"/>
  <c r="B47" i="66"/>
  <c r="BB46" i="66"/>
  <c r="AW46" i="66"/>
  <c r="AV46" i="66"/>
  <c r="AS46" i="66"/>
  <c r="AR46" i="66"/>
  <c r="AN46" i="66"/>
  <c r="AP46" i="66" s="1"/>
  <c r="AK46" i="66"/>
  <c r="BH46" i="66" s="1"/>
  <c r="AF46" i="66"/>
  <c r="AE46" i="66"/>
  <c r="AB46" i="66"/>
  <c r="AA46" i="66"/>
  <c r="X46" i="66"/>
  <c r="W46" i="66"/>
  <c r="T46" i="66"/>
  <c r="O46" i="66"/>
  <c r="N46" i="66"/>
  <c r="K46" i="66"/>
  <c r="J46" i="66"/>
  <c r="C46" i="66"/>
  <c r="E46" i="66" s="1"/>
  <c r="B46" i="66"/>
  <c r="AW44" i="66"/>
  <c r="AY44" i="66" s="1"/>
  <c r="AV44" i="66"/>
  <c r="AT44" i="66"/>
  <c r="BB44" i="66" s="1"/>
  <c r="AS44" i="66"/>
  <c r="AR44" i="66"/>
  <c r="AN44" i="66"/>
  <c r="AP44" i="66" s="1"/>
  <c r="AK44" i="66"/>
  <c r="BH44" i="66" s="1"/>
  <c r="AF44" i="66"/>
  <c r="AE44" i="66"/>
  <c r="AB44" i="66"/>
  <c r="AA44" i="66"/>
  <c r="X44" i="66"/>
  <c r="Z44" i="66" s="1"/>
  <c r="W44" i="66"/>
  <c r="T44" i="66"/>
  <c r="O44" i="66"/>
  <c r="N44" i="66"/>
  <c r="K44" i="66"/>
  <c r="J44" i="66"/>
  <c r="G44" i="66"/>
  <c r="I44" i="66" s="1"/>
  <c r="F44" i="66"/>
  <c r="C44" i="66"/>
  <c r="E44" i="66" s="1"/>
  <c r="B44" i="66"/>
  <c r="AW42" i="66"/>
  <c r="AY42" i="66" s="1"/>
  <c r="AV42" i="66"/>
  <c r="AT42" i="66"/>
  <c r="BB42" i="66" s="1"/>
  <c r="AS42" i="66"/>
  <c r="AR42" i="66"/>
  <c r="AN42" i="66"/>
  <c r="AP42" i="66" s="1"/>
  <c r="AK42" i="66"/>
  <c r="AF42" i="66"/>
  <c r="AE42" i="66"/>
  <c r="AB42" i="66"/>
  <c r="AD42" i="66" s="1"/>
  <c r="AA42" i="66"/>
  <c r="X42" i="66"/>
  <c r="W42" i="66"/>
  <c r="T42" i="66"/>
  <c r="O42" i="66"/>
  <c r="N42" i="66"/>
  <c r="K42" i="66"/>
  <c r="J42" i="66"/>
  <c r="G42" i="66"/>
  <c r="I42" i="66" s="1"/>
  <c r="F42" i="66"/>
  <c r="C42" i="66"/>
  <c r="B42" i="66"/>
  <c r="AW40" i="66"/>
  <c r="AY40" i="66" s="1"/>
  <c r="AV40" i="66"/>
  <c r="AT40" i="66"/>
  <c r="AS40" i="66"/>
  <c r="AR40" i="66"/>
  <c r="AN40" i="66"/>
  <c r="AP40" i="66" s="1"/>
  <c r="AK40" i="66"/>
  <c r="BH40" i="66" s="1"/>
  <c r="AF40" i="66"/>
  <c r="AE40" i="66"/>
  <c r="AB40" i="66"/>
  <c r="AA40" i="66"/>
  <c r="X40" i="66"/>
  <c r="W40" i="66"/>
  <c r="T40" i="66"/>
  <c r="O40" i="66"/>
  <c r="N40" i="66"/>
  <c r="K40" i="66"/>
  <c r="M40" i="66" s="1"/>
  <c r="J40" i="66"/>
  <c r="G40" i="66"/>
  <c r="I40" i="66" s="1"/>
  <c r="F40" i="66"/>
  <c r="C40" i="66"/>
  <c r="B40" i="66"/>
  <c r="AX38" i="66"/>
  <c r="AO38" i="66"/>
  <c r="AM38" i="66"/>
  <c r="AG38" i="66"/>
  <c r="AG50" i="66" s="1"/>
  <c r="AC38" i="66"/>
  <c r="Y38" i="66"/>
  <c r="P38" i="66"/>
  <c r="P50" i="66" s="1"/>
  <c r="H38" i="66"/>
  <c r="D38" i="66"/>
  <c r="BH37" i="66"/>
  <c r="AW37" i="66"/>
  <c r="AY37" i="66" s="1"/>
  <c r="AV37" i="66"/>
  <c r="AT37" i="66"/>
  <c r="BB37" i="66" s="1"/>
  <c r="AS37" i="66"/>
  <c r="AR37" i="66"/>
  <c r="AN37" i="66"/>
  <c r="AP37" i="66" s="1"/>
  <c r="AK37" i="66"/>
  <c r="AF37" i="66"/>
  <c r="AE37" i="66"/>
  <c r="AB37" i="66"/>
  <c r="AD37" i="66" s="1"/>
  <c r="AA37" i="66"/>
  <c r="X37" i="66"/>
  <c r="W37" i="66"/>
  <c r="O37" i="66"/>
  <c r="N37" i="66"/>
  <c r="L37" i="66"/>
  <c r="T37" i="66" s="1"/>
  <c r="K37" i="66"/>
  <c r="J37" i="66"/>
  <c r="G37" i="66"/>
  <c r="I37" i="66" s="1"/>
  <c r="F37" i="66"/>
  <c r="C37" i="66"/>
  <c r="B37" i="66"/>
  <c r="BB36" i="66"/>
  <c r="AW36" i="66"/>
  <c r="AY36" i="66" s="1"/>
  <c r="AV36" i="66"/>
  <c r="AS36" i="66"/>
  <c r="AR36" i="66"/>
  <c r="AN36" i="66"/>
  <c r="AP36" i="66" s="1"/>
  <c r="AK36" i="66"/>
  <c r="BH36" i="66" s="1"/>
  <c r="AF36" i="66"/>
  <c r="AE36" i="66"/>
  <c r="AB36" i="66"/>
  <c r="AD36" i="66" s="1"/>
  <c r="AA36" i="66"/>
  <c r="X36" i="66"/>
  <c r="W36" i="66"/>
  <c r="T36" i="66"/>
  <c r="O36" i="66"/>
  <c r="N36" i="66"/>
  <c r="K36" i="66"/>
  <c r="J36" i="66"/>
  <c r="G36" i="66"/>
  <c r="I36" i="66" s="1"/>
  <c r="F36" i="66"/>
  <c r="C36" i="66"/>
  <c r="E36" i="66" s="1"/>
  <c r="B36" i="66"/>
  <c r="BH35" i="66"/>
  <c r="AW35" i="66"/>
  <c r="AY35" i="66" s="1"/>
  <c r="AV35" i="66"/>
  <c r="AT35" i="66"/>
  <c r="AS35" i="66"/>
  <c r="AR35" i="66"/>
  <c r="AN35" i="66"/>
  <c r="AP35" i="66" s="1"/>
  <c r="AK35" i="66"/>
  <c r="AF35" i="66"/>
  <c r="AE35" i="66"/>
  <c r="AB35" i="66"/>
  <c r="AA35" i="66"/>
  <c r="X35" i="66"/>
  <c r="W35" i="66"/>
  <c r="T35" i="66"/>
  <c r="O35" i="66"/>
  <c r="N35" i="66"/>
  <c r="K35" i="66"/>
  <c r="J35" i="66"/>
  <c r="G35" i="66"/>
  <c r="I35" i="66" s="1"/>
  <c r="F35" i="66"/>
  <c r="C35" i="66"/>
  <c r="B35" i="66"/>
  <c r="AW34" i="66"/>
  <c r="AY34" i="66" s="1"/>
  <c r="AV34" i="66"/>
  <c r="AT34" i="66"/>
  <c r="AS34" i="66"/>
  <c r="AR34" i="66"/>
  <c r="AN34" i="66"/>
  <c r="AP34" i="66" s="1"/>
  <c r="AK34" i="66"/>
  <c r="BH34" i="66" s="1"/>
  <c r="AF34" i="66"/>
  <c r="AE34" i="66"/>
  <c r="AB34" i="66"/>
  <c r="AA34" i="66"/>
  <c r="X34" i="66"/>
  <c r="W34" i="66"/>
  <c r="T34" i="66"/>
  <c r="O34" i="66"/>
  <c r="N34" i="66"/>
  <c r="K34" i="66"/>
  <c r="J34" i="66"/>
  <c r="G34" i="66"/>
  <c r="I34" i="66" s="1"/>
  <c r="F34" i="66"/>
  <c r="C34" i="66"/>
  <c r="E34" i="66" s="1"/>
  <c r="B34" i="66"/>
  <c r="BB33" i="66"/>
  <c r="AW33" i="66"/>
  <c r="AV33" i="66"/>
  <c r="AS33" i="66"/>
  <c r="AU33" i="66" s="1"/>
  <c r="AR33" i="66"/>
  <c r="AN33" i="66"/>
  <c r="AK33" i="66"/>
  <c r="BH33" i="66" s="1"/>
  <c r="AF33" i="66"/>
  <c r="AE33" i="66"/>
  <c r="AB33" i="66"/>
  <c r="AA33" i="66"/>
  <c r="X33" i="66"/>
  <c r="W33" i="66"/>
  <c r="T33" i="66"/>
  <c r="O33" i="66"/>
  <c r="N33" i="66"/>
  <c r="K33" i="66"/>
  <c r="J33" i="66"/>
  <c r="G33" i="66"/>
  <c r="F33" i="66"/>
  <c r="C33" i="66"/>
  <c r="E33" i="66" s="1"/>
  <c r="B33" i="66"/>
  <c r="AX30" i="66"/>
  <c r="AW29" i="66"/>
  <c r="AY29" i="66" s="1"/>
  <c r="AV29" i="66"/>
  <c r="AT29" i="66"/>
  <c r="BB29" i="66" s="1"/>
  <c r="AS29" i="66"/>
  <c r="AR29" i="66"/>
  <c r="AN29" i="66"/>
  <c r="AP29" i="66" s="1"/>
  <c r="AK29" i="66"/>
  <c r="AF29" i="66"/>
  <c r="AE29" i="66"/>
  <c r="AB29" i="66"/>
  <c r="AA29" i="66"/>
  <c r="X29" i="66"/>
  <c r="W29" i="66"/>
  <c r="T29" i="66"/>
  <c r="O29" i="66"/>
  <c r="N29" i="66"/>
  <c r="K29" i="66"/>
  <c r="J29" i="66"/>
  <c r="G29" i="66"/>
  <c r="I29" i="66" s="1"/>
  <c r="F29" i="66"/>
  <c r="C29" i="66"/>
  <c r="E29" i="66" s="1"/>
  <c r="B29" i="66"/>
  <c r="AX28" i="66"/>
  <c r="AO28" i="66"/>
  <c r="AO30" i="66" s="1"/>
  <c r="AM28" i="66"/>
  <c r="AM30" i="66" s="1"/>
  <c r="AG28" i="66"/>
  <c r="AG30" i="66" s="1"/>
  <c r="AC28" i="66"/>
  <c r="AC30" i="66" s="1"/>
  <c r="Y28" i="66"/>
  <c r="Y30" i="66" s="1"/>
  <c r="P28" i="66"/>
  <c r="P30" i="66" s="1"/>
  <c r="L28" i="66"/>
  <c r="L30" i="66" s="1"/>
  <c r="H28" i="66"/>
  <c r="H30" i="66" s="1"/>
  <c r="D28" i="66"/>
  <c r="D30" i="66" s="1"/>
  <c r="AW27" i="66"/>
  <c r="AY27" i="66" s="1"/>
  <c r="AV27" i="66"/>
  <c r="AT27" i="66"/>
  <c r="AS27" i="66"/>
  <c r="AR27" i="66"/>
  <c r="AN27" i="66"/>
  <c r="AP27" i="66" s="1"/>
  <c r="AK27" i="66"/>
  <c r="BH27" i="66" s="1"/>
  <c r="AF27" i="66"/>
  <c r="AE27" i="66"/>
  <c r="AB27" i="66"/>
  <c r="AA27" i="66"/>
  <c r="X27" i="66"/>
  <c r="W27" i="66"/>
  <c r="T27" i="66"/>
  <c r="O27" i="66"/>
  <c r="N27" i="66"/>
  <c r="K27" i="66"/>
  <c r="J27" i="66"/>
  <c r="G27" i="66"/>
  <c r="I27" i="66" s="1"/>
  <c r="F27" i="66"/>
  <c r="C27" i="66"/>
  <c r="E27" i="66" s="1"/>
  <c r="B27" i="66"/>
  <c r="AW26" i="66"/>
  <c r="AY26" i="66" s="1"/>
  <c r="AV26" i="66"/>
  <c r="AT26" i="66"/>
  <c r="BB26" i="66" s="1"/>
  <c r="AS26" i="66"/>
  <c r="AR26" i="66"/>
  <c r="AN26" i="66"/>
  <c r="AP26" i="66" s="1"/>
  <c r="AK26" i="66"/>
  <c r="BH26" i="66" s="1"/>
  <c r="AF26" i="66"/>
  <c r="AE26" i="66"/>
  <c r="AB26" i="66"/>
  <c r="AD26" i="66" s="1"/>
  <c r="AA26" i="66"/>
  <c r="X26" i="66"/>
  <c r="W26" i="66"/>
  <c r="T26" i="66"/>
  <c r="O26" i="66"/>
  <c r="N26" i="66"/>
  <c r="K26" i="66"/>
  <c r="J26" i="66"/>
  <c r="G26" i="66"/>
  <c r="I26" i="66" s="1"/>
  <c r="F26" i="66"/>
  <c r="C26" i="66"/>
  <c r="E26" i="66" s="1"/>
  <c r="B26" i="66"/>
  <c r="AW25" i="66"/>
  <c r="AY25" i="66" s="1"/>
  <c r="AV25" i="66"/>
  <c r="AT25" i="66"/>
  <c r="BB25" i="66" s="1"/>
  <c r="AS25" i="66"/>
  <c r="AR25" i="66"/>
  <c r="AN25" i="66"/>
  <c r="AP25" i="66" s="1"/>
  <c r="AK25" i="66"/>
  <c r="BH25" i="66" s="1"/>
  <c r="AF25" i="66"/>
  <c r="AE25" i="66"/>
  <c r="AB25" i="66"/>
  <c r="AA25" i="66"/>
  <c r="X25" i="66"/>
  <c r="W25" i="66"/>
  <c r="T25" i="66"/>
  <c r="O25" i="66"/>
  <c r="N25" i="66"/>
  <c r="K25" i="66"/>
  <c r="J25" i="66"/>
  <c r="G25" i="66"/>
  <c r="F25" i="66"/>
  <c r="C25" i="66"/>
  <c r="B25" i="66"/>
  <c r="AW24" i="66"/>
  <c r="AY24" i="66" s="1"/>
  <c r="AV24" i="66"/>
  <c r="AT24" i="66"/>
  <c r="BB24" i="66" s="1"/>
  <c r="AS24" i="66"/>
  <c r="AR24" i="66"/>
  <c r="AN24" i="66"/>
  <c r="AP24" i="66" s="1"/>
  <c r="AK24" i="66"/>
  <c r="BH24" i="66" s="1"/>
  <c r="AF24" i="66"/>
  <c r="AE24" i="66"/>
  <c r="AB24" i="66"/>
  <c r="AA24" i="66"/>
  <c r="X24" i="66"/>
  <c r="W24" i="66"/>
  <c r="T24" i="66"/>
  <c r="O24" i="66"/>
  <c r="N24" i="66"/>
  <c r="K24" i="66"/>
  <c r="M24" i="66" s="1"/>
  <c r="J24" i="66"/>
  <c r="G24" i="66"/>
  <c r="F24" i="66"/>
  <c r="C24" i="66"/>
  <c r="B24" i="66"/>
  <c r="AW23" i="66"/>
  <c r="AY23" i="66" s="1"/>
  <c r="AV23" i="66"/>
  <c r="AT23" i="66"/>
  <c r="BB23" i="66" s="1"/>
  <c r="AS23" i="66"/>
  <c r="AR23" i="66"/>
  <c r="AN23" i="66"/>
  <c r="AP23" i="66" s="1"/>
  <c r="AK23" i="66"/>
  <c r="BH23" i="66" s="1"/>
  <c r="AF23" i="66"/>
  <c r="AE23" i="66"/>
  <c r="AB23" i="66"/>
  <c r="AA23" i="66"/>
  <c r="X23" i="66"/>
  <c r="W23" i="66"/>
  <c r="T23" i="66"/>
  <c r="O23" i="66"/>
  <c r="N23" i="66"/>
  <c r="K23" i="66"/>
  <c r="J23" i="66"/>
  <c r="G23" i="66"/>
  <c r="I23" i="66" s="1"/>
  <c r="F23" i="66"/>
  <c r="C23" i="66"/>
  <c r="E23" i="66" s="1"/>
  <c r="B23" i="66"/>
  <c r="AW22" i="66"/>
  <c r="AY22" i="66" s="1"/>
  <c r="AV22" i="66"/>
  <c r="AT22" i="66"/>
  <c r="BB22" i="66" s="1"/>
  <c r="AS22" i="66"/>
  <c r="AU22" i="66" s="1"/>
  <c r="AR22" i="66"/>
  <c r="AN22" i="66"/>
  <c r="AP22" i="66" s="1"/>
  <c r="AK22" i="66"/>
  <c r="BH22" i="66" s="1"/>
  <c r="AF22" i="66"/>
  <c r="AE22" i="66"/>
  <c r="AB22" i="66"/>
  <c r="AA22" i="66"/>
  <c r="X22" i="66"/>
  <c r="W22" i="66"/>
  <c r="T22" i="66"/>
  <c r="O22" i="66"/>
  <c r="N22" i="66"/>
  <c r="K22" i="66"/>
  <c r="J22" i="66"/>
  <c r="G22" i="66"/>
  <c r="F22" i="66"/>
  <c r="C22" i="66"/>
  <c r="B22" i="66"/>
  <c r="AW21" i="66"/>
  <c r="AY21" i="66" s="1"/>
  <c r="AV21" i="66"/>
  <c r="AT21" i="66"/>
  <c r="BB21" i="66" s="1"/>
  <c r="AS21" i="66"/>
  <c r="AR21" i="66"/>
  <c r="AN21" i="66"/>
  <c r="AP21" i="66" s="1"/>
  <c r="AK21" i="66"/>
  <c r="BH21" i="66" s="1"/>
  <c r="AF21" i="66"/>
  <c r="AE21" i="66"/>
  <c r="AB21" i="66"/>
  <c r="AA21" i="66"/>
  <c r="X21" i="66"/>
  <c r="W21" i="66"/>
  <c r="T21" i="66"/>
  <c r="O21" i="66"/>
  <c r="N21" i="66"/>
  <c r="K21" i="66"/>
  <c r="J21" i="66"/>
  <c r="G21" i="66"/>
  <c r="F21" i="66"/>
  <c r="C21" i="66"/>
  <c r="B21" i="66"/>
  <c r="AW20" i="66"/>
  <c r="AY20" i="66" s="1"/>
  <c r="AV20" i="66"/>
  <c r="AT20" i="66"/>
  <c r="BB20" i="66" s="1"/>
  <c r="AS20" i="66"/>
  <c r="AR20" i="66"/>
  <c r="AN20" i="66"/>
  <c r="AP20" i="66" s="1"/>
  <c r="AK20" i="66"/>
  <c r="BH20" i="66" s="1"/>
  <c r="AF20" i="66"/>
  <c r="AE20" i="66"/>
  <c r="AB20" i="66"/>
  <c r="AA20" i="66"/>
  <c r="X20" i="66"/>
  <c r="W20" i="66"/>
  <c r="T20" i="66"/>
  <c r="O20" i="66"/>
  <c r="N20" i="66"/>
  <c r="K20" i="66"/>
  <c r="M20" i="66" s="1"/>
  <c r="J20" i="66"/>
  <c r="G20" i="66"/>
  <c r="F20" i="66"/>
  <c r="C20" i="66"/>
  <c r="B20" i="66"/>
  <c r="AW19" i="66"/>
  <c r="AY19" i="66" s="1"/>
  <c r="AV19" i="66"/>
  <c r="AT19" i="66"/>
  <c r="BB19" i="66" s="1"/>
  <c r="AS19" i="66"/>
  <c r="AR19" i="66"/>
  <c r="AN19" i="66"/>
  <c r="AP19" i="66" s="1"/>
  <c r="AK19" i="66"/>
  <c r="BH19" i="66" s="1"/>
  <c r="AF19" i="66"/>
  <c r="AE19" i="66"/>
  <c r="AB19" i="66"/>
  <c r="AA19" i="66"/>
  <c r="X19" i="66"/>
  <c r="W19" i="66"/>
  <c r="T19" i="66"/>
  <c r="O19" i="66"/>
  <c r="N19" i="66"/>
  <c r="K19" i="66"/>
  <c r="J19" i="66"/>
  <c r="G19" i="66"/>
  <c r="F19" i="66"/>
  <c r="C19" i="66"/>
  <c r="B19" i="66"/>
  <c r="AW18" i="66"/>
  <c r="AY18" i="66" s="1"/>
  <c r="AV18" i="66"/>
  <c r="AT18" i="66"/>
  <c r="BB18" i="66" s="1"/>
  <c r="AS18" i="66"/>
  <c r="AR18" i="66"/>
  <c r="AN18" i="66"/>
  <c r="AP18" i="66" s="1"/>
  <c r="AK18" i="66"/>
  <c r="BH18" i="66" s="1"/>
  <c r="AF18" i="66"/>
  <c r="AE18" i="66"/>
  <c r="AB18" i="66"/>
  <c r="AA18" i="66"/>
  <c r="X18" i="66"/>
  <c r="W18" i="66"/>
  <c r="T18" i="66"/>
  <c r="O18" i="66"/>
  <c r="N18" i="66"/>
  <c r="K18" i="66"/>
  <c r="J18" i="66"/>
  <c r="G18" i="66"/>
  <c r="I18" i="66" s="1"/>
  <c r="F18" i="66"/>
  <c r="C18" i="66"/>
  <c r="E18" i="66" s="1"/>
  <c r="B18" i="66"/>
  <c r="AW17" i="66"/>
  <c r="AY17" i="66" s="1"/>
  <c r="AV17" i="66"/>
  <c r="AT17" i="66"/>
  <c r="BB17" i="66" s="1"/>
  <c r="AS17" i="66"/>
  <c r="AR17" i="66"/>
  <c r="AN17" i="66"/>
  <c r="AP17" i="66" s="1"/>
  <c r="AK17" i="66"/>
  <c r="BH17" i="66" s="1"/>
  <c r="AF17" i="66"/>
  <c r="AE17" i="66"/>
  <c r="AB17" i="66"/>
  <c r="AA17" i="66"/>
  <c r="X17" i="66"/>
  <c r="W17" i="66"/>
  <c r="T17" i="66"/>
  <c r="O17" i="66"/>
  <c r="N17" i="66"/>
  <c r="K17" i="66"/>
  <c r="J17" i="66"/>
  <c r="G17" i="66"/>
  <c r="F17" i="66"/>
  <c r="C17" i="66"/>
  <c r="E17" i="66" s="1"/>
  <c r="B17" i="66"/>
  <c r="AW16" i="66"/>
  <c r="AY16" i="66" s="1"/>
  <c r="AV16" i="66"/>
  <c r="AT16" i="66"/>
  <c r="BB16" i="66" s="1"/>
  <c r="AS16" i="66"/>
  <c r="AR16" i="66"/>
  <c r="AN16" i="66"/>
  <c r="AP16" i="66" s="1"/>
  <c r="AK16" i="66"/>
  <c r="BH16" i="66" s="1"/>
  <c r="AF16" i="66"/>
  <c r="AE16" i="66"/>
  <c r="AB16" i="66"/>
  <c r="AA16" i="66"/>
  <c r="X16" i="66"/>
  <c r="W16" i="66"/>
  <c r="T16" i="66"/>
  <c r="O16" i="66"/>
  <c r="N16" i="66"/>
  <c r="K16" i="66"/>
  <c r="M16" i="66" s="1"/>
  <c r="J16" i="66"/>
  <c r="G16" i="66"/>
  <c r="I16" i="66" s="1"/>
  <c r="F16" i="66"/>
  <c r="C16" i="66"/>
  <c r="E16" i="66" s="1"/>
  <c r="B16" i="66"/>
  <c r="AW15" i="66"/>
  <c r="AY15" i="66" s="1"/>
  <c r="AV15" i="66"/>
  <c r="AT15" i="66"/>
  <c r="BB15" i="66" s="1"/>
  <c r="AS15" i="66"/>
  <c r="AR15" i="66"/>
  <c r="AN15" i="66"/>
  <c r="AP15" i="66" s="1"/>
  <c r="AK15" i="66"/>
  <c r="BH15" i="66" s="1"/>
  <c r="AF15" i="66"/>
  <c r="AE15" i="66"/>
  <c r="AB15" i="66"/>
  <c r="AA15" i="66"/>
  <c r="X15" i="66"/>
  <c r="W15" i="66"/>
  <c r="T15" i="66"/>
  <c r="O15" i="66"/>
  <c r="N15" i="66"/>
  <c r="K15" i="66"/>
  <c r="M15" i="66" s="1"/>
  <c r="J15" i="66"/>
  <c r="G15" i="66"/>
  <c r="F15" i="66"/>
  <c r="C15" i="66"/>
  <c r="B15" i="66"/>
  <c r="AW14" i="66"/>
  <c r="AY14" i="66" s="1"/>
  <c r="AV14" i="66"/>
  <c r="AT14" i="66"/>
  <c r="BB14" i="66" s="1"/>
  <c r="AS14" i="66"/>
  <c r="AR14" i="66"/>
  <c r="AN14" i="66"/>
  <c r="AP14" i="66" s="1"/>
  <c r="AK14" i="66"/>
  <c r="BH14" i="66" s="1"/>
  <c r="AF14" i="66"/>
  <c r="AE14" i="66"/>
  <c r="AB14" i="66"/>
  <c r="AA14" i="66"/>
  <c r="X14" i="66"/>
  <c r="W14" i="66"/>
  <c r="T14" i="66"/>
  <c r="O14" i="66"/>
  <c r="N14" i="66"/>
  <c r="K14" i="66"/>
  <c r="M14" i="66" s="1"/>
  <c r="J14" i="66"/>
  <c r="G14" i="66"/>
  <c r="I14" i="66" s="1"/>
  <c r="F14" i="66"/>
  <c r="C14" i="66"/>
  <c r="E14" i="66" s="1"/>
  <c r="B14" i="66"/>
  <c r="AW13" i="66"/>
  <c r="AY13" i="66" s="1"/>
  <c r="AV13" i="66"/>
  <c r="AT13" i="66"/>
  <c r="BB13" i="66" s="1"/>
  <c r="AS13" i="66"/>
  <c r="AR13" i="66"/>
  <c r="AN13" i="66"/>
  <c r="AP13" i="66" s="1"/>
  <c r="AK13" i="66"/>
  <c r="BH13" i="66" s="1"/>
  <c r="AF13" i="66"/>
  <c r="AE13" i="66"/>
  <c r="AB13" i="66"/>
  <c r="AA13" i="66"/>
  <c r="X13" i="66"/>
  <c r="W13" i="66"/>
  <c r="T13" i="66"/>
  <c r="O13" i="66"/>
  <c r="N13" i="66"/>
  <c r="K13" i="66"/>
  <c r="J13" i="66"/>
  <c r="G13" i="66"/>
  <c r="F13" i="66"/>
  <c r="C13" i="66"/>
  <c r="B13" i="66"/>
  <c r="AW12" i="66"/>
  <c r="AY12" i="66" s="1"/>
  <c r="AV12" i="66"/>
  <c r="AT12" i="66"/>
  <c r="BB12" i="66" s="1"/>
  <c r="AS12" i="66"/>
  <c r="AR12" i="66"/>
  <c r="AN12" i="66"/>
  <c r="AP12" i="66" s="1"/>
  <c r="AK12" i="66"/>
  <c r="BH12" i="66" s="1"/>
  <c r="AF12" i="66"/>
  <c r="AE12" i="66"/>
  <c r="AB12" i="66"/>
  <c r="AA12" i="66"/>
  <c r="X12" i="66"/>
  <c r="W12" i="66"/>
  <c r="T12" i="66"/>
  <c r="O12" i="66"/>
  <c r="N12" i="66"/>
  <c r="K12" i="66"/>
  <c r="J12" i="66"/>
  <c r="G12" i="66"/>
  <c r="I12" i="66" s="1"/>
  <c r="F12" i="66"/>
  <c r="C12" i="66"/>
  <c r="E12" i="66" s="1"/>
  <c r="B12" i="66"/>
  <c r="AW11" i="66"/>
  <c r="AY11" i="66" s="1"/>
  <c r="AV11" i="66"/>
  <c r="AT11" i="66"/>
  <c r="BB11" i="66" s="1"/>
  <c r="AS11" i="66"/>
  <c r="AR11" i="66"/>
  <c r="AN11" i="66"/>
  <c r="AP11" i="66" s="1"/>
  <c r="AK11" i="66"/>
  <c r="BH11" i="66" s="1"/>
  <c r="AF11" i="66"/>
  <c r="AE11" i="66"/>
  <c r="AB11" i="66"/>
  <c r="AA11" i="66"/>
  <c r="X11" i="66"/>
  <c r="W11" i="66"/>
  <c r="T11" i="66"/>
  <c r="O11" i="66"/>
  <c r="N11" i="66"/>
  <c r="K11" i="66"/>
  <c r="J11" i="66"/>
  <c r="G11" i="66"/>
  <c r="F11" i="66"/>
  <c r="C11" i="66"/>
  <c r="E11" i="66" s="1"/>
  <c r="B11" i="66"/>
  <c r="AW10" i="66"/>
  <c r="AV10" i="66"/>
  <c r="AT10" i="66"/>
  <c r="BB10" i="66" s="1"/>
  <c r="AS10" i="66"/>
  <c r="AR10" i="66"/>
  <c r="AN10" i="66"/>
  <c r="AP10" i="66" s="1"/>
  <c r="AK10" i="66"/>
  <c r="AF10" i="66"/>
  <c r="AE10" i="66"/>
  <c r="AB10" i="66"/>
  <c r="AA10" i="66"/>
  <c r="X10" i="66"/>
  <c r="W10" i="66"/>
  <c r="T10" i="66"/>
  <c r="O10" i="66"/>
  <c r="N10" i="66"/>
  <c r="K10" i="66"/>
  <c r="J10" i="66"/>
  <c r="G10" i="66"/>
  <c r="F10" i="66"/>
  <c r="C10" i="66"/>
  <c r="B10" i="66"/>
  <c r="F48" i="65"/>
  <c r="E48" i="65"/>
  <c r="D48" i="65"/>
  <c r="C48" i="65"/>
  <c r="F47" i="65"/>
  <c r="E47" i="65"/>
  <c r="D47" i="65"/>
  <c r="C47" i="65"/>
  <c r="E46" i="65"/>
  <c r="D46" i="65"/>
  <c r="D49" i="65" s="1"/>
  <c r="C46" i="65"/>
  <c r="F44" i="65"/>
  <c r="E44" i="65"/>
  <c r="D44" i="65"/>
  <c r="C44" i="65"/>
  <c r="F42" i="65"/>
  <c r="E42" i="65"/>
  <c r="D42" i="65"/>
  <c r="C42" i="65"/>
  <c r="F40" i="65"/>
  <c r="E40" i="65"/>
  <c r="D40" i="65"/>
  <c r="C40" i="65"/>
  <c r="F37" i="65"/>
  <c r="E37" i="65"/>
  <c r="D37" i="65"/>
  <c r="C37" i="65"/>
  <c r="F36" i="65"/>
  <c r="E36" i="65"/>
  <c r="D36" i="65"/>
  <c r="C36" i="65"/>
  <c r="F35" i="65"/>
  <c r="E35" i="65"/>
  <c r="D35" i="65"/>
  <c r="C35" i="65"/>
  <c r="F34" i="65"/>
  <c r="E34" i="65"/>
  <c r="D34" i="65"/>
  <c r="C34" i="65"/>
  <c r="F33" i="65"/>
  <c r="E33" i="65"/>
  <c r="D33" i="65"/>
  <c r="C33" i="65"/>
  <c r="F29" i="65"/>
  <c r="E29" i="65"/>
  <c r="D29" i="65"/>
  <c r="C29" i="65"/>
  <c r="F27" i="65"/>
  <c r="E27" i="65"/>
  <c r="D27" i="65"/>
  <c r="C27" i="65"/>
  <c r="F26" i="65"/>
  <c r="E26" i="65"/>
  <c r="D26" i="65"/>
  <c r="C26" i="65"/>
  <c r="F25" i="65"/>
  <c r="E25" i="65"/>
  <c r="D25" i="65"/>
  <c r="C25" i="65"/>
  <c r="F24" i="65"/>
  <c r="E24" i="65"/>
  <c r="D24" i="65"/>
  <c r="C24" i="65"/>
  <c r="F23" i="65"/>
  <c r="E23" i="65"/>
  <c r="D23" i="65"/>
  <c r="C23" i="65"/>
  <c r="F22" i="65"/>
  <c r="E22" i="65"/>
  <c r="D22" i="65"/>
  <c r="C22" i="65"/>
  <c r="F21" i="65"/>
  <c r="E21" i="65"/>
  <c r="D21" i="65"/>
  <c r="C21" i="65"/>
  <c r="F20" i="65"/>
  <c r="E20" i="65"/>
  <c r="D20" i="65"/>
  <c r="C20" i="65"/>
  <c r="F19" i="65"/>
  <c r="E19" i="65"/>
  <c r="D19" i="65"/>
  <c r="C19" i="65"/>
  <c r="F18" i="65"/>
  <c r="E18" i="65"/>
  <c r="D18" i="65"/>
  <c r="C18" i="65"/>
  <c r="F17" i="65"/>
  <c r="E17" i="65"/>
  <c r="D17" i="65"/>
  <c r="C17" i="65"/>
  <c r="F16" i="65"/>
  <c r="E16" i="65"/>
  <c r="D16" i="65"/>
  <c r="C16" i="65"/>
  <c r="F15" i="65"/>
  <c r="E15" i="65"/>
  <c r="D15" i="65"/>
  <c r="C15" i="65"/>
  <c r="F14" i="65"/>
  <c r="E14" i="65"/>
  <c r="D14" i="65"/>
  <c r="C14" i="65"/>
  <c r="F13" i="65"/>
  <c r="E13" i="65"/>
  <c r="D13" i="65"/>
  <c r="C13" i="65"/>
  <c r="F12" i="65"/>
  <c r="E12" i="65"/>
  <c r="D12" i="65"/>
  <c r="C12" i="65"/>
  <c r="F11" i="65"/>
  <c r="E11" i="65"/>
  <c r="D11" i="65"/>
  <c r="C11" i="65"/>
  <c r="F10" i="65"/>
  <c r="F28" i="65" s="1"/>
  <c r="F30" i="65" s="1"/>
  <c r="E10" i="65"/>
  <c r="E28" i="65" s="1"/>
  <c r="E30" i="65" s="1"/>
  <c r="D10" i="65"/>
  <c r="C10" i="65"/>
  <c r="AU12" i="67" l="1"/>
  <c r="AU20" i="67"/>
  <c r="AY20" i="67" s="1"/>
  <c r="AU24" i="67"/>
  <c r="BB49" i="66"/>
  <c r="AU19" i="66"/>
  <c r="AU42" i="66"/>
  <c r="AU35" i="67"/>
  <c r="BF15" i="66"/>
  <c r="BF25" i="66"/>
  <c r="Y50" i="66"/>
  <c r="AU26" i="66"/>
  <c r="BF23" i="66"/>
  <c r="BF37" i="66"/>
  <c r="H50" i="67"/>
  <c r="AM50" i="66"/>
  <c r="AM51" i="66" s="1"/>
  <c r="AM54" i="66" s="1"/>
  <c r="AU13" i="67"/>
  <c r="AY13" i="67" s="1"/>
  <c r="E38" i="65"/>
  <c r="BF17" i="66"/>
  <c r="AU44" i="66"/>
  <c r="BF48" i="66"/>
  <c r="AU22" i="67"/>
  <c r="AY22" i="67" s="1"/>
  <c r="AU34" i="67"/>
  <c r="AU25" i="67"/>
  <c r="D51" i="67"/>
  <c r="D54" i="67" s="1"/>
  <c r="BF44" i="66"/>
  <c r="AU16" i="66"/>
  <c r="AG51" i="66"/>
  <c r="AG54" i="66" s="1"/>
  <c r="Y28" i="67"/>
  <c r="AU21" i="67"/>
  <c r="AY21" i="67" s="1"/>
  <c r="L51" i="67"/>
  <c r="L54" i="67" s="1"/>
  <c r="AU48" i="67"/>
  <c r="AY48" i="67" s="1"/>
  <c r="AQ38" i="67"/>
  <c r="AQ50" i="67" s="1"/>
  <c r="AL50" i="67"/>
  <c r="BF36" i="66"/>
  <c r="L38" i="66"/>
  <c r="AU11" i="67"/>
  <c r="F38" i="65"/>
  <c r="BF11" i="66"/>
  <c r="AU13" i="66"/>
  <c r="AK49" i="66"/>
  <c r="AU26" i="67"/>
  <c r="AK38" i="66"/>
  <c r="L50" i="67"/>
  <c r="AU46" i="67"/>
  <c r="AY46" i="67" s="1"/>
  <c r="AC50" i="66"/>
  <c r="AL51" i="67"/>
  <c r="AL54" i="67" s="1"/>
  <c r="AQ49" i="67"/>
  <c r="BF24" i="66"/>
  <c r="BF47" i="66"/>
  <c r="D28" i="65"/>
  <c r="D30" i="65" s="1"/>
  <c r="AZ35" i="66"/>
  <c r="U50" i="67"/>
  <c r="U51" i="67" s="1"/>
  <c r="U54" i="67" s="1"/>
  <c r="Y49" i="67"/>
  <c r="BA29" i="66"/>
  <c r="BC29" i="66" s="1"/>
  <c r="AJ35" i="66"/>
  <c r="BI35" i="66" s="1"/>
  <c r="AZ36" i="66"/>
  <c r="S25" i="66"/>
  <c r="U25" i="66" s="1"/>
  <c r="AK49" i="67"/>
  <c r="BA11" i="66"/>
  <c r="BC11" i="66" s="1"/>
  <c r="AZ29" i="66"/>
  <c r="AZ34" i="66"/>
  <c r="AU40" i="66"/>
  <c r="AZ42" i="66"/>
  <c r="BA47" i="66"/>
  <c r="BC47" i="66" s="1"/>
  <c r="BA14" i="66"/>
  <c r="BC14" i="66" s="1"/>
  <c r="AZ25" i="66"/>
  <c r="AP13" i="67"/>
  <c r="AR13" i="67" s="1"/>
  <c r="R15" i="66"/>
  <c r="S20" i="66"/>
  <c r="U20" i="66" s="1"/>
  <c r="S24" i="66"/>
  <c r="U24" i="66" s="1"/>
  <c r="AI24" i="66"/>
  <c r="BA25" i="66"/>
  <c r="BC25" i="66" s="1"/>
  <c r="AO18" i="67"/>
  <c r="AP34" i="67"/>
  <c r="AR34" i="67" s="1"/>
  <c r="G49" i="67"/>
  <c r="I49" i="67" s="1"/>
  <c r="AZ11" i="66"/>
  <c r="S17" i="66"/>
  <c r="U17" i="66" s="1"/>
  <c r="AI17" i="66"/>
  <c r="S19" i="66"/>
  <c r="U19" i="66" s="1"/>
  <c r="AI19" i="66"/>
  <c r="AU29" i="66"/>
  <c r="R17" i="66"/>
  <c r="S22" i="66"/>
  <c r="U22" i="66" s="1"/>
  <c r="AI22" i="66"/>
  <c r="AZ23" i="66"/>
  <c r="S26" i="66"/>
  <c r="AI29" i="66"/>
  <c r="AE38" i="66"/>
  <c r="BA34" i="66"/>
  <c r="S35" i="66"/>
  <c r="U35" i="66" s="1"/>
  <c r="AZ47" i="66"/>
  <c r="AW49" i="66"/>
  <c r="AY49" i="66" s="1"/>
  <c r="BA48" i="66"/>
  <c r="BC48" i="66" s="1"/>
  <c r="X12" i="67"/>
  <c r="Z12" i="67" s="1"/>
  <c r="AO23" i="67"/>
  <c r="W24" i="67"/>
  <c r="F49" i="67"/>
  <c r="R35" i="66"/>
  <c r="F38" i="67"/>
  <c r="T38" i="67"/>
  <c r="AK38" i="67"/>
  <c r="AF49" i="67"/>
  <c r="AU11" i="66"/>
  <c r="AJ14" i="66"/>
  <c r="BI14" i="66" s="1"/>
  <c r="AI15" i="66"/>
  <c r="AJ16" i="66"/>
  <c r="BI16" i="66" s="1"/>
  <c r="AI21" i="66"/>
  <c r="AJ23" i="66"/>
  <c r="BI23" i="66" s="1"/>
  <c r="AU25" i="66"/>
  <c r="R26" i="66"/>
  <c r="AJ26" i="66"/>
  <c r="BI26" i="66" s="1"/>
  <c r="X38" i="66"/>
  <c r="AI34" i="66"/>
  <c r="W49" i="66"/>
  <c r="AE49" i="66"/>
  <c r="AR49" i="66"/>
  <c r="W15" i="67"/>
  <c r="AO20" i="67"/>
  <c r="N28" i="66"/>
  <c r="N30" i="66" s="1"/>
  <c r="AU14" i="66"/>
  <c r="AZ22" i="66"/>
  <c r="AZ26" i="66"/>
  <c r="E35" i="66"/>
  <c r="BA10" i="66"/>
  <c r="BC10" i="66" s="1"/>
  <c r="AZ20" i="66"/>
  <c r="BA23" i="66"/>
  <c r="BC23" i="66" s="1"/>
  <c r="AU12" i="66"/>
  <c r="R13" i="66"/>
  <c r="AJ13" i="66"/>
  <c r="BI13" i="66" s="1"/>
  <c r="AZ15" i="66"/>
  <c r="AZ17" i="66"/>
  <c r="S18" i="66"/>
  <c r="AI18" i="66"/>
  <c r="AZ18" i="66"/>
  <c r="AZ19" i="66"/>
  <c r="AJ20" i="66"/>
  <c r="BI20" i="66" s="1"/>
  <c r="BA20" i="66"/>
  <c r="BC20" i="66" s="1"/>
  <c r="AI23" i="66"/>
  <c r="BA26" i="66"/>
  <c r="K38" i="66"/>
  <c r="M38" i="66" s="1"/>
  <c r="BA35" i="66"/>
  <c r="AI36" i="66"/>
  <c r="G49" i="66"/>
  <c r="I49" i="66" s="1"/>
  <c r="O49" i="66"/>
  <c r="Q49" i="66" s="1"/>
  <c r="AA49" i="66"/>
  <c r="AP11" i="67"/>
  <c r="AR11" i="67" s="1"/>
  <c r="AO26" i="67"/>
  <c r="AO35" i="67"/>
  <c r="AO36" i="67"/>
  <c r="X37" i="67"/>
  <c r="Z37" i="67" s="1"/>
  <c r="AO42" i="67"/>
  <c r="AZ21" i="66"/>
  <c r="B38" i="66"/>
  <c r="G12" i="65"/>
  <c r="G13" i="65"/>
  <c r="G14" i="65"/>
  <c r="G15" i="65"/>
  <c r="G16" i="65"/>
  <c r="G18" i="65"/>
  <c r="G20" i="65"/>
  <c r="G21" i="65"/>
  <c r="G22" i="65"/>
  <c r="G23" i="65"/>
  <c r="G24" i="65"/>
  <c r="G25" i="65"/>
  <c r="G26" i="65"/>
  <c r="G27" i="65"/>
  <c r="G29" i="65"/>
  <c r="G33" i="65"/>
  <c r="C38" i="65"/>
  <c r="G35" i="65"/>
  <c r="G36" i="65"/>
  <c r="G37" i="65"/>
  <c r="G40" i="65"/>
  <c r="G42" i="65"/>
  <c r="G44" i="65"/>
  <c r="G47" i="65"/>
  <c r="G48" i="65"/>
  <c r="B28" i="66"/>
  <c r="B30" i="66" s="1"/>
  <c r="J28" i="66"/>
  <c r="J30" i="66" s="1"/>
  <c r="AB28" i="66"/>
  <c r="AB30" i="66" s="1"/>
  <c r="AD30" i="66" s="1"/>
  <c r="R12" i="66"/>
  <c r="S13" i="66"/>
  <c r="AI13" i="66"/>
  <c r="BA15" i="66"/>
  <c r="BC15" i="66" s="1"/>
  <c r="R16" i="66"/>
  <c r="BA17" i="66"/>
  <c r="BC17" i="66" s="1"/>
  <c r="AU27" i="66"/>
  <c r="M33" i="66"/>
  <c r="AJ36" i="66"/>
  <c r="BI36" i="66" s="1"/>
  <c r="AZ37" i="66"/>
  <c r="S48" i="66"/>
  <c r="F28" i="67"/>
  <c r="F30" i="67" s="1"/>
  <c r="T28" i="67"/>
  <c r="T30" i="67" s="1"/>
  <c r="AK28" i="67"/>
  <c r="AK30" i="67" s="1"/>
  <c r="AO25" i="67"/>
  <c r="AO27" i="67"/>
  <c r="W29" i="67"/>
  <c r="AP35" i="67"/>
  <c r="AR35" i="67" s="1"/>
  <c r="P49" i="67"/>
  <c r="AP47" i="67"/>
  <c r="AR47" i="67" s="1"/>
  <c r="X48" i="67"/>
  <c r="Z48" i="67" s="1"/>
  <c r="S44" i="66"/>
  <c r="U44" i="66" s="1"/>
  <c r="AI44" i="66"/>
  <c r="AO12" i="67"/>
  <c r="X46" i="67"/>
  <c r="Z46" i="67" s="1"/>
  <c r="T49" i="67"/>
  <c r="V49" i="67" s="1"/>
  <c r="C28" i="66"/>
  <c r="C30" i="66" s="1"/>
  <c r="E30" i="66" s="1"/>
  <c r="BA36" i="66"/>
  <c r="BC36" i="66" s="1"/>
  <c r="AU36" i="66"/>
  <c r="H11" i="65"/>
  <c r="H13" i="65"/>
  <c r="H15" i="65"/>
  <c r="H17" i="65"/>
  <c r="H18" i="65"/>
  <c r="H20" i="65"/>
  <c r="H21" i="65"/>
  <c r="H22" i="65"/>
  <c r="H23" i="65"/>
  <c r="H24" i="65"/>
  <c r="H25" i="65"/>
  <c r="H26" i="65"/>
  <c r="H27" i="65"/>
  <c r="H29" i="65"/>
  <c r="H33" i="65"/>
  <c r="H35" i="65"/>
  <c r="H36" i="65"/>
  <c r="H37" i="65"/>
  <c r="H40" i="65"/>
  <c r="H42" i="65"/>
  <c r="H44" i="65"/>
  <c r="H47" i="65"/>
  <c r="H48" i="65"/>
  <c r="S10" i="66"/>
  <c r="U10" i="66" s="1"/>
  <c r="K28" i="66"/>
  <c r="K30" i="66" s="1"/>
  <c r="M30" i="66" s="1"/>
  <c r="AV28" i="66"/>
  <c r="AV30" i="66" s="1"/>
  <c r="R11" i="66"/>
  <c r="S11" i="66"/>
  <c r="U11" i="66" s="1"/>
  <c r="AI11" i="66"/>
  <c r="S12" i="66"/>
  <c r="AI12" i="66"/>
  <c r="AZ12" i="66"/>
  <c r="AZ13" i="66"/>
  <c r="S15" i="66"/>
  <c r="AJ15" i="66"/>
  <c r="BI15" i="66" s="1"/>
  <c r="AZ16" i="66"/>
  <c r="AJ17" i="66"/>
  <c r="BI17" i="66" s="1"/>
  <c r="AJ18" i="66"/>
  <c r="BI18" i="66" s="1"/>
  <c r="BA18" i="66"/>
  <c r="BC18" i="66" s="1"/>
  <c r="BA19" i="66"/>
  <c r="BC19" i="66" s="1"/>
  <c r="E20" i="66"/>
  <c r="AI20" i="66"/>
  <c r="AJ21" i="66"/>
  <c r="BI21" i="66" s="1"/>
  <c r="BA21" i="66"/>
  <c r="BC21" i="66" s="1"/>
  <c r="AZ24" i="66"/>
  <c r="Z29" i="66"/>
  <c r="AJ29" i="66"/>
  <c r="BI29" i="66" s="1"/>
  <c r="AW38" i="66"/>
  <c r="AY38" i="66" s="1"/>
  <c r="AY33" i="66"/>
  <c r="AZ46" i="66"/>
  <c r="S47" i="66"/>
  <c r="U47" i="66" s="1"/>
  <c r="E47" i="66"/>
  <c r="AI16" i="66"/>
  <c r="H12" i="65"/>
  <c r="H14" i="65"/>
  <c r="H16" i="65"/>
  <c r="H19" i="65"/>
  <c r="F28" i="66"/>
  <c r="F30" i="66" s="1"/>
  <c r="X28" i="66"/>
  <c r="X30" i="66" s="1"/>
  <c r="Z30" i="66" s="1"/>
  <c r="AR28" i="66"/>
  <c r="AR30" i="66" s="1"/>
  <c r="AJ11" i="66"/>
  <c r="BI11" i="66" s="1"/>
  <c r="AJ12" i="66"/>
  <c r="BI12" i="66" s="1"/>
  <c r="BA12" i="66"/>
  <c r="BC12" i="66" s="1"/>
  <c r="BA13" i="66"/>
  <c r="BC13" i="66" s="1"/>
  <c r="AI14" i="66"/>
  <c r="AZ14" i="66"/>
  <c r="AU15" i="66"/>
  <c r="S16" i="66"/>
  <c r="U16" i="66" s="1"/>
  <c r="BA16" i="66"/>
  <c r="AU17" i="66"/>
  <c r="AU18" i="66"/>
  <c r="R19" i="66"/>
  <c r="AJ19" i="66"/>
  <c r="BI19" i="66" s="1"/>
  <c r="AU21" i="66"/>
  <c r="R22" i="66"/>
  <c r="AJ22" i="66"/>
  <c r="BI22" i="66" s="1"/>
  <c r="R23" i="66"/>
  <c r="AR38" i="66"/>
  <c r="AZ33" i="66"/>
  <c r="F49" i="66"/>
  <c r="N49" i="66"/>
  <c r="X49" i="66"/>
  <c r="Z49" i="66" s="1"/>
  <c r="Z46" i="66"/>
  <c r="AZ48" i="66"/>
  <c r="G28" i="66"/>
  <c r="G30" i="66" s="1"/>
  <c r="I30" i="66" s="1"/>
  <c r="O28" i="66"/>
  <c r="O30" i="66" s="1"/>
  <c r="R14" i="66"/>
  <c r="R18" i="66"/>
  <c r="R20" i="66"/>
  <c r="R21" i="66"/>
  <c r="G38" i="66"/>
  <c r="G50" i="66" s="1"/>
  <c r="I33" i="66"/>
  <c r="BA24" i="66"/>
  <c r="BC24" i="66" s="1"/>
  <c r="AI25" i="66"/>
  <c r="S27" i="66"/>
  <c r="U27" i="66" s="1"/>
  <c r="AI27" i="66"/>
  <c r="AZ27" i="66"/>
  <c r="N38" i="66"/>
  <c r="AF38" i="66"/>
  <c r="AI35" i="66"/>
  <c r="S37" i="66"/>
  <c r="U37" i="66" s="1"/>
  <c r="AJ37" i="66"/>
  <c r="BI37" i="66" s="1"/>
  <c r="BA37" i="66"/>
  <c r="BC37" i="66" s="1"/>
  <c r="AJ40" i="66"/>
  <c r="AI42" i="66"/>
  <c r="AF49" i="66"/>
  <c r="AI48" i="66"/>
  <c r="B28" i="67"/>
  <c r="B30" i="67" s="1"/>
  <c r="G28" i="67"/>
  <c r="G30" i="67" s="1"/>
  <c r="AF28" i="67"/>
  <c r="AF30" i="67" s="1"/>
  <c r="AE11" i="67"/>
  <c r="AP12" i="67"/>
  <c r="AR12" i="67" s="1"/>
  <c r="X13" i="67"/>
  <c r="Z13" i="67" s="1"/>
  <c r="AO13" i="67"/>
  <c r="W14" i="67"/>
  <c r="X16" i="67"/>
  <c r="Z16" i="67" s="1"/>
  <c r="AO16" i="67"/>
  <c r="AP17" i="67"/>
  <c r="AR17" i="67" s="1"/>
  <c r="W18" i="67"/>
  <c r="X19" i="67"/>
  <c r="Z19" i="67" s="1"/>
  <c r="W20" i="67"/>
  <c r="W21" i="67"/>
  <c r="AO21" i="67"/>
  <c r="AP24" i="67"/>
  <c r="AR24" i="67" s="1"/>
  <c r="W26" i="67"/>
  <c r="AP27" i="67"/>
  <c r="AR27" i="67" s="1"/>
  <c r="AP29" i="67"/>
  <c r="AR29" i="67" s="1"/>
  <c r="B38" i="67"/>
  <c r="O38" i="67"/>
  <c r="AF38" i="67"/>
  <c r="AE34" i="67"/>
  <c r="E37" i="67"/>
  <c r="X40" i="67"/>
  <c r="Z40" i="67" s="1"/>
  <c r="W44" i="67"/>
  <c r="AP44" i="67"/>
  <c r="AR44" i="67" s="1"/>
  <c r="E46" i="67"/>
  <c r="J49" i="67"/>
  <c r="I47" i="67"/>
  <c r="V47" i="67"/>
  <c r="AE47" i="67"/>
  <c r="BA22" i="66"/>
  <c r="BC22" i="66" s="1"/>
  <c r="S23" i="66"/>
  <c r="R24" i="66"/>
  <c r="AJ24" i="66"/>
  <c r="BI24" i="66" s="1"/>
  <c r="R25" i="66"/>
  <c r="AJ25" i="66"/>
  <c r="BI25" i="66" s="1"/>
  <c r="R27" i="66"/>
  <c r="AJ27" i="66"/>
  <c r="BI27" i="66" s="1"/>
  <c r="AA38" i="66"/>
  <c r="S34" i="66"/>
  <c r="U34" i="66" s="1"/>
  <c r="S36" i="66"/>
  <c r="U36" i="66" s="1"/>
  <c r="E37" i="66"/>
  <c r="AI37" i="66"/>
  <c r="Z40" i="66"/>
  <c r="AZ40" i="66"/>
  <c r="AJ42" i="66"/>
  <c r="BI42" i="66" s="1"/>
  <c r="AZ44" i="66"/>
  <c r="R47" i="66"/>
  <c r="AJ47" i="66"/>
  <c r="BI47" i="66" s="1"/>
  <c r="AY47" i="66"/>
  <c r="R48" i="66"/>
  <c r="AJ48" i="66"/>
  <c r="BI48" i="66" s="1"/>
  <c r="W11" i="67"/>
  <c r="X14" i="67"/>
  <c r="Z14" i="67" s="1"/>
  <c r="AO14" i="67"/>
  <c r="AP15" i="67"/>
  <c r="AR15" i="67" s="1"/>
  <c r="W16" i="67"/>
  <c r="X17" i="67"/>
  <c r="AO17" i="67"/>
  <c r="AP21" i="67"/>
  <c r="AR21" i="67" s="1"/>
  <c r="AO22" i="67"/>
  <c r="W27" i="67"/>
  <c r="AB38" i="67"/>
  <c r="AG38" i="67"/>
  <c r="W34" i="67"/>
  <c r="AO34" i="67"/>
  <c r="X36" i="67"/>
  <c r="X42" i="67"/>
  <c r="Z42" i="67" s="1"/>
  <c r="AO44" i="67"/>
  <c r="AO48" i="67"/>
  <c r="AC49" i="67"/>
  <c r="AE49" i="67" s="1"/>
  <c r="R29" i="66"/>
  <c r="S29" i="66"/>
  <c r="U29" i="66" s="1"/>
  <c r="F38" i="66"/>
  <c r="R34" i="66"/>
  <c r="R36" i="66"/>
  <c r="AI40" i="66"/>
  <c r="BA40" i="66"/>
  <c r="Z42" i="66"/>
  <c r="K49" i="66"/>
  <c r="AI47" i="66"/>
  <c r="AU47" i="66"/>
  <c r="AU48" i="66"/>
  <c r="AP10" i="67"/>
  <c r="AR10" i="67" s="1"/>
  <c r="AJ28" i="67"/>
  <c r="AJ30" i="67" s="1"/>
  <c r="X11" i="67"/>
  <c r="AO11" i="67"/>
  <c r="W12" i="67"/>
  <c r="AE13" i="67"/>
  <c r="E14" i="67"/>
  <c r="X15" i="67"/>
  <c r="AO15" i="67"/>
  <c r="W17" i="67"/>
  <c r="AP18" i="67"/>
  <c r="AR18" i="67" s="1"/>
  <c r="W19" i="67"/>
  <c r="AO19" i="67"/>
  <c r="AE21" i="67"/>
  <c r="AP22" i="67"/>
  <c r="AR22" i="67" s="1"/>
  <c r="AO24" i="67"/>
  <c r="S38" i="67"/>
  <c r="X34" i="67"/>
  <c r="W35" i="67"/>
  <c r="W36" i="67"/>
  <c r="W37" i="67"/>
  <c r="AO40" i="67"/>
  <c r="E42" i="67"/>
  <c r="W42" i="67"/>
  <c r="AP48" i="67"/>
  <c r="AR48" i="67" s="1"/>
  <c r="W13" i="67"/>
  <c r="X18" i="67"/>
  <c r="X20" i="67"/>
  <c r="Z20" i="67" s="1"/>
  <c r="W25" i="67"/>
  <c r="X29" i="67"/>
  <c r="Z29" i="67" s="1"/>
  <c r="AY11" i="67"/>
  <c r="AY12" i="67"/>
  <c r="AO10" i="67"/>
  <c r="X23" i="67"/>
  <c r="Z23" i="67" s="1"/>
  <c r="M23" i="67"/>
  <c r="X35" i="67"/>
  <c r="E35" i="67"/>
  <c r="E44" i="67"/>
  <c r="X44" i="67"/>
  <c r="C28" i="67"/>
  <c r="I10" i="67"/>
  <c r="O28" i="67"/>
  <c r="O30" i="67" s="1"/>
  <c r="W10" i="67"/>
  <c r="AB28" i="67"/>
  <c r="AB30" i="67" s="1"/>
  <c r="AG28" i="67"/>
  <c r="AG30" i="67" s="1"/>
  <c r="E11" i="67"/>
  <c r="E12" i="67"/>
  <c r="E13" i="67"/>
  <c r="AP19" i="67"/>
  <c r="AR19" i="67" s="1"/>
  <c r="X22" i="67"/>
  <c r="M22" i="67"/>
  <c r="AU23" i="67"/>
  <c r="X24" i="67"/>
  <c r="X25" i="67"/>
  <c r="E25" i="67"/>
  <c r="AY25" i="67"/>
  <c r="X26" i="67"/>
  <c r="E26" i="67"/>
  <c r="AY26" i="67"/>
  <c r="X27" i="67"/>
  <c r="E27" i="67"/>
  <c r="H30" i="67"/>
  <c r="AP36" i="67"/>
  <c r="AR36" i="67" s="1"/>
  <c r="AE36" i="67"/>
  <c r="AP20" i="67"/>
  <c r="AR20" i="67" s="1"/>
  <c r="AE20" i="67"/>
  <c r="J28" i="67"/>
  <c r="J30" i="67" s="1"/>
  <c r="P28" i="67"/>
  <c r="P30" i="67" s="1"/>
  <c r="X10" i="67"/>
  <c r="AC28" i="67"/>
  <c r="AC30" i="67" s="1"/>
  <c r="AQ28" i="67"/>
  <c r="AU10" i="67"/>
  <c r="AP16" i="67"/>
  <c r="X21" i="67"/>
  <c r="Z21" i="67" s="1"/>
  <c r="M21" i="67"/>
  <c r="W23" i="67"/>
  <c r="AY27" i="67"/>
  <c r="K28" i="67"/>
  <c r="S28" i="67"/>
  <c r="S30" i="67" s="1"/>
  <c r="Y30" i="67"/>
  <c r="AP14" i="67"/>
  <c r="AR14" i="67" s="1"/>
  <c r="W22" i="67"/>
  <c r="AP23" i="67"/>
  <c r="AR23" i="67" s="1"/>
  <c r="AY24" i="67"/>
  <c r="AU29" i="67"/>
  <c r="AY35" i="67"/>
  <c r="AU14" i="67"/>
  <c r="AU15" i="67"/>
  <c r="AU16" i="67"/>
  <c r="AU17" i="67"/>
  <c r="AU18" i="67"/>
  <c r="AU19" i="67"/>
  <c r="AP25" i="67"/>
  <c r="AR25" i="67" s="1"/>
  <c r="AP26" i="67"/>
  <c r="AR26" i="67" s="1"/>
  <c r="AO29" i="67"/>
  <c r="AC38" i="67"/>
  <c r="Z36" i="67"/>
  <c r="J38" i="67"/>
  <c r="AB49" i="67"/>
  <c r="AO46" i="67"/>
  <c r="AJ49" i="67"/>
  <c r="W47" i="67"/>
  <c r="B49" i="67"/>
  <c r="E24" i="67"/>
  <c r="K38" i="67"/>
  <c r="X33" i="67"/>
  <c r="Z33" i="67" s="1"/>
  <c r="M33" i="67"/>
  <c r="AY34" i="67"/>
  <c r="AU36" i="67"/>
  <c r="AP37" i="67"/>
  <c r="AR37" i="67" s="1"/>
  <c r="AE37" i="67"/>
  <c r="AE38" i="67"/>
  <c r="O49" i="67"/>
  <c r="Y38" i="67"/>
  <c r="AU33" i="67"/>
  <c r="AY47" i="67"/>
  <c r="K49" i="67"/>
  <c r="M49" i="67" s="1"/>
  <c r="AD30" i="67"/>
  <c r="AH30" i="67"/>
  <c r="G38" i="67"/>
  <c r="AO33" i="67"/>
  <c r="AP40" i="67"/>
  <c r="AR40" i="67" s="1"/>
  <c r="AU40" i="67"/>
  <c r="AP42" i="67"/>
  <c r="AR42" i="67" s="1"/>
  <c r="W46" i="67"/>
  <c r="X47" i="67"/>
  <c r="E47" i="67"/>
  <c r="AU49" i="67"/>
  <c r="C38" i="67"/>
  <c r="W33" i="67"/>
  <c r="AP33" i="67"/>
  <c r="AU37" i="67"/>
  <c r="S49" i="67"/>
  <c r="C49" i="67"/>
  <c r="E49" i="67" s="1"/>
  <c r="P38" i="67"/>
  <c r="AJ38" i="67"/>
  <c r="AO37" i="67"/>
  <c r="AH50" i="67"/>
  <c r="W40" i="67"/>
  <c r="AO47" i="67"/>
  <c r="W48" i="67"/>
  <c r="AG49" i="67"/>
  <c r="AU42" i="67"/>
  <c r="AU44" i="67"/>
  <c r="AP46" i="67"/>
  <c r="AD50" i="67"/>
  <c r="E40" i="67"/>
  <c r="E48" i="67"/>
  <c r="BF20" i="66"/>
  <c r="BF12" i="66"/>
  <c r="BF14" i="66"/>
  <c r="T28" i="66"/>
  <c r="Y51" i="66"/>
  <c r="BF33" i="66"/>
  <c r="AT38" i="66"/>
  <c r="BB34" i="66"/>
  <c r="R10" i="66"/>
  <c r="W28" i="66"/>
  <c r="W30" i="66" s="1"/>
  <c r="AE28" i="66"/>
  <c r="AE30" i="66" s="1"/>
  <c r="AK28" i="66"/>
  <c r="AS28" i="66"/>
  <c r="AS30" i="66" s="1"/>
  <c r="AW28" i="66"/>
  <c r="BF10" i="66"/>
  <c r="BF13" i="66"/>
  <c r="S14" i="66"/>
  <c r="BF16" i="66"/>
  <c r="BF19" i="66"/>
  <c r="AU20" i="66"/>
  <c r="E21" i="66"/>
  <c r="S21" i="66"/>
  <c r="BF22" i="66"/>
  <c r="AU23" i="66"/>
  <c r="E24" i="66"/>
  <c r="U26" i="66"/>
  <c r="BH29" i="66"/>
  <c r="BF29" i="66"/>
  <c r="AN38" i="66"/>
  <c r="AP38" i="66" s="1"/>
  <c r="AP33" i="66"/>
  <c r="AU34" i="66"/>
  <c r="T38" i="66"/>
  <c r="AX50" i="66"/>
  <c r="AX51" i="66" s="1"/>
  <c r="BB40" i="66"/>
  <c r="BA42" i="66"/>
  <c r="BC42" i="66" s="1"/>
  <c r="AI46" i="66"/>
  <c r="BA46" i="66"/>
  <c r="BC46" i="66" s="1"/>
  <c r="AU46" i="66"/>
  <c r="AS49" i="66"/>
  <c r="AJ10" i="66"/>
  <c r="BF18" i="66"/>
  <c r="BF21" i="66"/>
  <c r="BH42" i="66"/>
  <c r="BF42" i="66"/>
  <c r="E10" i="66"/>
  <c r="AF28" i="66"/>
  <c r="AF30" i="66" s="1"/>
  <c r="AN28" i="66"/>
  <c r="AT28" i="66"/>
  <c r="AY10" i="66"/>
  <c r="E13" i="66"/>
  <c r="E15" i="66"/>
  <c r="E19" i="66"/>
  <c r="E22" i="66"/>
  <c r="AI26" i="66"/>
  <c r="BA27" i="66"/>
  <c r="BB35" i="66"/>
  <c r="AU35" i="66"/>
  <c r="AL37" i="66"/>
  <c r="C38" i="66"/>
  <c r="E38" i="66" s="1"/>
  <c r="AA28" i="66"/>
  <c r="AA30" i="66" s="1"/>
  <c r="AI10" i="66"/>
  <c r="AU10" i="66"/>
  <c r="AZ10" i="66"/>
  <c r="BH10" i="66"/>
  <c r="AU24" i="66"/>
  <c r="BC26" i="66"/>
  <c r="BB27" i="66"/>
  <c r="BB28" i="66" s="1"/>
  <c r="AC51" i="66"/>
  <c r="J38" i="66"/>
  <c r="O38" i="66"/>
  <c r="AI33" i="66"/>
  <c r="AJ34" i="66"/>
  <c r="BI34" i="66" s="1"/>
  <c r="AD34" i="66"/>
  <c r="R37" i="66"/>
  <c r="D50" i="66"/>
  <c r="L50" i="66"/>
  <c r="S40" i="66"/>
  <c r="E40" i="66"/>
  <c r="BF26" i="66"/>
  <c r="P51" i="66"/>
  <c r="AB38" i="66"/>
  <c r="AD33" i="66"/>
  <c r="BH38" i="66"/>
  <c r="AS38" i="66"/>
  <c r="BA33" i="66"/>
  <c r="R42" i="66"/>
  <c r="AB49" i="66"/>
  <c r="AK50" i="66"/>
  <c r="E25" i="66"/>
  <c r="S33" i="66"/>
  <c r="W38" i="66"/>
  <c r="AD35" i="66"/>
  <c r="AU37" i="66"/>
  <c r="AO50" i="66"/>
  <c r="AO51" i="66" s="1"/>
  <c r="BA44" i="66"/>
  <c r="BC44" i="66" s="1"/>
  <c r="H50" i="66"/>
  <c r="R33" i="66"/>
  <c r="AJ33" i="66"/>
  <c r="AV38" i="66"/>
  <c r="S42" i="66"/>
  <c r="E42" i="66"/>
  <c r="R44" i="66"/>
  <c r="AJ44" i="66"/>
  <c r="BI44" i="66" s="1"/>
  <c r="B49" i="66"/>
  <c r="R46" i="66"/>
  <c r="AT49" i="66"/>
  <c r="R40" i="66"/>
  <c r="C49" i="66"/>
  <c r="E49" i="66" s="1"/>
  <c r="J49" i="66"/>
  <c r="T49" i="66"/>
  <c r="BF46" i="66"/>
  <c r="AV49" i="66"/>
  <c r="AN49" i="66"/>
  <c r="AP49" i="66" s="1"/>
  <c r="AJ46" i="66"/>
  <c r="S46" i="66"/>
  <c r="D38" i="65"/>
  <c r="D50" i="65" s="1"/>
  <c r="E49" i="65"/>
  <c r="E50" i="65" s="1"/>
  <c r="E51" i="65" s="1"/>
  <c r="F49" i="65"/>
  <c r="F50" i="65" s="1"/>
  <c r="F51" i="65" s="1"/>
  <c r="C28" i="65"/>
  <c r="C30" i="65" s="1"/>
  <c r="G10" i="65"/>
  <c r="G17" i="65"/>
  <c r="G11" i="65"/>
  <c r="G19" i="65"/>
  <c r="C49" i="65"/>
  <c r="G34" i="65"/>
  <c r="H10" i="65"/>
  <c r="H34" i="65"/>
  <c r="H46" i="65"/>
  <c r="AS26" i="67" l="1"/>
  <c r="AW26" i="67" s="1"/>
  <c r="AC50" i="67"/>
  <c r="AB50" i="67"/>
  <c r="AB51" i="67" s="1"/>
  <c r="AB54" i="67" s="1"/>
  <c r="AT34" i="67"/>
  <c r="AX34" i="67" s="1"/>
  <c r="BD35" i="66"/>
  <c r="D51" i="65"/>
  <c r="AT12" i="67"/>
  <c r="AX12" i="67" s="1"/>
  <c r="AS42" i="67"/>
  <c r="AW42" i="67" s="1"/>
  <c r="AL35" i="66"/>
  <c r="AS23" i="67"/>
  <c r="AW23" i="67" s="1"/>
  <c r="AL26" i="66"/>
  <c r="AI28" i="67"/>
  <c r="P50" i="67"/>
  <c r="P51" i="67" s="1"/>
  <c r="P54" i="67" s="1"/>
  <c r="AS25" i="67"/>
  <c r="AW25" i="67" s="1"/>
  <c r="AS18" i="67"/>
  <c r="AW18" i="67" s="1"/>
  <c r="BD42" i="66"/>
  <c r="BD17" i="66"/>
  <c r="W50" i="66"/>
  <c r="BD26" i="66"/>
  <c r="AS12" i="67"/>
  <c r="AW12" i="67" s="1"/>
  <c r="BD36" i="66"/>
  <c r="BD24" i="66"/>
  <c r="BE35" i="66"/>
  <c r="AK50" i="67"/>
  <c r="AF50" i="67"/>
  <c r="AF51" i="67" s="1"/>
  <c r="AF54" i="67" s="1"/>
  <c r="C50" i="65"/>
  <c r="AT11" i="67"/>
  <c r="AX11" i="67" s="1"/>
  <c r="AS27" i="67"/>
  <c r="AW27" i="67" s="1"/>
  <c r="AS20" i="67"/>
  <c r="AW20" i="67" s="1"/>
  <c r="BE16" i="66"/>
  <c r="BE26" i="66"/>
  <c r="BG26" i="66" s="1"/>
  <c r="AT36" i="67"/>
  <c r="AX36" i="67" s="1"/>
  <c r="AS36" i="67"/>
  <c r="AW36" i="67" s="1"/>
  <c r="BC35" i="66"/>
  <c r="AT15" i="67"/>
  <c r="AX15" i="67" s="1"/>
  <c r="AZ38" i="66"/>
  <c r="BE13" i="66"/>
  <c r="BG13" i="66" s="1"/>
  <c r="BD21" i="66"/>
  <c r="BD13" i="66"/>
  <c r="AE50" i="66"/>
  <c r="AE51" i="66" s="1"/>
  <c r="AE54" i="66" s="1"/>
  <c r="AI49" i="66"/>
  <c r="AA50" i="66"/>
  <c r="BD20" i="66"/>
  <c r="N50" i="66"/>
  <c r="N51" i="66" s="1"/>
  <c r="N54" i="66" s="1"/>
  <c r="B50" i="66"/>
  <c r="AT44" i="67"/>
  <c r="AX44" i="67" s="1"/>
  <c r="AT29" i="67"/>
  <c r="AX29" i="67" s="1"/>
  <c r="BD18" i="66"/>
  <c r="BD29" i="66"/>
  <c r="BE15" i="66"/>
  <c r="BG15" i="66" s="1"/>
  <c r="U13" i="66"/>
  <c r="AT22" i="67"/>
  <c r="AX22" i="67" s="1"/>
  <c r="Z11" i="67"/>
  <c r="BD37" i="66"/>
  <c r="BE10" i="66"/>
  <c r="BG10" i="66" s="1"/>
  <c r="BE24" i="66"/>
  <c r="BG24" i="66" s="1"/>
  <c r="AT18" i="67"/>
  <c r="AX18" i="67" s="1"/>
  <c r="BD16" i="66"/>
  <c r="BD12" i="66"/>
  <c r="BD19" i="66"/>
  <c r="B51" i="66"/>
  <c r="B54" i="66" s="1"/>
  <c r="I28" i="66"/>
  <c r="BE23" i="66"/>
  <c r="BG23" i="66" s="1"/>
  <c r="BE18" i="66"/>
  <c r="BG18" i="66" s="1"/>
  <c r="BD40" i="66"/>
  <c r="G38" i="65"/>
  <c r="AW50" i="66"/>
  <c r="BE47" i="66"/>
  <c r="BG47" i="66" s="1"/>
  <c r="AS50" i="66"/>
  <c r="AS51" i="66" s="1"/>
  <c r="AS54" i="66" s="1"/>
  <c r="AS37" i="67"/>
  <c r="AW37" i="67" s="1"/>
  <c r="B50" i="67"/>
  <c r="B51" i="67" s="1"/>
  <c r="B54" i="67" s="1"/>
  <c r="AT16" i="67"/>
  <c r="AX16" i="67" s="1"/>
  <c r="AT19" i="67"/>
  <c r="AX19" i="67" s="1"/>
  <c r="AS17" i="67"/>
  <c r="AW17" i="67" s="1"/>
  <c r="BD25" i="66"/>
  <c r="AR50" i="66"/>
  <c r="AR51" i="66" s="1"/>
  <c r="AR54" i="66" s="1"/>
  <c r="BD22" i="66"/>
  <c r="BD34" i="66"/>
  <c r="BD15" i="66"/>
  <c r="AK51" i="67"/>
  <c r="AK54" i="67" s="1"/>
  <c r="F50" i="67"/>
  <c r="F51" i="67" s="1"/>
  <c r="F54" i="67" s="1"/>
  <c r="AS15" i="67"/>
  <c r="AW15" i="67" s="1"/>
  <c r="AS44" i="67"/>
  <c r="AW44" i="67" s="1"/>
  <c r="AT17" i="67"/>
  <c r="AX17" i="67" s="1"/>
  <c r="BD23" i="66"/>
  <c r="AI28" i="66"/>
  <c r="AI30" i="66" s="1"/>
  <c r="BC40" i="66"/>
  <c r="BC34" i="66"/>
  <c r="BE25" i="66"/>
  <c r="BG25" i="66" s="1"/>
  <c r="U18" i="66"/>
  <c r="M28" i="66"/>
  <c r="Z34" i="67"/>
  <c r="AE28" i="67"/>
  <c r="J50" i="67"/>
  <c r="J51" i="67" s="1"/>
  <c r="J54" i="67" s="1"/>
  <c r="AS22" i="67"/>
  <c r="AW22" i="67" s="1"/>
  <c r="AS13" i="67"/>
  <c r="AW13" i="67" s="1"/>
  <c r="AS24" i="67"/>
  <c r="AW24" i="67" s="1"/>
  <c r="AS19" i="67"/>
  <c r="AW19" i="67" s="1"/>
  <c r="AS16" i="67"/>
  <c r="AW16" i="67" s="1"/>
  <c r="BD48" i="66"/>
  <c r="BE12" i="66"/>
  <c r="BG12" i="66" s="1"/>
  <c r="E28" i="66"/>
  <c r="AS34" i="67"/>
  <c r="AW34" i="67" s="1"/>
  <c r="AF50" i="66"/>
  <c r="AF51" i="66" s="1"/>
  <c r="AF54" i="66" s="1"/>
  <c r="X50" i="66"/>
  <c r="Z50" i="66" s="1"/>
  <c r="H28" i="65"/>
  <c r="H30" i="65" s="1"/>
  <c r="AU49" i="66"/>
  <c r="BD44" i="66"/>
  <c r="AI38" i="66"/>
  <c r="U23" i="66"/>
  <c r="BA49" i="66"/>
  <c r="BC49" i="66" s="1"/>
  <c r="AD28" i="66"/>
  <c r="AS48" i="67"/>
  <c r="AW48" i="67" s="1"/>
  <c r="AS40" i="67"/>
  <c r="AW40" i="67" s="1"/>
  <c r="S50" i="67"/>
  <c r="S51" i="67" s="1"/>
  <c r="S54" i="67" s="1"/>
  <c r="Z44" i="67"/>
  <c r="Z17" i="67"/>
  <c r="BD27" i="66"/>
  <c r="T50" i="67"/>
  <c r="V50" i="67" s="1"/>
  <c r="H49" i="65"/>
  <c r="BE36" i="66"/>
  <c r="BG36" i="66" s="1"/>
  <c r="BA28" i="66"/>
  <c r="BA30" i="66" s="1"/>
  <c r="U15" i="66"/>
  <c r="BE22" i="66"/>
  <c r="BG22" i="66" s="1"/>
  <c r="BE29" i="66"/>
  <c r="BG29" i="66" s="1"/>
  <c r="BE20" i="66"/>
  <c r="BG20" i="66" s="1"/>
  <c r="U12" i="66"/>
  <c r="AJ50" i="67"/>
  <c r="AJ51" i="67" s="1"/>
  <c r="AJ54" i="67" s="1"/>
  <c r="AS29" i="67"/>
  <c r="AW29" i="67" s="1"/>
  <c r="Z18" i="67"/>
  <c r="AT13" i="67"/>
  <c r="AS35" i="67"/>
  <c r="AW35" i="67" s="1"/>
  <c r="BD47" i="66"/>
  <c r="BC16" i="66"/>
  <c r="H38" i="65"/>
  <c r="O50" i="66"/>
  <c r="O51" i="66" s="1"/>
  <c r="O54" i="66" s="1"/>
  <c r="AZ28" i="66"/>
  <c r="AZ30" i="66" s="1"/>
  <c r="AL36" i="66"/>
  <c r="BE19" i="66"/>
  <c r="BG19" i="66" s="1"/>
  <c r="AG50" i="67"/>
  <c r="AG51" i="67" s="1"/>
  <c r="AG54" i="67" s="1"/>
  <c r="I28" i="67"/>
  <c r="F50" i="66"/>
  <c r="F51" i="66" s="1"/>
  <c r="F54" i="66" s="1"/>
  <c r="BE17" i="66"/>
  <c r="BG17" i="66" s="1"/>
  <c r="G49" i="65"/>
  <c r="G50" i="65" s="1"/>
  <c r="BG16" i="66"/>
  <c r="I50" i="66"/>
  <c r="I38" i="66"/>
  <c r="AL29" i="66"/>
  <c r="X49" i="67"/>
  <c r="Z49" i="67" s="1"/>
  <c r="AT42" i="67"/>
  <c r="AX42" i="67" s="1"/>
  <c r="O50" i="67"/>
  <c r="O51" i="67" s="1"/>
  <c r="O54" i="67" s="1"/>
  <c r="Z15" i="67"/>
  <c r="AT21" i="67"/>
  <c r="AX21" i="67" s="1"/>
  <c r="K50" i="66"/>
  <c r="K51" i="66" s="1"/>
  <c r="K54" i="66" s="1"/>
  <c r="AO49" i="67"/>
  <c r="AR16" i="67"/>
  <c r="Z22" i="67"/>
  <c r="AT14" i="67"/>
  <c r="AX14" i="67" s="1"/>
  <c r="BE48" i="66"/>
  <c r="BG48" i="66" s="1"/>
  <c r="AS11" i="67"/>
  <c r="AW11" i="67" s="1"/>
  <c r="BD14" i="66"/>
  <c r="AZ49" i="66"/>
  <c r="BD11" i="66"/>
  <c r="BE27" i="66"/>
  <c r="AT48" i="67"/>
  <c r="AS14" i="67"/>
  <c r="AW14" i="67" s="1"/>
  <c r="AL42" i="66"/>
  <c r="AE50" i="67"/>
  <c r="AO28" i="67"/>
  <c r="AO30" i="67" s="1"/>
  <c r="AV11" i="67"/>
  <c r="AS21" i="67"/>
  <c r="AW21" i="67" s="1"/>
  <c r="BE37" i="66"/>
  <c r="BG37" i="66" s="1"/>
  <c r="AL47" i="66"/>
  <c r="BI40" i="66"/>
  <c r="AL40" i="66"/>
  <c r="BE11" i="66"/>
  <c r="BG11" i="66" s="1"/>
  <c r="AS33" i="67"/>
  <c r="W38" i="67"/>
  <c r="AY16" i="67"/>
  <c r="Z26" i="67"/>
  <c r="AT26" i="67"/>
  <c r="AP49" i="67"/>
  <c r="AR49" i="67" s="1"/>
  <c r="AR46" i="67"/>
  <c r="AY37" i="67"/>
  <c r="C50" i="67"/>
  <c r="E50" i="67" s="1"/>
  <c r="E38" i="67"/>
  <c r="AT47" i="67"/>
  <c r="Z47" i="67"/>
  <c r="G50" i="67"/>
  <c r="I38" i="67"/>
  <c r="AY36" i="67"/>
  <c r="AY19" i="67"/>
  <c r="AY15" i="67"/>
  <c r="AC51" i="67"/>
  <c r="AC54" i="67" s="1"/>
  <c r="AT37" i="67"/>
  <c r="AX37" i="67" s="1"/>
  <c r="H51" i="67"/>
  <c r="I30" i="67"/>
  <c r="AT24" i="67"/>
  <c r="Z24" i="67"/>
  <c r="AT23" i="67"/>
  <c r="AX23" i="67" s="1"/>
  <c r="AT20" i="67"/>
  <c r="AT27" i="67"/>
  <c r="Z27" i="67"/>
  <c r="AV44" i="67"/>
  <c r="AY44" i="67"/>
  <c r="AY49" i="67"/>
  <c r="W49" i="67"/>
  <c r="AS46" i="67"/>
  <c r="AY40" i="67"/>
  <c r="AH51" i="67"/>
  <c r="AI30" i="67"/>
  <c r="AY33" i="67"/>
  <c r="AU38" i="67"/>
  <c r="AI49" i="67"/>
  <c r="AT33" i="67"/>
  <c r="AV33" i="67" s="1"/>
  <c r="X38" i="67"/>
  <c r="AS47" i="67"/>
  <c r="AW47" i="67" s="1"/>
  <c r="AY18" i="67"/>
  <c r="AY14" i="67"/>
  <c r="K30" i="67"/>
  <c r="M28" i="67"/>
  <c r="AU28" i="67"/>
  <c r="AY10" i="67"/>
  <c r="X28" i="67"/>
  <c r="AT10" i="67"/>
  <c r="AV10" i="67" s="1"/>
  <c r="Z10" i="67"/>
  <c r="AP28" i="67"/>
  <c r="AP30" i="67" s="1"/>
  <c r="AO38" i="67"/>
  <c r="Z25" i="67"/>
  <c r="AT25" i="67"/>
  <c r="W28" i="67"/>
  <c r="W30" i="67" s="1"/>
  <c r="AS10" i="67"/>
  <c r="AY42" i="67"/>
  <c r="AP38" i="67"/>
  <c r="AR33" i="67"/>
  <c r="AT46" i="67"/>
  <c r="AD51" i="67"/>
  <c r="AE30" i="67"/>
  <c r="Y50" i="67"/>
  <c r="K50" i="67"/>
  <c r="M50" i="67" s="1"/>
  <c r="M38" i="67"/>
  <c r="AY17" i="67"/>
  <c r="AY29" i="67"/>
  <c r="AT40" i="67"/>
  <c r="AX40" i="67" s="1"/>
  <c r="AQ30" i="67"/>
  <c r="AY23" i="67"/>
  <c r="C30" i="67"/>
  <c r="E28" i="67"/>
  <c r="Z35" i="67"/>
  <c r="AT35" i="67"/>
  <c r="AO54" i="66"/>
  <c r="BB30" i="66"/>
  <c r="BA38" i="66"/>
  <c r="BC33" i="66"/>
  <c r="BE42" i="66"/>
  <c r="BG42" i="66" s="1"/>
  <c r="U42" i="66"/>
  <c r="AL44" i="66"/>
  <c r="AB50" i="66"/>
  <c r="AD38" i="66"/>
  <c r="AK30" i="66"/>
  <c r="BH28" i="66"/>
  <c r="BF49" i="66"/>
  <c r="R49" i="66"/>
  <c r="BD46" i="66"/>
  <c r="AV50" i="66"/>
  <c r="AV51" i="66" s="1"/>
  <c r="AV54" i="66" s="1"/>
  <c r="BE44" i="66"/>
  <c r="BG44" i="66" s="1"/>
  <c r="L51" i="66"/>
  <c r="H51" i="66"/>
  <c r="BF35" i="66"/>
  <c r="AC54" i="66"/>
  <c r="BB38" i="66"/>
  <c r="BE14" i="66"/>
  <c r="BG14" i="66" s="1"/>
  <c r="U14" i="66"/>
  <c r="AT50" i="66"/>
  <c r="AU38" i="66"/>
  <c r="Y54" i="66"/>
  <c r="S49" i="66"/>
  <c r="U49" i="66" s="1"/>
  <c r="BE46" i="66"/>
  <c r="U46" i="66"/>
  <c r="R38" i="66"/>
  <c r="BD33" i="66"/>
  <c r="BI46" i="66"/>
  <c r="AL46" i="66"/>
  <c r="AJ49" i="66"/>
  <c r="AL49" i="66" s="1"/>
  <c r="AN30" i="66"/>
  <c r="AP28" i="66"/>
  <c r="AX54" i="66"/>
  <c r="BI33" i="66"/>
  <c r="AL33" i="66"/>
  <c r="AJ38" i="66"/>
  <c r="BF40" i="66"/>
  <c r="AL34" i="66"/>
  <c r="S38" i="66"/>
  <c r="U38" i="66" s="1"/>
  <c r="BE33" i="66"/>
  <c r="BG33" i="66" s="1"/>
  <c r="BE34" i="66"/>
  <c r="P54" i="66"/>
  <c r="BE40" i="66"/>
  <c r="U40" i="66"/>
  <c r="D51" i="66"/>
  <c r="AA51" i="66"/>
  <c r="AA54" i="66" s="1"/>
  <c r="BF34" i="66"/>
  <c r="AJ28" i="66"/>
  <c r="AJ30" i="66" s="1"/>
  <c r="BI10" i="66"/>
  <c r="AY50" i="66"/>
  <c r="BE21" i="66"/>
  <c r="BG21" i="66" s="1"/>
  <c r="U21" i="66"/>
  <c r="AW30" i="66"/>
  <c r="AY28" i="66"/>
  <c r="W51" i="66"/>
  <c r="W54" i="66" s="1"/>
  <c r="U33" i="66"/>
  <c r="J50" i="66"/>
  <c r="J51" i="66" s="1"/>
  <c r="J54" i="66" s="1"/>
  <c r="BF27" i="66"/>
  <c r="BC27" i="66"/>
  <c r="C50" i="66"/>
  <c r="C51" i="66" s="1"/>
  <c r="C54" i="66" s="1"/>
  <c r="AT30" i="66"/>
  <c r="AU28" i="66"/>
  <c r="T50" i="66"/>
  <c r="AN50" i="66"/>
  <c r="AP50" i="66" s="1"/>
  <c r="R28" i="66"/>
  <c r="R30" i="66" s="1"/>
  <c r="BD10" i="66"/>
  <c r="T30" i="66"/>
  <c r="G51" i="66"/>
  <c r="G54" i="66" s="1"/>
  <c r="S28" i="66"/>
  <c r="S30" i="66" s="1"/>
  <c r="G28" i="65"/>
  <c r="G30" i="65" s="1"/>
  <c r="C51" i="65"/>
  <c r="AV15" i="67" l="1"/>
  <c r="AV34" i="67"/>
  <c r="AV12" i="67"/>
  <c r="AV42" i="67"/>
  <c r="H50" i="65"/>
  <c r="M50" i="66"/>
  <c r="T51" i="67"/>
  <c r="V51" i="67" s="1"/>
  <c r="BG35" i="66"/>
  <c r="AV29" i="67"/>
  <c r="AV36" i="67"/>
  <c r="AZ50" i="66"/>
  <c r="AZ51" i="66" s="1"/>
  <c r="AZ54" i="66" s="1"/>
  <c r="AV17" i="67"/>
  <c r="AV16" i="67"/>
  <c r="Q51" i="66"/>
  <c r="AU50" i="66"/>
  <c r="BC28" i="66"/>
  <c r="BD38" i="66"/>
  <c r="AI50" i="67"/>
  <c r="AV19" i="67"/>
  <c r="AO50" i="67"/>
  <c r="AO51" i="67" s="1"/>
  <c r="AO54" i="67" s="1"/>
  <c r="AI50" i="66"/>
  <c r="AI51" i="66" s="1"/>
  <c r="AI54" i="66" s="1"/>
  <c r="BA50" i="66"/>
  <c r="BA51" i="66" s="1"/>
  <c r="BA54" i="66" s="1"/>
  <c r="AV18" i="67"/>
  <c r="Q50" i="66"/>
  <c r="BG27" i="66"/>
  <c r="AV14" i="67"/>
  <c r="X50" i="67"/>
  <c r="Z50" i="67" s="1"/>
  <c r="H51" i="65"/>
  <c r="AV22" i="67"/>
  <c r="G51" i="65"/>
  <c r="BD49" i="66"/>
  <c r="X51" i="66"/>
  <c r="AX13" i="67"/>
  <c r="AV13" i="67"/>
  <c r="BD28" i="66"/>
  <c r="BD30" i="66" s="1"/>
  <c r="BG34" i="66"/>
  <c r="AV21" i="67"/>
  <c r="BE49" i="66"/>
  <c r="BG49" i="66" s="1"/>
  <c r="T54" i="67"/>
  <c r="U28" i="66"/>
  <c r="AX48" i="67"/>
  <c r="AV48" i="67"/>
  <c r="AP50" i="67"/>
  <c r="AR50" i="67" s="1"/>
  <c r="AR38" i="67"/>
  <c r="AS28" i="67"/>
  <c r="AW10" i="67"/>
  <c r="AH54" i="67"/>
  <c r="AI51" i="67"/>
  <c r="C51" i="67"/>
  <c r="E30" i="67"/>
  <c r="AY28" i="67"/>
  <c r="AU30" i="67"/>
  <c r="AY38" i="67"/>
  <c r="AU50" i="67"/>
  <c r="AX35" i="67"/>
  <c r="AV35" i="67"/>
  <c r="AQ51" i="67"/>
  <c r="AR30" i="67"/>
  <c r="Y51" i="67"/>
  <c r="Z38" i="67"/>
  <c r="AT49" i="67"/>
  <c r="AX46" i="67"/>
  <c r="AV46" i="67"/>
  <c r="AX25" i="67"/>
  <c r="AV25" i="67"/>
  <c r="X30" i="67"/>
  <c r="Z28" i="67"/>
  <c r="AT38" i="67"/>
  <c r="AV38" i="67" s="1"/>
  <c r="AX33" i="67"/>
  <c r="H54" i="67"/>
  <c r="AX26" i="67"/>
  <c r="AV26" i="67"/>
  <c r="W50" i="67"/>
  <c r="W51" i="67" s="1"/>
  <c r="W54" i="67" s="1"/>
  <c r="AX20" i="67"/>
  <c r="AV20" i="67"/>
  <c r="AX24" i="67"/>
  <c r="AV24" i="67"/>
  <c r="AD54" i="67"/>
  <c r="AE51" i="67"/>
  <c r="AT28" i="67"/>
  <c r="AX10" i="67"/>
  <c r="AV40" i="67"/>
  <c r="I50" i="67"/>
  <c r="G51" i="67"/>
  <c r="G54" i="67" s="1"/>
  <c r="AV23" i="67"/>
  <c r="AR28" i="67"/>
  <c r="K51" i="67"/>
  <c r="M30" i="67"/>
  <c r="AS49" i="67"/>
  <c r="AW49" i="67" s="1"/>
  <c r="AW46" i="67"/>
  <c r="AX27" i="67"/>
  <c r="AV27" i="67"/>
  <c r="AX47" i="67"/>
  <c r="AV47" i="67"/>
  <c r="AV37" i="67"/>
  <c r="AS38" i="67"/>
  <c r="AW33" i="67"/>
  <c r="AN51" i="66"/>
  <c r="AP30" i="66"/>
  <c r="AT51" i="66"/>
  <c r="AU30" i="66"/>
  <c r="BE28" i="66"/>
  <c r="BE30" i="66" s="1"/>
  <c r="U30" i="66"/>
  <c r="T51" i="66"/>
  <c r="BG40" i="66"/>
  <c r="BB50" i="66"/>
  <c r="BC38" i="66"/>
  <c r="AL28" i="66"/>
  <c r="AW51" i="66"/>
  <c r="AY30" i="66"/>
  <c r="E51" i="66"/>
  <c r="D54" i="66"/>
  <c r="BE38" i="66"/>
  <c r="AJ50" i="66"/>
  <c r="AL50" i="66" s="1"/>
  <c r="AL38" i="66"/>
  <c r="R50" i="66"/>
  <c r="R51" i="66" s="1"/>
  <c r="R54" i="66" s="1"/>
  <c r="BG46" i="66"/>
  <c r="AK51" i="66"/>
  <c r="BH30" i="66"/>
  <c r="AL30" i="66"/>
  <c r="L54" i="66"/>
  <c r="M51" i="66"/>
  <c r="AB51" i="66"/>
  <c r="AD50" i="66"/>
  <c r="BF38" i="66"/>
  <c r="E50" i="66"/>
  <c r="S50" i="66"/>
  <c r="U50" i="66" s="1"/>
  <c r="BF28" i="66"/>
  <c r="H54" i="66"/>
  <c r="I51" i="66"/>
  <c r="BB51" i="66"/>
  <c r="BC30" i="66"/>
  <c r="AJ51" i="66" l="1"/>
  <c r="AJ54" i="66" s="1"/>
  <c r="BC50" i="66"/>
  <c r="BD50" i="66"/>
  <c r="BD51" i="66" s="1"/>
  <c r="BD54" i="66" s="1"/>
  <c r="AP51" i="67"/>
  <c r="AP54" i="67" s="1"/>
  <c r="X54" i="66"/>
  <c r="Z51" i="66"/>
  <c r="BE50" i="66"/>
  <c r="BE51" i="66" s="1"/>
  <c r="BE54" i="66" s="1"/>
  <c r="I51" i="67"/>
  <c r="Y54" i="67"/>
  <c r="AS50" i="67"/>
  <c r="AW50" i="67" s="1"/>
  <c r="AW38" i="67"/>
  <c r="AT30" i="67"/>
  <c r="AV30" i="67" s="1"/>
  <c r="AX28" i="67"/>
  <c r="X51" i="67"/>
  <c r="X54" i="67" s="1"/>
  <c r="Z30" i="67"/>
  <c r="AY50" i="67"/>
  <c r="C54" i="67"/>
  <c r="E51" i="67"/>
  <c r="AS30" i="67"/>
  <c r="AW28" i="67"/>
  <c r="AU51" i="67"/>
  <c r="AY30" i="67"/>
  <c r="K54" i="67"/>
  <c r="M51" i="67"/>
  <c r="AX49" i="67"/>
  <c r="AV49" i="67"/>
  <c r="AQ54" i="67"/>
  <c r="AV28" i="67"/>
  <c r="AX38" i="67"/>
  <c r="AT50" i="67"/>
  <c r="AX50" i="67" s="1"/>
  <c r="S51" i="66"/>
  <c r="S54" i="66" s="1"/>
  <c r="BF30" i="66"/>
  <c r="BG28" i="66"/>
  <c r="AT54" i="66"/>
  <c r="AU51" i="66"/>
  <c r="AB54" i="66"/>
  <c r="AD51" i="66"/>
  <c r="BF50" i="66"/>
  <c r="BG38" i="66"/>
  <c r="AW54" i="66"/>
  <c r="AY51" i="66"/>
  <c r="T54" i="66"/>
  <c r="BB54" i="66"/>
  <c r="BC51" i="66"/>
  <c r="AK54" i="66"/>
  <c r="AN54" i="66"/>
  <c r="AP51" i="66"/>
  <c r="AL51" i="66" l="1"/>
  <c r="AR51" i="67"/>
  <c r="BG50" i="66"/>
  <c r="U51" i="66"/>
  <c r="AU54" i="67"/>
  <c r="AY51" i="67"/>
  <c r="AW30" i="67"/>
  <c r="AS51" i="67"/>
  <c r="AV50" i="67"/>
  <c r="AX30" i="67"/>
  <c r="AT51" i="67"/>
  <c r="AV51" i="67" s="1"/>
  <c r="Z51" i="67"/>
  <c r="BF51" i="66"/>
  <c r="BG30" i="66"/>
  <c r="AT54" i="67" l="1"/>
  <c r="AX51" i="67"/>
  <c r="AS54" i="67"/>
  <c r="AW51" i="67"/>
  <c r="BF54" i="66"/>
  <c r="BG51" i="66"/>
  <c r="D20" i="64" l="1"/>
  <c r="C20" i="64"/>
  <c r="E19" i="64"/>
  <c r="E18" i="64"/>
  <c r="E17" i="64"/>
  <c r="E16" i="64"/>
  <c r="E15" i="64"/>
  <c r="E14" i="64"/>
  <c r="E13" i="64"/>
  <c r="E12" i="64"/>
  <c r="E11" i="64"/>
  <c r="E10" i="64"/>
  <c r="E9" i="64"/>
  <c r="E8" i="64"/>
  <c r="E20" i="64" l="1"/>
  <c r="C33" i="53" l="1"/>
  <c r="E102" i="14"/>
  <c r="E28" i="54" l="1"/>
  <c r="F25" i="54"/>
  <c r="G25" i="54"/>
  <c r="H25" i="54"/>
  <c r="E25" i="54"/>
  <c r="D25" i="54"/>
  <c r="E10" i="54" l="1"/>
  <c r="F10" i="54"/>
  <c r="G10" i="54"/>
  <c r="H10" i="54"/>
  <c r="D10" i="54"/>
  <c r="G85" i="55" l="1"/>
  <c r="G127" i="55"/>
  <c r="C208" i="57" l="1"/>
  <c r="E208" i="57"/>
  <c r="E201" i="57"/>
  <c r="F19" i="58"/>
  <c r="F118" i="55" l="1"/>
  <c r="F119" i="55" s="1"/>
  <c r="F105" i="55"/>
  <c r="F107" i="55" s="1"/>
  <c r="G19" i="55"/>
  <c r="G20" i="55"/>
  <c r="I31" i="63"/>
  <c r="H31" i="63"/>
  <c r="I27" i="63"/>
  <c r="H23" i="63"/>
  <c r="K23" i="63" s="1"/>
  <c r="H21" i="63"/>
  <c r="K21" i="63" s="1"/>
  <c r="H17" i="63"/>
  <c r="K17" i="63" s="1"/>
  <c r="I15" i="63"/>
  <c r="H10" i="63"/>
  <c r="K10" i="63" s="1"/>
  <c r="G89" i="60"/>
  <c r="G88" i="60"/>
  <c r="G87" i="60"/>
  <c r="G86" i="60"/>
  <c r="G85" i="60"/>
  <c r="F84" i="60"/>
  <c r="E84" i="60"/>
  <c r="G75" i="60"/>
  <c r="G74" i="60"/>
  <c r="G73" i="60"/>
  <c r="F72" i="60"/>
  <c r="E72" i="60"/>
  <c r="G70" i="60"/>
  <c r="G69" i="60"/>
  <c r="G68" i="60"/>
  <c r="G67" i="60"/>
  <c r="F66" i="60"/>
  <c r="E66" i="60"/>
  <c r="G58" i="60"/>
  <c r="G53" i="60"/>
  <c r="G52" i="60" s="1"/>
  <c r="H52" i="60"/>
  <c r="F52" i="60"/>
  <c r="E52" i="60"/>
  <c r="G48" i="60"/>
  <c r="G47" i="60"/>
  <c r="G45" i="60"/>
  <c r="F44" i="60"/>
  <c r="E44" i="60"/>
  <c r="G43" i="60"/>
  <c r="G42" i="60"/>
  <c r="F39" i="60"/>
  <c r="G40" i="60"/>
  <c r="G38" i="60"/>
  <c r="G36" i="60"/>
  <c r="F35" i="60"/>
  <c r="E31" i="60"/>
  <c r="G31" i="60" s="1"/>
  <c r="G28" i="60"/>
  <c r="G27" i="60"/>
  <c r="G25" i="60"/>
  <c r="F19" i="60"/>
  <c r="E24" i="60"/>
  <c r="E19" i="60" s="1"/>
  <c r="G23" i="60"/>
  <c r="G22" i="60"/>
  <c r="G21" i="60"/>
  <c r="G20" i="60"/>
  <c r="G16" i="60"/>
  <c r="G15" i="60" s="1"/>
  <c r="F15" i="60"/>
  <c r="F10" i="60" s="1"/>
  <c r="G14" i="60"/>
  <c r="G11" i="60" s="1"/>
  <c r="F17" i="58"/>
  <c r="F13" i="58"/>
  <c r="F11" i="58"/>
  <c r="C201" i="57"/>
  <c r="E194" i="57"/>
  <c r="C194" i="57"/>
  <c r="E187" i="57"/>
  <c r="C187" i="57"/>
  <c r="E180" i="57"/>
  <c r="C180" i="57"/>
  <c r="E172" i="57"/>
  <c r="C172" i="57"/>
  <c r="E164" i="57"/>
  <c r="C164" i="57"/>
  <c r="E158" i="57"/>
  <c r="C158" i="57"/>
  <c r="E152" i="57"/>
  <c r="C152" i="57"/>
  <c r="E146" i="57"/>
  <c r="C146" i="57"/>
  <c r="C140" i="57"/>
  <c r="E139" i="57"/>
  <c r="E140" i="57" s="1"/>
  <c r="C134" i="57"/>
  <c r="E133" i="57"/>
  <c r="E134" i="57" s="1"/>
  <c r="C128" i="57"/>
  <c r="E127" i="57"/>
  <c r="E128" i="57" s="1"/>
  <c r="C121" i="57"/>
  <c r="E118" i="57"/>
  <c r="E121" i="57" s="1"/>
  <c r="C114" i="57"/>
  <c r="E113" i="57"/>
  <c r="E111" i="57"/>
  <c r="E106" i="57"/>
  <c r="C106" i="57"/>
  <c r="E98" i="57"/>
  <c r="C98" i="57"/>
  <c r="E88" i="57"/>
  <c r="E91" i="57" s="1"/>
  <c r="C86" i="57"/>
  <c r="C91" i="57" s="1"/>
  <c r="E84" i="57"/>
  <c r="C84" i="57"/>
  <c r="C77" i="57"/>
  <c r="E74" i="57"/>
  <c r="E77" i="57" s="1"/>
  <c r="C70" i="57"/>
  <c r="E69" i="57"/>
  <c r="E66" i="57"/>
  <c r="E65" i="57"/>
  <c r="C65" i="57"/>
  <c r="C57" i="57"/>
  <c r="E54" i="57"/>
  <c r="E57" i="57" s="1"/>
  <c r="C48" i="57"/>
  <c r="E45" i="57"/>
  <c r="E43" i="57"/>
  <c r="E42" i="57"/>
  <c r="E41" i="57"/>
  <c r="C34" i="57"/>
  <c r="E28" i="57"/>
  <c r="E34" i="57" s="1"/>
  <c r="E17" i="57"/>
  <c r="C17" i="57"/>
  <c r="G71" i="56"/>
  <c r="F71" i="56"/>
  <c r="G70" i="56"/>
  <c r="F70" i="56"/>
  <c r="G68" i="56"/>
  <c r="F68" i="56"/>
  <c r="G64" i="56"/>
  <c r="F64" i="56"/>
  <c r="G60" i="56"/>
  <c r="F60" i="56"/>
  <c r="G56" i="56"/>
  <c r="F56" i="56"/>
  <c r="G50" i="56"/>
  <c r="F50" i="56"/>
  <c r="G49" i="56"/>
  <c r="F49" i="56"/>
  <c r="G47" i="56"/>
  <c r="F47" i="56"/>
  <c r="G43" i="56"/>
  <c r="F43" i="56"/>
  <c r="G39" i="56"/>
  <c r="F39" i="56"/>
  <c r="G34" i="56"/>
  <c r="F34" i="56"/>
  <c r="G33" i="56"/>
  <c r="F33" i="56"/>
  <c r="G31" i="56"/>
  <c r="F31" i="56"/>
  <c r="G27" i="56"/>
  <c r="F27" i="56"/>
  <c r="F23" i="56"/>
  <c r="G19" i="56"/>
  <c r="F19" i="56"/>
  <c r="G15" i="56"/>
  <c r="F15" i="56"/>
  <c r="G11" i="56"/>
  <c r="F11" i="56"/>
  <c r="G134" i="55"/>
  <c r="F134" i="55"/>
  <c r="G133" i="55"/>
  <c r="F133" i="55"/>
  <c r="G131" i="55"/>
  <c r="F131" i="55"/>
  <c r="F127" i="55"/>
  <c r="G123" i="55"/>
  <c r="F123" i="55"/>
  <c r="G119" i="55"/>
  <c r="G114" i="55"/>
  <c r="F114" i="55"/>
  <c r="G111" i="55"/>
  <c r="F111" i="55"/>
  <c r="G107" i="55"/>
  <c r="G113" i="55"/>
  <c r="G103" i="55"/>
  <c r="F103" i="55"/>
  <c r="F98" i="55"/>
  <c r="G97" i="55"/>
  <c r="F97" i="55"/>
  <c r="G94" i="55"/>
  <c r="F94" i="55"/>
  <c r="G90" i="55"/>
  <c r="F90" i="55"/>
  <c r="G86" i="55"/>
  <c r="F86" i="55"/>
  <c r="G98" i="55"/>
  <c r="G82" i="55"/>
  <c r="F82" i="55"/>
  <c r="G72" i="55"/>
  <c r="F72" i="55"/>
  <c r="G71" i="55"/>
  <c r="F71" i="55"/>
  <c r="G69" i="55"/>
  <c r="F69" i="55"/>
  <c r="G65" i="55"/>
  <c r="F65" i="55"/>
  <c r="G57" i="55"/>
  <c r="F57" i="55"/>
  <c r="G52" i="55"/>
  <c r="F52" i="55"/>
  <c r="G51" i="55"/>
  <c r="F51" i="55"/>
  <c r="G49" i="55"/>
  <c r="F49" i="55"/>
  <c r="G45" i="55"/>
  <c r="F45" i="55"/>
  <c r="G40" i="55"/>
  <c r="F40" i="55"/>
  <c r="G39" i="55"/>
  <c r="F39" i="55"/>
  <c r="G37" i="55"/>
  <c r="F37" i="55"/>
  <c r="G33" i="55"/>
  <c r="F33" i="55"/>
  <c r="G29" i="55"/>
  <c r="H39" i="60" s="1"/>
  <c r="F29" i="55"/>
  <c r="G25" i="55"/>
  <c r="F25" i="55"/>
  <c r="F20" i="55"/>
  <c r="F19" i="55"/>
  <c r="G17" i="55"/>
  <c r="F17" i="55"/>
  <c r="G13" i="55"/>
  <c r="F13" i="55"/>
  <c r="H28" i="54"/>
  <c r="G28" i="54"/>
  <c r="F28" i="54"/>
  <c r="D28" i="54"/>
  <c r="H22" i="54"/>
  <c r="G22" i="54"/>
  <c r="F22" i="54"/>
  <c r="E22" i="54"/>
  <c r="D22" i="54"/>
  <c r="H19" i="54"/>
  <c r="G19" i="54"/>
  <c r="F19" i="54"/>
  <c r="E19" i="54"/>
  <c r="D19" i="54"/>
  <c r="H16" i="54"/>
  <c r="G16" i="54"/>
  <c r="F16" i="54"/>
  <c r="E16" i="54"/>
  <c r="D16" i="54"/>
  <c r="H13" i="54"/>
  <c r="G13" i="54"/>
  <c r="F13" i="54"/>
  <c r="E13" i="54"/>
  <c r="D13" i="54"/>
  <c r="D119" i="53"/>
  <c r="D136" i="53" s="1"/>
  <c r="C119" i="53"/>
  <c r="C136" i="53" s="1"/>
  <c r="D33" i="53"/>
  <c r="C17" i="52"/>
  <c r="D11" i="51"/>
  <c r="J19" i="50"/>
  <c r="M19" i="50" s="1"/>
  <c r="E19" i="50"/>
  <c r="O19" i="50" s="1"/>
  <c r="L17" i="50"/>
  <c r="H17" i="50"/>
  <c r="J16" i="50"/>
  <c r="M16" i="50" s="1"/>
  <c r="E16" i="50"/>
  <c r="O16" i="50" s="1"/>
  <c r="N17" i="50"/>
  <c r="J15" i="50"/>
  <c r="M15" i="50" s="1"/>
  <c r="D17" i="50"/>
  <c r="C17" i="50"/>
  <c r="J14" i="50"/>
  <c r="I17" i="50"/>
  <c r="E14" i="50"/>
  <c r="N13" i="50"/>
  <c r="L13" i="50"/>
  <c r="I13" i="50"/>
  <c r="D13" i="50"/>
  <c r="O12" i="50"/>
  <c r="J12" i="50"/>
  <c r="M12" i="50" s="1"/>
  <c r="J11" i="50"/>
  <c r="M11" i="50" s="1"/>
  <c r="E11" i="50"/>
  <c r="O11" i="50" s="1"/>
  <c r="H13" i="50"/>
  <c r="E10" i="50"/>
  <c r="O10" i="50" s="1"/>
  <c r="J9" i="50"/>
  <c r="M9" i="50" s="1"/>
  <c r="E9" i="50"/>
  <c r="O9" i="50" s="1"/>
  <c r="J8" i="50"/>
  <c r="M8" i="50" s="1"/>
  <c r="E8" i="50"/>
  <c r="O8" i="50" s="1"/>
  <c r="F72" i="56" l="1"/>
  <c r="F17" i="57"/>
  <c r="E26" i="60"/>
  <c r="F113" i="55"/>
  <c r="H15" i="63"/>
  <c r="G29" i="54"/>
  <c r="F73" i="55"/>
  <c r="F34" i="57"/>
  <c r="K31" i="63"/>
  <c r="H29" i="54"/>
  <c r="G73" i="55"/>
  <c r="F74" i="56"/>
  <c r="G10" i="60"/>
  <c r="D29" i="54"/>
  <c r="I32" i="63"/>
  <c r="H27" i="63"/>
  <c r="E29" i="54"/>
  <c r="F75" i="56"/>
  <c r="F29" i="54"/>
  <c r="E114" i="57"/>
  <c r="E70" i="57"/>
  <c r="I18" i="50"/>
  <c r="I20" i="50" s="1"/>
  <c r="E15" i="60"/>
  <c r="E10" i="60" s="1"/>
  <c r="G37" i="60"/>
  <c r="G35" i="60" s="1"/>
  <c r="G44" i="60"/>
  <c r="G41" i="60"/>
  <c r="G72" i="60"/>
  <c r="G24" i="60"/>
  <c r="G19" i="60" s="1"/>
  <c r="E39" i="60"/>
  <c r="G84" i="60"/>
  <c r="G66" i="60"/>
  <c r="G72" i="56"/>
  <c r="G51" i="56"/>
  <c r="F51" i="56"/>
  <c r="G35" i="56"/>
  <c r="G74" i="56"/>
  <c r="G135" i="55"/>
  <c r="F22" i="58"/>
  <c r="G22" i="58" s="1"/>
  <c r="G115" i="55"/>
  <c r="G99" i="55"/>
  <c r="G53" i="55"/>
  <c r="G60" i="55"/>
  <c r="G138" i="55" s="1"/>
  <c r="F135" i="55"/>
  <c r="F115" i="55"/>
  <c r="F99" i="55"/>
  <c r="F53" i="55"/>
  <c r="G41" i="55"/>
  <c r="F41" i="55"/>
  <c r="F60" i="55"/>
  <c r="F138" i="55" s="1"/>
  <c r="F21" i="55"/>
  <c r="H54" i="60"/>
  <c r="E35" i="60"/>
  <c r="E18" i="60" s="1"/>
  <c r="G39" i="60"/>
  <c r="K27" i="63"/>
  <c r="F59" i="55"/>
  <c r="G21" i="55"/>
  <c r="H18" i="60"/>
  <c r="G59" i="55"/>
  <c r="G75" i="56"/>
  <c r="E48" i="57"/>
  <c r="F26" i="60"/>
  <c r="F18" i="60" s="1"/>
  <c r="K15" i="63"/>
  <c r="H44" i="60"/>
  <c r="F35" i="56"/>
  <c r="J17" i="50"/>
  <c r="M17" i="50" s="1"/>
  <c r="D18" i="50"/>
  <c r="D20" i="50" s="1"/>
  <c r="H18" i="50"/>
  <c r="H20" i="50" s="1"/>
  <c r="C13" i="50"/>
  <c r="J10" i="50"/>
  <c r="M10" i="50" s="1"/>
  <c r="M14" i="50"/>
  <c r="E15" i="50"/>
  <c r="E17" i="50" s="1"/>
  <c r="O17" i="50" s="1"/>
  <c r="L18" i="50"/>
  <c r="O14" i="50"/>
  <c r="F76" i="56" l="1"/>
  <c r="H32" i="63"/>
  <c r="K32" i="63"/>
  <c r="G19" i="58"/>
  <c r="G21" i="58"/>
  <c r="F48" i="57"/>
  <c r="F57" i="57" s="1"/>
  <c r="F65" i="57" s="1"/>
  <c r="F70" i="57" s="1"/>
  <c r="F77" i="57" s="1"/>
  <c r="F84" i="57" s="1"/>
  <c r="F91" i="57" s="1"/>
  <c r="F98" i="57" s="1"/>
  <c r="F106" i="57" s="1"/>
  <c r="F114" i="57" s="1"/>
  <c r="F121" i="57" s="1"/>
  <c r="F128" i="57" s="1"/>
  <c r="F134" i="57" s="1"/>
  <c r="F140" i="57" s="1"/>
  <c r="F146" i="57" s="1"/>
  <c r="F152" i="57" s="1"/>
  <c r="F158" i="57" s="1"/>
  <c r="F164" i="57" s="1"/>
  <c r="F172" i="57" s="1"/>
  <c r="F180" i="57" s="1"/>
  <c r="F187" i="57" s="1"/>
  <c r="F194" i="57" s="1"/>
  <c r="F201" i="57" s="1"/>
  <c r="F208" i="57" s="1"/>
  <c r="G14" i="58"/>
  <c r="F17" i="60"/>
  <c r="F9" i="60" s="1"/>
  <c r="G26" i="60"/>
  <c r="G18" i="60" s="1"/>
  <c r="E17" i="60"/>
  <c r="H58" i="60"/>
  <c r="G76" i="56"/>
  <c r="G13" i="58"/>
  <c r="G20" i="58"/>
  <c r="G11" i="58"/>
  <c r="G12" i="58"/>
  <c r="G10" i="58"/>
  <c r="G15" i="58"/>
  <c r="G16" i="58"/>
  <c r="G17" i="58"/>
  <c r="H17" i="60"/>
  <c r="G137" i="55"/>
  <c r="G139" i="55" s="1"/>
  <c r="G61" i="55"/>
  <c r="F61" i="55"/>
  <c r="F137" i="55"/>
  <c r="F139" i="55" s="1"/>
  <c r="F78" i="56" s="1"/>
  <c r="F79" i="56" s="1"/>
  <c r="H10" i="60"/>
  <c r="O15" i="50"/>
  <c r="L20" i="50"/>
  <c r="C18" i="50"/>
  <c r="C20" i="50" s="1"/>
  <c r="E20" i="50" s="1"/>
  <c r="E13" i="50"/>
  <c r="J13" i="50"/>
  <c r="G17" i="60" l="1"/>
  <c r="G9" i="60" s="1"/>
  <c r="O20" i="50"/>
  <c r="C4" i="51"/>
  <c r="E9" i="60"/>
  <c r="G23" i="58"/>
  <c r="H9" i="60"/>
  <c r="G78" i="56"/>
  <c r="G79" i="56" s="1"/>
  <c r="E18" i="50"/>
  <c r="O18" i="50" s="1"/>
  <c r="O13" i="50"/>
  <c r="M13" i="50"/>
  <c r="J18" i="50"/>
  <c r="J20" i="50" l="1"/>
  <c r="M18" i="50"/>
  <c r="M20" i="50" l="1"/>
  <c r="C7" i="51"/>
  <c r="C8" i="51" s="1"/>
  <c r="H198" i="43"/>
  <c r="D12" i="51" l="1"/>
  <c r="H158" i="43"/>
  <c r="D80" i="36" l="1"/>
  <c r="F40" i="43" l="1"/>
  <c r="H88" i="39"/>
  <c r="D14" i="14" l="1"/>
  <c r="D21" i="14"/>
  <c r="H178" i="43" l="1"/>
  <c r="H74" i="43"/>
  <c r="H19" i="43"/>
  <c r="F51" i="14" l="1"/>
  <c r="D38" i="11"/>
  <c r="E38" i="11"/>
  <c r="C38" i="11"/>
  <c r="F37" i="11"/>
  <c r="F48" i="36"/>
  <c r="F54" i="36"/>
  <c r="J70" i="39"/>
  <c r="J66" i="39"/>
  <c r="G101" i="43" l="1"/>
  <c r="G137" i="43"/>
  <c r="G133" i="43"/>
  <c r="G159" i="43"/>
  <c r="G151" i="43"/>
  <c r="G121" i="43"/>
  <c r="G118" i="43"/>
  <c r="E69" i="14" l="1"/>
  <c r="E66" i="14"/>
  <c r="F44" i="22"/>
  <c r="F36" i="11"/>
  <c r="G56" i="41" l="1"/>
  <c r="G9" i="40"/>
  <c r="G8" i="40"/>
  <c r="E7" i="40"/>
  <c r="F7" i="40"/>
  <c r="D7" i="40"/>
  <c r="H73" i="43"/>
  <c r="H66" i="43"/>
  <c r="G7" i="40" l="1"/>
  <c r="H180" i="43" l="1"/>
  <c r="F34" i="11" l="1"/>
  <c r="F8" i="22" l="1"/>
  <c r="D24" i="13" l="1"/>
  <c r="E24" i="13"/>
  <c r="C24" i="13"/>
  <c r="D33" i="12"/>
  <c r="E33" i="12"/>
  <c r="C33" i="12"/>
  <c r="F8" i="13" l="1"/>
  <c r="H194" i="43" l="1"/>
  <c r="H116" i="43"/>
  <c r="H104" i="43" l="1"/>
  <c r="H72" i="43"/>
  <c r="H71" i="43"/>
  <c r="H60" i="43"/>
  <c r="H48" i="43"/>
  <c r="H47" i="43"/>
  <c r="H45" i="43" l="1"/>
  <c r="H10" i="43"/>
  <c r="F30" i="25" l="1"/>
  <c r="J13" i="24" l="1"/>
  <c r="F42" i="22" l="1"/>
  <c r="F43" i="22"/>
  <c r="F15" i="14" l="1"/>
  <c r="F14" i="11"/>
  <c r="J102" i="39"/>
  <c r="J51" i="39" l="1"/>
  <c r="I33" i="39"/>
  <c r="H33" i="39"/>
  <c r="J32" i="39"/>
  <c r="J117" i="39" l="1"/>
  <c r="J73" i="39"/>
  <c r="E63" i="36"/>
  <c r="J87" i="39" l="1"/>
  <c r="J88" i="39"/>
  <c r="J89" i="39"/>
  <c r="J90" i="39"/>
  <c r="J91" i="39"/>
  <c r="H108" i="43" l="1"/>
  <c r="H193" i="43"/>
  <c r="E117" i="14"/>
  <c r="E9" i="14"/>
  <c r="E11" i="13"/>
  <c r="E10" i="12"/>
  <c r="E48" i="11"/>
  <c r="E10" i="11"/>
  <c r="F10" i="9"/>
  <c r="F35" i="9" s="1"/>
  <c r="F9" i="12"/>
  <c r="F8" i="12"/>
  <c r="F7" i="12"/>
  <c r="E25" i="36"/>
  <c r="E30" i="36"/>
  <c r="E20" i="36"/>
  <c r="E15" i="36"/>
  <c r="E14" i="36"/>
  <c r="D15" i="11"/>
  <c r="E15" i="11"/>
  <c r="C15" i="11"/>
  <c r="G42" i="40"/>
  <c r="J105" i="39"/>
  <c r="J31" i="39"/>
  <c r="J41" i="39" l="1"/>
  <c r="H9" i="43"/>
  <c r="G35" i="40"/>
  <c r="J45" i="39" l="1"/>
  <c r="J46" i="39"/>
  <c r="J47" i="39"/>
  <c r="J48" i="39"/>
  <c r="F116" i="14" l="1"/>
  <c r="F115" i="14"/>
  <c r="F114" i="14"/>
  <c r="F8" i="14"/>
  <c r="F7" i="14"/>
  <c r="F6" i="14"/>
  <c r="F21" i="13"/>
  <c r="F22" i="13"/>
  <c r="F10" i="13"/>
  <c r="F9" i="13"/>
  <c r="F30" i="12"/>
  <c r="F32" i="12"/>
  <c r="F31" i="12"/>
  <c r="G42" i="9"/>
  <c r="G41" i="9"/>
  <c r="G8" i="9"/>
  <c r="G7" i="9"/>
  <c r="F45" i="11"/>
  <c r="F9" i="11"/>
  <c r="F8" i="11"/>
  <c r="F7" i="11"/>
  <c r="F124" i="36"/>
  <c r="F123" i="36"/>
  <c r="F121" i="36"/>
  <c r="F120" i="36"/>
  <c r="F119" i="36"/>
  <c r="F116" i="36"/>
  <c r="F115" i="36"/>
  <c r="F112" i="36"/>
  <c r="F111" i="36"/>
  <c r="F107" i="36"/>
  <c r="E126" i="36"/>
  <c r="E122" i="36"/>
  <c r="E118" i="36"/>
  <c r="E114" i="36"/>
  <c r="E110" i="36"/>
  <c r="F108" i="36"/>
  <c r="E33" i="36"/>
  <c r="E28" i="36"/>
  <c r="E23" i="36"/>
  <c r="E18" i="36"/>
  <c r="E12" i="36"/>
  <c r="F32" i="36"/>
  <c r="F31" i="36"/>
  <c r="F30" i="36"/>
  <c r="F29" i="36"/>
  <c r="F27" i="36"/>
  <c r="F26" i="36"/>
  <c r="F25" i="36"/>
  <c r="F24" i="36"/>
  <c r="F22" i="36"/>
  <c r="F21" i="36"/>
  <c r="F20" i="36"/>
  <c r="F19" i="36"/>
  <c r="F17" i="36"/>
  <c r="F16" i="36"/>
  <c r="F15" i="36"/>
  <c r="F14" i="36"/>
  <c r="F13" i="36"/>
  <c r="F11" i="36"/>
  <c r="F10" i="36"/>
  <c r="F9" i="36"/>
  <c r="E127" i="36" l="1"/>
  <c r="E34" i="36"/>
  <c r="J112" i="39" l="1"/>
  <c r="G196" i="43" l="1"/>
  <c r="F88" i="36" l="1"/>
  <c r="J10" i="39" l="1"/>
  <c r="J93" i="39" l="1"/>
  <c r="H147" i="43" l="1"/>
  <c r="H70" i="43"/>
  <c r="H67" i="43"/>
  <c r="H57" i="43"/>
  <c r="G23" i="40" l="1"/>
  <c r="C46" i="22"/>
  <c r="F39" i="22"/>
  <c r="F22" i="22"/>
  <c r="F20" i="22"/>
  <c r="F60" i="14"/>
  <c r="F45" i="14"/>
  <c r="F44" i="14"/>
  <c r="F35" i="11"/>
  <c r="D97" i="14" l="1"/>
  <c r="E97" i="14"/>
  <c r="C97" i="14"/>
  <c r="F96" i="14"/>
  <c r="F20" i="14" l="1"/>
  <c r="H15" i="43" l="1"/>
  <c r="F32" i="22"/>
  <c r="J76" i="39" l="1"/>
  <c r="J79" i="39"/>
  <c r="H8" i="43" l="1"/>
  <c r="H64" i="43"/>
  <c r="F86" i="14"/>
  <c r="F83" i="36"/>
  <c r="M50" i="41"/>
  <c r="E18" i="14" l="1"/>
  <c r="E107" i="14"/>
  <c r="E108" i="14" l="1"/>
  <c r="I15" i="39"/>
  <c r="F59" i="36" l="1"/>
  <c r="F60" i="36"/>
  <c r="F61" i="36"/>
  <c r="F58" i="36"/>
  <c r="F49" i="36"/>
  <c r="F9" i="22" l="1"/>
  <c r="F40" i="22"/>
  <c r="F41" i="22"/>
  <c r="F45" i="22"/>
  <c r="F42" i="14"/>
  <c r="F43" i="14"/>
  <c r="F92" i="14"/>
  <c r="F41" i="14"/>
  <c r="F40" i="14"/>
  <c r="F39" i="14"/>
  <c r="F38" i="14"/>
  <c r="F37" i="14"/>
  <c r="F36" i="14"/>
  <c r="H18" i="43"/>
  <c r="G33" i="40"/>
  <c r="G32" i="40"/>
  <c r="G31" i="40"/>
  <c r="G30" i="40"/>
  <c r="F26" i="25"/>
  <c r="J15" i="24"/>
  <c r="F33" i="11"/>
  <c r="F86" i="36"/>
  <c r="F91" i="14" l="1"/>
  <c r="F48" i="14"/>
  <c r="F49" i="14"/>
  <c r="F50" i="14"/>
  <c r="F53" i="14"/>
  <c r="F54" i="14"/>
  <c r="F55" i="14"/>
  <c r="F56" i="14"/>
  <c r="F57" i="14"/>
  <c r="F58" i="14"/>
  <c r="F59" i="14"/>
  <c r="F15" i="12"/>
  <c r="F16" i="12"/>
  <c r="F17" i="12"/>
  <c r="F19" i="12"/>
  <c r="F20" i="12"/>
  <c r="F21" i="12"/>
  <c r="F74" i="36"/>
  <c r="G31" i="9"/>
  <c r="I53" i="39" l="1"/>
  <c r="I71" i="39"/>
  <c r="J116" i="39" l="1"/>
  <c r="G24" i="24"/>
  <c r="H24" i="24"/>
  <c r="I24" i="24"/>
  <c r="E37" i="36"/>
  <c r="E36" i="36"/>
  <c r="E35" i="36" s="1"/>
  <c r="F25" i="11" l="1"/>
  <c r="H44" i="43" l="1"/>
  <c r="J16" i="24" l="1"/>
  <c r="G52" i="41" l="1"/>
  <c r="D49" i="41"/>
  <c r="J7" i="24"/>
  <c r="J23" i="24"/>
  <c r="J22" i="24"/>
  <c r="F26" i="22"/>
  <c r="F27" i="22"/>
  <c r="F28" i="22"/>
  <c r="F29" i="22"/>
  <c r="H16" i="43"/>
  <c r="H17" i="43"/>
  <c r="H42" i="43"/>
  <c r="H43" i="43"/>
  <c r="H46" i="43"/>
  <c r="H49" i="43"/>
  <c r="H50" i="43"/>
  <c r="H51" i="43"/>
  <c r="H52" i="43"/>
  <c r="H53" i="43"/>
  <c r="H54" i="43"/>
  <c r="H55" i="43"/>
  <c r="H56" i="43"/>
  <c r="H59" i="43"/>
  <c r="H61" i="43"/>
  <c r="H62" i="43"/>
  <c r="H63" i="43"/>
  <c r="H65" i="43"/>
  <c r="H68" i="43"/>
  <c r="H69" i="43"/>
  <c r="H76" i="43"/>
  <c r="H77" i="43"/>
  <c r="H79" i="43"/>
  <c r="H80" i="43"/>
  <c r="H81" i="43"/>
  <c r="H82" i="43"/>
  <c r="H83" i="43"/>
  <c r="H87" i="43"/>
  <c r="H88" i="43"/>
  <c r="H89" i="43"/>
  <c r="H91" i="43"/>
  <c r="H92" i="43"/>
  <c r="H93" i="43"/>
  <c r="H94" i="43"/>
  <c r="H95" i="43"/>
  <c r="H96" i="43"/>
  <c r="H97" i="43"/>
  <c r="H98" i="43"/>
  <c r="H99" i="43"/>
  <c r="H100" i="43"/>
  <c r="H101" i="43"/>
  <c r="H102" i="43"/>
  <c r="H103" i="43"/>
  <c r="H106" i="43"/>
  <c r="H107" i="43"/>
  <c r="H110" i="43"/>
  <c r="H112" i="43"/>
  <c r="H113" i="43"/>
  <c r="H115" i="43"/>
  <c r="H118" i="43"/>
  <c r="H119" i="43"/>
  <c r="H121" i="43"/>
  <c r="H122" i="43"/>
  <c r="H123" i="43"/>
  <c r="H124" i="43"/>
  <c r="H126" i="43"/>
  <c r="H127" i="43"/>
  <c r="H128" i="43"/>
  <c r="H130" i="43"/>
  <c r="H133" i="43"/>
  <c r="H134" i="43"/>
  <c r="H135" i="43"/>
  <c r="H137" i="43"/>
  <c r="H138" i="43"/>
  <c r="H139" i="43"/>
  <c r="H140" i="43"/>
  <c r="H141" i="43"/>
  <c r="H142" i="43"/>
  <c r="H143" i="43"/>
  <c r="H144" i="43"/>
  <c r="H145" i="43"/>
  <c r="H146" i="43"/>
  <c r="H148" i="43"/>
  <c r="H149" i="43"/>
  <c r="H150" i="43"/>
  <c r="H151" i="43"/>
  <c r="H152" i="43"/>
  <c r="H153" i="43"/>
  <c r="H154" i="43"/>
  <c r="H156" i="43"/>
  <c r="H157" i="43"/>
  <c r="H159" i="43"/>
  <c r="H160" i="43"/>
  <c r="H161" i="43"/>
  <c r="H163" i="43"/>
  <c r="H166" i="43"/>
  <c r="H167" i="43"/>
  <c r="H170" i="43"/>
  <c r="H173" i="43"/>
  <c r="H177" i="43"/>
  <c r="H179" i="43"/>
  <c r="H181" i="43"/>
  <c r="H183" i="43"/>
  <c r="H184" i="43"/>
  <c r="H186" i="43"/>
  <c r="H187" i="43"/>
  <c r="H188" i="43"/>
  <c r="H190" i="43"/>
  <c r="H191" i="43"/>
  <c r="H39" i="43"/>
  <c r="H40" i="43"/>
  <c r="F27" i="43" l="1"/>
  <c r="G27" i="43"/>
  <c r="E27" i="43"/>
  <c r="H27" i="43" l="1"/>
  <c r="C107" i="14" l="1"/>
  <c r="G27" i="24"/>
  <c r="H14" i="43" l="1"/>
  <c r="F88" i="14"/>
  <c r="F13" i="11"/>
  <c r="F15" i="11" l="1"/>
  <c r="H13" i="43" l="1"/>
  <c r="H118" i="39"/>
  <c r="I118" i="39"/>
  <c r="J118" i="39" s="1"/>
  <c r="G118" i="39"/>
  <c r="H107" i="39" l="1"/>
  <c r="J98" i="39"/>
  <c r="H33" i="43" l="1"/>
  <c r="I107" i="39" l="1"/>
  <c r="I28" i="39"/>
  <c r="F104" i="14" l="1"/>
  <c r="F97" i="36" l="1"/>
  <c r="F87" i="36"/>
  <c r="E46" i="22" l="1"/>
  <c r="F43" i="40" l="1"/>
  <c r="D50" i="40"/>
  <c r="E50" i="40"/>
  <c r="F50" i="40"/>
  <c r="G33" i="9"/>
  <c r="E24" i="12"/>
  <c r="E34" i="9" l="1"/>
  <c r="F45" i="9"/>
  <c r="D34" i="9"/>
  <c r="I27" i="24" l="1"/>
  <c r="F65" i="14" l="1"/>
  <c r="G21" i="43" l="1"/>
  <c r="E21" i="43"/>
  <c r="F21" i="43"/>
  <c r="H20" i="43"/>
  <c r="H27" i="24"/>
  <c r="F18" i="22"/>
  <c r="F19" i="22"/>
  <c r="F31" i="11"/>
  <c r="H15" i="39"/>
  <c r="G15" i="39"/>
  <c r="J15" i="39" l="1"/>
  <c r="F14" i="13" l="1"/>
  <c r="H11" i="43" l="1"/>
  <c r="E38" i="40" l="1"/>
  <c r="D38" i="40"/>
  <c r="G37" i="40"/>
  <c r="F31" i="22" l="1"/>
  <c r="F64" i="14" l="1"/>
  <c r="F32" i="11" l="1"/>
  <c r="D23" i="36" l="1"/>
  <c r="F23" i="36" l="1"/>
  <c r="F105" i="14"/>
  <c r="J103" i="39"/>
  <c r="G22" i="40" l="1"/>
  <c r="G36" i="40" l="1"/>
  <c r="K44" i="41" l="1"/>
  <c r="L44" i="41"/>
  <c r="J44" i="41"/>
  <c r="E98" i="36" l="1"/>
  <c r="H200" i="43" l="1"/>
  <c r="G199" i="43"/>
  <c r="F199" i="43"/>
  <c r="K43" i="41" s="1"/>
  <c r="E199" i="43"/>
  <c r="J43" i="41" s="1"/>
  <c r="F196" i="43"/>
  <c r="E196" i="43"/>
  <c r="H38" i="43"/>
  <c r="G35" i="43"/>
  <c r="L41" i="41" s="1"/>
  <c r="F35" i="43"/>
  <c r="K41" i="41" s="1"/>
  <c r="E35" i="43"/>
  <c r="J41" i="41" s="1"/>
  <c r="H34" i="43"/>
  <c r="H32" i="43"/>
  <c r="G30" i="43"/>
  <c r="F30" i="43"/>
  <c r="K40" i="41" s="1"/>
  <c r="E30" i="43"/>
  <c r="J40" i="41" s="1"/>
  <c r="H29" i="43"/>
  <c r="L39" i="41"/>
  <c r="K39" i="41"/>
  <c r="J39" i="41"/>
  <c r="H23" i="43"/>
  <c r="L38" i="41"/>
  <c r="K38" i="41"/>
  <c r="J38" i="41"/>
  <c r="H7" i="43"/>
  <c r="L43" i="41" l="1"/>
  <c r="H199" i="43"/>
  <c r="L40" i="41"/>
  <c r="G201" i="43"/>
  <c r="K42" i="41"/>
  <c r="F201" i="43"/>
  <c r="L42" i="41"/>
  <c r="J42" i="41"/>
  <c r="E201" i="43"/>
  <c r="H35" i="43"/>
  <c r="H196" i="43"/>
  <c r="H30" i="43"/>
  <c r="H21" i="43"/>
  <c r="H201" i="43" l="1"/>
  <c r="J50" i="39" l="1"/>
  <c r="D107" i="14" l="1"/>
  <c r="F106" i="14"/>
  <c r="F87" i="14"/>
  <c r="E65" i="40"/>
  <c r="F65" i="40"/>
  <c r="D65" i="40"/>
  <c r="G133" i="39"/>
  <c r="H133" i="39"/>
  <c r="I133" i="39"/>
  <c r="J125" i="39"/>
  <c r="F82" i="36" l="1"/>
  <c r="J77" i="39"/>
  <c r="F75" i="36" l="1"/>
  <c r="H28" i="39" l="1"/>
  <c r="F95" i="14" l="1"/>
  <c r="F12" i="14" l="1"/>
  <c r="F80" i="14"/>
  <c r="G12" i="9" l="1"/>
  <c r="F29" i="14" l="1"/>
  <c r="E99" i="36"/>
  <c r="F24" i="14" l="1"/>
  <c r="F78" i="14" l="1"/>
  <c r="F77" i="14"/>
  <c r="L32" i="41"/>
  <c r="D114" i="36"/>
  <c r="D118" i="36"/>
  <c r="C126" i="36"/>
  <c r="D122" i="36"/>
  <c r="C122" i="36"/>
  <c r="C118" i="36"/>
  <c r="C114" i="36"/>
  <c r="C110" i="36"/>
  <c r="J101" i="39"/>
  <c r="F122" i="36" l="1"/>
  <c r="F118" i="36"/>
  <c r="F114" i="36"/>
  <c r="D126" i="36"/>
  <c r="D110" i="36"/>
  <c r="C127" i="36"/>
  <c r="J32" i="41" s="1"/>
  <c r="F126" i="36" l="1"/>
  <c r="F110" i="36"/>
  <c r="D127" i="36"/>
  <c r="F127" i="36" l="1"/>
  <c r="K32" i="41"/>
  <c r="F62" i="36"/>
  <c r="J27" i="39"/>
  <c r="F24" i="22" l="1"/>
  <c r="M49" i="41" l="1"/>
  <c r="F61" i="14" l="1"/>
  <c r="F62" i="14"/>
  <c r="F63" i="14"/>
  <c r="F67" i="14"/>
  <c r="J26" i="24"/>
  <c r="D10" i="40" l="1"/>
  <c r="E10" i="40"/>
  <c r="E39" i="40" s="1"/>
  <c r="F10" i="40"/>
  <c r="F33" i="22"/>
  <c r="F34" i="22"/>
  <c r="F35" i="22"/>
  <c r="F36" i="22"/>
  <c r="F37" i="22"/>
  <c r="F38" i="22"/>
  <c r="H53" i="39"/>
  <c r="G53" i="39"/>
  <c r="H39" i="39"/>
  <c r="I39" i="39"/>
  <c r="G39" i="39"/>
  <c r="H36" i="39"/>
  <c r="H37" i="39" s="1"/>
  <c r="I36" i="39"/>
  <c r="I37" i="39" s="1"/>
  <c r="G36" i="39"/>
  <c r="G33" i="39"/>
  <c r="G28" i="39"/>
  <c r="D63" i="36"/>
  <c r="G37" i="39" l="1"/>
  <c r="G54" i="39" s="1"/>
  <c r="D39" i="40"/>
  <c r="F39" i="40"/>
  <c r="H54" i="39"/>
  <c r="J33" i="39"/>
  <c r="J28" i="39"/>
  <c r="C63" i="36"/>
  <c r="F66" i="40" l="1"/>
  <c r="F68" i="40"/>
  <c r="I54" i="39"/>
  <c r="J37" i="39"/>
  <c r="L24" i="41" l="1"/>
  <c r="J24" i="41"/>
  <c r="K24" i="41"/>
  <c r="G17" i="40"/>
  <c r="J21" i="24"/>
  <c r="E6" i="41"/>
  <c r="J18" i="39"/>
  <c r="J19" i="39"/>
  <c r="J20" i="39"/>
  <c r="G16" i="40"/>
  <c r="F103" i="14"/>
  <c r="F101" i="14"/>
  <c r="J100" i="39"/>
  <c r="F25" i="22"/>
  <c r="J52" i="39"/>
  <c r="G19" i="40"/>
  <c r="G20" i="40"/>
  <c r="G21" i="40"/>
  <c r="G24" i="40"/>
  <c r="G25" i="40"/>
  <c r="G26" i="40"/>
  <c r="G27" i="40"/>
  <c r="G28" i="40"/>
  <c r="G29" i="40"/>
  <c r="G34" i="40"/>
  <c r="F100" i="14"/>
  <c r="F102" i="14"/>
  <c r="J115" i="39"/>
  <c r="G15" i="40"/>
  <c r="G18" i="40"/>
  <c r="G14" i="40"/>
  <c r="F76" i="14"/>
  <c r="C98" i="36"/>
  <c r="C99" i="36" s="1"/>
  <c r="D98" i="36"/>
  <c r="D99" i="36" s="1"/>
  <c r="G159" i="41"/>
  <c r="E89" i="36"/>
  <c r="F99" i="14"/>
  <c r="F32" i="41"/>
  <c r="F46" i="41" s="1"/>
  <c r="G46" i="41" s="1"/>
  <c r="J30" i="39"/>
  <c r="F36" i="36"/>
  <c r="F16" i="14"/>
  <c r="E32" i="41"/>
  <c r="F29" i="11"/>
  <c r="J49" i="39"/>
  <c r="F30" i="41"/>
  <c r="J92" i="39"/>
  <c r="F74" i="14"/>
  <c r="F9" i="41"/>
  <c r="F8" i="41"/>
  <c r="F10" i="41"/>
  <c r="G12" i="40"/>
  <c r="J113" i="39"/>
  <c r="D46" i="22"/>
  <c r="F11" i="22"/>
  <c r="D32" i="25"/>
  <c r="D10" i="12"/>
  <c r="D24" i="12"/>
  <c r="E10" i="9"/>
  <c r="E43" i="9"/>
  <c r="G43" i="9" s="1"/>
  <c r="D10" i="11"/>
  <c r="D48" i="11"/>
  <c r="D12" i="36"/>
  <c r="D18" i="36"/>
  <c r="D33" i="36"/>
  <c r="D28" i="36"/>
  <c r="D76" i="36"/>
  <c r="D77" i="36" s="1"/>
  <c r="D89" i="36"/>
  <c r="D93" i="36"/>
  <c r="F85" i="36"/>
  <c r="D9" i="14"/>
  <c r="D18" i="14"/>
  <c r="D108" i="14" s="1"/>
  <c r="D117" i="14"/>
  <c r="D11" i="13"/>
  <c r="F23" i="22"/>
  <c r="F21" i="22"/>
  <c r="E76" i="36"/>
  <c r="E93" i="36"/>
  <c r="J42" i="39"/>
  <c r="J43" i="39"/>
  <c r="J44" i="39"/>
  <c r="F12" i="12"/>
  <c r="F23" i="12"/>
  <c r="F16" i="25"/>
  <c r="F13" i="13"/>
  <c r="H71" i="39"/>
  <c r="E9" i="41" s="1"/>
  <c r="G71" i="39"/>
  <c r="D9" i="41" s="1"/>
  <c r="E32" i="25"/>
  <c r="E15" i="13"/>
  <c r="L33" i="41"/>
  <c r="L34" i="41"/>
  <c r="L36" i="41"/>
  <c r="L57" i="41"/>
  <c r="F17" i="22"/>
  <c r="F84" i="14"/>
  <c r="F75" i="14"/>
  <c r="G29" i="9"/>
  <c r="C76" i="36"/>
  <c r="C77" i="36" s="1"/>
  <c r="F29" i="25"/>
  <c r="F28" i="11"/>
  <c r="C33" i="36"/>
  <c r="G49" i="41"/>
  <c r="F84" i="36"/>
  <c r="J131" i="39"/>
  <c r="E8" i="41"/>
  <c r="G54" i="41"/>
  <c r="C18" i="14"/>
  <c r="D38" i="36"/>
  <c r="F27" i="11"/>
  <c r="F30" i="11"/>
  <c r="F12" i="11"/>
  <c r="F33" i="41"/>
  <c r="F57" i="41"/>
  <c r="F15" i="22"/>
  <c r="J26" i="39"/>
  <c r="J110" i="39"/>
  <c r="J111" i="39"/>
  <c r="J80" i="39"/>
  <c r="J69" i="39"/>
  <c r="F72" i="36"/>
  <c r="J14" i="39"/>
  <c r="J9" i="39"/>
  <c r="J8" i="39"/>
  <c r="J99" i="39"/>
  <c r="F82" i="14"/>
  <c r="F83" i="14"/>
  <c r="F85" i="14"/>
  <c r="F28" i="14"/>
  <c r="F22" i="12"/>
  <c r="G20" i="9"/>
  <c r="G21" i="9"/>
  <c r="G22" i="9"/>
  <c r="G23" i="9"/>
  <c r="G24" i="9"/>
  <c r="G25" i="9"/>
  <c r="G26" i="9"/>
  <c r="G28" i="9"/>
  <c r="G32" i="9"/>
  <c r="G15" i="9"/>
  <c r="G16" i="9"/>
  <c r="G18" i="9"/>
  <c r="D8" i="41"/>
  <c r="D10" i="41"/>
  <c r="G107" i="39"/>
  <c r="E10" i="41"/>
  <c r="C10" i="11"/>
  <c r="F56" i="36"/>
  <c r="F57" i="36"/>
  <c r="E43" i="40"/>
  <c r="D43" i="40"/>
  <c r="E57" i="41"/>
  <c r="F55" i="36"/>
  <c r="F53" i="36"/>
  <c r="J11" i="24"/>
  <c r="F31" i="25"/>
  <c r="F18" i="25"/>
  <c r="D10" i="9"/>
  <c r="D15" i="13"/>
  <c r="L35" i="41"/>
  <c r="J12" i="41"/>
  <c r="C9" i="14"/>
  <c r="C12" i="36"/>
  <c r="C18" i="36"/>
  <c r="C23" i="36"/>
  <c r="C28" i="36"/>
  <c r="C38" i="36"/>
  <c r="C89" i="36"/>
  <c r="C93" i="36"/>
  <c r="C32" i="25"/>
  <c r="J14" i="41" s="1"/>
  <c r="C117" i="14"/>
  <c r="J36" i="41" s="1"/>
  <c r="C24" i="12"/>
  <c r="C10" i="12"/>
  <c r="G13" i="40"/>
  <c r="G41" i="40"/>
  <c r="G47" i="40"/>
  <c r="D32" i="41"/>
  <c r="D33" i="41"/>
  <c r="G60" i="40"/>
  <c r="F7" i="25"/>
  <c r="F8" i="25"/>
  <c r="F9" i="25"/>
  <c r="F10" i="25"/>
  <c r="F11" i="25"/>
  <c r="F12" i="25"/>
  <c r="F13" i="25"/>
  <c r="F14" i="25"/>
  <c r="F15" i="25"/>
  <c r="F17" i="25"/>
  <c r="F19" i="25"/>
  <c r="F20" i="25"/>
  <c r="F21" i="25"/>
  <c r="F22" i="25"/>
  <c r="F23" i="25"/>
  <c r="F24" i="25"/>
  <c r="F25" i="25"/>
  <c r="F27" i="25"/>
  <c r="F28" i="25"/>
  <c r="J8" i="24"/>
  <c r="J9" i="24"/>
  <c r="J10" i="24"/>
  <c r="J12" i="24"/>
  <c r="J14" i="24"/>
  <c r="J17" i="24"/>
  <c r="J18" i="24"/>
  <c r="J19" i="24"/>
  <c r="J20" i="24"/>
  <c r="J25" i="24"/>
  <c r="F7" i="22"/>
  <c r="F10" i="22"/>
  <c r="F13" i="22"/>
  <c r="F14" i="22"/>
  <c r="F16" i="22"/>
  <c r="F11" i="14"/>
  <c r="F14" i="14"/>
  <c r="F17" i="14"/>
  <c r="F69" i="14"/>
  <c r="F21" i="14"/>
  <c r="F90" i="14"/>
  <c r="F22" i="14"/>
  <c r="F23" i="14"/>
  <c r="F25" i="14"/>
  <c r="F70" i="14"/>
  <c r="F26" i="14"/>
  <c r="F71" i="14"/>
  <c r="F94" i="14"/>
  <c r="F27" i="14"/>
  <c r="F31" i="14"/>
  <c r="F32" i="14"/>
  <c r="F33" i="14"/>
  <c r="F34" i="14"/>
  <c r="F35" i="14"/>
  <c r="F47" i="14"/>
  <c r="F81" i="14"/>
  <c r="F72" i="14"/>
  <c r="F73" i="14"/>
  <c r="F30" i="14"/>
  <c r="C11" i="13"/>
  <c r="C15" i="13"/>
  <c r="J35" i="41"/>
  <c r="F12" i="13"/>
  <c r="J34" i="41"/>
  <c r="F17" i="11"/>
  <c r="F18" i="11"/>
  <c r="F19" i="11"/>
  <c r="F20" i="11"/>
  <c r="F21" i="11"/>
  <c r="F22" i="11"/>
  <c r="F23" i="11"/>
  <c r="F24" i="11"/>
  <c r="F26" i="11"/>
  <c r="C48" i="11"/>
  <c r="J33" i="41" s="1"/>
  <c r="F41" i="36"/>
  <c r="F42" i="36"/>
  <c r="F43" i="36"/>
  <c r="F44" i="36"/>
  <c r="F45" i="36"/>
  <c r="F47" i="36"/>
  <c r="F50" i="36"/>
  <c r="F51" i="36"/>
  <c r="F52" i="36"/>
  <c r="F67" i="36"/>
  <c r="F80" i="36"/>
  <c r="F81" i="36"/>
  <c r="F91" i="36"/>
  <c r="F92" i="36"/>
  <c r="F96" i="36"/>
  <c r="G11" i="9"/>
  <c r="D43" i="9"/>
  <c r="J31" i="41" s="1"/>
  <c r="J11" i="39"/>
  <c r="J12" i="39"/>
  <c r="J17" i="39"/>
  <c r="J21" i="39"/>
  <c r="J22" i="39"/>
  <c r="J24" i="39"/>
  <c r="J25" i="39"/>
  <c r="J40" i="39"/>
  <c r="J57" i="39"/>
  <c r="J59" i="39"/>
  <c r="J61" i="39"/>
  <c r="J62" i="39"/>
  <c r="J63" i="39"/>
  <c r="J65" i="39"/>
  <c r="J67" i="39"/>
  <c r="J68" i="39"/>
  <c r="J74" i="39"/>
  <c r="J75" i="39"/>
  <c r="J78" i="39"/>
  <c r="J81" i="39"/>
  <c r="J82" i="39"/>
  <c r="J83" i="39"/>
  <c r="J84" i="39"/>
  <c r="J85" i="39"/>
  <c r="J86" i="39"/>
  <c r="J95" i="39"/>
  <c r="J97" i="39"/>
  <c r="J120" i="39"/>
  <c r="J121" i="39"/>
  <c r="J122" i="39"/>
  <c r="J123" i="39"/>
  <c r="J124" i="39"/>
  <c r="J126" i="39"/>
  <c r="J127" i="39"/>
  <c r="J128" i="39"/>
  <c r="J129" i="39"/>
  <c r="J130" i="39"/>
  <c r="G55" i="41"/>
  <c r="D57" i="41"/>
  <c r="J57" i="41"/>
  <c r="K57" i="41"/>
  <c r="J96" i="39"/>
  <c r="F66" i="14"/>
  <c r="J23" i="39"/>
  <c r="D30" i="41" l="1"/>
  <c r="D66" i="40"/>
  <c r="E30" i="41"/>
  <c r="E66" i="40"/>
  <c r="F117" i="14"/>
  <c r="F9" i="14"/>
  <c r="K35" i="41"/>
  <c r="M35" i="41" s="1"/>
  <c r="F24" i="13"/>
  <c r="F11" i="13"/>
  <c r="F33" i="12"/>
  <c r="F10" i="12"/>
  <c r="F33" i="36"/>
  <c r="F28" i="36"/>
  <c r="F18" i="36"/>
  <c r="F12" i="36"/>
  <c r="K31" i="41"/>
  <c r="G10" i="9"/>
  <c r="K33" i="41"/>
  <c r="M33" i="41" s="1"/>
  <c r="F48" i="11"/>
  <c r="F10" i="11"/>
  <c r="K12" i="41"/>
  <c r="L14" i="41"/>
  <c r="C34" i="36"/>
  <c r="C39" i="36" s="1"/>
  <c r="C64" i="36" s="1"/>
  <c r="D34" i="36"/>
  <c r="K36" i="41"/>
  <c r="M36" i="41" s="1"/>
  <c r="D109" i="14"/>
  <c r="K34" i="41"/>
  <c r="M34" i="41" s="1"/>
  <c r="F6" i="41"/>
  <c r="G6" i="41" s="1"/>
  <c r="D6" i="41"/>
  <c r="G134" i="39"/>
  <c r="F38" i="11"/>
  <c r="G57" i="41"/>
  <c r="E33" i="41"/>
  <c r="G33" i="41" s="1"/>
  <c r="D25" i="12"/>
  <c r="F24" i="12"/>
  <c r="E94" i="36"/>
  <c r="F32" i="25"/>
  <c r="J24" i="24"/>
  <c r="F18" i="14"/>
  <c r="C108" i="14"/>
  <c r="C109" i="14" s="1"/>
  <c r="J11" i="41" s="1"/>
  <c r="D16" i="13"/>
  <c r="K10" i="41" s="1"/>
  <c r="E35" i="9"/>
  <c r="C25" i="12"/>
  <c r="C35" i="12" s="1"/>
  <c r="M24" i="41"/>
  <c r="M57" i="41"/>
  <c r="J45" i="41"/>
  <c r="K45" i="41"/>
  <c r="D39" i="11"/>
  <c r="M40" i="41"/>
  <c r="M41" i="41"/>
  <c r="M44" i="41"/>
  <c r="G30" i="41"/>
  <c r="G32" i="41"/>
  <c r="G43" i="40"/>
  <c r="G50" i="40"/>
  <c r="E39" i="11"/>
  <c r="J13" i="41"/>
  <c r="F97" i="14"/>
  <c r="C16" i="13"/>
  <c r="J10" i="41" s="1"/>
  <c r="E16" i="13"/>
  <c r="F15" i="13"/>
  <c r="E25" i="12"/>
  <c r="C39" i="11"/>
  <c r="C40" i="11" s="1"/>
  <c r="F76" i="36"/>
  <c r="C94" i="36"/>
  <c r="C100" i="36" s="1"/>
  <c r="F93" i="36"/>
  <c r="F89" i="36"/>
  <c r="M32" i="41"/>
  <c r="E77" i="36"/>
  <c r="J37" i="41"/>
  <c r="F63" i="36"/>
  <c r="D94" i="36"/>
  <c r="D100" i="36" s="1"/>
  <c r="E38" i="36"/>
  <c r="J71" i="39"/>
  <c r="F35" i="36"/>
  <c r="J107" i="39"/>
  <c r="G10" i="41"/>
  <c r="J133" i="39"/>
  <c r="G8" i="41"/>
  <c r="G9" i="41"/>
  <c r="L31" i="41"/>
  <c r="L37" i="41" s="1"/>
  <c r="D35" i="9"/>
  <c r="F98" i="36"/>
  <c r="G34" i="9"/>
  <c r="K14" i="41"/>
  <c r="M42" i="41"/>
  <c r="L12" i="41"/>
  <c r="F107" i="14"/>
  <c r="F37" i="36"/>
  <c r="E35" i="12" l="1"/>
  <c r="F25" i="12"/>
  <c r="D40" i="11"/>
  <c r="D50" i="11" s="1"/>
  <c r="E100" i="36"/>
  <c r="M12" i="41"/>
  <c r="D39" i="36"/>
  <c r="D64" i="36" s="1"/>
  <c r="D101" i="36" s="1"/>
  <c r="F34" i="36"/>
  <c r="K9" i="41"/>
  <c r="M14" i="41"/>
  <c r="F16" i="13"/>
  <c r="K37" i="41"/>
  <c r="K46" i="41" s="1"/>
  <c r="K11" i="41"/>
  <c r="K6" i="41"/>
  <c r="D35" i="12"/>
  <c r="J9" i="41"/>
  <c r="G65" i="40"/>
  <c r="D26" i="13"/>
  <c r="E45" i="9"/>
  <c r="G45" i="9" s="1"/>
  <c r="F77" i="36"/>
  <c r="E109" i="14"/>
  <c r="F39" i="11"/>
  <c r="L10" i="41"/>
  <c r="M10" i="41" s="1"/>
  <c r="F108" i="14"/>
  <c r="L9" i="41"/>
  <c r="M38" i="41"/>
  <c r="D7" i="41"/>
  <c r="D25" i="41" s="1"/>
  <c r="C26" i="13"/>
  <c r="D119" i="14"/>
  <c r="C119" i="14"/>
  <c r="E26" i="13"/>
  <c r="E40" i="11"/>
  <c r="L8" i="41" s="1"/>
  <c r="J46" i="41"/>
  <c r="F31" i="41"/>
  <c r="D31" i="41"/>
  <c r="D46" i="41" s="1"/>
  <c r="G35" i="9"/>
  <c r="J8" i="41"/>
  <c r="C50" i="11"/>
  <c r="C101" i="36"/>
  <c r="C129" i="36" s="1"/>
  <c r="F94" i="36"/>
  <c r="F38" i="36"/>
  <c r="L6" i="41"/>
  <c r="M31" i="41"/>
  <c r="J6" i="41"/>
  <c r="D45" i="9"/>
  <c r="F99" i="36"/>
  <c r="L45" i="41"/>
  <c r="M39" i="41"/>
  <c r="E39" i="36"/>
  <c r="E64" i="36" s="1"/>
  <c r="F7" i="41"/>
  <c r="I134" i="39"/>
  <c r="K8" i="41" l="1"/>
  <c r="M8" i="41" s="1"/>
  <c r="M9" i="41"/>
  <c r="F26" i="13"/>
  <c r="F35" i="12"/>
  <c r="E101" i="36"/>
  <c r="L11" i="41"/>
  <c r="M11" i="41" s="1"/>
  <c r="M37" i="41"/>
  <c r="D129" i="36"/>
  <c r="M6" i="41"/>
  <c r="K13" i="41"/>
  <c r="F109" i="14"/>
  <c r="E119" i="14"/>
  <c r="D58" i="41"/>
  <c r="H134" i="39"/>
  <c r="J134" i="39" s="1"/>
  <c r="J53" i="39"/>
  <c r="J54" i="39"/>
  <c r="J7" i="41"/>
  <c r="J25" i="41" s="1"/>
  <c r="J58" i="41" s="1"/>
  <c r="E50" i="11"/>
  <c r="F40" i="11"/>
  <c r="K7" i="41"/>
  <c r="E7" i="41"/>
  <c r="E25" i="41" s="1"/>
  <c r="L46" i="41"/>
  <c r="M45" i="41"/>
  <c r="F25" i="41"/>
  <c r="F100" i="36"/>
  <c r="F119" i="14" l="1"/>
  <c r="F50" i="11"/>
  <c r="K25" i="41"/>
  <c r="K58" i="41" s="1"/>
  <c r="G7" i="41"/>
  <c r="G25" i="41"/>
  <c r="F58" i="41"/>
  <c r="F39" i="36"/>
  <c r="M46" i="41"/>
  <c r="N21" i="50" l="1"/>
  <c r="N22" i="50" s="1"/>
  <c r="F64" i="36"/>
  <c r="E129" i="36" l="1"/>
  <c r="L7" i="41"/>
  <c r="F101" i="36"/>
  <c r="F129" i="36" l="1"/>
  <c r="M7" i="41"/>
  <c r="G38" i="40" l="1"/>
  <c r="E31" i="41" l="1"/>
  <c r="G31" i="41" s="1"/>
  <c r="G66" i="40"/>
  <c r="G39" i="40"/>
  <c r="E46" i="41" l="1"/>
  <c r="E58" i="41" l="1"/>
  <c r="G58" i="41" l="1"/>
  <c r="L13" i="41" l="1"/>
  <c r="L25" i="41" s="1"/>
  <c r="J27" i="24"/>
  <c r="L58" i="41" l="1"/>
  <c r="L21" i="50" s="1"/>
  <c r="L22" i="50" s="1"/>
  <c r="M13" i="41"/>
  <c r="M25" i="41"/>
  <c r="M58" i="41" l="1"/>
</calcChain>
</file>

<file path=xl/sharedStrings.xml><?xml version="1.0" encoding="utf-8"?>
<sst xmlns="http://schemas.openxmlformats.org/spreadsheetml/2006/main" count="3172" uniqueCount="1804">
  <si>
    <t>FELHALMOZÁSI CÉLÚ ÁTVETT PÉNZESZKÖZÖK ÖSSZESEN</t>
  </si>
  <si>
    <t>Óvodai és Iskolai úszásoktatás feladatai</t>
  </si>
  <si>
    <t>Arany János ösztöndíj</t>
  </si>
  <si>
    <t>Savaria Múzeum összesen</t>
  </si>
  <si>
    <t>Berzsenyi Dániel könyvtár központi támogatásból fedezett kiadás</t>
  </si>
  <si>
    <t>Capella Savaria</t>
  </si>
  <si>
    <t>Ferrum Színházi Társulat</t>
  </si>
  <si>
    <t>Lakás bérleti díj támogatása</t>
  </si>
  <si>
    <t>Parkolásgazdálkodási kiadás</t>
  </si>
  <si>
    <t>SZMJV Bűnmegelőzési és Közbiztonsági Cselekvési programjának a fedezete, 
melynek része a pályázati önrész</t>
  </si>
  <si>
    <t>Joska Ola Alapítvány</t>
  </si>
  <si>
    <t>Külterületi utak fenntartása</t>
  </si>
  <si>
    <t>Csapadékvízelvezetés fejlesztése</t>
  </si>
  <si>
    <t>Óvoda adminisztrációs szoftver</t>
  </si>
  <si>
    <t>Áfa befizetés (saját bevételből)</t>
  </si>
  <si>
    <t>Intézményi vagyonbiztosítások</t>
  </si>
  <si>
    <t>Oktatási intézmények összesen:</t>
  </si>
  <si>
    <t xml:space="preserve">Oktatási ágazat </t>
  </si>
  <si>
    <t>Sportágazat kiadásai mindösszesen</t>
  </si>
  <si>
    <t>Segély központi támogatásból</t>
  </si>
  <si>
    <t xml:space="preserve">Fejlesztési céltartalékok </t>
  </si>
  <si>
    <t>Termőföld bérbeadásából szárm.jöv.adó</t>
  </si>
  <si>
    <t>Helyi iparűzési adó</t>
  </si>
  <si>
    <t>Helyettes szülői hálózat</t>
  </si>
  <si>
    <t>Városi pedagógus nap, tanévnyító ünnepség</t>
  </si>
  <si>
    <t>Szombathely Város Fúvószenekar támogatása</t>
  </si>
  <si>
    <t>ezer forintban</t>
  </si>
  <si>
    <t>Felhalmozási kiadások</t>
  </si>
  <si>
    <t>Önkormányzat egyéb kiadásai (informatikai kiadások)</t>
  </si>
  <si>
    <t>Informatikai fejlesztések</t>
  </si>
  <si>
    <t>Oktatási ágazat kiadásai</t>
  </si>
  <si>
    <t>Szociális ágazat kiadásai</t>
  </si>
  <si>
    <t>Egészségügyi ágazat kiadásai</t>
  </si>
  <si>
    <t>Sport ágazat kiadásai</t>
  </si>
  <si>
    <t>Köztemetés költségeinek megtérítése</t>
  </si>
  <si>
    <t>Kiszámlázott és befizetendő áfa</t>
  </si>
  <si>
    <t>Vas megye és Szombathely Megyei Jogú Város Nyugdíjas Közösségeinek Szövetsége támogatása</t>
  </si>
  <si>
    <t>Önkormányzat egyéb kiadásai</t>
  </si>
  <si>
    <t>Önkormányzat egyéb kiadásai (Városüzemeltetési kiadások)</t>
  </si>
  <si>
    <t>Önkormányzat egyéb kiadásai (Hatósági kiadások)</t>
  </si>
  <si>
    <t>Önkormányzat egyéb kiadásai (Főépítészi kiadások)</t>
  </si>
  <si>
    <t>Közterület felügyelet bírság bevétel</t>
  </si>
  <si>
    <t>Megnevezés</t>
  </si>
  <si>
    <t>Épitményadó</t>
  </si>
  <si>
    <t>Működési célú maradvány</t>
  </si>
  <si>
    <t>Költségvetési szervek beruházásai és felújításai</t>
  </si>
  <si>
    <t>2.</t>
  </si>
  <si>
    <t>Nagyprojektek, projektek</t>
  </si>
  <si>
    <t>Talajterhelési díj</t>
  </si>
  <si>
    <t>Bérleti díj</t>
  </si>
  <si>
    <t>Lakáskölcsöntörlesztés</t>
  </si>
  <si>
    <t>Nyugdíjasok háza befizetés</t>
  </si>
  <si>
    <t xml:space="preserve">     Beruházások  összesen</t>
  </si>
  <si>
    <t>Vásárcsarnok átadott pénzeszköze</t>
  </si>
  <si>
    <t>Hézagkiöntés</t>
  </si>
  <si>
    <t>Közvilágítás</t>
  </si>
  <si>
    <t>Hídfenntartás</t>
  </si>
  <si>
    <t>Idegenforgalmi adó</t>
  </si>
  <si>
    <t>Polgármesteri Hivatal</t>
  </si>
  <si>
    <t>Gépjárműadó</t>
  </si>
  <si>
    <t>Pálos K. Szociális Szolgáltató Központ és Gyermekjóléti Szolgálat</t>
  </si>
  <si>
    <t>Esőemberke Alapítvány támogatása</t>
  </si>
  <si>
    <t>Mérőkészülékek felszerelése, és egyéb lakásgazdálkodási kiadások</t>
  </si>
  <si>
    <t>Háziorvosi rendelők karbantartása</t>
  </si>
  <si>
    <t>Lelkisegély szolgálat támogatása  (szerződés) - Telehumanitas Szombathelyi Mentálhigiénés Egyesület</t>
  </si>
  <si>
    <t>Víziközmű és szennyvízközmű használati díjbevételhez kapcsolódó áfa visszaigénylés</t>
  </si>
  <si>
    <t>Gyermek és ifjúsági sport támogatása</t>
  </si>
  <si>
    <t>Közösségi és szabadidős sportrendezvények támogatása</t>
  </si>
  <si>
    <t>Szombathelyi Szabadidősport Szövetség támogatása</t>
  </si>
  <si>
    <t>Gyermek és ifjúsági kitüntetések</t>
  </si>
  <si>
    <t>Dobó Se támogatása</t>
  </si>
  <si>
    <t>Éves hídvizsgálat</t>
  </si>
  <si>
    <t>Önkormányzati sport kitüntetés</t>
  </si>
  <si>
    <t>Sugár úti Sportcentrum üzemeltetéséhez kapacitás lekötés</t>
  </si>
  <si>
    <t>Környezetvédelmi birság</t>
  </si>
  <si>
    <t>Tartalékok</t>
  </si>
  <si>
    <t xml:space="preserve"> </t>
  </si>
  <si>
    <t>Drogellenes stratégiai feladatok</t>
  </si>
  <si>
    <t>Munkáltatói kölcsön</t>
  </si>
  <si>
    <t>Szombathelyi Hospice Alapítvány</t>
  </si>
  <si>
    <t>Közterület felügyelet</t>
  </si>
  <si>
    <t>Egyéb bevételek</t>
  </si>
  <si>
    <t>Közterület foglalás</t>
  </si>
  <si>
    <t>Egyéb feladatok</t>
  </si>
  <si>
    <t>Csapadékvízelvezetés</t>
  </si>
  <si>
    <t>Jelzőlámpák</t>
  </si>
  <si>
    <t>Burkolati jelek festése</t>
  </si>
  <si>
    <t>Posta költség</t>
  </si>
  <si>
    <t>Egyesített Bölcsődei Intézmény</t>
  </si>
  <si>
    <t>Vásárcsarnok</t>
  </si>
  <si>
    <t xml:space="preserve">Pedagógus kituntetések </t>
  </si>
  <si>
    <t>Helyiségek és lakások bérleti díja</t>
  </si>
  <si>
    <t>Földhaszonbérlet</t>
  </si>
  <si>
    <t>Egészség-hét</t>
  </si>
  <si>
    <t>Humán Civil ház</t>
  </si>
  <si>
    <t>Segély önkormányzati támogatásból</t>
  </si>
  <si>
    <t>Szociális ágazat</t>
  </si>
  <si>
    <t>Kulturális intézmények támogatása</t>
  </si>
  <si>
    <t>Városi kulturális intézmények</t>
  </si>
  <si>
    <t>Weöres Sándor Színház Nonprofit Kft. összesen</t>
  </si>
  <si>
    <t>Városi kulturális intézmények és Weöres S. Színház összesen</t>
  </si>
  <si>
    <t>KULTURÁLIS INTÉZMÉNYEK TÁMOGATÁSA ÖSSZESEN</t>
  </si>
  <si>
    <t>Rendezvények támogatása</t>
  </si>
  <si>
    <t>Kiemelt rendezvények</t>
  </si>
  <si>
    <t>Kiemelt rendezvények összesen</t>
  </si>
  <si>
    <t>RENDEZVÉNYEK ÖSSZESEN</t>
  </si>
  <si>
    <t>Egyéb támogatások</t>
  </si>
  <si>
    <t>Egészségügyi civil szervezetek támogatása</t>
  </si>
  <si>
    <t>Óvodák</t>
  </si>
  <si>
    <t>Finanszírozási műveletek</t>
  </si>
  <si>
    <t>Finanszírozási műveletek összesen</t>
  </si>
  <si>
    <t>Olimpiai reménységeket nevelő egyesületek támogatása</t>
  </si>
  <si>
    <t>Szemünk fénye program - bérleti díj 12 hónapra</t>
  </si>
  <si>
    <t>Önk.int.-ek fűtéskorszerűsítés - bérleti díj 12 hónapra</t>
  </si>
  <si>
    <t>Sportszervezetek támogatása</t>
  </si>
  <si>
    <t>Felhalmozási célú visszatérítendő támogatások, kölcsönök visszatérülése államháztartáson kívülről</t>
  </si>
  <si>
    <t>Egészségügyi ágazat</t>
  </si>
  <si>
    <t>Bursa Hungarica felsőokt.ösztöndíj</t>
  </si>
  <si>
    <t>összesen</t>
  </si>
  <si>
    <t>Pénzeszközátadás</t>
  </si>
  <si>
    <t>Szombathelyi Képző Központ Nonprofit Kft. működési kiadások</t>
  </si>
  <si>
    <t>Kalandváros és Műjégpálya óvodai és iskolai csoportok által történő szervezett látogatásának támogatása</t>
  </si>
  <si>
    <t>KULTURÁLIS ÉS CIVIL ALAP ÖSSZESEN</t>
  </si>
  <si>
    <t xml:space="preserve">Kommunális városüzemeltetési és környezetvédelmi kiadások  </t>
  </si>
  <si>
    <t>Közhatalmi bevételek</t>
  </si>
  <si>
    <t>Folyószámla hitel kamata, bankköltségek</t>
  </si>
  <si>
    <t>Tervezések hatósági díja lejáró engedélyekhez</t>
  </si>
  <si>
    <t>Közterület-felügyelet átjátszó bérleti díj</t>
  </si>
  <si>
    <t>Markusovszky kórház támogatása</t>
  </si>
  <si>
    <t>Buszmegálló kialakítása</t>
  </si>
  <si>
    <t>Nem oktatási intézmények eszközfejlesztése</t>
  </si>
  <si>
    <t>Petz ösztöndíj</t>
  </si>
  <si>
    <t>Erdőgazdálkodási költség</t>
  </si>
  <si>
    <t>Önkormányzati konferenciák, rendezvények, fogadások</t>
  </si>
  <si>
    <t>Vizhasználati dij</t>
  </si>
  <si>
    <t>Szolgalmi joggal terhelt épületrész karbantartása</t>
  </si>
  <si>
    <t>Parkfenntartás</t>
  </si>
  <si>
    <t>mód.ei.</t>
  </si>
  <si>
    <t>teljesítés</t>
  </si>
  <si>
    <t>Teljesítés</t>
  </si>
  <si>
    <t>%-a</t>
  </si>
  <si>
    <t>KÖLTSÉGVETÉSI SZERVEK FELHALMOZÁSI BEVÉTELEI ÖSSZESEN</t>
  </si>
  <si>
    <t>"Szombathely visszavár" ösztöndíjrendszer</t>
  </si>
  <si>
    <t>Horvát Nemzetiségi nap támogatása</t>
  </si>
  <si>
    <t>Működési célú nagyprojektek, projektek</t>
  </si>
  <si>
    <t>FALCO KC Kft. támogatás</t>
  </si>
  <si>
    <t>Jelzőtáblák (forgalmi rend változás)</t>
  </si>
  <si>
    <t>Kátyúkár - önerő biztosítás</t>
  </si>
  <si>
    <t>Környezetvédelmi kiadások</t>
  </si>
  <si>
    <t>Kommunális és vároüzemeltetési kiadások összesen</t>
  </si>
  <si>
    <t>Városfejlesztési alap</t>
  </si>
  <si>
    <t>ÖNKORMÁNYZATOK MŰKÖDÉSI TÁMOGATÁSAI</t>
  </si>
  <si>
    <t>Települési Önkormányzatok kulturális feladatainak támogatása</t>
  </si>
  <si>
    <t>JÖVEDELEMADÓK</t>
  </si>
  <si>
    <t>VAGYONI TÍPUSÚ ADÓK</t>
  </si>
  <si>
    <t>TERMÉK ÉS SZOLGÁLTATÁSOK ADÓI</t>
  </si>
  <si>
    <t>EGYÉB KÖZHATALMI BEVÉTELEK</t>
  </si>
  <si>
    <t>KÖLTSÉGVETÉSI SZERVEK MŰKÖDÉSI BEVÉTELEI</t>
  </si>
  <si>
    <t xml:space="preserve">Felhalmozási célú önkormányzati támogatások </t>
  </si>
  <si>
    <t>Egyéb felhalmozási célú támogatások bevételei államháztartáson belülről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</si>
  <si>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</si>
  <si>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</si>
  <si>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</si>
  <si>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EGYÉB MŰKÖDÉSI CÉLÚ TÁMOGATÁSOK BEVÉTELEI ÁLLAMHÁZTARTÁSON BELÜLRŐL</t>
  </si>
  <si>
    <t>ELVONÁSOK ÉS BEFIZETÉSEK BEVÉTELEI</t>
  </si>
  <si>
    <t>Kiszámlázott általános forgalmi adó és áfa visszatérítése</t>
  </si>
  <si>
    <t>Kamatbevételek</t>
  </si>
  <si>
    <t>SOS Gyermekfalu Magyarországi Alapítvány támogatása (átmeneti vagy tartós nevelésbe vett gyermekek, fiatal felnőttek gyermekvédelmi szakellátása)</t>
  </si>
  <si>
    <t>Versenyek rendezvények, támogatások</t>
  </si>
  <si>
    <t>Zanati Kulturális és Sportegyesület</t>
  </si>
  <si>
    <t>Gyöngyöshermán-Szentkirályi Polgári Kör</t>
  </si>
  <si>
    <t>Herényi Kulturális és Sportegyesület</t>
  </si>
  <si>
    <t>Petőfi Telepért Egyesület</t>
  </si>
  <si>
    <t>Derkovits Városrészért Közhasznú Egyesület</t>
  </si>
  <si>
    <t>Vásárok, rendezvények, karácsonyi díszkivilágítás</t>
  </si>
  <si>
    <t>Könyvvizsgálói költség</t>
  </si>
  <si>
    <t>Állami és önkormányzati adatbázisok használati, továbbvezetési, karbantartási és szolgáltatási díja</t>
  </si>
  <si>
    <t>Közösségi közlekedés (buszmegállók kialakítása, leszálló szigetek helyreállítása, kialakítása)</t>
  </si>
  <si>
    <t>Osztalék bevétel</t>
  </si>
  <si>
    <t>vagyongazdálkodási kiadások (ingatlan kisajátítás, vásárlás)</t>
  </si>
  <si>
    <t>2014-2020 évekre szóló projektek előkészítése</t>
  </si>
  <si>
    <t>Szombathelyi Köznevelési GAMESZ</t>
  </si>
  <si>
    <t>Működési célú költségvetési támogatások és kiegészítő támogatások</t>
  </si>
  <si>
    <t>Elszámolásból származó bevételek</t>
  </si>
  <si>
    <t>Felhalmozási célú visszatérítendő támogatások, kölcsönök visszatérülése államháztartáson belülről</t>
  </si>
  <si>
    <t>Folyékony hulladékgyűjtés</t>
  </si>
  <si>
    <t>Oktatási, szociális és ifjúsági kiadások - tartalék</t>
  </si>
  <si>
    <t>KISZ Lakótelepért Egyesület</t>
  </si>
  <si>
    <t>ISIS Big Band támogatása</t>
  </si>
  <si>
    <t>Közterület - felügyelet</t>
  </si>
  <si>
    <t>Office 365 rendszer működtetése</t>
  </si>
  <si>
    <t>Integrált pénzügyi rendszer üzemeltetés az intézményekben</t>
  </si>
  <si>
    <t>Forgalmi rend felülvizsgálata</t>
  </si>
  <si>
    <t>Költségvetési szervek beruházásai és felújításai összesen:</t>
  </si>
  <si>
    <t xml:space="preserve">Önkormányzati bérlakások felújítása </t>
  </si>
  <si>
    <t>Központi bevételekkel fedezett kiadások</t>
  </si>
  <si>
    <t>Központi bevételekkel fedezett kiadások összesen</t>
  </si>
  <si>
    <t>Önkormányzati bevételekkel fedezett kiadások</t>
  </si>
  <si>
    <t>Szociális hét</t>
  </si>
  <si>
    <t>Önkormányzati bevételekkel fedezett kiadások összesen intézményi kiadások nélkül</t>
  </si>
  <si>
    <t>Könyv, film</t>
  </si>
  <si>
    <t>Szociális intézmény összesen</t>
  </si>
  <si>
    <t>Működési kiadások</t>
  </si>
  <si>
    <t>Egészségügyi intézmény összesen</t>
  </si>
  <si>
    <t>Önkormányzati gyermekvédelmi kiadások összesen</t>
  </si>
  <si>
    <t xml:space="preserve">Áfa visszaigénylés </t>
  </si>
  <si>
    <t>Önkormányzati szociális kiadások összesen</t>
  </si>
  <si>
    <t>Önkormányzati egészségügyi kiadások összesen</t>
  </si>
  <si>
    <t>Gyermekvédelmi intézmény összesen</t>
  </si>
  <si>
    <t>Berzsenyi Dániel Könyvtár összesen</t>
  </si>
  <si>
    <t>Önkormányzati felhalmozási kiadások mindösszesen</t>
  </si>
  <si>
    <t>Működési célú támogatások ÁH-on belülről</t>
  </si>
  <si>
    <t>URBACT III program Disarned cities projekt támogatás II. ütem</t>
  </si>
  <si>
    <t>Szent Márton kártya értékesítése</t>
  </si>
  <si>
    <t>Bartók Fesztivál</t>
  </si>
  <si>
    <t>Érzékenyítő programok - Helyi esélyegyenlőségi program keretében</t>
  </si>
  <si>
    <t>Szociális önkormányzati kitüntetések</t>
  </si>
  <si>
    <t>Egészségügyi dolgozók kitüntetése</t>
  </si>
  <si>
    <t>Kéményseprő ipari közszolgáltatás elllátásának támogatása (központi ei.)</t>
  </si>
  <si>
    <t>URBACT III program Disarmed citis projekt (önerő+támogatás) II.ütem</t>
  </si>
  <si>
    <t xml:space="preserve">Teljes pályaszerkezet helyreállítás </t>
  </si>
  <si>
    <t>TOP projektek auditálási kiadásai</t>
  </si>
  <si>
    <t>Kulturális kiadások, média</t>
  </si>
  <si>
    <t>Működési célú átvett pénzeszközök</t>
  </si>
  <si>
    <t>Kommunális, városüzemeltetési és környezetvédelmi kiadások</t>
  </si>
  <si>
    <t>Tartalékok össszesen</t>
  </si>
  <si>
    <t xml:space="preserve"> Működési célú bevételek összesen :</t>
  </si>
  <si>
    <t>FELHALMOZÁSI KIADÁSOK</t>
  </si>
  <si>
    <t>Intézményi felhalmozási kiadások</t>
  </si>
  <si>
    <t>Felhalmozási célú támogatások államháztartáson belülről</t>
  </si>
  <si>
    <t>Felhalmozási célú átvett péneszközök</t>
  </si>
  <si>
    <t>Intézményi felhalmozási kiadások össszesen</t>
  </si>
  <si>
    <t>Önkormányzati felhalmozási kiadások össszesen</t>
  </si>
  <si>
    <t xml:space="preserve">Központi költségvetés részére visszafizetési kötelezettség </t>
  </si>
  <si>
    <t>Felhalmozási bevételek</t>
  </si>
  <si>
    <t xml:space="preserve">WHO Egészséges városok tagdij, elnökséget adó városi 
cím és projektváros cím </t>
  </si>
  <si>
    <t>Közbeszerzési kiadások</t>
  </si>
  <si>
    <t>Vízelnyelők tisztítása</t>
  </si>
  <si>
    <t>Közhasznú információk támogatása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</si>
  <si>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</si>
  <si>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</si>
  <si>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</si>
  <si>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</si>
  <si>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</si>
  <si>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3.</t>
  </si>
  <si>
    <t>4.</t>
  </si>
  <si>
    <t>Vagyongazdálkodás</t>
  </si>
  <si>
    <t>5.</t>
  </si>
  <si>
    <t>Pénzeszközátadás összesen:</t>
  </si>
  <si>
    <t>Lakásalap összesen:</t>
  </si>
  <si>
    <t>Vagyongazdálkodás összesen</t>
  </si>
  <si>
    <t>Beruházások</t>
  </si>
  <si>
    <t xml:space="preserve">SZOMBATHELY MEGYEI JOGÚ VÁROS ÖNKORMÁNYZATÁNAK  PÉNZÜGYI  MÉRLEGE        </t>
  </si>
  <si>
    <t>Út-híd fenntartás</t>
  </si>
  <si>
    <t>Közhasznú információk támogatása összesen</t>
  </si>
  <si>
    <t>EGYÉB TÁMOGATÁSOK MINDÖSSZESEN</t>
  </si>
  <si>
    <t>Média</t>
  </si>
  <si>
    <t>Média összesen</t>
  </si>
  <si>
    <t>MÉDIA MINDÖSSZESEN</t>
  </si>
  <si>
    <t>Rendőrség támogatása</t>
  </si>
  <si>
    <t>Szökőkutak előre nem látható hibaelhárítása</t>
  </si>
  <si>
    <t xml:space="preserve"> Működési célú kiadások összesen :</t>
  </si>
  <si>
    <t>Fejlesztési céltartalék</t>
  </si>
  <si>
    <t>Sport</t>
  </si>
  <si>
    <t>eredeti ei.</t>
  </si>
  <si>
    <t>Foltos bevonat</t>
  </si>
  <si>
    <t>Helyreállítások (teljes pályaszerkezet csere)</t>
  </si>
  <si>
    <t>Hidak, műtárgyak üzemeltetése (lemosása)</t>
  </si>
  <si>
    <t>Járdafenntartás</t>
  </si>
  <si>
    <t>Polgármesteri keret</t>
  </si>
  <si>
    <t xml:space="preserve">Technikai, bevétellel 100%-ig fedezett tételek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</si>
  <si>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</si>
  <si>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</si>
  <si>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</si>
  <si>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</si>
  <si>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Egyéb, más ágazathoz nem sorolható intézmények és feladatok kiadásai</t>
  </si>
  <si>
    <t>MŰKÖDÉSI BEVÉTELEK</t>
  </si>
  <si>
    <t>MŰKÖDÉSI KIADÁSOK</t>
  </si>
  <si>
    <t xml:space="preserve">Külföldi  kapcsolatok, kiküldetés </t>
  </si>
  <si>
    <t>Egyéb fejlesztések</t>
  </si>
  <si>
    <t>Egyéb adó és bírságok, pótlékok</t>
  </si>
  <si>
    <t>Légszennyezettségi mérőállomások villamos energia ellátása</t>
  </si>
  <si>
    <t>Szombathelyi Civil Kerekasztal támogatása</t>
  </si>
  <si>
    <t>Víziközmű és szennyvízközmű használati díjbevétel</t>
  </si>
  <si>
    <t>Működési bevételek</t>
  </si>
  <si>
    <t>Közművelődési kiegészítő támogatás - Berzsenyi D. Könyvtár</t>
  </si>
  <si>
    <t>Települési hulladékkezelés és köztisztasági tevékenység, és hóeltakarítás</t>
  </si>
  <si>
    <t>Nagyrendezvények</t>
  </si>
  <si>
    <t>Megyei hatókörű városi múzeumok feladatainak támogatása - Savaria Múzeum feladatainak támogatása</t>
  </si>
  <si>
    <t>Megyei könyvtárak feladatainak támogatása - Berzsenyi Dániel könyvtár feladatainak támogatása</t>
  </si>
  <si>
    <t>Berzsenyi Dániel megyei könyvtár kistelepülési könyvtári célú kiegészítő támogatása</t>
  </si>
  <si>
    <t>Megyeszékhely megyei jogú városok közművelődési feladatainak támogatása</t>
  </si>
  <si>
    <t>Aktív időskor Szombathelyen program</t>
  </si>
  <si>
    <t>Egészségügyi kiadások tartaléka</t>
  </si>
  <si>
    <t>Szombathely a segítés városa program</t>
  </si>
  <si>
    <t>Nemzetközi diákjátékok</t>
  </si>
  <si>
    <t>HVSE támogatása</t>
  </si>
  <si>
    <t>Vívók támogatása</t>
  </si>
  <si>
    <t>Környezetállapot értékelés (talaj, víz, levegő)</t>
  </si>
  <si>
    <t>Egészségügyi és Kulturális intézmények GESZ</t>
  </si>
  <si>
    <t>Általános tartalék</t>
  </si>
  <si>
    <t>Útigénybevételi díj</t>
  </si>
  <si>
    <t>Vásárok bevétele</t>
  </si>
  <si>
    <t>Munkáltatói kölcsön visszatérülése</t>
  </si>
  <si>
    <t>Mesebolt Bábszínház</t>
  </si>
  <si>
    <t>Szombathelyi Szimfónikus Zenekar</t>
  </si>
  <si>
    <t>Önkormányzati napközis tábor megszervezése</t>
  </si>
  <si>
    <t>Tavak haszonbérbe adása</t>
  </si>
  <si>
    <t>SZOVA Zrt. Parkolásgazdálkodásból származó bevétel</t>
  </si>
  <si>
    <t>SZOVA Zrt. Parkolásgazdálkodásból származó ÁFA visszatérülés</t>
  </si>
  <si>
    <t>Vagyongazdálkodásból származó bevétel</t>
  </si>
  <si>
    <t>Mesebolt Bábszínház összesen</t>
  </si>
  <si>
    <t>Savaria Szimfónikus Zenekar összesen</t>
  </si>
  <si>
    <t>Kulturális és Civil Alap</t>
  </si>
  <si>
    <t>Támogatás kulturális pályázatokhoz, egyéb szervezetek, társaságok támogatása</t>
  </si>
  <si>
    <t>Nemzetiségi Önkormányzatok támogatása</t>
  </si>
  <si>
    <t xml:space="preserve">Polgárőr szervezetek támogatása </t>
  </si>
  <si>
    <t>Internet alapú városi hálózat</t>
  </si>
  <si>
    <t>Ungaresca Táncegyüttes</t>
  </si>
  <si>
    <t>Köztemetés bevétele</t>
  </si>
  <si>
    <t>Önkormányzati felhalmozási kiadások</t>
  </si>
  <si>
    <t>Költségvetési működési bevételek</t>
  </si>
  <si>
    <t>ELAMEN RT, és egyéb  bérleti díjak</t>
  </si>
  <si>
    <t>Hemo épülétenek bérbeadása</t>
  </si>
  <si>
    <t xml:space="preserve">Önkormányzat </t>
  </si>
  <si>
    <t>MŰKÖDÉSI CÉLÚ TÁMOGATÁSOK ÁLLAMHÁZTARTÁSON BELÜLRŐL</t>
  </si>
  <si>
    <t>Weöres S. Színház művészeti támogatása</t>
  </si>
  <si>
    <t>Weöres S. Színház működési támogatása</t>
  </si>
  <si>
    <t>Mesebolt Bábszínház művészeti támogatása</t>
  </si>
  <si>
    <t>Egyéb kiadások</t>
  </si>
  <si>
    <t>Mesebolt Bábszínház működési támogatása</t>
  </si>
  <si>
    <t>Savaria Szimfónikus zenekar központi támogatása</t>
  </si>
  <si>
    <t xml:space="preserve">Vagyongazdálkodási kiadások - szakértők igénybevétele, ügyvédi munkadíj, egyéb kiadások </t>
  </si>
  <si>
    <t>Intézményi felhalmozási maradvány</t>
  </si>
  <si>
    <t>Intézményi működési maradvány</t>
  </si>
  <si>
    <t>Gencsapáti Község Önkormányzata - felnőtt háziorvosok ügyeleti díja</t>
  </si>
  <si>
    <t xml:space="preserve">Savaria Városfejlesztési Kft. - tagi kölcsön </t>
  </si>
  <si>
    <t>Savaria Történelmi Karnevál Közhasznú Közalapítvány NKA pályázati önrész</t>
  </si>
  <si>
    <t>Szünidei gyermekétkeztetés</t>
  </si>
  <si>
    <t>Szombathely, Kőszeg u. 44.műemlék épület felújításának támogatása</t>
  </si>
  <si>
    <t>Tömbbelső felújítás</t>
  </si>
  <si>
    <t xml:space="preserve">Gyalogátkelőhelyek kialakítása </t>
  </si>
  <si>
    <t>Vak Bottyán u. Gyöngyös patak híd felújítás engedély, korsz.vizsg.,tervezői ktg.</t>
  </si>
  <si>
    <t>MŰKÖDÉSI CÉLÚ ÁTVETT PÉNZESZKÖZÖK</t>
  </si>
  <si>
    <t>Kamatmentes kölcsön visszatérülése - segély elszámolás</t>
  </si>
  <si>
    <t>KÖZHATALMI BEVÉTELEK</t>
  </si>
  <si>
    <t>KÖZHATALMI BEVÉTELEK ÖSSZESEN</t>
  </si>
  <si>
    <t>KÖLTSÉGVETÉSI SZERVEK BEVÉTELEI</t>
  </si>
  <si>
    <t>AGORA Szombathelyi Kulturális Központ</t>
  </si>
  <si>
    <t xml:space="preserve">Savaria Múzeum </t>
  </si>
  <si>
    <t xml:space="preserve">Berzsenyi Dániel könyvtár </t>
  </si>
  <si>
    <t>Szegélyek javítása (akadálymentesítés, szintbehelyezés)</t>
  </si>
  <si>
    <t>Zárt csapadék csatorna fenntartása</t>
  </si>
  <si>
    <t>Prenor Kft. telephely felújítása</t>
  </si>
  <si>
    <t>évközi tervezések, útfelújítás tervezések</t>
  </si>
  <si>
    <t>MŰKÖDÉSI BEVÉTELEK ÖSSZESEN</t>
  </si>
  <si>
    <t>FELHALMOZÁSI BEVÉTELEK</t>
  </si>
  <si>
    <t>FELHALMOZÁSI BEVÉTELEK ÖSSZESEN</t>
  </si>
  <si>
    <t>SZAK támogatás</t>
  </si>
  <si>
    <t xml:space="preserve"> MŰKÖDÉSI BEVÉTELEK</t>
  </si>
  <si>
    <t>Mesebolt Bábszínház saját bevételéből fedezett kiadás</t>
  </si>
  <si>
    <t>Főépítészi iroda (tervtanács, rendezési terv)</t>
  </si>
  <si>
    <t>FELHALMZÁSI CÉLÚ TÁMOGATÁSOK ÁLLAMHÁZTARTÁSON BELÜLRŐL ÖSSZESEN</t>
  </si>
  <si>
    <t>FELHALMOZÁSI CÉLÚ ÁTVETT PÉNZESZKÖZÖK</t>
  </si>
  <si>
    <t>TOP-6.9.1-15 Társadalmi együttműködést elősegítő  komplex programok az Óperint városrészen</t>
  </si>
  <si>
    <t>TOP-6.8.2-15 Gazdaság- és fogl.fejl.partnerség a szhelyi járás területén</t>
  </si>
  <si>
    <t>Vasivíz Zrt. - Uszoda fenntartás</t>
  </si>
  <si>
    <t>TOP-6.2.1-15-00004 Weöres S. és Pipitér Óvoda fejlesztése Szombathelyen</t>
  </si>
  <si>
    <t>TOP-6.2.1-15-00003 Százszorszép Bölcsőde és Mocorgó Óvoda fejlesztése Szombathelyen</t>
  </si>
  <si>
    <t>TOP-6.6.1-15 Új Egészségügyi Alapellátó központ kialakítása</t>
  </si>
  <si>
    <t>TOP-6.4.1-15 SZMJV kerékpárosbarát fejlesztése</t>
  </si>
  <si>
    <t>TOP-6.3.2-15 A szombathelyi Sportliget fejlesztése</t>
  </si>
  <si>
    <t>TOP-6.5.1-15-00003 Neumann János Általános Iskola felújítása</t>
  </si>
  <si>
    <t>TOP-6.1.1-15-00002 Szombathely, Sárdi-ér úti terület alapinfrastruktúrájának kiépítése</t>
  </si>
  <si>
    <t>TOP-6.5.1-15-00004 Óvodák energetikai korszerűsítése</t>
  </si>
  <si>
    <t>TOP-6.1.3-15- Szombathelyi Vásárcsarnok felújítása</t>
  </si>
  <si>
    <t>TOP-6.1.5-15 SZMJV közúthálózati elemeinek gazdaságfejlesztési célú megújítása</t>
  </si>
  <si>
    <t>TOP-6.2.1-15-00004 Weöres Sándor és Pipitér Óvoda fejlesztése Szombathelyen</t>
  </si>
  <si>
    <t>TOP-6.2.1-00005 Bölcsőde fejlesztések Szombathelyen</t>
  </si>
  <si>
    <t>TOP-6.3.1-15 Szombathely Szent László Király utcai felhagyott iparterület fejlesztése</t>
  </si>
  <si>
    <t>TOP-6.3.3-15 Szombathely bel- és csapadékvíz védelmi rendszerének fejlesztése</t>
  </si>
  <si>
    <t>TOP-6.5.1-15-00005 Egészségügyi intézmények energetikai korszerűsítése</t>
  </si>
  <si>
    <t>TOP-6.5.1-15-00004 Óvodák energetikai korszerűsítés</t>
  </si>
  <si>
    <t>TOP-6.5.1-15-00002 AGORA Központ energetikai korszerűsítés</t>
  </si>
  <si>
    <t>TOP-6.6.2-15 Szociális alapszolgáltatások fejlesztése Szombathelyen</t>
  </si>
  <si>
    <t>TOP-6.7.1-15 Szociális városrehabilitáció II. ütem</t>
  </si>
  <si>
    <t>TOP-6.5.2-1-15 Megújuló Szombathely - tiszta energia saját erőből</t>
  </si>
  <si>
    <t>TOP-6.2.1-00005 Bölcsöde fejlesztések Szombathelyen</t>
  </si>
  <si>
    <t>TOP-6.2.1-15-00002 Óvoda fejlesztések Szombathelyen</t>
  </si>
  <si>
    <t>TOP-6.1.3-15 Szombathelyi Vásárcsarnok felújítása</t>
  </si>
  <si>
    <t>Szombathelyi Kézilabda klub és Akadémia támogatása</t>
  </si>
  <si>
    <t>TOP-6.3.1-15 Szhely Szent.L.kir.u.felhagyott iparterület fejl.áfa visszaigénylés</t>
  </si>
  <si>
    <t>TOP-6.3.1-15 Szombathely Szent László Király utcai felhagyott iparterület fejlesztése -fordított áfa</t>
  </si>
  <si>
    <t>Vízközmű- és szennyvízközmű használati díj terhére végzett beruházás</t>
  </si>
  <si>
    <t>Európai Mobilitási hét</t>
  </si>
  <si>
    <t>FELHALMOZÁSI CÉLÚ TÁMOGATÁSOK ÁLLAMHÁZTARTÁSON BELÜLRŐL</t>
  </si>
  <si>
    <t>TOP 6.1.1-15. Ipari parkok iparterületek fejlesztése SZOVA önerő (Sárdi-ér út)</t>
  </si>
  <si>
    <t>Egyéb működési célú bevétel</t>
  </si>
  <si>
    <t>GAMESZ</t>
  </si>
  <si>
    <t>Szombathelyi Egészségügyi és Kulturális Intézmények GESZ</t>
  </si>
  <si>
    <t>Városi rendezvények és kiemelt rendezvénnyek</t>
  </si>
  <si>
    <t>Iseumi játékok</t>
  </si>
  <si>
    <t>Savaria Turizmus Nonprofit Kft - Karnevál megrendezése</t>
  </si>
  <si>
    <t>Savaria Történelmi Karnevál Közhasznú Alapítvány működési támogatása</t>
  </si>
  <si>
    <t>Szombathelyi Médiaközpont Nonprofit Kft. támogatása</t>
  </si>
  <si>
    <t>Települési Önkormányzatok kulturális feladatainak támogatása összesen</t>
  </si>
  <si>
    <t>Működési célú költségvetési támogatások és kiegészítő támogatások összesen:</t>
  </si>
  <si>
    <t>Elszámolásból származó bevételek összesen</t>
  </si>
  <si>
    <t>a.)</t>
  </si>
  <si>
    <t>b.)</t>
  </si>
  <si>
    <t>Elvonások és befizetések bevételei</t>
  </si>
  <si>
    <t>Mezei őrszolgálat fenntartásához és működéséhez kapott állami támogatás</t>
  </si>
  <si>
    <t>c.)</t>
  </si>
  <si>
    <t>MŰKÖDÉSI CÉLÚ ÁTVETT PÉNZESZKÖZÖK ÖSSZESEN:</t>
  </si>
  <si>
    <t>KÖLTSÉGVETÉSI SZERVEK MŰKÖDÉSI BEVÉTELEI ÖSSZESEN</t>
  </si>
  <si>
    <t>KLIK által működtetett többcélú intézmények és kollégiumok működési hozzájárulás</t>
  </si>
  <si>
    <t>SNI gyermekek (Óvoda) szakszolgálati ellátása</t>
  </si>
  <si>
    <t>Pedagódus továbbképzés (Óvoda)</t>
  </si>
  <si>
    <t xml:space="preserve">Önkormányzati oktatási kiadások összesen </t>
  </si>
  <si>
    <t>Agora Szombathelyi Kulturális Központ összesen</t>
  </si>
  <si>
    <t>Nem önkormányzati kulturális és civil szervezetek támogatása</t>
  </si>
  <si>
    <t xml:space="preserve">Nem önkormányzati kulturális és civil szervezetek támogatása </t>
  </si>
  <si>
    <t xml:space="preserve">Kulturális kitüntetés díja, Év Civil Szervezete díja …. </t>
  </si>
  <si>
    <t>ÖNKORMÁNYZATI KULTURÁLIS KIADÁSOK ÖSSZESEN</t>
  </si>
  <si>
    <t>Gazdaságfejlesztési alap</t>
  </si>
  <si>
    <t>-ELTE - SZOESE támogatás</t>
  </si>
  <si>
    <t>-Nyugat-Pannon Járműipari és Mechatronikai Központ Szolgáltató Nonprofit Kft. Támogatása</t>
  </si>
  <si>
    <t>- Pécsi Tudományegyetem Egészségtudományi Kar Szombathelyi Képzési Központ támogatása</t>
  </si>
  <si>
    <t>- Egyéb gazdaságfejlesztés</t>
  </si>
  <si>
    <t>Szolidaritási adó</t>
  </si>
  <si>
    <t>Településrendezési terv felülvizsgálata</t>
  </si>
  <si>
    <t>Kiemelkedő sporteredmények jutalmazása (Sportkarácsony)</t>
  </si>
  <si>
    <t>Óvodák informatikai eszközfejlesztése</t>
  </si>
  <si>
    <t>Fejlesztési céltartalékok összesen</t>
  </si>
  <si>
    <t>Kulturális illetménypótlék</t>
  </si>
  <si>
    <t>TOP-6.3.1-15 Szhely Szent.L.kir.u.felhagyott iparterület fejl.áfa visszaigénylés az önerőhöz kapcsolódóan</t>
  </si>
  <si>
    <t>Savaria Szimfonikus Zenekar összesen</t>
  </si>
  <si>
    <t>Bölcsődék informatikai eszközfejlesztése</t>
  </si>
  <si>
    <t>Környezettanulmány díja</t>
  </si>
  <si>
    <t xml:space="preserve">SZOMHULL Nonprofit Kft. - tagi kölcsön visszatérülés </t>
  </si>
  <si>
    <t>Lamantin Jazz Fesztivál</t>
  </si>
  <si>
    <t>AVUS támogatás</t>
  </si>
  <si>
    <t>Szombathelyi Huszárlaktanya ún. "B" területének beépítési terve és fejlesztési javaslatok kidolgozása</t>
  </si>
  <si>
    <t>Szent Márton kártya rendszer kialakítása,  QR kód alapú továbbfejlesztése</t>
  </si>
  <si>
    <t xml:space="preserve">KÖFOP-1.2.1-VEKOP ASP fejlesztés </t>
  </si>
  <si>
    <t>TOP-6.1.3-15- Szombathelyi Vásárcsarnok felújítása  -fordított áfa</t>
  </si>
  <si>
    <t>TOP-6.2.1-00005 Bölcsöde fejlesztések Szombathelyen - fordított áfa</t>
  </si>
  <si>
    <t>TOP-6.3.2-15 A szombathelyi Sportliget fejlesztése - fordított áfa</t>
  </si>
  <si>
    <t>TOP-6.5.1-15-00003 Neumann János Általános Iskola felújítása - fordított áfa</t>
  </si>
  <si>
    <t>TOP-6.1.3-15- Szombathelyi Vásárcsarnok felújítása - hozzájárulás</t>
  </si>
  <si>
    <t>TOP-6.2.1-15-00003 Százszorszép Bölcsőde és Mocorgó Óvoda fejlesztése Szombathelyen - hozzájárulás</t>
  </si>
  <si>
    <t>TOP-6.2.1-15-00004 Weöres S. és Pipitér Óvoda fejlesztése Szombathelyen - hozzájárulás</t>
  </si>
  <si>
    <t>TOP-6.2.1-00005 Bölcsöde fejlesztések Szombathelyen - hozzájárulás</t>
  </si>
  <si>
    <t>TOP-6.4.1-15 SZMJV kerékpárosbarát fejlesztése - hozzájárulás</t>
  </si>
  <si>
    <t>TOP-6.5.1-15-00002 AGORA Központ energetikai korszerűsítés - hozzájárulás</t>
  </si>
  <si>
    <t>TOP-6.5.1-15-00003 Neumann János Általános Iskola felújítása - hozzájárulás</t>
  </si>
  <si>
    <t>TOP-6.5.1-15-00004 Óvodák energetikai korszerűsítése - hozzájárulás</t>
  </si>
  <si>
    <t>TOP-6.5.1-15-00005 Egészségügyi intézmények energetikai korszerűsítése - hozzájárulás</t>
  </si>
  <si>
    <t>TOP-6.6.2-15 Szociális alapszolgáltatások fejlesztése Szombathelyen - hozzájárulás</t>
  </si>
  <si>
    <t>TOP-6.1.4-00004 Schrammel Imre életművének méltó elhelyezése Szombathelyen</t>
  </si>
  <si>
    <t>Szombathely Szent László Király utcai felhagyott iparterület fejlesztése(BMSK támogatás)</t>
  </si>
  <si>
    <t>vagyongazdálkodási kiadások (ingatlan kisajátítás, vásárlás) fordított áfa</t>
  </si>
  <si>
    <t>Út és járdafelújítás, csapadékvíz elvezetés (központi támogatásból)</t>
  </si>
  <si>
    <t>Modern Városok Program - A szombathelyi Késmárk utcai Teniszcentrum fejlesztése</t>
  </si>
  <si>
    <t xml:space="preserve">Modern Városok Program  - Szent Márton Terv II.ütem </t>
  </si>
  <si>
    <t>Modern Városok Program - Gothard kastély fejlesztése</t>
  </si>
  <si>
    <t>EFOP-1.9.9-17-2017-00002 - Bölcsődei szakemberek szakmai fejlesztése Szombathelyen</t>
  </si>
  <si>
    <t>EBBŐL:</t>
  </si>
  <si>
    <t>TOP-6.1.1-15-00001 A szombathelyi északi iparterület fejlesztése áfa visszaigénylés</t>
  </si>
  <si>
    <t>Szent Márton Esélyegyenlőségi Támogatási Program</t>
  </si>
  <si>
    <t>Fogyatékos emberek Világnapja, Föld Napi Gála, egyéb rendezvények</t>
  </si>
  <si>
    <t xml:space="preserve"> - Vas Megyei Kereskedelmi és Iparkamara együttműködési megállapodás alapján nyújtott támogatás - mikróvállalkozások támogatására</t>
  </si>
  <si>
    <t>Falco mérkőzések online jegyértékesítés rendszere</t>
  </si>
  <si>
    <t>Vasi Honvéd Bajtársi Egyesület támogatása</t>
  </si>
  <si>
    <t>Illegális hulladéklerakás</t>
  </si>
  <si>
    <t>Vas Megyei Temetkezési Kft. támogatása</t>
  </si>
  <si>
    <t>Zanati Kulturális és Sportegyesület TAO pályázat önrészhez támogatás</t>
  </si>
  <si>
    <t xml:space="preserve">ELTE - Bolyai J. Ált.Isk. és  Gimn. - felújítási pályázati önrész </t>
  </si>
  <si>
    <t>TOP-6.6.1-15 Új Egészségügyi Alapellátó központ kialakítása - hozzájárulás  (légtechnikai berendezés biztosítása)</t>
  </si>
  <si>
    <t>Út-híd fenntartási kiadások</t>
  </si>
  <si>
    <t>Központi támogatás elszámolás alapján</t>
  </si>
  <si>
    <t>ERFA és hazai támogatás - Szent M. szellemiségével összefüggő nemzetközi projekt</t>
  </si>
  <si>
    <t>Kulturális ágazat, média kiadásai</t>
  </si>
  <si>
    <t>Kulturális intézmények működési kiadásai össezesen:</t>
  </si>
  <si>
    <t>Szombathely és Balogunyom hiányzó kerékpárútjának tervezési költége</t>
  </si>
  <si>
    <t>-ELTE SEK - rekrutációs médiakampány támogatása</t>
  </si>
  <si>
    <t>Nemzetiségi nap</t>
  </si>
  <si>
    <t>Roma Nemzetiségi Önkormányzat támogatása és Alkotótábor Szombathely-Herény rendezvény támogatása</t>
  </si>
  <si>
    <t>Városi térfigyelő kamera rendszer fejlesztése</t>
  </si>
  <si>
    <t>I. Helyi önkormányzatok működésének általános támogatása</t>
  </si>
  <si>
    <t>II. Települési önkormányzatok egyes köznevelési feladatainak támogatása</t>
  </si>
  <si>
    <t xml:space="preserve">III. Települési önkormányzatok szociális, gyermekjóléti és gyermekétkeztetési  feladatainak támogatása </t>
  </si>
  <si>
    <t>ÖSSZESEN (I.+II.+III.)</t>
  </si>
  <si>
    <t>Út és járdafelújítás, csapadékvíz elvezetés (központi támogatásból) - fordított áfa kiadás</t>
  </si>
  <si>
    <t>TOP-6.3.1-15 Szombathely Szent László Király utcai felhagyott iparterület fejlesztése  - BMSK Asztalitenisz  terem 2016. évi</t>
  </si>
  <si>
    <t>TOP-6.3.1-15 Szombathely Szent László Király utcai felhagyott iparterület fejlesztése  - BMSK Vívóterem 2016. évi</t>
  </si>
  <si>
    <t>TOP-6.3.1-15 Szombathely Szent László Király utcai felhagyott iparterület fejlesztése  - BMSK Asztalitenisz  terem 2017. évi</t>
  </si>
  <si>
    <t>TOP-6.3.1-15 Szombathely Szent László Király utcai felhagyott iparterület fejlesztése  - BMSK Vívóterem 2017. évi</t>
  </si>
  <si>
    <t>Szent Márton szellemiségével összefüggő nemzetközi projekt támogatás és önrész</t>
  </si>
  <si>
    <t>Új egészségügyi alapellátó ÖNERŐ</t>
  </si>
  <si>
    <t>Szociális ágazati összevont pótlék</t>
  </si>
  <si>
    <t>Szombathelyi imázsfilm készítés</t>
  </si>
  <si>
    <t>TOP-6.3.1-15 Szombathely Szent László Király utcai felhagyott iparterület fejlesztése  - BMSK Asztalitenisz  terem 2016. évi - fordított áfa kiadás</t>
  </si>
  <si>
    <t>TOP-6.3.1-15 Szombathely Szent László Király utcai felhagyott iparterület fejlesztése  - BMSK Vívóterem 2016. évi - fordított áfa kiadás</t>
  </si>
  <si>
    <t>TOP-6.3.1-15 Szombathely Szent László Király utcai felhagyott iparterület fejlesztése  - BMSK Asztalitenisz  terem 2017. évi - fordított áfa kiadás</t>
  </si>
  <si>
    <t>TOP-6.3.1-15 Szombathely Szent László Király utcai felhagyott iparterület fejlesztése  - BMSK Vívóterem 2017. évi - fordított áfa kiadás</t>
  </si>
  <si>
    <t xml:space="preserve">TOP-6.3.1-15 Szombathely Szent László Király utcai felhagyott iparterület fejlesztése  - hozzájárulás </t>
  </si>
  <si>
    <t>TOP-6.3.1-15 Szombathely Szent László Király utcai felhagyott iparterület fejlesztése  - hozzájárulás - fordított áfa kiadás</t>
  </si>
  <si>
    <t>TOP-6.1.1-15-00002 Szombathely, Sárdi-ér úti terület alapinfrastruktúrájának kiépítése - hozzájárulás</t>
  </si>
  <si>
    <t>Adósságcsökkentési támogatás visszafizetése</t>
  </si>
  <si>
    <t xml:space="preserve">Sportkomplexum használat HVSE </t>
  </si>
  <si>
    <t xml:space="preserve">Sportkomplexum használat HVSE Sport Kft.  </t>
  </si>
  <si>
    <t>Vásárokkal kapcsolatos áfa visszaigénylés</t>
  </si>
  <si>
    <t>Mozgássérültek Vas Megyei Egyesülete - székház felújításhoz nyújtott támogatás</t>
  </si>
  <si>
    <t>Aranypatak revitalizációja</t>
  </si>
  <si>
    <t>Nemzeti Ovi-Foci Sportprogram (Ovi-Foci Közhasznú Alapítvány)</t>
  </si>
  <si>
    <t>Modern Városok Program - A szombathelyi Késmárk utcai Teniszcentrum fejlesztése- hozzájárulás</t>
  </si>
  <si>
    <t>2019.évi</t>
  </si>
  <si>
    <t>Országos tan.versenyen eredményesen szereplő diákok és felkészítő tanárok  jutalmazása</t>
  </si>
  <si>
    <t>Egységes ügyiratkezelő szoftver az önkormányzat által müködtetett Intézményekben</t>
  </si>
  <si>
    <t>Oladi Városrészért Egyesület</t>
  </si>
  <si>
    <t>Hátrányos Helyzetű Roma Fiatalokat Támogató Közhasznú Egyesület támogatása</t>
  </si>
  <si>
    <t>Vas Megyei Hegypásztor Kör Egyesület - Civil információs centrum</t>
  </si>
  <si>
    <t>Vas Megyei Tudományos Ismeretterjesztő Egyesület támogatása - közművelődési megállapodás</t>
  </si>
  <si>
    <t>Határon túli magyar egyesületek támogatása</t>
  </si>
  <si>
    <t>Bloomsday rendezvény</t>
  </si>
  <si>
    <t xml:space="preserve">Szombathelyi identitást erősítő program </t>
  </si>
  <si>
    <t xml:space="preserve">Sportkomplexum használata - Szombathelyi Haladás Labdarúgó és Sportszolgáltató Kft </t>
  </si>
  <si>
    <t>Önkormányzati tulajdonú területek kaszálása</t>
  </si>
  <si>
    <t>Kerékpárút fenntartás</t>
  </si>
  <si>
    <t>Padkarendezés, szegélyek javítása, akadálymentesítés, szintbehelyezés</t>
  </si>
  <si>
    <t>Nyilt árok tisztítás, árokrendezés (árvízvédelmi művek, berendezések karbantartása)</t>
  </si>
  <si>
    <t>SZOVA Zrt.által üzemeltetett lét.-ek (Tófürdő, Kalandváros,Műjégpálya) veszteségének megtérítése</t>
  </si>
  <si>
    <t>SZOMHULL tagi kölcsön nyújtása</t>
  </si>
  <si>
    <t>Térfigyelő Kamerarendszer üzemeltetése és  adatátviteli hálózat üzemeltetés</t>
  </si>
  <si>
    <t>Szalézi templom - lépcső felújítás</t>
  </si>
  <si>
    <t>Tűzoltóság szerállás felújítás</t>
  </si>
  <si>
    <t>Intézményi felújítások</t>
  </si>
  <si>
    <t>Margaréta Óvoda - csoportszoba kialakítása</t>
  </si>
  <si>
    <t>Aréna Óvoda csoportjai által a Petőfi S. utcában használt épület felújítása</t>
  </si>
  <si>
    <t>Egyesített Bölcsődei Intézmény - étel lift felújítása</t>
  </si>
  <si>
    <t>Játszótér felújítások</t>
  </si>
  <si>
    <t>Köztéri szobrok felújítása</t>
  </si>
  <si>
    <t xml:space="preserve">Óvodai műfűves pályaépítési program </t>
  </si>
  <si>
    <t xml:space="preserve">I.világháborús emlékművek felújítása </t>
  </si>
  <si>
    <t>Kámoni Fiókkönyvtár építése</t>
  </si>
  <si>
    <t>Városi gazdálkodási rendszer ASP kapcsolat kilakítása</t>
  </si>
  <si>
    <t>Lakossági kérdőív online kitöltő felület kialakítása</t>
  </si>
  <si>
    <t>Városi turisztikai modell kialakítása</t>
  </si>
  <si>
    <t>Szent Márton kártya összekapcsolása pénztári rendszerekkel</t>
  </si>
  <si>
    <t>EPCOS telephely informatikai hálózat kialakítás</t>
  </si>
  <si>
    <t>Videomenedzsment szoftver frissítése</t>
  </si>
  <si>
    <t>Sportliget fejlesztése projekthez kapcsolódó eszközbeszerzés (Szombathelyi Sportközpont és Sportiskola Nkft.)</t>
  </si>
  <si>
    <t>TOP-6.3.2-15 Szombathelyi Sportliget fejlesztése - hozzájárulás (közcélú villamoshálózatra való csatlakozás, közbeszerzési kiadások, egyéb)</t>
  </si>
  <si>
    <t>Integrált településfejlesztési stratégia</t>
  </si>
  <si>
    <t>Tartalék - GDPR EU adatvédelmi rendelet alkalmazása az önkormányzati tulajdonú gazdasági társaságokban</t>
  </si>
  <si>
    <t xml:space="preserve">INTERREG AT-HU 2014-2020 pályázatban - önrész
Savaria Turizmus Nonprofit Kft 4.920,-Euro </t>
  </si>
  <si>
    <t xml:space="preserve">INTERREG  AT-HU 2014-2020 pályázatban - önrész
Savaria Múzeum 7.500,-Euro </t>
  </si>
  <si>
    <t xml:space="preserve">Tartalék - Villamos energia díj változás </t>
  </si>
  <si>
    <t>Tartalék - Cafetéria közalkalmazottak részére</t>
  </si>
  <si>
    <t>Működési célú maradvány - projektekhez</t>
  </si>
  <si>
    <t>Működési célú maradvány a 2019. évi költségvetési támogatási előleghez</t>
  </si>
  <si>
    <t xml:space="preserve">Felhalmozási célú maradvány </t>
  </si>
  <si>
    <t>Felhalmozási célú maradvány - projektekhez</t>
  </si>
  <si>
    <t>2019.évi költségvetési támogatási előleg</t>
  </si>
  <si>
    <t>Önkormányzati pavilonok tárolása, felújítása</t>
  </si>
  <si>
    <t>Pénzügyi Lízing - Lámpatestek</t>
  </si>
  <si>
    <t>EBBŐL:2018.évről áthúzódó bérkompenzáció támogatása</t>
  </si>
  <si>
    <t>EBBŐL:2019.évi bérkompenzáció támogatása</t>
  </si>
  <si>
    <t>Hiszek Benned Sportprogram</t>
  </si>
  <si>
    <t>Savaria Múzeum 2018. évi maradványból fedezett kiadás</t>
  </si>
  <si>
    <t>Savaria Turizmus Nonprofit Kft - Az év fagylaltja verseny megrendezése</t>
  </si>
  <si>
    <t>Európa kulturális fővárosa 2023 - választott programon való részvétel, közreműködés</t>
  </si>
  <si>
    <t>HÁROFIT Közhasznú Egyesület - közfoglalkoztatás támogatása</t>
  </si>
  <si>
    <t>FALCO KC Kft. - GDPR költségek megtérítése</t>
  </si>
  <si>
    <t>Hiszek Benned Sportprogram (központi támogatásból)</t>
  </si>
  <si>
    <t>Haladás Sportkomlexum Nkft - GDPR költségek megtérítése</t>
  </si>
  <si>
    <t>Szombathelyi Parkfenntartási Kft - GDPR költségek megtérítése</t>
  </si>
  <si>
    <t>TOP-6.6.1-16 - SH1-2018-00001  Egészségügyi alapellátás infrastruktúrális fejlesztése - Új Egészségügyi Alapellátó Központ</t>
  </si>
  <si>
    <t>TOP-6.6.1-16 - SH1-2018-00002  Egészségügyi alapellátás infrastruktúrális fejlesztése - Kiskar u. orvosi rendelő</t>
  </si>
  <si>
    <t>TOP-6.5.1-16 - SH1-2018-00001 Önkormányzati épületek energetikai korszerűsítése - Maros és Pipitér Óvoda</t>
  </si>
  <si>
    <t>TOP-6.5.1-16 - SH1-2018-00002 Önkormányzati épületek energetikai korszerűsítése - Oladi Szakgimnázizum és Szakközépiskola</t>
  </si>
  <si>
    <t>Rumi Rajki Műpártoló Kör - "Szent Márton megkereszteli édesanyját" szobor öntés</t>
  </si>
  <si>
    <t>Zsidó Hitközség támogatása - Holokauszt emlékmű talapzata helyreállítása</t>
  </si>
  <si>
    <t>Aranypatak revitalizációja - fordított áfa</t>
  </si>
  <si>
    <t>TOP-6.5.1.16-SH1-2018-00002  Önkormányzati épületek energetikai korszerűsítése - Oladi Szakgimnázium és Szakközépiskola</t>
  </si>
  <si>
    <t>TOP-6.5.1.16-SH1-2018-00001  Önkormányzati épületek energetikai korszerűsítése - Maros és Pipitér Óvoda</t>
  </si>
  <si>
    <t xml:space="preserve">TOP-6.6.1-16-SH1-2018-00002 Egészségügyi alapellátás infrastruktúrális fejlesztése -Kiskar u. orvosi rendelő </t>
  </si>
  <si>
    <t>Vajdahunyadi Magyar Ház támogatás</t>
  </si>
  <si>
    <t>Öko majális</t>
  </si>
  <si>
    <t>Mák Dóri Divatbemutató Kicsit Másképp Alapítvány</t>
  </si>
  <si>
    <t>Legendák a levegőben repülő nap</t>
  </si>
  <si>
    <t>Zsidó Hitközség támogatása - nemzetközi konferencia</t>
  </si>
  <si>
    <t>Szombathelyi 11-es Huszár Hagyományőrző Egyesület</t>
  </si>
  <si>
    <t>Szombathelyi Katasztrófavédelmi Igazgatóság - Szent Flórián Nap alkalmából tűzoltók jutalmazása</t>
  </si>
  <si>
    <t>Szombathelyi Szolgáltatási Szakképzési Centrum  - Jövő Mérlege Alapítványa - gépíró versenyen részvétel</t>
  </si>
  <si>
    <t>Egységes ügyiratkezelő szoftver az önkormányzat által működtetett intézményekben</t>
  </si>
  <si>
    <t>Magyar-Horvát válogatott mérkőzés támogatása</t>
  </si>
  <si>
    <t>Kámoni Fiókkönyvtár építése - fordított áfa</t>
  </si>
  <si>
    <t>Szemünk fénye program továbbszámlázott bevétele - Szombathelyi Műszaki Szakképzési Centrum</t>
  </si>
  <si>
    <t>Szombathelyi VívóAkadémia Sportegyesület - EPCOS területén létesítendő vívóakadémia kialakításához támogatás</t>
  </si>
  <si>
    <t>Szombathelyi Haladás Labdarúgó és Sportszolgáltató Kft. 2018.évről áthúzódó támogatása</t>
  </si>
  <si>
    <t>Közvilágítás - pénügyi lízing - kamat kiadás</t>
  </si>
  <si>
    <t>Haladás Sportkomplexum Nkft. - tagi kölcsön (2019.december 31. visszatérüléssel)</t>
  </si>
  <si>
    <t>Hírdető oszlop eltávolítás költségeinek megtérítése</t>
  </si>
  <si>
    <t>TOP-6.6.2-15 Szociális alapszolgáltatások fejlesztése Szombathelyen projekthez kapcsolódó biztosíték</t>
  </si>
  <si>
    <t>Offline Group Kft - adventi vásár támogatása</t>
  </si>
  <si>
    <t>SZMJV Diákönkormányzat - rendezvények, programok, támogatások, egyéb kiadások</t>
  </si>
  <si>
    <t>Nagy Lajos Gimnázium fűtése, hőszolgáltatási költsége</t>
  </si>
  <si>
    <t>Perintparti Szó- Fogadó Szombathelyi Waldorf Óvoda, Általános Iskola, Gimnázium és Alapfokú Művészeti Iskola müködési és étkezési támogatás</t>
  </si>
  <si>
    <t>KULTURÁLIS MŰKÖDÉSI CÉLÚ KIADÁSOK ÖSSZESEN</t>
  </si>
  <si>
    <t>Rászoruló karácsonyi ajándékozása</t>
  </si>
  <si>
    <t>Magyar Cserkészszövetség támogatása - Cserkész Világtalálkozóra kiutazó Magyar Dzsembori Csapat részvételi költségeihez nyújtott támogatás</t>
  </si>
  <si>
    <t>Magyar Iskolaválasztási Program támogatása</t>
  </si>
  <si>
    <t>Vasi Kynológiai Egyesület - 2XCAC kiállítás támogatása</t>
  </si>
  <si>
    <t xml:space="preserve"> - ELTE - Berzsenyi Dániel Pedagógusképző Központ oktatóinak támogatása</t>
  </si>
  <si>
    <t>-ELTE - Egyetemi oktatók támogatása</t>
  </si>
  <si>
    <t>Önkormányzati, egyéb más ágazathoz nem sorolható kiadások összesen</t>
  </si>
  <si>
    <t>Savaria Városfejlesztési Nonprofit Kft. támogatása</t>
  </si>
  <si>
    <t>-ELTE Gothard Asztrofizikai Obszervetórium támogatása</t>
  </si>
  <si>
    <t xml:space="preserve"> - ELTE - Szombathelyi Hallgatói Kiválósági Ösztöndíj</t>
  </si>
  <si>
    <t>Önkormányzat által kijelölt bérlők lakbértámogatásából eredő bérleti díjbvétel kiesés kompenzálása a SZOVA Zrt.részére</t>
  </si>
  <si>
    <t>HVSE Sport Kft. támogatása - Röplabda (extra liga)</t>
  </si>
  <si>
    <t>Szombathelyi Haladás Labdarúgó és Sportszolgáltató Kft támogatása - TARTALÉK</t>
  </si>
  <si>
    <t>Szombathelyi Sportközpont és Sportiskola Nonprofit Kft. Támogatása</t>
  </si>
  <si>
    <t>Csaba úti felüljáró fenntartása, karbantartása</t>
  </si>
  <si>
    <t xml:space="preserve">TOP-6.3.1-15 Szombathely Szent László Király utcai felhagyott iparterület fejlesztése  - BMSK Vívóterem napelemes rendszer 2019. évi </t>
  </si>
  <si>
    <t>FELHALMOZÁSI CÉLÚ BEVÉTELEK MINDÖSSZESEN</t>
  </si>
  <si>
    <t>112-es ügyfélszolgálat - buszmegálló kialakítása (SZOVA Zrt.)</t>
  </si>
  <si>
    <t>Városligeti labdarúgópálya helyreállítása</t>
  </si>
  <si>
    <t>Lámpatestek hulladékként történő értékesítésének bevétele</t>
  </si>
  <si>
    <t>Közvilágitás díja</t>
  </si>
  <si>
    <t>Lorigo TSE - Isis Dance Open</t>
  </si>
  <si>
    <t>Szombathelyi Haladás Labdarúgó és Sportszolgáltató Kft. 2020-2022. évi támogatás</t>
  </si>
  <si>
    <t>Szombathely Chrushers Amerikai Football Egyesület támogatása</t>
  </si>
  <si>
    <r>
      <t xml:space="preserve">Agora Szombathelyi Kulturális Központ </t>
    </r>
    <r>
      <rPr>
        <b/>
        <i/>
        <sz val="13"/>
        <rFont val="Arial CE"/>
        <family val="2"/>
        <charset val="238"/>
      </rPr>
      <t>önkormányzati támogatásból fedezett kiadás</t>
    </r>
  </si>
  <si>
    <r>
      <t xml:space="preserve">Agora Szombathelyi Kulturális Központ </t>
    </r>
    <r>
      <rPr>
        <i/>
        <sz val="13"/>
        <rFont val="Arial CE"/>
        <family val="2"/>
        <charset val="238"/>
      </rPr>
      <t>saját bevételből fedezett kiadás</t>
    </r>
  </si>
  <si>
    <r>
      <t xml:space="preserve">Agora Szombathelyi Kulturális Központ </t>
    </r>
    <r>
      <rPr>
        <i/>
        <sz val="13"/>
        <rFont val="Arial CE"/>
        <family val="2"/>
        <charset val="238"/>
      </rPr>
      <t>2018. évi maradványból fedezett kiadás</t>
    </r>
  </si>
  <si>
    <r>
      <t xml:space="preserve">Mesebolt Bábszínház </t>
    </r>
    <r>
      <rPr>
        <b/>
        <i/>
        <sz val="13"/>
        <rFont val="Arial"/>
        <family val="2"/>
        <charset val="238"/>
      </rPr>
      <t xml:space="preserve">önkormányzati támogatásból fedezett kiadása </t>
    </r>
  </si>
  <si>
    <r>
      <t xml:space="preserve">Mesebolt Bábszínház </t>
    </r>
    <r>
      <rPr>
        <i/>
        <sz val="13"/>
        <rFont val="Arial"/>
        <family val="2"/>
        <charset val="238"/>
      </rPr>
      <t xml:space="preserve"> központi művészeti támogatásból fedezett kiadása</t>
    </r>
  </si>
  <si>
    <r>
      <t xml:space="preserve">Mesebolt Bábszínház </t>
    </r>
    <r>
      <rPr>
        <i/>
        <sz val="13"/>
        <rFont val="Arial"/>
        <family val="2"/>
        <charset val="238"/>
      </rPr>
      <t xml:space="preserve"> központi működési támogatásból fedezett kiadása</t>
    </r>
  </si>
  <si>
    <r>
      <t xml:space="preserve">Mesebolt Bábszínház </t>
    </r>
    <r>
      <rPr>
        <i/>
        <sz val="13"/>
        <rFont val="Arial"/>
        <family val="2"/>
        <charset val="238"/>
      </rPr>
      <t>2018.évi maradványból fedezett kiadás</t>
    </r>
  </si>
  <si>
    <r>
      <t xml:space="preserve">Savaria Szimfonikus Zenekar </t>
    </r>
    <r>
      <rPr>
        <b/>
        <i/>
        <sz val="13"/>
        <rFont val="Arial"/>
        <family val="2"/>
        <charset val="238"/>
      </rPr>
      <t>önkormányzati támogatásból fedezett kiadás</t>
    </r>
  </si>
  <si>
    <r>
      <t xml:space="preserve">Savaria Szimfonikus Zenekar </t>
    </r>
    <r>
      <rPr>
        <i/>
        <sz val="13"/>
        <rFont val="Arial"/>
        <family val="2"/>
        <charset val="238"/>
      </rPr>
      <t>központi támogatásból fedezett kiadás</t>
    </r>
  </si>
  <si>
    <r>
      <t xml:space="preserve">Savaria Szimfonikus Zenekar </t>
    </r>
    <r>
      <rPr>
        <i/>
        <sz val="13"/>
        <rFont val="Arial"/>
        <family val="2"/>
        <charset val="238"/>
      </rPr>
      <t>saját bevételéből fedezett kiadás</t>
    </r>
  </si>
  <si>
    <r>
      <t xml:space="preserve">Savaria Szimfónikus Zenekar </t>
    </r>
    <r>
      <rPr>
        <i/>
        <sz val="13"/>
        <rFont val="Arial"/>
        <family val="2"/>
        <charset val="238"/>
      </rPr>
      <t>2018.évi maradványból fedezett kiadás</t>
    </r>
  </si>
  <si>
    <r>
      <t>Berzsenyi Dániel könyvtár</t>
    </r>
    <r>
      <rPr>
        <b/>
        <sz val="13"/>
        <rFont val="Arial CE"/>
        <family val="2"/>
        <charset val="238"/>
      </rPr>
      <t xml:space="preserve"> önkormányzati támogatásból fedezett kiadás</t>
    </r>
  </si>
  <si>
    <r>
      <t xml:space="preserve">Berzsenyi Dániel könyvtár </t>
    </r>
    <r>
      <rPr>
        <i/>
        <sz val="13"/>
        <rFont val="Arial CE"/>
        <family val="2"/>
        <charset val="238"/>
      </rPr>
      <t>saját bevételből fedezett kiadás</t>
    </r>
  </si>
  <si>
    <r>
      <t xml:space="preserve">Berzsenyi Dániel könyvtár </t>
    </r>
    <r>
      <rPr>
        <i/>
        <sz val="13"/>
        <rFont val="Arial CE"/>
        <family val="2"/>
        <charset val="238"/>
      </rPr>
      <t>2018.évi maradványból fedezett kiadás</t>
    </r>
  </si>
  <si>
    <r>
      <t xml:space="preserve">Savaria Múzeum </t>
    </r>
    <r>
      <rPr>
        <b/>
        <i/>
        <sz val="13"/>
        <rFont val="Arial CE"/>
        <family val="2"/>
        <charset val="238"/>
      </rPr>
      <t>önkormányzati támogatásból fedezett kiadás</t>
    </r>
  </si>
  <si>
    <r>
      <t xml:space="preserve">Savaria Múzeum </t>
    </r>
    <r>
      <rPr>
        <i/>
        <sz val="13"/>
        <rFont val="Arial CE"/>
        <family val="2"/>
        <charset val="238"/>
      </rPr>
      <t>központi támogatásból fedezett kiadás</t>
    </r>
  </si>
  <si>
    <r>
      <t xml:space="preserve">Savaria Múzeum </t>
    </r>
    <r>
      <rPr>
        <i/>
        <sz val="13"/>
        <rFont val="Arial CE"/>
        <family val="2"/>
        <charset val="238"/>
      </rPr>
      <t>saját bevételből fedezett kiadás</t>
    </r>
  </si>
  <si>
    <r>
      <t>Weöres Sándor Színház Nonprofit Kft.</t>
    </r>
    <r>
      <rPr>
        <b/>
        <i/>
        <sz val="13"/>
        <rFont val="Arial CE"/>
        <charset val="238"/>
      </rPr>
      <t xml:space="preserve"> önkormányzati támogatása</t>
    </r>
  </si>
  <si>
    <r>
      <t xml:space="preserve">Agora Szombathelyi Kulturális Központ </t>
    </r>
    <r>
      <rPr>
        <b/>
        <i/>
        <sz val="13"/>
        <rFont val="Arial CE"/>
        <charset val="238"/>
      </rPr>
      <t>önkormányzati támogatásból fedezett kiadás</t>
    </r>
  </si>
  <si>
    <r>
      <t xml:space="preserve">Agora Szombathelyi Kulturális Központ </t>
    </r>
    <r>
      <rPr>
        <b/>
        <i/>
        <sz val="13"/>
        <rFont val="Arial CE"/>
        <charset val="238"/>
      </rPr>
      <t>saját bevételből fedezett kiadás</t>
    </r>
  </si>
  <si>
    <r>
      <t>Agora Szombathelyi Kulturális Központ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>2018.évi maradványból fedezett kiadás</t>
    </r>
  </si>
  <si>
    <r>
      <t xml:space="preserve">Mesebolt Bábszínház </t>
    </r>
    <r>
      <rPr>
        <b/>
        <i/>
        <sz val="13"/>
        <rFont val="Arial"/>
        <family val="2"/>
        <charset val="238"/>
      </rPr>
      <t>önkormányzati támogatásból fedezett kiadás</t>
    </r>
  </si>
  <si>
    <r>
      <t xml:space="preserve">Mesebolt Bábszínház </t>
    </r>
    <r>
      <rPr>
        <b/>
        <i/>
        <sz val="13"/>
        <rFont val="Arial"/>
        <family val="2"/>
        <charset val="238"/>
      </rPr>
      <t>saját bevételéből fedezett kiadás</t>
    </r>
  </si>
  <si>
    <r>
      <t>Mesebolt Bábszínház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>2018.évi maradványból fedezett kiadás</t>
    </r>
  </si>
  <si>
    <r>
      <t xml:space="preserve">Savaria Szimfonikus Zenekar </t>
    </r>
    <r>
      <rPr>
        <b/>
        <i/>
        <sz val="13"/>
        <rFont val="Arial"/>
        <family val="2"/>
        <charset val="238"/>
      </rPr>
      <t>saját bevételből fedezett kiadás</t>
    </r>
  </si>
  <si>
    <r>
      <t xml:space="preserve">Savaria Szimfonikus Zenekar </t>
    </r>
    <r>
      <rPr>
        <b/>
        <i/>
        <sz val="13"/>
        <rFont val="Arial"/>
        <family val="2"/>
        <charset val="238"/>
      </rPr>
      <t>2018.évi maradványból fedezett kiadás</t>
    </r>
  </si>
  <si>
    <r>
      <t xml:space="preserve">Berzsenyi Dániel könyvtár </t>
    </r>
    <r>
      <rPr>
        <b/>
        <i/>
        <sz val="13"/>
        <rFont val="Arial CE"/>
        <charset val="238"/>
      </rPr>
      <t>önkormányzati támogatásból fedezett kiadás</t>
    </r>
  </si>
  <si>
    <r>
      <t xml:space="preserve">Berzsenyi Dániel könyvtár </t>
    </r>
    <r>
      <rPr>
        <b/>
        <i/>
        <sz val="13"/>
        <rFont val="Arial CE"/>
        <charset val="238"/>
      </rPr>
      <t>saját bevételből fedezett kiadás</t>
    </r>
  </si>
  <si>
    <r>
      <t>Berzsenyi Dániel könyvtár</t>
    </r>
    <r>
      <rPr>
        <b/>
        <sz val="13"/>
        <rFont val="Arial CE"/>
        <charset val="238"/>
      </rPr>
      <t xml:space="preserve"> </t>
    </r>
    <r>
      <rPr>
        <b/>
        <i/>
        <sz val="13"/>
        <rFont val="Arial CE"/>
        <charset val="238"/>
      </rPr>
      <t>2018.évi maradványból fedezett kiadás</t>
    </r>
  </si>
  <si>
    <r>
      <t xml:space="preserve">Savaria Múzeum </t>
    </r>
    <r>
      <rPr>
        <b/>
        <i/>
        <sz val="13"/>
        <rFont val="Arial CE"/>
        <charset val="238"/>
      </rPr>
      <t>önkormányzati támogatásból fedezett kiadás</t>
    </r>
  </si>
  <si>
    <r>
      <t xml:space="preserve">Savaria Múzeum </t>
    </r>
    <r>
      <rPr>
        <b/>
        <i/>
        <sz val="13"/>
        <rFont val="Arial CE"/>
        <charset val="238"/>
      </rPr>
      <t>saját bevételből fedezett kiadás</t>
    </r>
  </si>
  <si>
    <r>
      <t xml:space="preserve">Savaria Múzeum </t>
    </r>
    <r>
      <rPr>
        <b/>
        <sz val="13"/>
        <rFont val="Arial"/>
        <family val="2"/>
        <charset val="238"/>
      </rPr>
      <t xml:space="preserve"> </t>
    </r>
    <r>
      <rPr>
        <b/>
        <i/>
        <sz val="13"/>
        <rFont val="Arial"/>
        <family val="2"/>
        <charset val="238"/>
      </rPr>
      <t>2018.évi maradványból fedezett kiadás</t>
    </r>
  </si>
  <si>
    <r>
      <t xml:space="preserve">Pálos Károly Szociális Szolgáltató Központ és Gyermekjóléti Szolgálat </t>
    </r>
    <r>
      <rPr>
        <b/>
        <i/>
        <sz val="13"/>
        <rFont val="Arial CE"/>
        <charset val="238"/>
      </rPr>
      <t>önkormányzati támogatásból fedezett kiadás</t>
    </r>
  </si>
  <si>
    <r>
      <t xml:space="preserve">Pálos Károly Szociális Szolgáltató Központ és Gyermekjóléti Szolgálat </t>
    </r>
    <r>
      <rPr>
        <b/>
        <i/>
        <sz val="13"/>
        <rFont val="Arial CE"/>
        <charset val="238"/>
      </rPr>
      <t>intézmény saját bevételéből fedezett kiadás</t>
    </r>
  </si>
  <si>
    <r>
      <t xml:space="preserve">Pálos Károly Szociális Szolgáltató Központ és Gyermekjóléti Szolgálat </t>
    </r>
    <r>
      <rPr>
        <b/>
        <i/>
        <sz val="13"/>
        <rFont val="Arial CE"/>
        <charset val="238"/>
      </rPr>
      <t>intézmény 2018. évi maradványból fedezett kiadás</t>
    </r>
  </si>
  <si>
    <r>
      <t xml:space="preserve">Pálos Károly Szociális Szolgáltató Központ és Gyermekjóléti Szolgálat </t>
    </r>
    <r>
      <rPr>
        <b/>
        <sz val="13"/>
        <rFont val="Arial CE"/>
        <charset val="238"/>
      </rPr>
      <t>intézményi saját bevételből fedezett kiadás</t>
    </r>
  </si>
  <si>
    <r>
      <t xml:space="preserve">Pálos Károly Szociális Szolgáltató Központ és Gyermekjóléti Szolgálat </t>
    </r>
    <r>
      <rPr>
        <b/>
        <sz val="13"/>
        <rFont val="Arial CE"/>
        <charset val="238"/>
      </rPr>
      <t>önkormányzati támogatásból fedezett kiadás</t>
    </r>
  </si>
  <si>
    <r>
      <t>Pálos Károly Szociális Szolgáltató Központ és Gyermekjóléti Szolgálat intézményi</t>
    </r>
    <r>
      <rPr>
        <b/>
        <sz val="13"/>
        <rFont val="Arial CE"/>
        <charset val="238"/>
      </rPr>
      <t xml:space="preserve"> 2018. évi maradványból fedezett kiadás</t>
    </r>
  </si>
  <si>
    <r>
      <t>Szombathelyi Egészségügyi és Kulturális Intézmények GESZ</t>
    </r>
    <r>
      <rPr>
        <b/>
        <sz val="13"/>
        <rFont val="Arial CE"/>
        <family val="2"/>
        <charset val="238"/>
      </rPr>
      <t xml:space="preserve"> </t>
    </r>
    <r>
      <rPr>
        <b/>
        <i/>
        <sz val="13"/>
        <rFont val="Arial CE"/>
        <family val="2"/>
        <charset val="238"/>
      </rPr>
      <t>önkormányzati támogatásból fedezett kiadás</t>
    </r>
  </si>
  <si>
    <r>
      <t xml:space="preserve">Szombathelyi Egészségügyi és Kulturális Intézmények GESZ  </t>
    </r>
    <r>
      <rPr>
        <b/>
        <i/>
        <sz val="13"/>
        <rFont val="Arial CE"/>
        <family val="2"/>
        <charset val="238"/>
      </rPr>
      <t>2018. évi maradványból fedezett kiadás</t>
    </r>
  </si>
  <si>
    <r>
      <t xml:space="preserve">Szombathelyi Egészségügyi és Kulturális Intézmények  GESZ </t>
    </r>
    <r>
      <rPr>
        <b/>
        <i/>
        <sz val="13"/>
        <rFont val="Arial CE"/>
        <family val="2"/>
        <charset val="238"/>
      </rPr>
      <t>2018.évi maradványából fedezett kiadás</t>
    </r>
  </si>
  <si>
    <r>
      <t xml:space="preserve">Egyesített Bölcsődei Intézmény </t>
    </r>
    <r>
      <rPr>
        <b/>
        <i/>
        <sz val="13"/>
        <rFont val="Arial CE"/>
        <family val="2"/>
        <charset val="238"/>
      </rPr>
      <t>önkormányzati támogatásból fedezett kiadás</t>
    </r>
  </si>
  <si>
    <r>
      <t>Egyesített Bölcsődei Intézmény</t>
    </r>
    <r>
      <rPr>
        <b/>
        <i/>
        <sz val="13"/>
        <rFont val="Arial CE"/>
        <family val="2"/>
        <charset val="238"/>
      </rPr>
      <t xml:space="preserve"> saját bevételéből fedezett kiadás</t>
    </r>
  </si>
  <si>
    <r>
      <t xml:space="preserve">Egyesített Bölcsődei Intézmény </t>
    </r>
    <r>
      <rPr>
        <b/>
        <i/>
        <sz val="13"/>
        <rFont val="Arial CE"/>
        <family val="2"/>
        <charset val="238"/>
      </rPr>
      <t>2018.évi maradványából fedezett kiadás</t>
    </r>
  </si>
  <si>
    <t>Felhalmozási célú bevételek összesen :</t>
  </si>
  <si>
    <t>Felhalmozási célú kiadások összesen :</t>
  </si>
  <si>
    <t>Kiadások és finanszírozási műveletek összesen</t>
  </si>
  <si>
    <t>Bevételek és finanszírozási műveletek összesen</t>
  </si>
  <si>
    <t>Szombathelyi Református egyházközség támogatása - parókia felújítása</t>
  </si>
  <si>
    <t>2018.évi</t>
  </si>
  <si>
    <t>I-XII.hó</t>
  </si>
  <si>
    <t>TOP-6.1.4-00004 Schrammel Imre életművének méltó elhelyezése Szombathelyen - fordított áfa</t>
  </si>
  <si>
    <t>TOP-6.3.3-15 Szombathely bel- és csapadékvíz védelmi rendszerének fejlesztése - hozzájárulás</t>
  </si>
  <si>
    <t>Jelzőrendszeres házi segítségnyújtás támogatása</t>
  </si>
  <si>
    <t>Helyi közösségi közlekedés támogatása</t>
  </si>
  <si>
    <t xml:space="preserve">Kiegészítő pénzbeli ellátás </t>
  </si>
  <si>
    <t>Pénzbeli támogatás</t>
  </si>
  <si>
    <t>Szent Márton szellemiségével összefüggő nemzetközi projekt - árfolyam nyereség</t>
  </si>
  <si>
    <t>TOP-6.3.1-15 Szombathely Szent László Király utcai felhagyott iparterület fejlesztése  - BMSK Vívóterem napelemes rendszer 2019. évi - áfa visszaigénylés</t>
  </si>
  <si>
    <t>Óvoda Intézményi karbantartás</t>
  </si>
  <si>
    <t>Nyugdíjba vonuló vezetők pedagógus szolgálati emlékérme és juttatása</t>
  </si>
  <si>
    <t>Savaria Turizmus Nonprofit Kft - támogatása, pályázati önrész</t>
  </si>
  <si>
    <t>Fogyatékkal Élőket és Hajléktalanokat ellátó Nkft.</t>
  </si>
  <si>
    <t>OMSZ részére támogatás - Orvosi Ügyelet ellátására</t>
  </si>
  <si>
    <t>Polgármester, Alpolgármesterek, Tanácsnokok, választott képviselők és bizottsági tagok juttatásai</t>
  </si>
  <si>
    <t>Felelős állattartás segítését célzó program, "Kutyabarát település" védjegy</t>
  </si>
  <si>
    <t>Szombathelyi Haladás Labdarúgó és Sportszolgáltató Kft. Támogatása - 2019. évi támogatása</t>
  </si>
  <si>
    <t>Horváth Zoltán Emléktorna</t>
  </si>
  <si>
    <t>1000 fa ültetés - tervezési kiadások</t>
  </si>
  <si>
    <t>Kátyúzás</t>
  </si>
  <si>
    <t>Forgalomtechnikai felülvizsgálat Pick telepen, Bébic telepen</t>
  </si>
  <si>
    <t>Elektromos hybrid gépjármű beszerzés (Innovációs és Technológiai Minisztérium)</t>
  </si>
  <si>
    <t>Aréna Savaria fejlsztése</t>
  </si>
  <si>
    <t>Külső Nárai úton hiányzó járdaszakasz terveztetése</t>
  </si>
  <si>
    <t>Külső Nárai úton (Batsányi J.u. és Erdei iskola u. kereszteződés) gyalogátkelőhely létesítése, Jáki u. temető új buszváró pavilon létesítése</t>
  </si>
  <si>
    <t>Városfejlesztési alap - fordított áfa kiadás</t>
  </si>
  <si>
    <t>Északi iparterület fejlesztése (villamosenergia kiépítése, kerítés építése)</t>
  </si>
  <si>
    <t>Modern Városok Program - Fedett uszoda további fejlesztése és bővítése</t>
  </si>
  <si>
    <t>TOP-6.2.1-19 Bölcsődei férőhely kialakítása, bővítése</t>
  </si>
  <si>
    <t>TOP-6.4.1-15 Fenntartható városi közlekedésfejlesztés Szhely-Balogunyom-Vép településekkel összekötő kerékpárút</t>
  </si>
  <si>
    <t>Könyvtári célú érdekeltségnövelő támogatás</t>
  </si>
  <si>
    <t>Kéményseprő ipari közszolgáltatás ellátásának támogatása</t>
  </si>
  <si>
    <t>Jó adatszolgáltató önkormányzat</t>
  </si>
  <si>
    <t>Európai Mobilitási Hét</t>
  </si>
  <si>
    <t>MŰKÖDÉSI CÉLÚ TÁMOGATÁSOK ÁLLAMHÁZTARTÁSON BELÜLRŐL ÖSSZESEN (a.)+b.)+c.))</t>
  </si>
  <si>
    <t>Köznevelési GAMESZ</t>
  </si>
  <si>
    <t>OKTATÁSI MŰKÖDÉSI CÉLÚ KIADÁSOK ÖSSZESEN</t>
  </si>
  <si>
    <t>OKTATÁSI FELHALMOZÁSI CÉLÚ KIADÁSOK ÖSSZESEN</t>
  </si>
  <si>
    <t>OKTATÁSI ÁGAZAT KIADÁSAI MINDÖSSZESEN</t>
  </si>
  <si>
    <r>
      <t>Weöres Sándor Színház Nonprofit Kft. - központi működési támogatásból</t>
    </r>
    <r>
      <rPr>
        <b/>
        <i/>
        <sz val="13"/>
        <rFont val="Arial CE"/>
        <family val="2"/>
        <charset val="238"/>
      </rPr>
      <t xml:space="preserve"> </t>
    </r>
    <r>
      <rPr>
        <i/>
        <sz val="13"/>
        <rFont val="Arial CE"/>
        <family val="2"/>
        <charset val="238"/>
      </rPr>
      <t>fedezett kiadás</t>
    </r>
  </si>
  <si>
    <r>
      <t>Weöres Sándor Színház Nonprofit Kft. - művészeti támogatásból</t>
    </r>
    <r>
      <rPr>
        <i/>
        <sz val="13"/>
        <rFont val="Arial CE"/>
        <family val="2"/>
        <charset val="238"/>
      </rPr>
      <t xml:space="preserve"> fedezett kiadás</t>
    </r>
  </si>
  <si>
    <t>KULTURÁLIS INTÉZMÉNYEK FELHALMOZÁSI KIADÁSAI ÖSSZESEN</t>
  </si>
  <si>
    <t>KULTURÁLIS ÁGAZAT, MÉDAI KIADÁSAI MINDÖSSZESEN</t>
  </si>
  <si>
    <t>SZOCIÁLIS MŰKÖDÉSI CÉLÚ KIADÁSOK ÖSSZESEN</t>
  </si>
  <si>
    <t>SZOCIÁLIS FELHALMOZÁSI CÉLÚ KIADÁSOK ÖSSZESEN</t>
  </si>
  <si>
    <t>SZOCIÁLIS ÁGAZAT KIADÁSAI MINDÖSSZESEN</t>
  </si>
  <si>
    <t>EGÉSZSÉGÜGYI MŰKÖDÉSI CÉLÚ KIADÁSOK ÖSSZESEN</t>
  </si>
  <si>
    <t>EGÉSZSÉGÜGYI FELHALMOZÁSI CÉLÚ KIADÁSOK ÖSSZESEN</t>
  </si>
  <si>
    <t>EGÉSZSÉGÜGYI ÁGAZAT KIADÁSAI MINDÖSSZESEN</t>
  </si>
  <si>
    <r>
      <t xml:space="preserve">Szombathelyi Egészségügyi és Kulturális Intézmények GESZ </t>
    </r>
    <r>
      <rPr>
        <b/>
        <i/>
        <sz val="13"/>
        <rFont val="Arial CE"/>
        <family val="2"/>
        <charset val="238"/>
      </rPr>
      <t>saját bevételéből és NEAK támogatásból fedezett kiadás</t>
    </r>
  </si>
  <si>
    <t>GYERMEKVÉDELMI MŰKÖDÉSI CÉLÚ KIADÁSOK ÖSSZESEN</t>
  </si>
  <si>
    <t>GYERMEKVÉDELMI FELHALMOZÁSI CÉLÚ KIADÁSOK ÖSSZESEN</t>
  </si>
  <si>
    <t>GYERMEKVÉDELMI ÁGAZAT KIADÁSAI MINDÖSSZESEN</t>
  </si>
  <si>
    <t>EGYÉB, MÁS ÁGAZATHOZ NEM SOROLHATÓ INTÉZMÉNYEK ÉS FELADATOK MŰKÖDÉSI CÉLÚ KIADÁSAI ÖSSZESEN</t>
  </si>
  <si>
    <t>EGYÉB, MÁS ÁGAZATHOZ NEM SOROLHATÓ INTÉZMÉNYEK ÉS FELADATOK FELHALMOZÁSI CÉLÚ KIADÁSAI ÖSSZESEN</t>
  </si>
  <si>
    <t>EGYÉB, MÁS ÁGAZATHOZ NEM SOROLHATÓ INÉTZMÉNYEK ÉS FELADATOK KIADÁSAI MINDÖSSZESEN</t>
  </si>
  <si>
    <t>Lakás és helységüzemeltetés veszteségpótlás</t>
  </si>
  <si>
    <t>VOLÁNBUSZ Zrt. (ÉNYKK  Zrt.) - helyi tömegközlekedés támogatása - 2017. és 2018. évi elszámolás</t>
  </si>
  <si>
    <t>-ELTE - Bolyai Gimnázium -étkezési hozzájárulás támogatás</t>
  </si>
  <si>
    <t>-ELTE - Bolyai J. Ált.Isk. és  Gimnázium támogatása</t>
  </si>
  <si>
    <t>10 tánc Magyar Bajnokság megrendezéséhez nyújtott támogatás</t>
  </si>
  <si>
    <t>Gyöngyös-patak melletti, 2711/1 hrsz-ú közterületen kutyafuttató terület kialakítása, valamint kutyafuttató területek felújítása (hulladékgyűjtő edények, információs táblák…..stb.)</t>
  </si>
  <si>
    <t>KOMMUNÁLIS, VÁROSÜZEMELTETÉSI ÉS KÖRNYEZETVÉDELMI KIADÁSOK MINDÖSSZESEN</t>
  </si>
  <si>
    <t>ÚT-HÍD FENNTARTÁSI KIADÁSOK MINDÖSSZESEN</t>
  </si>
  <si>
    <t>Váci M. 20. mögötti sétány játszótérig húzódó szakaszának közvilágítás bővítése, valamint a Károlyi A. u. 1.sz. előtti járdaszakasz közvilágításának bővítése</t>
  </si>
  <si>
    <t>Herényi temető bővítés, növénytelepítés</t>
  </si>
  <si>
    <t>TOP-6.1.5-15 SZMJV közúthálózati elemeinek gazdaságfejlesztési célú megújítása - fordított áfa</t>
  </si>
  <si>
    <t xml:space="preserve">TOP-6.2.1-00002 Óvoda fejlesztések Szombathelyen - hozzájárulás - fordított áfa </t>
  </si>
  <si>
    <t xml:space="preserve">TOP-6.2.1-15-00004 Weöres S. és Pipitér Óvoda fejlesztése Szombathelyen - fordított áfa </t>
  </si>
  <si>
    <t>TOP-6.2.1-15-00004 Weöres S. és Pipitér Óvoda fejlesztése Szombathelyen - hozzájárulás fordított áfa</t>
  </si>
  <si>
    <t>TOP-6.3.3-15 Szombathely bel- és csapadékvíz védelmi rendszerének fejlesztése - fordított áfa</t>
  </si>
  <si>
    <t>TOP-6.4.1-15 SZMJV kerékpárosbarát fejlesztése - fordított áfa</t>
  </si>
  <si>
    <t>TOP-6.6.1-16-SH1-2018-00002 Egészségügyi alapellátás infrastruktúrális fejlesztése - Új Egészségügyi Alapellátó Központ</t>
  </si>
  <si>
    <t>TOP-6.6.1-16-SH1-2018-00002 Egészségügyi alapellátás infrastruktúrális fejlesztése - Új Egészségügyi Alapellátó Központ - fordított áfa</t>
  </si>
  <si>
    <t>TOP-6.7.1-15 Szociális városrehabilitáció II. ütem - hozzájárulás</t>
  </si>
  <si>
    <t>FALCO KC Kft. Pótbefizetés</t>
  </si>
  <si>
    <t>Szociális és közn.int.év végi karácsonyi ajándékozása</t>
  </si>
  <si>
    <t>Múzeális Intézmények szakmai támogatása</t>
  </si>
  <si>
    <t>Járásszékhely települési önkormányzatok által fenntartott múzeumok szakmai támogatása</t>
  </si>
  <si>
    <t>Derkovits Városrészért Közhasznú Egyesület - karácsonyi adományozó és karácsonyfa osztó kezdeményezés</t>
  </si>
  <si>
    <t>KISZ Lakótelepért Egyesület - karácsonyi adományozó és karácsonyfa osztó kezdeményezés</t>
  </si>
  <si>
    <t>Rotary Club Szombathely - BARNHAUS program támogatása</t>
  </si>
  <si>
    <t>Zseboroszlán Vas megyei Koraszülöttekért Közhasznú Alapítvány támogatása</t>
  </si>
  <si>
    <t>Savaria TSE - Világbajnokságra való kiutazás költégeihez hozzájárulás</t>
  </si>
  <si>
    <t>Zanati Kulturális és Sportegyesület (Zanati futballpálya - légvezeték kiváltási munkák terveztetése, engedélyeztetése)</t>
  </si>
  <si>
    <t>Egyéb beruházás - Fő téri illemhely felújításának terveztetése</t>
  </si>
  <si>
    <t>Komplex akadálymentesítés - Helyi esélyegyenlőségi program keretében</t>
  </si>
  <si>
    <t>TOP-6.6.1-15 Új Egészségügyi Alapellátó központ kialakítása - hozzájárulás  (légtechnikai berendezés biztosítása) - fordított áfa</t>
  </si>
  <si>
    <t>Hatósági díjak, egyéb kiadások, szakértői feladatok</t>
  </si>
  <si>
    <t>2020. évi költségvetési támogatási előleg</t>
  </si>
  <si>
    <t>Tartalék - 2020. évi költségvetéshez</t>
  </si>
  <si>
    <t xml:space="preserve">Gyermekvédelmi ágazat </t>
  </si>
  <si>
    <t>Egyéb más ágazathoz nem sorolható intézmények és feladatok</t>
  </si>
  <si>
    <t>Költségvetési szervek működési bevételei</t>
  </si>
  <si>
    <t>Költségvetési szervek felhalmozási bevételei</t>
  </si>
  <si>
    <t>Gyermekvédelmi ágazat</t>
  </si>
  <si>
    <t>Támogatások elszámolása - ÁH-on belül</t>
  </si>
  <si>
    <t>Egyéb pénzügyi műveletek bevétele</t>
  </si>
  <si>
    <t>Támogatások elszámolása - ÁH kívülről</t>
  </si>
  <si>
    <t>Köznevelési feladatellátásra átadott vagyon ellenőrzése</t>
  </si>
  <si>
    <t>Felhalmozási célú bevételek</t>
  </si>
  <si>
    <t>Markusovszky kórház támogatása - Sürgősségi betegellátó (ágyak beszerzése)</t>
  </si>
  <si>
    <t>Vízközmű- és szennyvízközmű használati díj terhére végzett beruházás - fordított áfa</t>
  </si>
  <si>
    <t>2018. évi - Út, járda,híd, kerékpárút, parkoló, közvilágítási építési és felújítási program</t>
  </si>
  <si>
    <t xml:space="preserve">2018. évi - Út, járda, híd, kerékpárút, parkoló, közvilágítási építési és felújítási program - fordított áfa </t>
  </si>
  <si>
    <t>2019. évi - Út, járda, híd, kerékpárút, parkoló, közvilágítási építési és felújítási program</t>
  </si>
  <si>
    <t>2019. évi - Út, járda, híd, kerékpárút, parkoló, közvilágítási építési és felújítási program - fordított áfa</t>
  </si>
  <si>
    <t>Király u. 1-11. tömbbelsőben parkoló építése</t>
  </si>
  <si>
    <t xml:space="preserve">Király u. 1-11. tömbbelsőben parkoló építése - fordított áfa </t>
  </si>
  <si>
    <t>Jedlik Ányos Terv - "A" típusú elektromos autótöltő állomások telepítése pályázat (támogatás+önrész)</t>
  </si>
  <si>
    <t>Modern Városok Program - A szombathelyi Késmárk utcai Teniszcentrum fejlesztése- fordított áfa</t>
  </si>
  <si>
    <t>Modern Városok Program - Fedett uszoda további fejlesztése és bővítése-fordított áfa</t>
  </si>
  <si>
    <t>TOP-6.1.1-15-00001 A szombathelyi Északi Iparterület fejlesztése</t>
  </si>
  <si>
    <t>TOP-6.1.1-15-00001 A szombathelyi Északi Iparterület fejlesztése - fordított áfa</t>
  </si>
  <si>
    <t>TOP-6.1.1-15-00001 A szombathelyi Északi Iparterület fejlesztése - hozzájárulás</t>
  </si>
  <si>
    <t>TOP-6.1.1-15-00001 A szombathelyi Északi Iparterület fejlesztése - hozzájárulás - fordított áfa</t>
  </si>
  <si>
    <t>TOP-6.1.4-16-SH1-2017-00001 Képtár turisztikai célú felújítása</t>
  </si>
  <si>
    <t>TOP-6.1.4-16-SH1-2017-00003 Víztorony és környezetének turisztikai célú fejlesztése</t>
  </si>
  <si>
    <t>TOP-6.1.4-16-SH1-2017-00003 Víztorony és környezetének turisztikai célú fejlesztése - fordított áfa</t>
  </si>
  <si>
    <t>TOP-6.2.1-15-00002 Óvoda fejlesztések Szombathelyen - fordított áfa</t>
  </si>
  <si>
    <t>TOP-6.2.1-15-00002 Óvoda fejlesztések Szombathelyen - hozzájárulás</t>
  </si>
  <si>
    <t>TOP-6.3.1-15 Szombathely Szent László Király utcai felhagyott iparterület fejlesztése (EPCOS telephely)  - BMSK támogatás</t>
  </si>
  <si>
    <t>TOP-6.7.1-15 Szociális városrehabilitáció II. ütem - fordított áfa kiadás</t>
  </si>
  <si>
    <t>6.</t>
  </si>
  <si>
    <t xml:space="preserve">7. </t>
  </si>
  <si>
    <t>Egyéb, más ágazathoz nem sorolható intézmények összesen</t>
  </si>
  <si>
    <t>Viktória FC támogatása</t>
  </si>
  <si>
    <t>Haladás - Viktória FC támogatása</t>
  </si>
  <si>
    <t>Téli rezsicsökkentésben korábban nem részesült, vezetékes gáz vagy távfűtéstől eltérő fűtőanyagot felhasználó háztartások egyszeri támogatás</t>
  </si>
  <si>
    <t>"Szombathely Szent Márton városa"  Gyebrovszki János Alapítvány támogatás</t>
  </si>
  <si>
    <t>Kariatida tanulmányi támogatás rendszerének működtetése - "Szombathely Szent Márton városa" Gyebrovszki János Alapítvány</t>
  </si>
  <si>
    <t>Szombathelyi Egyházmegyei Karitász - Hársfa-ház Pszichiátriai- és Szenvedélybetegek Nappali Ellátója és Átmeneti Otthona, RÉV Szenvedélybeteg-segítő Szolgálat és Közösségi Gondozó</t>
  </si>
  <si>
    <t>Alpokalja Nagycsaládos Egyesület Karácsonyi ünnep előkészületei</t>
  </si>
  <si>
    <t>Támogatás kulturális pályázatokhoz, egyéb szervezetek, társaságok támogatása összesen</t>
  </si>
  <si>
    <t>Gyermekvédelmi ágazat kiadásai</t>
  </si>
  <si>
    <t>Szombathely Megyei Jogú Város Önkormányzata</t>
  </si>
  <si>
    <t>BEVÉTELEK</t>
  </si>
  <si>
    <t xml:space="preserve">Költségvetési </t>
  </si>
  <si>
    <t>Önkormányzat</t>
  </si>
  <si>
    <t>Mindösszesen</t>
  </si>
  <si>
    <t>KIADÁSOK</t>
  </si>
  <si>
    <t>szervek bevételei</t>
  </si>
  <si>
    <t>bevételek</t>
  </si>
  <si>
    <t>szervek kiadásai</t>
  </si>
  <si>
    <t>kiadások</t>
  </si>
  <si>
    <t>bevételei</t>
  </si>
  <si>
    <t>kiadásai</t>
  </si>
  <si>
    <t xml:space="preserve">KÖLTSÉGVETÉSI BEVÉTELEK </t>
  </si>
  <si>
    <t>KÖLTSÉGVETÉSI KIADÁSOK</t>
  </si>
  <si>
    <t>B1</t>
  </si>
  <si>
    <t>Működési célú támogatások államháztartáson belülről</t>
  </si>
  <si>
    <t>K1</t>
  </si>
  <si>
    <t>Személyi juttatások</t>
  </si>
  <si>
    <t>B3</t>
  </si>
  <si>
    <t>K2</t>
  </si>
  <si>
    <t>Munkaadókat terhelő járulékok és szociális hozzájárulási adó</t>
  </si>
  <si>
    <t>B4</t>
  </si>
  <si>
    <t>Működési bevétel</t>
  </si>
  <si>
    <t>K3</t>
  </si>
  <si>
    <t>Dologi kiadások</t>
  </si>
  <si>
    <t>B6</t>
  </si>
  <si>
    <t>K4</t>
  </si>
  <si>
    <t>Ellátottak pénzbeli juttatásai</t>
  </si>
  <si>
    <t>K5</t>
  </si>
  <si>
    <t>Egyéb működési célú kiadások</t>
  </si>
  <si>
    <t>Működési bevételek összesen</t>
  </si>
  <si>
    <t>Működési kiadások összesen</t>
  </si>
  <si>
    <t>*</t>
  </si>
  <si>
    <t>B2</t>
  </si>
  <si>
    <t>K6</t>
  </si>
  <si>
    <t>B5</t>
  </si>
  <si>
    <t>K7</t>
  </si>
  <si>
    <t>Felújítások</t>
  </si>
  <si>
    <t>B7</t>
  </si>
  <si>
    <t>Felhalmozási célú átvett pénzeszközök</t>
  </si>
  <si>
    <t>K8</t>
  </si>
  <si>
    <t>Egyéb felhalmozási célú kiadások</t>
  </si>
  <si>
    <t>Felhalmozási bevételek összesen</t>
  </si>
  <si>
    <t>Felhalmozási kiadások összesen</t>
  </si>
  <si>
    <t>KÖLTSÉGVETÉSI BEVÉTELEK ÖSSZESEN</t>
  </si>
  <si>
    <t>KÖLTSÉGVETÉSI KIADÁSOK ÖSSZESEN</t>
  </si>
  <si>
    <t>B8</t>
  </si>
  <si>
    <t>Finanszírozási bevételek</t>
  </si>
  <si>
    <t>K9</t>
  </si>
  <si>
    <t>Finanszírozási kiadások</t>
  </si>
  <si>
    <t>MINDÖSSZESEN BEVÉTELEK</t>
  </si>
  <si>
    <t>MINDÖSSZESEN KIADÁSOK</t>
  </si>
  <si>
    <t>Pénzeszközök változásának bemutatása</t>
  </si>
  <si>
    <t>Nyitó pénzkészlet</t>
  </si>
  <si>
    <t>+ Bevételek 1.sz.melléklet szerinti összege</t>
  </si>
  <si>
    <t>+-Sajátos elszámolások</t>
  </si>
  <si>
    <t>- Kiadások 1.sz.melléklet szerinti összege</t>
  </si>
  <si>
    <t>Záró pénzkészlet</t>
  </si>
  <si>
    <t>Ebből</t>
  </si>
  <si>
    <t xml:space="preserve">   - intézmények</t>
  </si>
  <si>
    <t xml:space="preserve">   - önkormányzat</t>
  </si>
  <si>
    <t>TÁJÉKOZTATÓ</t>
  </si>
  <si>
    <t>Sorszám</t>
  </si>
  <si>
    <t>Összesen</t>
  </si>
  <si>
    <t>ellátottak térítési díjának, illetve kártérítésének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</si>
  <si>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</si>
  <si>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 mentesség
összege adónemenként</t>
  </si>
  <si>
    <t xml:space="preserve">  - építményadó elengedés méltányosságból</t>
  </si>
  <si>
    <t xml:space="preserve">  - gépjárműadó elengedés méltányosságból</t>
  </si>
  <si>
    <t xml:space="preserve">  - talajterhelési díj elengedés méltányosságból</t>
  </si>
  <si>
    <t xml:space="preserve">  - helyi iparűzési adómentesség</t>
  </si>
  <si>
    <t xml:space="preserve">  - helyi iparűzési adó elengedés méltányosságból</t>
  </si>
  <si>
    <t>helyiségek eszközök hasznosításából származó bevételből nyújott
kedvezmény, mentesség összeg</t>
  </si>
  <si>
    <t>egyéb nyújtott kedvezmény vagy kölcsön elengedésének összege:</t>
  </si>
  <si>
    <t>Szent márton kártya biztosítása állampolgárok részére</t>
  </si>
  <si>
    <t>Mindösszen</t>
  </si>
  <si>
    <t>SZÖVEGES INDOKLÁS</t>
  </si>
  <si>
    <t>1. Az ÁHT-ra való hivatkozással, a személyes gondoskodást nyújtó szociális és gyermekjóléti ellátások térítési díjáról szóló   11/1993. (VI.I.) sz. önkormányzati rendelet alapján a térítési díj méltányossági alapon történő csökkentése, illetve elengedése.</t>
  </si>
  <si>
    <t>3. SZMJV Önkormányzatának helyi adókról szóló rendelete alapján adott mentességek és kedvezmények.</t>
  </si>
  <si>
    <t>4. SZMJV Önkormányzatának vagyonrendelet alapján nyújtott kedvezmények, mentességek összege.</t>
  </si>
  <si>
    <t>5. Közterülethasználati díj mentesség az Önkormányzat rendelete alapján.</t>
  </si>
  <si>
    <t>Kimutatás az Európai Unios támogatással megvalósuló projektek</t>
  </si>
  <si>
    <t>Működés</t>
  </si>
  <si>
    <t>Fejlesztés</t>
  </si>
  <si>
    <t>BEVÉTELEK ÖSSZESEN</t>
  </si>
  <si>
    <t>Egyéb más ágazathoz nem sorolható intézmények és feladatok kiadásai</t>
  </si>
  <si>
    <t>KIADÁSOK ÖSSZESEN</t>
  </si>
  <si>
    <t>következő évekre áthúzódó hatásairól</t>
  </si>
  <si>
    <t>2018.</t>
  </si>
  <si>
    <t>2019.</t>
  </si>
  <si>
    <t>2020.</t>
  </si>
  <si>
    <t>2021.</t>
  </si>
  <si>
    <t>Lakásalap összesen</t>
  </si>
  <si>
    <t>Vagyongazdálkodási kiadások (ingatlan kisajátítás, vásárlás)</t>
  </si>
  <si>
    <t>Beruházások Összesen:</t>
  </si>
  <si>
    <t>Szöveges indoklás:</t>
  </si>
  <si>
    <t xml:space="preserve">A többéves kihatással járó költségvetési tételek egyrészt Szombathely Megyei Jogú Város közgyűlésének </t>
  </si>
  <si>
    <t>közgyűlési döntések alapján kerültek beépítésre.</t>
  </si>
  <si>
    <t>ESZKÖZÖK</t>
  </si>
  <si>
    <t>2017.</t>
  </si>
  <si>
    <t xml:space="preserve">2018. </t>
  </si>
  <si>
    <t>zárómérleg</t>
  </si>
  <si>
    <t>2018.12.31</t>
  </si>
  <si>
    <t>Vagyoni értékű jogok</t>
  </si>
  <si>
    <t>intézmények</t>
  </si>
  <si>
    <t>önkormányzat</t>
  </si>
  <si>
    <t>A/I/1.</t>
  </si>
  <si>
    <t>együtt</t>
  </si>
  <si>
    <t>Szellemi termékek</t>
  </si>
  <si>
    <t>A/I/2.</t>
  </si>
  <si>
    <t>Immateriális javak össz.</t>
  </si>
  <si>
    <t>A/I.</t>
  </si>
  <si>
    <t>Immateriális javak összesen</t>
  </si>
  <si>
    <t>Ingatlanok és kapcsolódó vagyoni értékű jogok</t>
  </si>
  <si>
    <t>A/II/1.</t>
  </si>
  <si>
    <t>Ingatlanok</t>
  </si>
  <si>
    <t>Gépek, berendezések, felszerelések, járművek</t>
  </si>
  <si>
    <t>A/II/2</t>
  </si>
  <si>
    <t>Tenyészállatok</t>
  </si>
  <si>
    <t>A/II/3.</t>
  </si>
  <si>
    <t>Beruházások, felújítások</t>
  </si>
  <si>
    <t>A/II/4</t>
  </si>
  <si>
    <t>Tárgyi eszközök össz.</t>
  </si>
  <si>
    <t>A/II.</t>
  </si>
  <si>
    <t>Tartós részesedések</t>
  </si>
  <si>
    <t>A/III/1</t>
  </si>
  <si>
    <t xml:space="preserve">Tartós részesedések </t>
  </si>
  <si>
    <t>Tartós hitelviszonyt megtestesítő értékpapírok</t>
  </si>
  <si>
    <t>A/III/2.</t>
  </si>
  <si>
    <t>Befektetett pénzügyi eszk.összesen</t>
  </si>
  <si>
    <t>A/III.</t>
  </si>
  <si>
    <t>Koncesszióban, Vagyonkezelésbe adott eszközök</t>
  </si>
  <si>
    <t xml:space="preserve">A/IV. </t>
  </si>
  <si>
    <t>Koncesszióba, vagyonkezelésbe adott eszközök összesen</t>
  </si>
  <si>
    <t>Nemzeti Vagyonba tartozó Befektetett Eszközök összesen</t>
  </si>
  <si>
    <t>A.</t>
  </si>
  <si>
    <t>Készletek</t>
  </si>
  <si>
    <t>B/I.</t>
  </si>
  <si>
    <t>Értékpapírok</t>
  </si>
  <si>
    <t>B/II.</t>
  </si>
  <si>
    <t xml:space="preserve">Értékpapírok </t>
  </si>
  <si>
    <t>Nemzeti Vagyonba tartozó Forgóeszközök</t>
  </si>
  <si>
    <t>B</t>
  </si>
  <si>
    <t>Nemzeti Vagyonba Tartozó Forgóeszközök összesen</t>
  </si>
  <si>
    <t>Lekötött bankbetétek</t>
  </si>
  <si>
    <t>C/I.</t>
  </si>
  <si>
    <t>Pénztárak, csekkek, betétkönyvek</t>
  </si>
  <si>
    <t>C/II.</t>
  </si>
  <si>
    <t>Forintszámlák</t>
  </si>
  <si>
    <t>C/III.</t>
  </si>
  <si>
    <t>Devizaszámlák</t>
  </si>
  <si>
    <t>C/IV.</t>
  </si>
  <si>
    <t>Pénzeszközök összesen</t>
  </si>
  <si>
    <t>C</t>
  </si>
  <si>
    <t>Költségvetési évben esedékes követelések</t>
  </si>
  <si>
    <t>D/I.</t>
  </si>
  <si>
    <t>Költségvetési évet követően esedékes követelések</t>
  </si>
  <si>
    <t>D/II.</t>
  </si>
  <si>
    <t>Követelés jellegű sajátos elszámolások</t>
  </si>
  <si>
    <t>D/III.</t>
  </si>
  <si>
    <t>Követelések összesen</t>
  </si>
  <si>
    <t>D</t>
  </si>
  <si>
    <t>Egyéb sajátos elszámolások</t>
  </si>
  <si>
    <t>E</t>
  </si>
  <si>
    <t>Eredményszemléletű bevételek aktív időbeli</t>
  </si>
  <si>
    <t>elhatárolása</t>
  </si>
  <si>
    <t>F/1.</t>
  </si>
  <si>
    <t>Eredményszemléletű bevételek aktív időbeli elhatárolása</t>
  </si>
  <si>
    <t>Költségek, ráfordítások aktív időbeli elhatárolása</t>
  </si>
  <si>
    <t>F/2.</t>
  </si>
  <si>
    <t>Halasztott ráfordítások</t>
  </si>
  <si>
    <t>F/3.</t>
  </si>
  <si>
    <t>Aktív időbeli elhatárolások összesen</t>
  </si>
  <si>
    <t>F</t>
  </si>
  <si>
    <t>ESZKÖZÖK ÖSSZESEN</t>
  </si>
  <si>
    <t>FORRÁSOK</t>
  </si>
  <si>
    <t>Nemzeti vagyon induláskori értéke</t>
  </si>
  <si>
    <t>G/I.</t>
  </si>
  <si>
    <t>Nemzeti vagyon változásai</t>
  </si>
  <si>
    <t>G/II.</t>
  </si>
  <si>
    <t>Egyéb eszközök induláskori értéke és változásai</t>
  </si>
  <si>
    <t>G/III.</t>
  </si>
  <si>
    <t>Felhalmozott eredmény</t>
  </si>
  <si>
    <t>G/IV.</t>
  </si>
  <si>
    <t>Eszközök értékhelyesbítésének forrása</t>
  </si>
  <si>
    <t>G/V.</t>
  </si>
  <si>
    <t>Mérleg szerinti eredmény</t>
  </si>
  <si>
    <t>G/VI.</t>
  </si>
  <si>
    <t>Saját tőke összesen</t>
  </si>
  <si>
    <t>G</t>
  </si>
  <si>
    <t>Saját Tőke összesen</t>
  </si>
  <si>
    <t>Költségvetési évben esedékes kötelezettségek</t>
  </si>
  <si>
    <t>H/I.</t>
  </si>
  <si>
    <t>Költségvetési évet követően esedékes kötelezettségek</t>
  </si>
  <si>
    <t>H/II.</t>
  </si>
  <si>
    <t>Kötelezettség jellegű sajátos elszámolások</t>
  </si>
  <si>
    <t>H/III.</t>
  </si>
  <si>
    <t>Kötelezettségek összesen</t>
  </si>
  <si>
    <t>H</t>
  </si>
  <si>
    <t>Kincstári számlavezetéssel kapcsolatos elszámolások</t>
  </si>
  <si>
    <t>I</t>
  </si>
  <si>
    <t>Eredményszemléletű bevételek passzív időbeli elhatárilása</t>
  </si>
  <si>
    <t>J/1.</t>
  </si>
  <si>
    <t>Eredményszemléletű bevételek passzív időbeli elhatárolása</t>
  </si>
  <si>
    <t>J/2.</t>
  </si>
  <si>
    <t>Költségek, ráfordítások passzív időbeli elhatárolása</t>
  </si>
  <si>
    <t>Halasztott eredményszemléletű bevételek</t>
  </si>
  <si>
    <t>J/3.</t>
  </si>
  <si>
    <t>J</t>
  </si>
  <si>
    <t>Passzív időbeli elhatárolások összesen</t>
  </si>
  <si>
    <t>FORRÁSOK ÖSSZESEN</t>
  </si>
  <si>
    <t xml:space="preserve">                 Az 1993. évi LXXVIII. tv. 62. §. 1 bek. szerint az önkormányzat az állam tulajdonából </t>
  </si>
  <si>
    <t xml:space="preserve">                 az önkormányzat tulajdonába került lakóépületeinek elidegenítéséből származó 1994.</t>
  </si>
  <si>
    <t xml:space="preserve">                 március 31. napját követően befolyó - kiadásokkal csökkentett - bevételeit elkülönített</t>
  </si>
  <si>
    <t xml:space="preserve">                 számlán köteles kezelni.</t>
  </si>
  <si>
    <t>Bevételek</t>
  </si>
  <si>
    <t>e Ft-ban</t>
  </si>
  <si>
    <t xml:space="preserve">Kiadások </t>
  </si>
  <si>
    <t>eFt-ban</t>
  </si>
  <si>
    <t>Egyenleg eFt-ban</t>
  </si>
  <si>
    <t>1994.</t>
  </si>
  <si>
    <t xml:space="preserve">  bérlakás értékesítés</t>
  </si>
  <si>
    <t xml:space="preserve"> lakásmobilitás, érték. stb.</t>
  </si>
  <si>
    <t>Tetőtér beépítés</t>
  </si>
  <si>
    <t xml:space="preserve">Bérlakás építés </t>
  </si>
  <si>
    <t>Zanat lakások közmű</t>
  </si>
  <si>
    <t>Kámon lakások közmű</t>
  </si>
  <si>
    <t>Huszár u. lakások közmű</t>
  </si>
  <si>
    <t>1995.</t>
  </si>
  <si>
    <t xml:space="preserve"> bérlakás értékesítés</t>
  </si>
  <si>
    <t>Lakáselidegenités</t>
  </si>
  <si>
    <t>Privatizációs költségek</t>
  </si>
  <si>
    <t>Oladi  lakások (L7 II.ütem)  közmű</t>
  </si>
  <si>
    <t>Kámon lakások (IV. ütem)  közmű</t>
  </si>
  <si>
    <t>Ingatlanbecslés, szakértői díj</t>
  </si>
  <si>
    <t>Lakóház kisajátitás</t>
  </si>
  <si>
    <t>Szalézi tér, Malom u. lakástervezés</t>
  </si>
  <si>
    <t>Lakóterületi vizhólózat bővités</t>
  </si>
  <si>
    <t xml:space="preserve">                     energia ellátás</t>
  </si>
  <si>
    <t>Szolgálati lakások kiváltása</t>
  </si>
  <si>
    <t>Lakásvásárlás önk. lakásnak</t>
  </si>
  <si>
    <t>Bérleti jog visszavásárlása.</t>
  </si>
  <si>
    <t>Bérlőkijelölési jogról lemondás</t>
  </si>
  <si>
    <t>Lakásvásárlással kapcs. bonyolitási dijak</t>
  </si>
  <si>
    <t>Lakóház felújitás, középmagas házak tűzvéd.</t>
  </si>
  <si>
    <t>1996.</t>
  </si>
  <si>
    <t xml:space="preserve">  bérlakás értékesítés összesen</t>
  </si>
  <si>
    <t>Lakás helyiség elidegenités</t>
  </si>
  <si>
    <t xml:space="preserve">   ebből kárpótlási jeggyel vás.</t>
  </si>
  <si>
    <t>Ingatlanbecslés</t>
  </si>
  <si>
    <t>Lakóházfelújitási alapképzés</t>
  </si>
  <si>
    <t>Lakóházfelújités (Petőfi S. u.)</t>
  </si>
  <si>
    <t>Szalézi téri kisajátitás, épités</t>
  </si>
  <si>
    <t>Lakásép. közmű</t>
  </si>
  <si>
    <t>Bérleti jog visszaváltása</t>
  </si>
  <si>
    <t>Emelt szintű nyugdijas ház</t>
  </si>
  <si>
    <t>Alacsony  fok. szoc. lakások</t>
  </si>
  <si>
    <t>1997.</t>
  </si>
  <si>
    <t>Szalézi téri lakásépítés</t>
  </si>
  <si>
    <t>Petőfi S. u. 31. felújítás tervezés.</t>
  </si>
  <si>
    <t xml:space="preserve">Bérleti jog visszavásárlás, önkorm. lakásvás. </t>
  </si>
  <si>
    <t>Emelt szintű nyugdíjas otthon</t>
  </si>
  <si>
    <t>Kényszerbérlet</t>
  </si>
  <si>
    <t>Bogát lakástervezés</t>
  </si>
  <si>
    <t>lakásprivatizáció</t>
  </si>
  <si>
    <t>Lakás- közműellátás</t>
  </si>
  <si>
    <t>Alacsony komfort. szoc.lakás építés</t>
  </si>
  <si>
    <t>1998.</t>
  </si>
  <si>
    <t>Szalézi tér lapkásépítés</t>
  </si>
  <si>
    <t>Huszár úti lakások felújítása</t>
  </si>
  <si>
    <t>Fejleszthető komfortfokozatő lakások</t>
  </si>
  <si>
    <t>Lakásprivatizáció költségei</t>
  </si>
  <si>
    <t>Körmenti u. lakásépítés</t>
  </si>
  <si>
    <t>Lakáshozjutás támogatása</t>
  </si>
  <si>
    <t>1999.</t>
  </si>
  <si>
    <t>Bérlakás értékesítés bevétele</t>
  </si>
  <si>
    <t>Lakáskölcsön törlesztés</t>
  </si>
  <si>
    <t>Szolgálati lakások kedvezménye</t>
  </si>
  <si>
    <t>Lakásfelújítás, lakásprivatizáció</t>
  </si>
  <si>
    <t>2000.</t>
  </si>
  <si>
    <t>Lakáskölcsön törlesztések kezelési költségei</t>
  </si>
  <si>
    <t>2001.</t>
  </si>
  <si>
    <t>Bérleti jog visszavásárlás</t>
  </si>
  <si>
    <t>Bérlakásépítés, vásárlás</t>
  </si>
  <si>
    <t>Lakásprivatizáció</t>
  </si>
  <si>
    <t>2002.</t>
  </si>
  <si>
    <t>Bérlakásépítés, vásárlás(állami támogatás nélkül)</t>
  </si>
  <si>
    <t>2003.</t>
  </si>
  <si>
    <t>2004.</t>
  </si>
  <si>
    <t>Bérlakás vásárlás (állami támogatás nélkül)</t>
  </si>
  <si>
    <t>Szociális bérlakás vásárlás önk-i forrásból</t>
  </si>
  <si>
    <t>Ip.techn.épült lakások és therm.kémények fú.</t>
  </si>
  <si>
    <t>2005.</t>
  </si>
  <si>
    <t>Szt.Márton u.bérlakás ép. (állami támogatás nélkül)</t>
  </si>
  <si>
    <t>Szolgálati lakások kedvezménye,egyéb</t>
  </si>
  <si>
    <t>2006.</t>
  </si>
  <si>
    <t>2007.</t>
  </si>
  <si>
    <t>2008.</t>
  </si>
  <si>
    <t>lakásvásárlás és bérleti jog lemondás</t>
  </si>
  <si>
    <t>nem önkormányzati tul-ban lévő lakásban lakók 
lakbértámogatás</t>
  </si>
  <si>
    <t>2009.</t>
  </si>
  <si>
    <t>2010.</t>
  </si>
  <si>
    <t>2011.</t>
  </si>
  <si>
    <t>Önkormányzati bérlakás felújítások</t>
  </si>
  <si>
    <t>Lakásbérleti díj támogatás</t>
  </si>
  <si>
    <t>2012.</t>
  </si>
  <si>
    <t>Panel program - 2009. évi</t>
  </si>
  <si>
    <t>2013.</t>
  </si>
  <si>
    <t>2014.</t>
  </si>
  <si>
    <t>Önkormányzati bérlakások felújítása</t>
  </si>
  <si>
    <t>Társasház felújításának támogatása</t>
  </si>
  <si>
    <t>2015.</t>
  </si>
  <si>
    <t>2016.</t>
  </si>
  <si>
    <t>Tájékoztató</t>
  </si>
  <si>
    <t xml:space="preserve"> Éves kiadás</t>
  </si>
  <si>
    <t>Megoszlás%-a</t>
  </si>
  <si>
    <t>Egyéb pénzbeli és természetbeni gyermekvédelmi támogatások</t>
  </si>
  <si>
    <t>Családi támogatások összesen:</t>
  </si>
  <si>
    <t>Adósságcsökkentési támogatás [Szoctv. 55/A. § 1. bek. b) pont]</t>
  </si>
  <si>
    <t>Lakhatással kapcsolatos ellátások összesen:</t>
  </si>
  <si>
    <t>Köztemetés (Szoctv. 48.§)</t>
  </si>
  <si>
    <t>Települési támogatás (Szoctv. 45.§)</t>
  </si>
  <si>
    <t>7.</t>
  </si>
  <si>
    <t xml:space="preserve"> Önkormányzat által saját hatáskörben (nem szociális és gyermekvédelmi előírások alapján) adott más ellátás</t>
  </si>
  <si>
    <t>8.</t>
  </si>
  <si>
    <t>Egyéb nem intézményi ellátások</t>
  </si>
  <si>
    <t>9.</t>
  </si>
  <si>
    <t>Köztemetés</t>
  </si>
  <si>
    <t>10.</t>
  </si>
  <si>
    <t>Kamatmentes kölcsön  kifizetés</t>
  </si>
  <si>
    <t>11.</t>
  </si>
  <si>
    <t>Ápolási díj</t>
  </si>
  <si>
    <t>12.</t>
  </si>
  <si>
    <t>Kifizetés mindösszesen:</t>
  </si>
  <si>
    <t>Ingatlan-</t>
  </si>
  <si>
    <t>mennyiség</t>
  </si>
  <si>
    <t>érték</t>
  </si>
  <si>
    <t>ingatlanszám</t>
  </si>
  <si>
    <t>földrészlet</t>
  </si>
  <si>
    <t>könyv szerinti</t>
  </si>
  <si>
    <t>becslés szerinti</t>
  </si>
  <si>
    <t>bruttó</t>
  </si>
  <si>
    <t>darab</t>
  </si>
  <si>
    <t>ha</t>
  </si>
  <si>
    <t>m2</t>
  </si>
  <si>
    <t>db</t>
  </si>
  <si>
    <t>e Ft</t>
  </si>
  <si>
    <t>a</t>
  </si>
  <si>
    <t>b</t>
  </si>
  <si>
    <t>c</t>
  </si>
  <si>
    <t>d</t>
  </si>
  <si>
    <t xml:space="preserve">e </t>
  </si>
  <si>
    <t>f</t>
  </si>
  <si>
    <t>g</t>
  </si>
  <si>
    <t>01</t>
  </si>
  <si>
    <t>Rendezett összes ingatlan</t>
  </si>
  <si>
    <t>02</t>
  </si>
  <si>
    <t>Rendezetlen, tulajdonba került ingatlanok</t>
  </si>
  <si>
    <t>03</t>
  </si>
  <si>
    <t>Rendezelten tulajdonból kikerült ingatlanok</t>
  </si>
  <si>
    <t>04</t>
  </si>
  <si>
    <t>Helyrajzi számmal nem rendelkező ingatlanok</t>
  </si>
  <si>
    <t>05</t>
  </si>
  <si>
    <t>Állomány összesen (01+02+04)sorok</t>
  </si>
  <si>
    <t>06</t>
  </si>
  <si>
    <t>16. számlacsoportban nyilvántartott ingatlanok</t>
  </si>
  <si>
    <t>07</t>
  </si>
  <si>
    <t>05. sorból külföldi ingatlan</t>
  </si>
  <si>
    <t>08</t>
  </si>
  <si>
    <t>05.</t>
  </si>
  <si>
    <t>belterület</t>
  </si>
  <si>
    <t>09</t>
  </si>
  <si>
    <t>sorból</t>
  </si>
  <si>
    <t>külterület</t>
  </si>
  <si>
    <t>10</t>
  </si>
  <si>
    <t>forgalomképtelen</t>
  </si>
  <si>
    <t>11</t>
  </si>
  <si>
    <t>korlátozottan forgalomképes</t>
  </si>
  <si>
    <t>12</t>
  </si>
  <si>
    <t>forgalomképes</t>
  </si>
  <si>
    <t>13</t>
  </si>
  <si>
    <t>Beépítetlen terület összesen</t>
  </si>
  <si>
    <t>14</t>
  </si>
  <si>
    <t>100 %-os saját tulajdon</t>
  </si>
  <si>
    <t>15</t>
  </si>
  <si>
    <t>13.</t>
  </si>
  <si>
    <t>más önkormányzattal közös tulajdon</t>
  </si>
  <si>
    <t>16</t>
  </si>
  <si>
    <t>egyéb közös tulajdon</t>
  </si>
  <si>
    <t>17</t>
  </si>
  <si>
    <t>Beépített terület összesen</t>
  </si>
  <si>
    <t>18</t>
  </si>
  <si>
    <t>19</t>
  </si>
  <si>
    <t>17.</t>
  </si>
  <si>
    <t>20</t>
  </si>
  <si>
    <t>21</t>
  </si>
  <si>
    <t>más tulajdonos által beépített</t>
  </si>
  <si>
    <t>22</t>
  </si>
  <si>
    <t>Egyéb önálló ingatlan összesen</t>
  </si>
  <si>
    <t>23</t>
  </si>
  <si>
    <t>24</t>
  </si>
  <si>
    <t>22.</t>
  </si>
  <si>
    <t>25</t>
  </si>
  <si>
    <t>26</t>
  </si>
  <si>
    <t>önkormányzat településén kívül fekvő ingatlan</t>
  </si>
  <si>
    <t>27</t>
  </si>
  <si>
    <t xml:space="preserve">05. </t>
  </si>
  <si>
    <t>védett természeti terület</t>
  </si>
  <si>
    <t>műemléki védettségű</t>
  </si>
  <si>
    <t>Ell:</t>
  </si>
  <si>
    <t>BRUTTÓ</t>
  </si>
  <si>
    <t>ÉRTÉKCSÖK.</t>
  </si>
  <si>
    <t>NETTÓ</t>
  </si>
  <si>
    <t xml:space="preserve">A </t>
  </si>
  <si>
    <t>NEMZETI VAGYONBA TARTOZÓ BEFEKTETETT ESZKÖZÖK</t>
  </si>
  <si>
    <t>Immateriális javak</t>
  </si>
  <si>
    <t>A/II/1</t>
  </si>
  <si>
    <t>Korlátozottan forgalomképes</t>
  </si>
  <si>
    <t>Üzleti vagyon</t>
  </si>
  <si>
    <t>Tárgyi eszközök</t>
  </si>
  <si>
    <t xml:space="preserve"> Forgalomképtelen</t>
  </si>
  <si>
    <t>-</t>
  </si>
  <si>
    <t>Helyi Közutak és műtárgyaik</t>
  </si>
  <si>
    <t>Terek, parkok</t>
  </si>
  <si>
    <t>Vizek és közcélú (vizi közműnek nem minősülő) vízi létesítmények</t>
  </si>
  <si>
    <t>A helyi önkormányzat felügyelete alá tartozó költségvetési szervek ingatlanai</t>
  </si>
  <si>
    <t>Üzemeltetésre átadott ingatlanok és kapcsolódó vagyoni értékű jogok</t>
  </si>
  <si>
    <t>Egyéb az önkormányzat által forgalomképtelennek minősített ingatlanok és kapcsolódó vagyoni értékű jogok</t>
  </si>
  <si>
    <t xml:space="preserve">Korlátozottan forgalomképes </t>
  </si>
  <si>
    <t>Közművek (Víz, gáz, csatorna, távfűtés,világítás)</t>
  </si>
  <si>
    <t>Védett természeti területek</t>
  </si>
  <si>
    <t>A képviselőtestület (közgyűlés) és szervei, valamint hivatala ingatlanai</t>
  </si>
  <si>
    <t>Műemlék ingatlanok</t>
  </si>
  <si>
    <t>Egyéb az önkormányzat által korlátozottan forgalomképesnek minősített ingatlanok és  kapcsolódó vagyoni értékű jogok (lakások,telkek,sportcélú ingatlanok, létesítmények)</t>
  </si>
  <si>
    <t>Telkek, földterületek</t>
  </si>
  <si>
    <t>Egyéb az önkormányzat által forgalomképesnek minősített ingatlanok és kapcsolódó vagyoni értékű jogok</t>
  </si>
  <si>
    <t>A/II/2.</t>
  </si>
  <si>
    <t>Gépek, berendezések felszerelések, járművek</t>
  </si>
  <si>
    <t>Forgalomképtelen gépek, berendezések, felszerelések, járművek</t>
  </si>
  <si>
    <t>Korlátozottan forgalomképes gépek,berendezések, felszerelések, járművek</t>
  </si>
  <si>
    <t>Üzleti vagyon: gépek, berendezések, felszerelések, járművek</t>
  </si>
  <si>
    <t xml:space="preserve">Tenyészállatok </t>
  </si>
  <si>
    <t>A/II/4.</t>
  </si>
  <si>
    <t>Forgalomképtelen eszköz létesítésére irányuló beruházás, felújítás</t>
  </si>
  <si>
    <t>Korlátozottan forgalomképes eszköz létesítésére irányuló beruházás, felújítás</t>
  </si>
  <si>
    <t>A/II/5.</t>
  </si>
  <si>
    <t>Tárgyi eszközök értékhelyesbítése</t>
  </si>
  <si>
    <t xml:space="preserve">Befektetett pénzügyi eszközök </t>
  </si>
  <si>
    <t>A/III/1.</t>
  </si>
  <si>
    <t>Tartós részesedések - korlátozottan forgalomképes</t>
  </si>
  <si>
    <t>Tartós hitelviszonyt megtestesítő értékpapírok (forgalomképes)</t>
  </si>
  <si>
    <t>A/III/3.</t>
  </si>
  <si>
    <t>Befektetett pénzügyi eszközök értékhelyesbítése (forgalomképes)</t>
  </si>
  <si>
    <t>A/IV.</t>
  </si>
  <si>
    <t>Koncesszióba, vagyonkezelésbe adott eszközök</t>
  </si>
  <si>
    <t>A/IV/1</t>
  </si>
  <si>
    <t>Vagyonkezelésbe adott eszközök - forgalomképtelen</t>
  </si>
  <si>
    <t xml:space="preserve">B </t>
  </si>
  <si>
    <t>NEMZETI VAGYONBA TARTOZÓ FORGÓESZKÖZÖK</t>
  </si>
  <si>
    <t>Készletek (forgalomképes)</t>
  </si>
  <si>
    <t>PÉNZESZKÖZÖK - forgalomképes</t>
  </si>
  <si>
    <t>C/IV</t>
  </si>
  <si>
    <t>KÖNYVVITELI MÉRLEGEN KÍVÜLI TÉTELEK</t>
  </si>
  <si>
    <t xml:space="preserve">"0"-ra leírt, de használatban lévő eszközök állománya </t>
  </si>
  <si>
    <t>Ingatlanok és kapcsolódó vagyonértékű jogok</t>
  </si>
  <si>
    <t>Gépek,berendezések,felszerelések, járművek</t>
  </si>
  <si>
    <t>Használatban lévő kisértékű  immateriális javak, tárgyi eszközök, készletek</t>
  </si>
  <si>
    <t>Kisértékű Immateriális javak</t>
  </si>
  <si>
    <t>Kisértékű Ingatlanok és kapcsolódó vagyoniértékű jogok</t>
  </si>
  <si>
    <t>Kisértékű Gépek, berendezések, felszerelések, járművek</t>
  </si>
  <si>
    <t>01. számlaosztály Vagyonkezelésben lévő önkormányzati tulajdonú eszközök</t>
  </si>
  <si>
    <t>SZMJV Német önkormányzatának vagyonkezelésében lévő önkormányzati tulajdonú eszközök</t>
  </si>
  <si>
    <t>Szombathelyi Tankerület vagyonkezelésében lévő önkormányzati tulajdonú eszközök</t>
  </si>
  <si>
    <t>Szombathelyi Élelmiszeripari és Földmérési Szakképző Iskola és Kollégium vagyonkezelésében lévő önkormányzati tulajdonú eszközök</t>
  </si>
  <si>
    <t>Herman Ottó Környezetvédelmi és Mezőgazdasági Szakképző Iskola és Kollégium vagyonkezelésében lévő önkormányzati tulajdonú eszközök</t>
  </si>
  <si>
    <t>I N T É Z M É N Y</t>
  </si>
  <si>
    <t>Feladat</t>
  </si>
  <si>
    <t>Összeg</t>
  </si>
  <si>
    <t>Ó v o d á k</t>
  </si>
  <si>
    <t>Aréna Óvoda</t>
  </si>
  <si>
    <t>Barátság Óvoda</t>
  </si>
  <si>
    <t>Pipitér Óvoda</t>
  </si>
  <si>
    <t>Hétszínvirág Óvoda</t>
  </si>
  <si>
    <t>Szivárvány Óvoda</t>
  </si>
  <si>
    <t>Donászy Magda Óvoda</t>
  </si>
  <si>
    <t>Mesevár Óvoda</t>
  </si>
  <si>
    <t>Játéksziget Óvoda</t>
  </si>
  <si>
    <t>Kőrösi Csoma Sándor Utcai Óvoda</t>
  </si>
  <si>
    <t>Gazdag Erzsi Óvoda</t>
  </si>
  <si>
    <t>Maros Óvoda</t>
  </si>
  <si>
    <t>Vadvirág Óvoda</t>
  </si>
  <si>
    <t>Margaréta Óvoda</t>
  </si>
  <si>
    <t>Kisértékű informatikai eszközök - nyomtató</t>
  </si>
  <si>
    <t>Napsugár Óvoda</t>
  </si>
  <si>
    <t>Szűrcsapó Óvoda</t>
  </si>
  <si>
    <t>Mocorgó Óvoda</t>
  </si>
  <si>
    <t>Benczúr Gyula Utcai Óvoda</t>
  </si>
  <si>
    <t>Weöres Sándor Óvoda</t>
  </si>
  <si>
    <t>Óvodák  összesen</t>
  </si>
  <si>
    <t>Oktatási intézmények összesen</t>
  </si>
  <si>
    <t>Nem oktatási intézmények:</t>
  </si>
  <si>
    <t>Kulturális intézmények</t>
  </si>
  <si>
    <t>Agora Szombathelyi Kulturális Központ</t>
  </si>
  <si>
    <t>Savaria Szimfonikus Zenekar</t>
  </si>
  <si>
    <t>Berzsenyi Dániel Megyei Hatókörű Városi Könyvtár</t>
  </si>
  <si>
    <t xml:space="preserve">Összesen                                       </t>
  </si>
  <si>
    <t>Savaria Megyei Hatókörű Városi Múzeum</t>
  </si>
  <si>
    <t>Szociális intézmény</t>
  </si>
  <si>
    <t>Pálos Károly Szociális Szolgáltató Központ és Gyermekjóléti Szolgálat</t>
  </si>
  <si>
    <t>Egészségügyi intézmény</t>
  </si>
  <si>
    <t>Szombathelyi Egészségügyi és Kulturális Intézmények</t>
  </si>
  <si>
    <t>Gazdasági Ellátó Szervezete</t>
  </si>
  <si>
    <t>Gyermekvédelmi intézmény</t>
  </si>
  <si>
    <t>Szombathelyi Egyesített Bölcsődei Intézmény</t>
  </si>
  <si>
    <t>Gazdasági Hivatal</t>
  </si>
  <si>
    <t>Karbantartási Csoport</t>
  </si>
  <si>
    <t>Napraforgó Bölcsőde</t>
  </si>
  <si>
    <t>Bokréta Bölcsőde</t>
  </si>
  <si>
    <t>Meseház Bölcsőde</t>
  </si>
  <si>
    <t>Százszorszép Bölcsőde</t>
  </si>
  <si>
    <t>Csicsergő Bölcsőde</t>
  </si>
  <si>
    <t>Csodaország Bölcsőde</t>
  </si>
  <si>
    <t xml:space="preserve">Egyéb intézmények </t>
  </si>
  <si>
    <t>Szombathelyi Városi Vásárcsarnok</t>
  </si>
  <si>
    <t>Szombathely Megyei Jogú Város Polgármesteri Hivatala</t>
  </si>
  <si>
    <t>Közterület Felügyelet</t>
  </si>
  <si>
    <t>Egyéb intézmények összesen</t>
  </si>
  <si>
    <t>Nem oktatási intézmények összesen</t>
  </si>
  <si>
    <t>Intézmények mindösszesen</t>
  </si>
  <si>
    <t>Cél</t>
  </si>
  <si>
    <t>Benczur Gyula Utcai Óvoda</t>
  </si>
  <si>
    <t>Egézségügyi intézmény</t>
  </si>
  <si>
    <t>Szombathelyi Egészségügyi és Kulturális Intézmények Gazdasági Ellátó Szervezete</t>
  </si>
  <si>
    <t>Szombathelyi Egyesített Bölcsödei Intézmény</t>
  </si>
  <si>
    <t>Tulajdoni hányad</t>
  </si>
  <si>
    <t>Elszámolt</t>
  </si>
  <si>
    <t>%-ban</t>
  </si>
  <si>
    <t>értéke e Ft</t>
  </si>
  <si>
    <t>értékvesztés</t>
  </si>
  <si>
    <t>FALCO KC</t>
  </si>
  <si>
    <t>Vas Megyei Temetkezési Kft.</t>
  </si>
  <si>
    <t>Saját alapítású gazdasági társaságok összesen</t>
  </si>
  <si>
    <t>Fogyatékkal Élőket és Hajléktalanokat Ellátó Közhasznú Nonprofit Kft.</t>
  </si>
  <si>
    <t>Szombathelyi Médiaközpont Nonprofit Kft.</t>
  </si>
  <si>
    <t>Szombathelyi Sportközpont és Sportiskola Nonprofit Kft.</t>
  </si>
  <si>
    <t>Weöres Sándor Színház Nonprofit Kft.</t>
  </si>
  <si>
    <t>Szombathelyi Képző Központ Közhasznú Nonprofit Kft.</t>
  </si>
  <si>
    <t>Savaria Városfejlesztési Nonprofit Kft.</t>
  </si>
  <si>
    <t>Savaria Turizmus Nonprofit Kft</t>
  </si>
  <si>
    <t>SZOMHULL  Szombathelyi Hulladékgazdálkodási Közszolgáltató Nonprofit Kft.</t>
  </si>
  <si>
    <t>Haladás Sportkomplexum Fejlesztő Nonprofit Kft.</t>
  </si>
  <si>
    <t>Saját alapítású Nonprofit  gazdasági társaságok összesen</t>
  </si>
  <si>
    <t>Rába Nyrt.</t>
  </si>
  <si>
    <t>Forrás Vagyonkezelési és Befektetési NyRt.</t>
  </si>
  <si>
    <t>Egyéb részesedések:</t>
  </si>
  <si>
    <t xml:space="preserve">2019. </t>
  </si>
  <si>
    <t>2019.12.31</t>
  </si>
  <si>
    <t>Szombathelyi Parkfenntartási Kft</t>
  </si>
  <si>
    <t>SZOVA Szombathelyi Vagyonhasznosító és Városgazdazdálkodási Nonprofit Zrt.</t>
  </si>
  <si>
    <t>VASIVÍZ Zrt.</t>
  </si>
  <si>
    <t>Prenor Kft.</t>
  </si>
  <si>
    <t>Szombathelyi Haladás Labdarúgó és Sportszolgáltató Kft.</t>
  </si>
  <si>
    <t>Hétforrás  Zrt</t>
  </si>
  <si>
    <t>Nyugat-Pannon Járműipari és Mechatronikai Központ Szolgáltató Nonprofit Kft.</t>
  </si>
  <si>
    <t>Részesedések, üzletrészek állománya 2019.december 31-én</t>
  </si>
  <si>
    <t>2019. évi segély kifizetésekről</t>
  </si>
  <si>
    <t xml:space="preserve">       A " Lakásalap" 1994-2019. közötti bevételeiről és kiadásairól</t>
  </si>
  <si>
    <t>2019. évi közvetett támogatásairól</t>
  </si>
  <si>
    <t>6. 2016/2018. (XI.13.) Kgy.sz. határozat (Szent Márton kártyarendszer szabályozása 2019. január 1. napjától)</t>
  </si>
  <si>
    <t>Szombathely Megyei Jogú Város Önkormányzatának mérlegadatai 2019.évben</t>
  </si>
  <si>
    <t>Szombathely Megyei Jogú Város Önkormányzata 2019.évi fejlesztési kiadásainak</t>
  </si>
  <si>
    <t>2022.</t>
  </si>
  <si>
    <t xml:space="preserve"> 2020.évi költségvetési rendelettervezetében meghatározott feladatok, illetve korábbi</t>
  </si>
  <si>
    <t>Projektek előkészítése</t>
  </si>
  <si>
    <t>2019. évi bevételeiről és kiadásairól</t>
  </si>
  <si>
    <t>Tőke</t>
  </si>
  <si>
    <t>Kamat</t>
  </si>
  <si>
    <t>Tervezett</t>
  </si>
  <si>
    <t>2020. év</t>
  </si>
  <si>
    <t>2021. év</t>
  </si>
  <si>
    <t>2022.év</t>
  </si>
  <si>
    <t>2023. év</t>
  </si>
  <si>
    <t>2024. év</t>
  </si>
  <si>
    <t>2025. év</t>
  </si>
  <si>
    <t>2026. év</t>
  </si>
  <si>
    <t>2027. év</t>
  </si>
  <si>
    <t>2028. év</t>
  </si>
  <si>
    <t>2029. év</t>
  </si>
  <si>
    <t>2030. év</t>
  </si>
  <si>
    <t>2031. év</t>
  </si>
  <si>
    <t>Forintban</t>
  </si>
  <si>
    <t>Kimutatás a pénzügyi lízingből eredő fizetési kötelezettség állományról</t>
  </si>
  <si>
    <t>Esedékesség (Év)</t>
  </si>
  <si>
    <t>K&amp;H Bank Zrt - Keretszerződés száma: IBD-MUN-17-0122/OHD</t>
  </si>
  <si>
    <t>Záróállomány 2019.12.31. mindösszesen:</t>
  </si>
  <si>
    <t>2011. évi CXCVI. Törvény a nemzeti vagyonról 1. §.  (2) bekezdés g) és h) pontja szerint</t>
  </si>
  <si>
    <t>Kulturális javak körébe tartozó közgyűjtemény, régészeti lelet</t>
  </si>
  <si>
    <t>SAVARIA Megyei Hatókörű Városi Múzeum</t>
  </si>
  <si>
    <t>- műtárgy</t>
  </si>
  <si>
    <t>- infomációs adathordozó (pl. könyvek, folyóiratok)</t>
  </si>
  <si>
    <t>Szombathely Megyei Jogú Város vagyonkimutatása 2019.év</t>
  </si>
  <si>
    <t>Szombathely Megyei Jogú Város Önkormányzata ingatlanvagyon-kataszter összesítője 2019. év</t>
  </si>
  <si>
    <t>Szombathely Megyei Jogú Város Önkormányzatának</t>
  </si>
  <si>
    <t>2019. évi  engedélyezett záró létszámelőirányzata</t>
  </si>
  <si>
    <t>2019. év</t>
  </si>
  <si>
    <t>2019. évi  záró engedélyezett  létszám  előirányzat összesen</t>
  </si>
  <si>
    <t>Intézmény</t>
  </si>
  <si>
    <t>SZAKMAI LÉTSZÁM</t>
  </si>
  <si>
    <t>INTÉZMÉNY ÜZEMELTETÉSI LÉTSZÁM</t>
  </si>
  <si>
    <t>2019. évi záró létszám</t>
  </si>
  <si>
    <t>átszámítás nélküli</t>
  </si>
  <si>
    <t xml:space="preserve">   kerekített</t>
  </si>
  <si>
    <t>kerekített</t>
  </si>
  <si>
    <t xml:space="preserve">Ó v o d á k 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</si>
  <si>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</si>
  <si>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</si>
  <si>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</si>
  <si>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</si>
  <si>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</si>
  <si>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</si>
  <si>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Játéksziget  Óvoda </t>
  </si>
  <si>
    <t xml:space="preserve">Gazdag Erzsi Óvoda  </t>
  </si>
  <si>
    <t>Maros  Óvoda</t>
  </si>
  <si>
    <t xml:space="preserve">Margaréta Óvoda  </t>
  </si>
  <si>
    <t>Napsugár  Óvoda</t>
  </si>
  <si>
    <t xml:space="preserve">Mocorgó Óvoda </t>
  </si>
  <si>
    <t xml:space="preserve">Weöres Sándor  Óvoda </t>
  </si>
  <si>
    <t>Óvodák  összesen:</t>
  </si>
  <si>
    <t xml:space="preserve">Oktatási intézmények összesen                                       </t>
  </si>
  <si>
    <t>Nem oktatási intézmények</t>
  </si>
  <si>
    <t>Kulturális intézmény</t>
  </si>
  <si>
    <t>Szombathelyi Egészségügyi és Kulturális GESZ</t>
  </si>
  <si>
    <t>Egyéb intézmények</t>
  </si>
  <si>
    <t>Közterület-Felügyelet</t>
  </si>
  <si>
    <t>Költségvetési szervek 2019. évi bevételei</t>
  </si>
  <si>
    <t xml:space="preserve"> Működési bevételek</t>
  </si>
  <si>
    <t>Működési célú átvett  pénzeszközök</t>
  </si>
  <si>
    <t>Előző év költségvetési maradványának igénybevétele</t>
  </si>
  <si>
    <t xml:space="preserve"> Központi irányítószervtől kapott támogatás</t>
  </si>
  <si>
    <t>Központi irányítószervtől kapott támogatás összesen</t>
  </si>
  <si>
    <t>Költségvetési bevételek összesen</t>
  </si>
  <si>
    <t>Működési</t>
  </si>
  <si>
    <t>Felhalmozási</t>
  </si>
  <si>
    <t>Eredeti előirányzat</t>
  </si>
  <si>
    <t>Módosított előirányzat         RM IV.</t>
  </si>
  <si>
    <t>Teljesítés  
%-a</t>
  </si>
  <si>
    <t>Módosított    előirányzat                 RM IV.</t>
  </si>
  <si>
    <t>Módosított     előirányzat                RM IV.</t>
  </si>
  <si>
    <t>Módosított előirányzat              RM IV.</t>
  </si>
  <si>
    <t>Módosított      előirányzat                  RM IV.</t>
  </si>
  <si>
    <t>Módosított       előirányzat                  RM IV.</t>
  </si>
  <si>
    <t>Módosított            előirányzat                 RM IV.</t>
  </si>
  <si>
    <t>telj.</t>
  </si>
  <si>
    <t xml:space="preserve">Összesen                             </t>
  </si>
  <si>
    <t xml:space="preserve">Szombathelyi Egyesitett Bölcsődei Intézmény </t>
  </si>
  <si>
    <t xml:space="preserve">Összesen                                 </t>
  </si>
  <si>
    <t>Költségvetési szervek 2019. évi kiadásai</t>
  </si>
  <si>
    <t xml:space="preserve">Dologi kiadások </t>
  </si>
  <si>
    <t>Költségvetési kiadások összesen</t>
  </si>
  <si>
    <t>Módosított előirányzat 
RM IV.</t>
  </si>
  <si>
    <t>Teljesítés          
%-a</t>
  </si>
  <si>
    <t>Eredeti ei</t>
  </si>
  <si>
    <t>Módosított ei</t>
  </si>
  <si>
    <t>VOLÁNBUSZ Zrt. (ÉNYKK  Zrt.) - helyi tömegközlekedés támogatása - 
2019. év</t>
  </si>
  <si>
    <t>-2018.évi pénzmaradvány (pénzforgalom nélküli bevétel)</t>
  </si>
  <si>
    <t>2019.évi felhalmozási kiadások feladatonként</t>
  </si>
  <si>
    <t>Kisértékű egyéb gépek, berendezések - napernyők, párnatartók, hangszigetelő függönyök, játékok, kisbútorok, logopédiai tükör, bordásfal</t>
  </si>
  <si>
    <t>Kisértékű informatikai eszközök - Notebook</t>
  </si>
  <si>
    <t xml:space="preserve">Kisértékű egyéb gépek, berendezések - formalyukasztó, kanapé, szék, oktató hangfal, játékok, mobiltelefon </t>
  </si>
  <si>
    <t>Kisértékű egyéb gépek, berendezések - virágtartó ládák</t>
  </si>
  <si>
    <t>Kisértékű egyéb gépek, berendezések - szekrények, székek, lámpa, polcok, lepedők, paplanok, játékok, hűtőszekrény, szerszámok</t>
  </si>
  <si>
    <t>Kisértékű egyéb gépek, berendezések - szőnyegek, szekrények, mosogép, játékok</t>
  </si>
  <si>
    <t>Kisértékű informatikai eszközök - Notebook, tablet</t>
  </si>
  <si>
    <t xml:space="preserve">Kisértékű egyéb gépek, berendezések - radiátor burkolat, tároló dobozok, fémpolcok, vasaló, porszívó, kávéfőző, törölközők, ágyneműhuzatok, játékok </t>
  </si>
  <si>
    <t>Kisértékű egyéb gépek, berendezések - ovi-foci sportpálya eszközeinek tárolására udvari kisház</t>
  </si>
  <si>
    <t>Egyéb gépek, berendezések - Bind&amp;Bery készségfejlesztő szivacs kisház szett</t>
  </si>
  <si>
    <t>Kisértékű egyéb gépek, berendezések - polcok, elektromos lombseprű, hulladéktároló, mobiltelefon, szőnyegek, függöny, tároló doboz, játékok</t>
  </si>
  <si>
    <t>Kisértékű egyéb építmények - térkő burkolás, járda építés, parkettázás</t>
  </si>
  <si>
    <t>Kisértékű egyéb építmények - rugós kültéri játékok</t>
  </si>
  <si>
    <t xml:space="preserve">Kisértékű egyéb gépek, berendezések - cd-s rádiómagnó, hulladéktároló, porszívó, rajztábla, homokozó készletek, játékok </t>
  </si>
  <si>
    <t>Kisértékű egyéb gépek, berendezések - mobiltelefon, kávéföző, szerszámok, öltözőszekrények, konyhai eszközök, diavetítő, játékok</t>
  </si>
  <si>
    <t>Egyéb épületek - redőny felszerelése</t>
  </si>
  <si>
    <t>Kisértékű egyéb gépek, berendezések - szőnyegek, lámpák, metszőolló, létra</t>
  </si>
  <si>
    <t>Kisértékű informatikai eszközök - háttértároló, aktívpanel</t>
  </si>
  <si>
    <t>Kisértékű egyéb gépek, berendezések - hajszárító, tároló szekrény, függönyök, létra, játékok, okoskocka</t>
  </si>
  <si>
    <t>Kisértékű egyéb gépek, berendezések - terítők, dekorációs anyagok, ágvágó, lombseprű, ruhaszárító, játékok, bordásfal</t>
  </si>
  <si>
    <t>Egyéb épületek - galéria-, WC térelválasztó-, függönykarnis készítése, beépítése</t>
  </si>
  <si>
    <t>Egyéb épületek - árnyékolástechnikai berendezések</t>
  </si>
  <si>
    <t>Egyéb építmények - kerítés</t>
  </si>
  <si>
    <t>Kisértékű informatikai eszköz - egér, billentyűzet</t>
  </si>
  <si>
    <t>Kisértékű egyéb gépek, berendezések - szőnyegek, függyönykarnis, fektetőágyak, gurulós tároló, irattartó szekrények, polcok, gőztisztító, porszívó, hifi, hangfal, szeméttároló, szerszámok</t>
  </si>
  <si>
    <t>Kisértékű egyéb gépek, berendezések - bábozó szekrény, ívelt asztalok, játékok</t>
  </si>
  <si>
    <t>Kisértékű egyéb gépek, berendezések - bútorzat, függönyök, szőnyegek, lepedők, porszívó, tornapadok, cd lejátszó, játékok</t>
  </si>
  <si>
    <t>Kisértékű egyéb gépek, berendezések - irat-megsemmisítő, spirálozó,  vasaló, hajszárító, varrógép, kávéfőző, lombfúvó, kaspók, polcok, játékok</t>
  </si>
  <si>
    <t>Egyéb építmények - napvitorla</t>
  </si>
  <si>
    <t>Kisértékű egyéb gépek, berendezések - függönyök, öltözőszekrények, játékok</t>
  </si>
  <si>
    <t>Egyéb épületek - kaputelefonos beléptető rendszer telepítése, bővítése</t>
  </si>
  <si>
    <t>Kisértékű egyéb gépek, berendezések - porszívó, vasaló, szerszámok, laminálógép, irattároló szekrény, létra, szőnyegek, görgős játéktároló, trambulin, játékok</t>
  </si>
  <si>
    <t>Kisértékű egyéb gépek, berendezések - szekrények, ruhaállvány, létra, tűzőgép, papírszínház, játékok</t>
  </si>
  <si>
    <t>Egyéb épületek - alumínium redőny</t>
  </si>
  <si>
    <t>Egyéb építmények - galéria házikó</t>
  </si>
  <si>
    <t>Kisértékű informatikai eszközök - külső merevlemez</t>
  </si>
  <si>
    <t>Kisértékű egyéb gépek, berendezések - mosógép, porszívó, mobiltelefon, gyümölcsaszaló, tároló doboz, védőháló, gyermekbútor</t>
  </si>
  <si>
    <t>Immateriális javak - tárgyi eszköz program alrendszer bővítése</t>
  </si>
  <si>
    <t>Egyéb épületek - Benczúr Óvoda: hálózat kialakítása</t>
  </si>
  <si>
    <t>Egyéb épületek - Hétzsínvirág Óvoda: radiátorvédők</t>
  </si>
  <si>
    <t>Egyéb épületek - Vadvirág Óvoda: radiátorvédő burkolat készítése, beépítése; térkövezés</t>
  </si>
  <si>
    <t>Egyéb építmények - Margaréta Óvoda: udvari medence megszüntetése, fészekhinta telepítése</t>
  </si>
  <si>
    <t>Egyéb építmények - Weöres Sándor, Napsugár és Margaréta Óvoda: ivókutak telepítése</t>
  </si>
  <si>
    <t>Egyéb építmények - Derkovits Gyula Általános Iskola műfüves pálya építése</t>
  </si>
  <si>
    <t>Egyéb építmények - Vadvirág Óvoda: radiátorvédő burkolat készítése, beépítése; térkövezés</t>
  </si>
  <si>
    <t>Egyéb építmények - óvodai udvari játékok telepítése</t>
  </si>
  <si>
    <t>Egyéb építmények - Margaréta, Szivárvány, Vadvirág és Napsugár Óvoda: Ovi-foci pályák köré térburkolatos járda építése</t>
  </si>
  <si>
    <t>Informatikai eszközök - multifunkcionális nyomtató</t>
  </si>
  <si>
    <t>Egyéb gépek, berendezések - Margaréta Óvoda: beépített szekrény új csoportszobába</t>
  </si>
  <si>
    <t>Egyéb gépek, berendezések - Benczúr Óvoda: vagyonvédelmi rendszer kiépítése</t>
  </si>
  <si>
    <t>Egyéb gépek, berendezések - Nádasdy telephely: konyhabútor</t>
  </si>
  <si>
    <t>Egyéb gépek, berendezések - guruló állvány</t>
  </si>
  <si>
    <t>Egyéb gépek, berendezések - Étkezési csoport: iratmegsemmisítő</t>
  </si>
  <si>
    <t>Kisértékű egyéb építmények - vandálbiztos ivókút</t>
  </si>
  <si>
    <t>Kisértékű egyéb építmények - Margaréta Óvoda: fészekhinta telepítése</t>
  </si>
  <si>
    <t>Kisértékű informatikai eszközök - Gazdag Erzsi Óvoda, Köznevelési GAMESZ: Switch, USB HDD</t>
  </si>
  <si>
    <t>Kisértékű informatikai eszközök - laptop, pendrive, egér, fejlesztő eszközök (SNI)</t>
  </si>
  <si>
    <t>Kisértékű informatikai eszközök - kártyaolvasó KIRA programhoz</t>
  </si>
  <si>
    <t>Kisértékű informatikai eszközök - 36 db notebook óvodáknak (2-2 db)</t>
  </si>
  <si>
    <t>Kisértékű informatikai eszközök - asztali számítógép, notebook, monitor, nyomtató</t>
  </si>
  <si>
    <t>Kisértékű informatikai eszközök - lézernyomtató, multifunkcionális nyomtató</t>
  </si>
  <si>
    <t>Kisértékű egyéb gépek, berendezések - Pipitér Óvoda: öltözőszekrények</t>
  </si>
  <si>
    <t>Kisértékű egyéb gépek, berendezések - Hétszínvirág, Szivárvány és Donászy Óvoda: router</t>
  </si>
  <si>
    <t>Kisértékű egyéb gépek, berendezések - Szűrcsapó és Mesevár Óvoda: búvárszivattyú</t>
  </si>
  <si>
    <t>Kisértékű egyéb gépek, berendezések - Vadvirág Óvoda: vagyonvédelmi rendszer kiépítése</t>
  </si>
  <si>
    <t>Kisértékű egyéb gépek, berendezések - piknik asztalok óvodákba</t>
  </si>
  <si>
    <t>Kisértékű egyéb gépek, berendezések - Köznevelési GAMESZ: ergonómiai forgószék</t>
  </si>
  <si>
    <t>Kisértékű egyéb gépek, berendezések - Nádasdy telephely: irodabútor, 3 fiókos konténer</t>
  </si>
  <si>
    <t>Kisértékű egyéb gépek, berendezések - mosogép, mikrohullámú sütő, vízforraló, kenyérpirító, szendvicssütő, hangfal, mobiltelefon, íróasztal, lámpa, iratmegsemmisítő, számológép, játékok, szerszámok, magasnyomású mosó, eresztisztító, kerékpár</t>
  </si>
  <si>
    <t>Szombathelyi Köznevelési Gamesz összesen</t>
  </si>
  <si>
    <t>Kisértékű vagyoni értékű jog - MS OFFICE szoftver vásárlása MSH</t>
  </si>
  <si>
    <t>Informatikai eszközök - Projektor Beng MS535 SVGA 36000L - TOP</t>
  </si>
  <si>
    <t>Informatikai eszközök - laptop ASUS VivoBook S430FA-EB011-TOP</t>
  </si>
  <si>
    <t xml:space="preserve">Informatikai eszközök - külső merevlemez </t>
  </si>
  <si>
    <t>Egyéb gépek, berendezések - fejgép vásárlása MSH</t>
  </si>
  <si>
    <t>Egyéb gépek, berendezések - rendezvényasztal - TOP</t>
  </si>
  <si>
    <t>Egyéb gépek, berendezések - rendezvényszék - TOP</t>
  </si>
  <si>
    <t>Egyéb gépek, berendezések - sörpad garnitúra - TOP</t>
  </si>
  <si>
    <t>Egyéb gépek, berendezések - mobil hangtechnika - TOP</t>
  </si>
  <si>
    <t>Egyéb gépek, berendezések - flipchart tábla</t>
  </si>
  <si>
    <t>Egyéb gépek, berendezések - kivetítővászon Frunscreen Tripod - TOP</t>
  </si>
  <si>
    <t>Egyéb gépek, berendezések - kiállítási mobil installáció készlet - TOP</t>
  </si>
  <si>
    <t>Egyéb gépek, berendezések - multifunkcionális nyomtató - TOP</t>
  </si>
  <si>
    <t>Egyéb gépek, berendezések - okostelefon APPLE iPhone kártyafüggetlen 8 db - TOP</t>
  </si>
  <si>
    <t>Egyéb gépek, berendezések - szekrény, forgószék, íróasztal - TOP</t>
  </si>
  <si>
    <t>Egyéb gépek, berendezések - ovális tárgyalóasztal, körasztal - TOP</t>
  </si>
  <si>
    <t>Egyéb gépek, berendezések - reklám stand, infópult grafikai tervezéssel - TOP</t>
  </si>
  <si>
    <t>Egyéb gépek, berendezések - rendezvénysátor grafikai tervezéssel - TOP</t>
  </si>
  <si>
    <t>Kisértékű egyéb gépek, berendezések - mobiltelefonok, porszívó, hangkeverő, mobilklíma, hűtőszekrény, sütő, konvektor</t>
  </si>
  <si>
    <t xml:space="preserve">Összesen:                                       </t>
  </si>
  <si>
    <t>Immateriális javak - Windows 10 operációs rendszer, Microsoft Office 2013 Professional Plus</t>
  </si>
  <si>
    <t>Informatikai eszközök - Dell notebook Vostro, asztali számítógép konfiguráció, monitor</t>
  </si>
  <si>
    <t>Egyéb tárgyi eszközök - mobiltelefonok, porszívó, toronyventilátor, Allen&amp;Heath ZED22 FX keverő, aktív hangfal, csiptetős microfon, kameravevő, zsebadó, terelőlemez reflektorhoz, elosztó, stúdióállvány, adapterek, audio kábel, Cameo Light LED Stúdió PAR64, OMNITRONIC LMC 1422FX USB Mising Console</t>
  </si>
  <si>
    <t>Immateriális javak - Microsoft Office csomag</t>
  </si>
  <si>
    <t>Informatikai eszközök - switch,  Dell 24'' Monitor 2 db</t>
  </si>
  <si>
    <t>Egyéb tárgyi eszközök -  Apple iPhone 6s 32 GB mobiltelefon,  Kärcher ipari porszívó, Carbondix vonó 34 db, hangszer tartozékok, dob állvány</t>
  </si>
  <si>
    <t>Egyéb tárgyi eszközök - nagybőgő mestervonó 2 db</t>
  </si>
  <si>
    <t>Egyéb tárgyi eszközök - Alexander dupla kürt extra kiegészítőkkel, tokkal 107XM 3 db</t>
  </si>
  <si>
    <t>Egyéb tárgyi eszközök - Alexander dupla kürt tokkal 103M</t>
  </si>
  <si>
    <t>Egyéb tárgyi eszközök - Tenor harsona Vincent Bach A471 Artisan Bb</t>
  </si>
  <si>
    <t>Egyéb tárgyi eszközök - mestercselló</t>
  </si>
  <si>
    <t>Egyéb tárgyi eszközök - Renault Trafic 9 személyes kisbusz</t>
  </si>
  <si>
    <t>Immateriális javak - Windows 10 Professional 20 db</t>
  </si>
  <si>
    <t>Immateriális javak - Microsoft Office Professional Plus 20 db</t>
  </si>
  <si>
    <t>Informatikai eszközök - switch, digitalizáló hely, külső merev lemez</t>
  </si>
  <si>
    <t>Informatikai eszközök - számítógép 24 db</t>
  </si>
  <si>
    <t>Informatikai eszközök - LG monitor 20 db</t>
  </si>
  <si>
    <t>Informatikai eszközök - A2 síkágyas szkenner</t>
  </si>
  <si>
    <t>Egyéb tárgyi eszközök - mobiltelefon 7 db, könyvkocsi 5 db, tűzoltókészülék 5 db, MD 350 fejhallgató 3 db, forgószék 2 db, lámpa</t>
  </si>
  <si>
    <t>Egyéb tárgyi eszközök - UNIPROF 340 takarítógép</t>
  </si>
  <si>
    <t>Immateriális javak - Windows 10 Pro 2 db, Microsoft Office 2013 2 db, Office 365</t>
  </si>
  <si>
    <t xml:space="preserve">Informatikai eszközök - számítógép, notebook, Synology NAS DS918+ hálózati adattároló /SIHU-123 e-documenta, </t>
  </si>
  <si>
    <t>Informatikai eszközök - szerver Dell T130, MS Server 2019 /SIHU-123 e-documenta</t>
  </si>
  <si>
    <t>Informatikai eszközök - Dell Poweredge szerver, MS Windows 2019 svr, MS Exchange /SIHU-123 e-documenta</t>
  </si>
  <si>
    <t>Informatikai eszközök - merevlemez WD Red Pro 256 Mb 4 db /SIHU-123 e-documenta</t>
  </si>
  <si>
    <t>Egyéb tárgyi eszközök - mobiltelefon 5 db, mikrohullámú sütő, kévégép, indukciós főzőlap, porszívó, gérvágó, háttérpapír, fotóállvány+fej, tárgysátor, softbox szett, Nikon 105 mm f/2.8G IF-ED AF-S VR Micro, fényképezőgép, Manfrotto 220B Still Life Table Black, ezüst peremű tálca - műtárgy</t>
  </si>
  <si>
    <t>Egyéb tárgyi eszközök - Sigma Type-E felépítmény hosszított platóval 2 db</t>
  </si>
  <si>
    <t>Egyéb tárgyi eszközök - Szilvitzky Margit:Tavasz című mű</t>
  </si>
  <si>
    <t>Egyéb tárgyi eszközök - Wanderlust sorozat - 10 db akvarell</t>
  </si>
  <si>
    <t>Kulturális intézmények összesen:</t>
  </si>
  <si>
    <t>Immateriális javak - gondozónői munkavégzés nyilvántartó program bővítése, havi létszámjelentések intézményi összesítése program</t>
  </si>
  <si>
    <t>Informatikai eszközök - fénymásoló 2 db</t>
  </si>
  <si>
    <t xml:space="preserve">Informatikai eszközök - számítógép </t>
  </si>
  <si>
    <t>Egyéb gépek, berendezések - klímaberendezés</t>
  </si>
  <si>
    <t>Kisértékű informatikai eszközök - kártyaolvasó e-szig 2 db, LCD TV 4 db, cd-s rádió 2 db, Bluetooth hangfal</t>
  </si>
  <si>
    <t>Kisértékű informatikai eszközök - mobiltelefon Xiaomi Redmi Note 8 14 db</t>
  </si>
  <si>
    <t>Kisértékű egyéb gépek, berendezések - szekrény, fiókos konténer 43 db</t>
  </si>
  <si>
    <t>Kisértékű egyéb gépek, berendezések - polc, tv konzol, törölkötőtartó, szőnyeg 9 db, mosogép, mosogatógép 4 db, masszázsfotel, hőterápiás lábmasszírozó, vérnyomásmérő, társasjátékok</t>
  </si>
  <si>
    <t>Kisértékű egyéb gépek, berendezések - függöny, függönykarnis 29 db</t>
  </si>
  <si>
    <t>Kisértékű egyéb gépek, berendezések - szék, forgószék 37 db</t>
  </si>
  <si>
    <t>Kisértékű egyéb gépek, berendezések - asztal, íróasztal 16 db</t>
  </si>
  <si>
    <t>Kisértékű egyéb gépek, berendezések - martac, kanapé, heverő 7 db</t>
  </si>
  <si>
    <t>Kisértékű egyéb gépek, berendezések - hűtőszekrény, kávéfőző 15 db</t>
  </si>
  <si>
    <t>Kisértékű egyéb gépek, berendezések - főzőlap, rozsdamentes munkaasztal, zsúrkocsi, rúdmixer, grilles mikrohullámú sütő, konyhai mérleg</t>
  </si>
  <si>
    <t>Kisértékű egyéb gépek, berendezések - iratmegsemmisítő, állólámpa, állófogas, kaputelefon,akkus fúró, szemetes, tükör, fényképezőgép, porszívó, lemezjátszó, laminálógép</t>
  </si>
  <si>
    <t>Kisértékű vagyoni értékű jog - informatikai szoftver: GESZ</t>
  </si>
  <si>
    <t>Kisértékű vagyoni értékű jog - MEDMAX háziorvosi programrendszer 51 db</t>
  </si>
  <si>
    <t>Informatikai eszközök - számítógép: GESZ</t>
  </si>
  <si>
    <t>Informatikai eszközök - számítógép konfiguráció: Szűrcsapó u., Váci u. gyermekrendelő</t>
  </si>
  <si>
    <t>Informatikai eszközök - notebook védőnői szolgálat részére 9 db</t>
  </si>
  <si>
    <t>Informatikai eszközök - SSD beépítés: Szent Márton u. rendelő</t>
  </si>
  <si>
    <t>Informatikai eszközök - VOIP telefonközpont: Rumi u. betegirányítás</t>
  </si>
  <si>
    <t>Egyéb tárgyi eszközök - VOIP telefonközpont: GESZ iroda</t>
  </si>
  <si>
    <t>Egyéb tárgyi eszközök - fénymásológép: Humán Civil Ház</t>
  </si>
  <si>
    <t xml:space="preserve">Egyéb tárgyi eszközök - szűrőaudiometer készülékek: védőnői szolgálat </t>
  </si>
  <si>
    <t>Egyéb tárgyi eszközök - EKG készülék, hőlégsterilizátor: Szent Márton u. gyermekrendelő</t>
  </si>
  <si>
    <t>Kisértékű informatikai eszközök - nyomtató 5 db, monitor 3 db</t>
  </si>
  <si>
    <t>Kisértékű egyéb tárgyi eszközök - irodabútor: GESZ; eszközbeszerzés: 15. számú gyermekrendelő; látásvizsgáló stereo teszt 5 db, csecsemőmérleg, csecsemő hosszmérő, vérnyomásmérő, hosszmérő, fonendoszkóp, fektetőágy, forgószék, orvosi támlás szék, polcos szekrény, takarítókocsi, kávéfőző, mikrohullámú sütő, fordítógép</t>
  </si>
  <si>
    <t>Gyermekvédelmi intézmények</t>
  </si>
  <si>
    <t xml:space="preserve">Immateriális javak </t>
  </si>
  <si>
    <t>Élelmezési részleg</t>
  </si>
  <si>
    <t>élelmezési és diatetikai szoftver</t>
  </si>
  <si>
    <t xml:space="preserve">Ingatlanok </t>
  </si>
  <si>
    <t>2 db homokozó, takaróponyva, napvitorla, textil árnyékoló</t>
  </si>
  <si>
    <t>kerítéskapu gyalogbejáróval</t>
  </si>
  <si>
    <t>járda készítés, földfeltöltés, gyepesítés</t>
  </si>
  <si>
    <t>öntözőrendszer kialakítása</t>
  </si>
  <si>
    <t xml:space="preserve">Kuckó Bölcsőde </t>
  </si>
  <si>
    <t xml:space="preserve">ételfelvonó </t>
  </si>
  <si>
    <t>1 db napvitorla, 4 db napvitorla tartó</t>
  </si>
  <si>
    <t xml:space="preserve">Informatikai eszközök </t>
  </si>
  <si>
    <t>projektor</t>
  </si>
  <si>
    <t>SSD meghajtó notebookokba</t>
  </si>
  <si>
    <t>SSD meghajtó notebookokba, memória 2 GB</t>
  </si>
  <si>
    <t>Egyéb tárgyi eszközök</t>
  </si>
  <si>
    <t xml:space="preserve"> Bokréta Bölcsőde</t>
  </si>
  <si>
    <t>asztal, porszívó, telefon, állóventillátor</t>
  </si>
  <si>
    <t>2 db főzőzsámoly</t>
  </si>
  <si>
    <t>BOSCH mosogatógép</t>
  </si>
  <si>
    <t>porszívó, állóventillátor, kévéfőző, szőnyeg</t>
  </si>
  <si>
    <t>kis hajó udvari játék</t>
  </si>
  <si>
    <t>flipchart tábla, porszívó, kávéfőző, gyógyszerszekrény, szőnyeg</t>
  </si>
  <si>
    <t>porszívó, kávéfőző, elektromos tűzhely</t>
  </si>
  <si>
    <t>falburkolat</t>
  </si>
  <si>
    <t>asztalok, székek</t>
  </si>
  <si>
    <t>riasztórendszer</t>
  </si>
  <si>
    <t xml:space="preserve">felnőtt öltözőszekrény és gyermekbútor, csiga kisszekrény, komód, polcok </t>
  </si>
  <si>
    <t>porszívó, állóventillátor, személy mérleg, kávéfőző, turmix, szendvicssütő</t>
  </si>
  <si>
    <t>Ford Transit Custom kombi trend gépjármű</t>
  </si>
  <si>
    <t>szekrény, szék, asztal</t>
  </si>
  <si>
    <t>mobiltelefon</t>
  </si>
  <si>
    <t>Kärcher ablaktisztító, porszívó, állóventillátor, szerszámok (fúró,véső)</t>
  </si>
  <si>
    <t>Plútó bölcsis mászóka alagúttal - udvari játék</t>
  </si>
  <si>
    <t>könyv, játék</t>
  </si>
  <si>
    <t>vasaló, digitális mérleg, botmixer,terítő, mágneses tervezőtábla</t>
  </si>
  <si>
    <t>Kärcher ablaktisztító, telefon</t>
  </si>
  <si>
    <t>csecsemőápolási modell fiú, csecsemőhosszmérő, babamérleg</t>
  </si>
  <si>
    <t>szék, asztal</t>
  </si>
  <si>
    <t>Konyha</t>
  </si>
  <si>
    <t>ételszállító badellák</t>
  </si>
  <si>
    <t>3 db hűtőszekrény</t>
  </si>
  <si>
    <t>porszívó, pénzszállító táska</t>
  </si>
  <si>
    <t>2 db kártyaolvasó, mobiltelefon</t>
  </si>
  <si>
    <t>Mosoda</t>
  </si>
  <si>
    <t>2 db gőzállomás</t>
  </si>
  <si>
    <t>szegélynyíró, akkus fúró-csavarozó</t>
  </si>
  <si>
    <t>Makita akkus fúró-csavarbehajtó, fúró-vésőkalapács, laposvéső</t>
  </si>
  <si>
    <t>Kisértékű vagyoni értékű jog - MS Windows 10 Home irodai szoftver</t>
  </si>
  <si>
    <t>Egyéb gépek, berendezések - kamera rendszer kiépítése</t>
  </si>
  <si>
    <t>Egyéb gépek, berendezések - melegvizes magasnyomású mosó</t>
  </si>
  <si>
    <t>Kisértékű informatikai eszközök - KINGSTON 240GB SSD</t>
  </si>
  <si>
    <t>Kisértékű egyéb gépek, berendezések - telefon, megaphone, walkie talkie, iratmegsemmisítő, széf, popszegecselő, létra, alkoholszonda, fúró- vésőkalapács, akkus fúró-csavarozó, hosszabbító kábel,  kézi raklapemelő, porszívó NILFISK</t>
  </si>
  <si>
    <t>Összesen:</t>
  </si>
  <si>
    <t xml:space="preserve">Szombathely Megyei Jogú Város Polgármesteri </t>
  </si>
  <si>
    <t>Immateriális javak - Exchange server 2019 cal licence</t>
  </si>
  <si>
    <t>Hivatala</t>
  </si>
  <si>
    <t>Immateriális javak - ArchiCAD szoftver</t>
  </si>
  <si>
    <t>Informatikai eszközök - számítógép, monitor, nyomtató, vonalkód olvasó, merevlemez</t>
  </si>
  <si>
    <t>Informatikai eszközök - szünetmentes berendezés</t>
  </si>
  <si>
    <t>Informatikai eszközök - mobiltelefon készülékek</t>
  </si>
  <si>
    <t>Informatikai eszközök - multifunkciós eszközök</t>
  </si>
  <si>
    <t>Informatikai eszközök - képviselők, bizottsági tagok informatikai eszközök</t>
  </si>
  <si>
    <t>Informatikai eszközök - Falco jegyrendszerhez informatikai eszközök</t>
  </si>
  <si>
    <t>Egyéb tárgyi eszközök - szerver szoba klímaberendezés</t>
  </si>
  <si>
    <t>Egyéb tárgyi eszközök - bútorok</t>
  </si>
  <si>
    <t>Egyéb tárgyi eszközök - szavazófülkék</t>
  </si>
  <si>
    <t>Egyéb tárgyi eszközök - iratmegsemmisítők, kávéfőzők, reluxák, fényképezőgép, mosogatógép, autógumi, tabló</t>
  </si>
  <si>
    <t>Immateriális javak - Microsoft Office Home and B.2019</t>
  </si>
  <si>
    <t>Informatikai eszközök - asztali számítógép + egér</t>
  </si>
  <si>
    <t>Egyéb tárgyi eszközök - mobiltelefon 3 db, headset 4 db, töltő, adapter, akkumulátor, Samsung A10 mobiltelefon 4 db, Samsung A10 mobiltelefon 4 db, e személyi kártyaolvasó, külső merevlemez, kávéfőző, porszívó, pavilon, digitális fényképezőgép, ALKOHIT X60 alkoholszonda, MOMERT 6680 állatmérleg</t>
  </si>
  <si>
    <t>2019.évi felújítási kiadások célonként</t>
  </si>
  <si>
    <t>Balesetveszélyes útburkolat megszüntetése</t>
  </si>
  <si>
    <t>Gyermek kresz pálya kialakítása</t>
  </si>
  <si>
    <t>Parketta csiszolás, hézagolás</t>
  </si>
  <si>
    <t xml:space="preserve">Parkettázás  </t>
  </si>
  <si>
    <t>Lépcsőház lépcsőinek és pihenőinek burkolása</t>
  </si>
  <si>
    <t>Faltőjárda kialakítása az épület északi falánál</t>
  </si>
  <si>
    <t>Szabadidős terület és kerékpártároló felújítása</t>
  </si>
  <si>
    <t>Mászóka ütéscsillapító burkolatának kialakítása</t>
  </si>
  <si>
    <t>Térkő burkolás, járda építés, parkettázás</t>
  </si>
  <si>
    <t>Öltöző, folyosók, bejárati lépcsők burkolása</t>
  </si>
  <si>
    <t>Parketta felújítása, redőny beépítése</t>
  </si>
  <si>
    <t>Parkettázás, iroda átalakítás, fűtésrendszer szerelés, festés</t>
  </si>
  <si>
    <t>PVC padló járólapra cserélése</t>
  </si>
  <si>
    <t>Csoportbővítés, felújítás</t>
  </si>
  <si>
    <t>Belső felújítási munkálatok</t>
  </si>
  <si>
    <t>Műpadló csere</t>
  </si>
  <si>
    <t>Konyhai épületrész átalakítása</t>
  </si>
  <si>
    <t>Drótkerítés cseréje szerelt kerítésre</t>
  </si>
  <si>
    <t>Kőrösi Csoma Sándor Utcai Óvoda - tetőszigetelés</t>
  </si>
  <si>
    <t>Margaréta Óvoda - előtető</t>
  </si>
  <si>
    <t>Benczur Gyula Utcai Óvoda - villamos hálózat felújítása</t>
  </si>
  <si>
    <t>Családok Átmeneti Otthona - irodahelyiségek felújítása</t>
  </si>
  <si>
    <t>Családok Átmeneti Otthona - lakásfelújítás</t>
  </si>
  <si>
    <t>Gondozóház - kazánterv</t>
  </si>
  <si>
    <t>Barátság u. Idősek klubjában végzett felújítási munkálatok</t>
  </si>
  <si>
    <t>HCH külső és belső homlokzat javítása</t>
  </si>
  <si>
    <t>Kiskar utcai, Jáki úti orvosi rendelők felújítási munkálatai, hálózatfejlesztés</t>
  </si>
  <si>
    <t>Rumi úti orvosi rendelő betegirányító helyiség kialakítása</t>
  </si>
  <si>
    <t>Kuckó Bölcsőde - falburkolat készítés, parkettázás, szennyvízcsatorna bekötés, ablak beépítés, zöldterület növelése</t>
  </si>
  <si>
    <t>Csicsergő Bölcsőde - parkettázás</t>
  </si>
  <si>
    <t>Faincol rendszer felújítása</t>
  </si>
  <si>
    <t>Forgalomképtelen</t>
  </si>
  <si>
    <t>Vas Megyei Szakképzési Centrum</t>
  </si>
  <si>
    <t>Kiadás</t>
  </si>
  <si>
    <t>eltérés</t>
  </si>
  <si>
    <t>bevétel</t>
  </si>
  <si>
    <t>Vagyonkezelésbe vett ingatlanok és kapcsolódó vagyoni értékű jogok</t>
  </si>
  <si>
    <t>Berzsenyi Dániel Megyei Hatókörű Városi Könyvtárállományi értéke - Információs adathordozók 
(pl. könyvek, folyóiratok)</t>
  </si>
  <si>
    <t>Önkormányzatok általános működésének és ágazati feladatainak támogatása</t>
  </si>
  <si>
    <t>MEGNEVEZÉS</t>
  </si>
  <si>
    <t>2019. évi IV.sz.</t>
  </si>
  <si>
    <t>eredeti</t>
  </si>
  <si>
    <t>módosított</t>
  </si>
  <si>
    <t>előirányzat</t>
  </si>
  <si>
    <t>2. Nem közművel összegyűjtött háztartási szennyvíz ártalmatlanítása</t>
  </si>
  <si>
    <t>5. A költségvetési szerveknél foglalkoztatottak 2018. évi áthúzódó és 2019. évi kompenzációja</t>
  </si>
  <si>
    <t>I. Összesen</t>
  </si>
  <si>
    <t>II. A települési önkormányzatok egyes köznevelési  feladatainak támogatása</t>
  </si>
  <si>
    <t>1. Óvodapedagógusok, és az óvodapedagógusok nevelő munkáját közvetlenül segítők bértámogatása</t>
  </si>
  <si>
    <t>Óvodapedagógusok átlagbérének és közterheinek elismert összege</t>
  </si>
  <si>
    <t>Óvodapedagógusok nevelőmunkáját közvetlenül segítők átlagbérének és közterheinek elismert összege</t>
  </si>
  <si>
    <t>2. Óvodaműködtetési támogatás</t>
  </si>
  <si>
    <t>4. Kiegészítő  támogatás az óvodapedagógusok és a szakképzettséggel rendelkező segítők minősítéséből adódó többletkiadásokhoz</t>
  </si>
  <si>
    <t>5. Nemzetiségi pótlék</t>
  </si>
  <si>
    <t>II. Összesen</t>
  </si>
  <si>
    <t>III. A települési önkormányzatok szociális,  gyermekjóléti és gyermekétkeztetési feladatainak támogatása</t>
  </si>
  <si>
    <t>1. Szociális ágazati összevont pótlék</t>
  </si>
  <si>
    <t>3. Egyes szociális és gyermekjóléti feladatok támogatása</t>
  </si>
  <si>
    <t>a./ Család-és gyermekjóléti szolgálat</t>
  </si>
  <si>
    <t>b./ Család- és gyermekjóléti központ</t>
  </si>
  <si>
    <t>c./ Szociális étkeztetés</t>
  </si>
  <si>
    <t>d./ Házi segítségnyújtás</t>
  </si>
  <si>
    <t xml:space="preserve">      Házi segítségnyújtás-szociális segítés</t>
  </si>
  <si>
    <t xml:space="preserve">      Házi segítségnyújtás-személyi gondozás</t>
  </si>
  <si>
    <t>f./ Időskorúak nappali intézményi ellátása</t>
  </si>
  <si>
    <t>g./ Demens személyek nappali intézményi ellátása</t>
  </si>
  <si>
    <t>n./ Óvodai és iskolai szociális segítő tevékenység támogatása</t>
  </si>
  <si>
    <t xml:space="preserve">     3. Összesen</t>
  </si>
  <si>
    <t>4. A települési önkormányzatok által biztosított egyes szociális szakosított ellátások, valamint a gyermekek átmeneti gondozásával kapcsolatos feladatok támogatása</t>
  </si>
  <si>
    <t>a./ Időskorúak gondozóháza, családok átmeneti otthona - finanszírozás szempontjából elismert szakmai dolgozók bértámogatása</t>
  </si>
  <si>
    <t>b./ Időskorúak gondozóháza, családok átmeneti otthona -intézmény-üzemeltetési támogatás</t>
  </si>
  <si>
    <t xml:space="preserve">       4. Összesen</t>
  </si>
  <si>
    <t>5. Gyermekétkeztetés támogatása</t>
  </si>
  <si>
    <t>aa./Az intézményi gyermekétkeztetés kapcsán az étkeztetési feladatot ellátók után járó bértámogatás</t>
  </si>
  <si>
    <t>ab./ Az intézményi gyermekétkeztetés üzemeltetési támogatása</t>
  </si>
  <si>
    <t>b/. A rászoruló gyermekek intézményen kívüli szünidei étkeztetésének támogatása</t>
  </si>
  <si>
    <t xml:space="preserve">       5. Összesen</t>
  </si>
  <si>
    <t xml:space="preserve">      6.  Bölcsőde, mini bölcsőde támogatása</t>
  </si>
  <si>
    <t xml:space="preserve">        6. Összesen</t>
  </si>
  <si>
    <t>III. Összesen</t>
  </si>
  <si>
    <t>I.+II.+III. Működési célú támogatások összesen</t>
  </si>
  <si>
    <t>IV. Települési önkormányzatok kulturális feladatainak támogatása összesen</t>
  </si>
  <si>
    <t xml:space="preserve">2019. évi bevételei  kiemelt előirányzatonként </t>
  </si>
  <si>
    <t xml:space="preserve">2019. évi  kiadásai kiemelt előirányzatonként </t>
  </si>
  <si>
    <r>
      <t xml:space="preserve">6.a (1) </t>
    </r>
    <r>
      <rPr>
        <sz val="15"/>
        <rFont val="Arial CE"/>
        <family val="2"/>
        <charset val="238"/>
      </rPr>
      <t>a finanszírozás szempontjából elismert szakmai dolgozók bértámogatása :</t>
    </r>
  </si>
  <si>
    <t>felsőfokú végzettségű kisgyermeknevelők, szaktanácsadók</t>
  </si>
  <si>
    <r>
      <t xml:space="preserve">6.a (2) </t>
    </r>
    <r>
      <rPr>
        <sz val="15"/>
        <rFont val="Arial CE"/>
        <family val="2"/>
        <charset val="238"/>
      </rPr>
      <t>a finanszírozás szempontjából elismert szakmai dolgozók bértámogatása :</t>
    </r>
  </si>
  <si>
    <r>
      <rPr>
        <sz val="15"/>
        <rFont val="Arial CE"/>
        <family val="2"/>
        <charset val="238"/>
      </rPr>
      <t>bölcsődei dajkák</t>
    </r>
    <r>
      <rPr>
        <b/>
        <sz val="15"/>
        <rFont val="Arial CE"/>
        <family val="2"/>
        <charset val="238"/>
      </rPr>
      <t xml:space="preserve">, </t>
    </r>
    <r>
      <rPr>
        <sz val="15"/>
        <rFont val="Arial CE"/>
        <family val="2"/>
        <charset val="238"/>
      </rPr>
      <t>középfokú végzettségű kisgyermeknevelők, szaktanácsadók</t>
    </r>
  </si>
  <si>
    <t>6.b. Bölcsődei üzemeltetési támogatás</t>
  </si>
  <si>
    <t>elszámolás</t>
  </si>
  <si>
    <t xml:space="preserve">Tárgyévi </t>
  </si>
  <si>
    <t>Korábbi évek</t>
  </si>
  <si>
    <t>értékvesztése</t>
  </si>
  <si>
    <t>Mérleg
érték</t>
  </si>
  <si>
    <t>Jegyzett 
tőke</t>
  </si>
  <si>
    <r>
      <rPr>
        <sz val="18"/>
        <color theme="1"/>
        <rFont val="Arial CE"/>
        <charset val="238"/>
      </rPr>
      <t>*</t>
    </r>
    <r>
      <rPr>
        <sz val="12"/>
        <color theme="1"/>
        <rFont val="Arial CE"/>
        <family val="2"/>
        <charset val="238"/>
      </rPr>
      <t xml:space="preserve"> Az Európai Uniós fejlesztési projektek bevételi és kiadási számviteli elszámolása a  könyvekben működési és felhalmozási főkönyvi bontásban szerepel mind kiadási mind bevételi oldalon az 1. melléklet szerint. Annak érdekében, hogy a projektek teljes körű költségvetése áttekinthető, átlátható legyen, a rendelet többi mellékleteiben a működési és felhalmozási tételek nem kerültek szétbontásra. Ez magyarázza az eltérést a 2. melléklethez képest.</t>
    </r>
  </si>
  <si>
    <t xml:space="preserve">TOP-6.2.1-15-00002 Óvoda fejlesztések Szombathelyen - hozzájárulás - fordított áfa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</si>
</sst>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242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color indexed="10"/>
      <name val="Arial CE"/>
      <family val="2"/>
      <charset val="238"/>
    </font>
    <font>
      <sz val="12"/>
      <name val="Arial"/>
      <family val="2"/>
    </font>
    <font>
      <sz val="12"/>
      <name val="Arial CE"/>
      <charset val="238"/>
    </font>
    <font>
      <b/>
      <sz val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4"/>
      <color indexed="10"/>
      <name val="Arial CE"/>
      <family val="2"/>
      <charset val="238"/>
    </font>
    <font>
      <sz val="12"/>
      <name val="Arial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i/>
      <sz val="12"/>
      <name val="Arial CE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sz val="12"/>
      <color indexed="20"/>
      <name val="garamond"/>
      <family val="2"/>
      <charset val="238"/>
    </font>
    <font>
      <b/>
      <sz val="12"/>
      <color indexed="52"/>
      <name val="garamond"/>
      <family val="2"/>
      <charset val="238"/>
    </font>
    <font>
      <b/>
      <sz val="12"/>
      <color indexed="9"/>
      <name val="garamond"/>
      <family val="2"/>
      <charset val="238"/>
    </font>
    <font>
      <i/>
      <sz val="12"/>
      <color indexed="23"/>
      <name val="garamond"/>
      <family val="2"/>
      <charset val="238"/>
    </font>
    <font>
      <sz val="12"/>
      <color indexed="17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sz val="12"/>
      <color indexed="60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Arial CE"/>
      <charset val="238"/>
    </font>
    <font>
      <b/>
      <sz val="16"/>
      <name val="Arial CE"/>
      <family val="2"/>
      <charset val="238"/>
    </font>
    <font>
      <b/>
      <sz val="14"/>
      <color indexed="10"/>
      <name val="Arial CE"/>
      <family val="2"/>
      <charset val="238"/>
    </font>
    <font>
      <sz val="14"/>
      <name val="Arial CE"/>
      <charset val="238"/>
    </font>
    <font>
      <b/>
      <i/>
      <sz val="14"/>
      <name val="Arial CE"/>
      <family val="2"/>
      <charset val="238"/>
    </font>
    <font>
      <sz val="16"/>
      <name val="Arial CE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u/>
      <sz val="14"/>
      <name val="Arial CE"/>
      <family val="2"/>
      <charset val="238"/>
    </font>
    <font>
      <i/>
      <sz val="12"/>
      <name val="Arial CE"/>
      <family val="2"/>
      <charset val="238"/>
    </font>
    <font>
      <sz val="11"/>
      <color indexed="8"/>
      <name val="Calibri"/>
      <family val="2"/>
    </font>
    <font>
      <sz val="15"/>
      <name val="Arial CE"/>
      <family val="2"/>
      <charset val="238"/>
    </font>
    <font>
      <b/>
      <sz val="15"/>
      <name val="Arial CE"/>
      <family val="2"/>
      <charset val="238"/>
    </font>
    <font>
      <b/>
      <i/>
      <sz val="16"/>
      <name val="Arial CE"/>
      <charset val="238"/>
    </font>
    <font>
      <sz val="16"/>
      <name val="Times New Roman CE"/>
      <charset val="238"/>
    </font>
    <font>
      <b/>
      <sz val="16"/>
      <name val="Arial CE"/>
      <charset val="238"/>
    </font>
    <font>
      <b/>
      <sz val="18"/>
      <name val="Arial CE"/>
      <family val="2"/>
      <charset val="238"/>
    </font>
    <font>
      <b/>
      <sz val="20"/>
      <name val="Arial CE"/>
      <family val="2"/>
      <charset val="238"/>
    </font>
    <font>
      <i/>
      <sz val="16"/>
      <name val="Arial CE"/>
      <charset val="238"/>
    </font>
    <font>
      <sz val="16"/>
      <name val="Arial CE"/>
      <charset val="238"/>
    </font>
    <font>
      <b/>
      <i/>
      <sz val="16"/>
      <name val="Arial CE"/>
      <family val="2"/>
      <charset val="238"/>
    </font>
    <font>
      <b/>
      <sz val="17"/>
      <name val="Arial CE"/>
      <family val="2"/>
      <charset val="238"/>
    </font>
    <font>
      <sz val="17"/>
      <name val="Arial CE"/>
      <family val="2"/>
      <charset val="238"/>
    </font>
    <font>
      <i/>
      <u/>
      <sz val="17"/>
      <name val="Arial CE"/>
      <family val="2"/>
      <charset val="238"/>
    </font>
    <font>
      <b/>
      <i/>
      <sz val="17"/>
      <name val="Arial CE"/>
      <family val="2"/>
      <charset val="238"/>
    </font>
    <font>
      <b/>
      <sz val="16"/>
      <name val="Times New Roman CE"/>
      <charset val="238"/>
    </font>
    <font>
      <b/>
      <sz val="17"/>
      <name val="Arial CE"/>
      <charset val="238"/>
    </font>
    <font>
      <sz val="12"/>
      <color rgb="FFFF0000"/>
      <name val="Arial CE"/>
      <family val="2"/>
      <charset val="238"/>
    </font>
    <font>
      <sz val="14"/>
      <color rgb="FFFF0000"/>
      <name val="Arial CE"/>
      <charset val="238"/>
    </font>
    <font>
      <sz val="12"/>
      <color rgb="FFFF0000"/>
      <name val="Arial CE"/>
      <charset val="238"/>
    </font>
    <font>
      <sz val="14"/>
      <color theme="1"/>
      <name val="Arial CE"/>
      <family val="2"/>
      <charset val="238"/>
    </font>
    <font>
      <sz val="12"/>
      <color theme="1"/>
      <name val="Arial CE"/>
      <family val="2"/>
      <charset val="238"/>
    </font>
    <font>
      <sz val="14"/>
      <color theme="1"/>
      <name val="Arial CE"/>
      <charset val="238"/>
    </font>
    <font>
      <sz val="12"/>
      <color theme="1"/>
      <name val="Arial CE"/>
      <charset val="238"/>
    </font>
    <font>
      <b/>
      <sz val="13"/>
      <name val="Arial CE"/>
      <charset val="238"/>
    </font>
    <font>
      <b/>
      <sz val="12"/>
      <color rgb="FFFF0000"/>
      <name val="Arial CE"/>
      <charset val="238"/>
    </font>
    <font>
      <b/>
      <i/>
      <u/>
      <sz val="14"/>
      <color rgb="FFFF0000"/>
      <name val="Arial CE"/>
      <charset val="238"/>
    </font>
    <font>
      <b/>
      <sz val="18"/>
      <color rgb="FFFF0000"/>
      <name val="Arial CE"/>
      <charset val="238"/>
    </font>
    <font>
      <b/>
      <sz val="14"/>
      <color rgb="FFFF0000"/>
      <name val="Arial CE"/>
      <charset val="238"/>
    </font>
    <font>
      <b/>
      <sz val="12"/>
      <color theme="1"/>
      <name val="Arial CE"/>
      <family val="2"/>
      <charset val="238"/>
    </font>
    <font>
      <sz val="16"/>
      <color theme="1"/>
      <name val="Arial CE"/>
      <charset val="238"/>
    </font>
    <font>
      <sz val="14"/>
      <name val="Arial"/>
      <family val="2"/>
      <charset val="238"/>
    </font>
    <font>
      <b/>
      <i/>
      <sz val="13"/>
      <name val="Arial CE"/>
      <charset val="238"/>
    </font>
    <font>
      <b/>
      <sz val="13"/>
      <name val="Arial CE"/>
      <family val="2"/>
      <charset val="238"/>
    </font>
    <font>
      <sz val="13"/>
      <name val="Arial CE"/>
      <family val="2"/>
      <charset val="238"/>
    </font>
    <font>
      <b/>
      <i/>
      <sz val="13"/>
      <name val="Arial CE"/>
      <family val="2"/>
      <charset val="238"/>
    </font>
    <font>
      <i/>
      <sz val="13"/>
      <name val="Arial CE"/>
      <family val="2"/>
      <charset val="238"/>
    </font>
    <font>
      <sz val="13"/>
      <name val="Arial"/>
      <family val="2"/>
      <charset val="238"/>
    </font>
    <font>
      <b/>
      <i/>
      <sz val="13"/>
      <name val="Arial"/>
      <family val="2"/>
      <charset val="238"/>
    </font>
    <font>
      <i/>
      <sz val="13"/>
      <name val="Arial"/>
      <family val="2"/>
      <charset val="238"/>
    </font>
    <font>
      <b/>
      <sz val="13"/>
      <name val="Arial"/>
      <family val="2"/>
      <charset val="238"/>
    </font>
    <font>
      <sz val="13"/>
      <name val="Arial CE"/>
      <charset val="238"/>
    </font>
    <font>
      <sz val="13"/>
      <name val="Arial"/>
      <family val="2"/>
    </font>
    <font>
      <sz val="13"/>
      <name val="Times New Roman CE"/>
      <charset val="238"/>
    </font>
    <font>
      <sz val="16"/>
      <color theme="1"/>
      <name val="Arial CE"/>
      <family val="2"/>
      <charset val="238"/>
    </font>
    <font>
      <b/>
      <sz val="14"/>
      <color theme="1"/>
      <name val="Arial CE"/>
      <family val="2"/>
      <charset val="238"/>
    </font>
    <font>
      <sz val="13"/>
      <color theme="1"/>
      <name val="Arial CE"/>
      <family val="2"/>
      <charset val="238"/>
    </font>
    <font>
      <sz val="17"/>
      <color theme="1"/>
      <name val="Arial CE"/>
      <family val="2"/>
      <charset val="238"/>
    </font>
    <font>
      <sz val="13"/>
      <color theme="1"/>
      <name val="Arial"/>
      <family val="2"/>
      <charset val="238"/>
    </font>
    <font>
      <b/>
      <sz val="17"/>
      <color theme="1"/>
      <name val="Arial CE"/>
      <family val="2"/>
      <charset val="238"/>
    </font>
    <font>
      <sz val="13"/>
      <color theme="1"/>
      <name val="Arial CE"/>
      <charset val="238"/>
    </font>
    <font>
      <sz val="13"/>
      <color theme="1"/>
      <name val="Arial"/>
      <family val="2"/>
    </font>
    <font>
      <u/>
      <sz val="14"/>
      <name val="Arial CE"/>
      <charset val="238"/>
    </font>
    <font>
      <u/>
      <sz val="12"/>
      <name val="Arial CE"/>
      <family val="2"/>
      <charset val="238"/>
    </font>
    <font>
      <sz val="10"/>
      <name val="Arial"/>
      <family val="2"/>
      <charset val="238"/>
    </font>
    <font>
      <sz val="18"/>
      <name val="Arial CE"/>
      <family val="2"/>
      <charset val="238"/>
    </font>
    <font>
      <b/>
      <sz val="12"/>
      <color indexed="10"/>
      <name val="Arial CE"/>
      <charset val="238"/>
    </font>
    <font>
      <sz val="18"/>
      <color theme="1"/>
      <name val="Arial CE"/>
      <charset val="238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u/>
      <sz val="11"/>
      <name val="Arial CE"/>
      <family val="2"/>
      <charset val="238"/>
    </font>
    <font>
      <b/>
      <i/>
      <sz val="11"/>
      <name val="Arial CE"/>
      <charset val="238"/>
    </font>
    <font>
      <b/>
      <sz val="11"/>
      <color indexed="10"/>
      <name val="Arial CE"/>
      <family val="2"/>
      <charset val="238"/>
    </font>
    <font>
      <b/>
      <i/>
      <u/>
      <sz val="12"/>
      <name val="Arial CE"/>
      <family val="2"/>
      <charset val="238"/>
    </font>
    <font>
      <b/>
      <i/>
      <u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Times New Roman CE"/>
      <charset val="238"/>
    </font>
    <font>
      <sz val="12"/>
      <name val="Times New Roman CE"/>
      <charset val="238"/>
    </font>
    <font>
      <sz val="12"/>
      <color rgb="FFFF0000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Times New Roman CE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</font>
    <font>
      <sz val="12"/>
      <color indexed="10"/>
      <name val="Times New Roman CE"/>
      <charset val="238"/>
    </font>
    <font>
      <sz val="14"/>
      <color indexed="10"/>
      <name val="Arial"/>
      <family val="2"/>
    </font>
    <font>
      <sz val="14"/>
      <name val="Arial"/>
      <family val="2"/>
    </font>
    <font>
      <b/>
      <sz val="18"/>
      <color rgb="FFFF0000"/>
      <name val="Arial"/>
      <family val="2"/>
      <charset val="238"/>
    </font>
    <font>
      <sz val="12"/>
      <color theme="1"/>
      <name val="Arial"/>
      <family val="2"/>
    </font>
    <font>
      <sz val="12"/>
      <color indexed="10"/>
      <name val="Arial"/>
      <family val="2"/>
    </font>
    <font>
      <sz val="14"/>
      <color theme="1"/>
      <name val="Arial"/>
      <family val="2"/>
    </font>
    <font>
      <b/>
      <i/>
      <sz val="14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sz val="8"/>
      <color theme="1"/>
      <name val="Times New Roman CE"/>
      <charset val="238"/>
    </font>
    <font>
      <sz val="10"/>
      <name val="Arial CE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26"/>
      <name val="Arial CE"/>
      <family val="2"/>
      <charset val="238"/>
    </font>
    <font>
      <b/>
      <sz val="22"/>
      <name val="Arial"/>
      <family val="2"/>
      <charset val="238"/>
    </font>
    <font>
      <b/>
      <sz val="22"/>
      <name val="Arial CE"/>
      <family val="2"/>
      <charset val="238"/>
    </font>
    <font>
      <b/>
      <sz val="16"/>
      <name val="Arial CE"/>
    </font>
    <font>
      <b/>
      <sz val="22"/>
      <name val="Times New Roman CE"/>
      <family val="1"/>
      <charset val="238"/>
    </font>
    <font>
      <b/>
      <u/>
      <sz val="20"/>
      <name val="Arial CE"/>
      <family val="2"/>
      <charset val="238"/>
    </font>
    <font>
      <sz val="20"/>
      <name val="Times New Roman CE"/>
      <family val="1"/>
      <charset val="238"/>
    </font>
    <font>
      <sz val="20"/>
      <name val="Arial CE"/>
      <family val="2"/>
      <charset val="238"/>
    </font>
    <font>
      <sz val="20"/>
      <name val="Arial"/>
      <family val="2"/>
      <charset val="238"/>
    </font>
    <font>
      <b/>
      <i/>
      <sz val="2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 CE"/>
    </font>
    <font>
      <b/>
      <u/>
      <sz val="20"/>
      <name val="Arial"/>
      <family val="2"/>
      <charset val="238"/>
    </font>
    <font>
      <b/>
      <sz val="20"/>
      <name val="Times New Roman CE"/>
      <family val="1"/>
      <charset val="238"/>
    </font>
    <font>
      <sz val="18"/>
      <name val="Arial"/>
      <family val="2"/>
      <charset val="238"/>
    </font>
    <font>
      <b/>
      <u/>
      <sz val="18"/>
      <name val="Arial CE"/>
      <family val="2"/>
      <charset val="238"/>
    </font>
    <font>
      <sz val="22"/>
      <name val="Times New Roman CE"/>
      <family val="1"/>
      <charset val="238"/>
    </font>
    <font>
      <sz val="22"/>
      <name val="Arial"/>
      <family val="2"/>
      <charset val="238"/>
    </font>
    <font>
      <b/>
      <u/>
      <sz val="11"/>
      <name val="Arial CE"/>
      <family val="2"/>
      <charset val="238"/>
    </font>
    <font>
      <b/>
      <sz val="11"/>
      <name val="Arial CE"/>
      <charset val="238"/>
    </font>
    <font>
      <sz val="8"/>
      <name val="Arial CE"/>
      <family val="2"/>
      <charset val="238"/>
    </font>
    <font>
      <sz val="11"/>
      <color indexed="10"/>
      <name val="Arial CE"/>
      <family val="2"/>
      <charset val="238"/>
    </font>
    <font>
      <sz val="12"/>
      <color theme="1"/>
      <name val="Times New Roman CE"/>
      <charset val="238"/>
    </font>
    <font>
      <sz val="10"/>
      <color indexed="8"/>
      <name val="MS Sans Serif"/>
      <charset val="238"/>
    </font>
    <font>
      <sz val="12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sz val="26"/>
      <name val="Times New Roman CE"/>
      <charset val="238"/>
    </font>
    <font>
      <b/>
      <sz val="28"/>
      <name val="Arial CE"/>
      <family val="2"/>
      <charset val="238"/>
    </font>
    <font>
      <b/>
      <sz val="26"/>
      <name val="Times New Roman CE"/>
      <charset val="238"/>
    </font>
    <font>
      <b/>
      <u/>
      <sz val="26"/>
      <name val="Arial CE"/>
      <family val="2"/>
      <charset val="238"/>
    </font>
    <font>
      <b/>
      <sz val="26"/>
      <name val="Arial CE"/>
      <charset val="238"/>
    </font>
    <font>
      <b/>
      <sz val="26"/>
      <color indexed="10"/>
      <name val="Arial CE"/>
      <family val="2"/>
      <charset val="238"/>
    </font>
    <font>
      <b/>
      <sz val="16"/>
      <color indexed="10"/>
      <name val="Arial CE"/>
      <family val="2"/>
      <charset val="238"/>
    </font>
    <font>
      <b/>
      <sz val="20"/>
      <color indexed="10"/>
      <name val="Arial CE"/>
      <family val="2"/>
      <charset val="238"/>
    </font>
    <font>
      <sz val="16"/>
      <color indexed="10"/>
      <name val="Times New Roman CE"/>
      <charset val="238"/>
    </font>
    <font>
      <b/>
      <sz val="28"/>
      <color indexed="10"/>
      <name val="Arial CE"/>
      <family val="2"/>
      <charset val="238"/>
    </font>
    <font>
      <b/>
      <sz val="22"/>
      <color indexed="10"/>
      <name val="Arial CE"/>
      <family val="2"/>
      <charset val="238"/>
    </font>
    <font>
      <b/>
      <sz val="24"/>
      <name val="Arial CE"/>
      <family val="2"/>
      <charset val="238"/>
    </font>
    <font>
      <b/>
      <sz val="36"/>
      <name val="Arial CE"/>
      <charset val="238"/>
    </font>
    <font>
      <b/>
      <sz val="30"/>
      <name val="Arial CE"/>
      <charset val="238"/>
    </font>
    <font>
      <b/>
      <sz val="34"/>
      <name val="Arial CE"/>
      <charset val="238"/>
    </font>
    <font>
      <b/>
      <sz val="34"/>
      <color rgb="FFFF0000"/>
      <name val="Arial CE"/>
      <charset val="238"/>
    </font>
    <font>
      <b/>
      <i/>
      <sz val="36"/>
      <name val="Arial CE"/>
      <charset val="238"/>
    </font>
    <font>
      <b/>
      <sz val="36"/>
      <color rgb="FFFF0000"/>
      <name val="Arial CE"/>
      <charset val="238"/>
    </font>
    <font>
      <b/>
      <sz val="30"/>
      <color indexed="10"/>
      <name val="Arial CE"/>
      <charset val="238"/>
    </font>
    <font>
      <b/>
      <sz val="36"/>
      <color indexed="10"/>
      <name val="Arial CE"/>
      <charset val="238"/>
    </font>
    <font>
      <b/>
      <sz val="36"/>
      <name val="Arial CE"/>
      <family val="2"/>
      <charset val="238"/>
    </font>
    <font>
      <b/>
      <sz val="28"/>
      <name val="Arial CE"/>
      <charset val="238"/>
    </font>
    <font>
      <b/>
      <sz val="24"/>
      <name val="Arial CE"/>
      <charset val="238"/>
    </font>
    <font>
      <b/>
      <sz val="30"/>
      <color rgb="FFFF0000"/>
      <name val="Arial CE"/>
      <charset val="238"/>
    </font>
    <font>
      <b/>
      <i/>
      <sz val="30"/>
      <name val="Arial CE"/>
      <charset val="238"/>
    </font>
    <font>
      <sz val="20"/>
      <color indexed="10"/>
      <name val="Arial CE"/>
      <family val="2"/>
      <charset val="238"/>
    </font>
    <font>
      <b/>
      <sz val="20"/>
      <color rgb="FFFF0000"/>
      <name val="Arial CE"/>
      <charset val="238"/>
    </font>
    <font>
      <b/>
      <sz val="20"/>
      <color indexed="10"/>
      <name val="Arial CE"/>
      <charset val="238"/>
    </font>
    <font>
      <b/>
      <sz val="20"/>
      <name val="Arial CE"/>
      <charset val="238"/>
    </font>
    <font>
      <sz val="20"/>
      <name val="Arial CE"/>
      <charset val="238"/>
    </font>
    <font>
      <b/>
      <i/>
      <sz val="18"/>
      <name val="Arial"/>
      <family val="2"/>
      <charset val="238"/>
    </font>
    <font>
      <b/>
      <sz val="22"/>
      <name val="Times New Roman CE"/>
      <charset val="238"/>
    </font>
    <font>
      <b/>
      <sz val="18"/>
      <name val="Arial"/>
      <family val="2"/>
      <charset val="238"/>
    </font>
    <font>
      <b/>
      <u/>
      <sz val="18"/>
      <name val="Arial"/>
      <family val="2"/>
      <charset val="238"/>
    </font>
    <font>
      <sz val="11"/>
      <color rgb="FF000000"/>
      <name val="Calibri"/>
      <family val="2"/>
      <charset val="238"/>
    </font>
    <font>
      <sz val="20"/>
      <name val="Arial CE"/>
    </font>
    <font>
      <b/>
      <sz val="18"/>
      <name val="Arial CE"/>
    </font>
    <font>
      <sz val="18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8"/>
      <name val="Arial CE"/>
    </font>
    <font>
      <i/>
      <sz val="12"/>
      <name val="Arial CE"/>
      <charset val="238"/>
    </font>
    <font>
      <i/>
      <sz val="15"/>
      <name val="Arial CE"/>
      <family val="2"/>
      <charset val="238"/>
    </font>
    <font>
      <b/>
      <sz val="15"/>
      <name val="Arial CE"/>
      <charset val="238"/>
    </font>
    <font>
      <b/>
      <sz val="45"/>
      <name val="Arial CE"/>
      <charset val="238"/>
    </font>
    <font>
      <b/>
      <sz val="38"/>
      <name val="Arial CE"/>
      <family val="2"/>
      <charset val="238"/>
    </font>
    <font>
      <sz val="38"/>
      <name val="Arial CE"/>
      <family val="2"/>
      <charset val="238"/>
    </font>
    <font>
      <b/>
      <sz val="18"/>
      <name val="Arial"/>
      <family val="2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</fills>
  <borders count="1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15">
    <xf numFmtId="0" fontId="0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8" borderId="0" applyNumberFormat="0" applyBorder="0" applyAlignment="0" applyProtection="0"/>
    <xf numFmtId="0" fontId="40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5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8" borderId="0" applyNumberFormat="0" applyBorder="0" applyAlignment="0" applyProtection="0"/>
    <xf numFmtId="0" fontId="19" fillId="6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0" fillId="4" borderId="0" applyNumberFormat="0" applyBorder="0" applyAlignment="0" applyProtection="0"/>
    <xf numFmtId="0" fontId="4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8" borderId="0" applyNumberFormat="0" applyBorder="0" applyAlignment="0" applyProtection="0"/>
    <xf numFmtId="0" fontId="20" fillId="5" borderId="0" applyNumberFormat="0" applyBorder="0" applyAlignment="0" applyProtection="0"/>
    <xf numFmtId="0" fontId="41" fillId="19" borderId="0" applyNumberFormat="0" applyBorder="0" applyAlignment="0" applyProtection="0"/>
    <xf numFmtId="0" fontId="41" fillId="5" borderId="0" applyNumberFormat="0" applyBorder="0" applyAlignment="0" applyProtection="0"/>
    <xf numFmtId="0" fontId="41" fillId="16" borderId="0" applyNumberFormat="0" applyBorder="0" applyAlignment="0" applyProtection="0"/>
    <xf numFmtId="0" fontId="41" fillId="20" borderId="0" applyNumberFormat="0" applyBorder="0" applyAlignment="0" applyProtection="0"/>
    <xf numFmtId="0" fontId="41" fillId="17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18" borderId="0" applyNumberFormat="0" applyBorder="0" applyAlignment="0" applyProtection="0"/>
    <xf numFmtId="0" fontId="41" fillId="23" borderId="0" applyNumberFormat="0" applyBorder="0" applyAlignment="0" applyProtection="0"/>
    <xf numFmtId="0" fontId="41" fillId="20" borderId="0" applyNumberFormat="0" applyBorder="0" applyAlignment="0" applyProtection="0"/>
    <xf numFmtId="0" fontId="41" fillId="17" borderId="0" applyNumberFormat="0" applyBorder="0" applyAlignment="0" applyProtection="0"/>
    <xf numFmtId="0" fontId="41" fillId="3" borderId="0" applyNumberFormat="0" applyBorder="0" applyAlignment="0" applyProtection="0"/>
    <xf numFmtId="0" fontId="42" fillId="10" borderId="0" applyNumberFormat="0" applyBorder="0" applyAlignment="0" applyProtection="0"/>
    <xf numFmtId="0" fontId="21" fillId="15" borderId="1" applyNumberFormat="0" applyAlignment="0" applyProtection="0"/>
    <xf numFmtId="0" fontId="43" fillId="24" borderId="1" applyNumberFormat="0" applyAlignment="0" applyProtection="0"/>
    <xf numFmtId="0" fontId="44" fillId="25" borderId="2" applyNumberFormat="0" applyAlignment="0" applyProtection="0"/>
    <xf numFmtId="0" fontId="2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25" borderId="2" applyNumberFormat="0" applyAlignment="0" applyProtection="0"/>
    <xf numFmtId="0" fontId="4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6" fillId="11" borderId="0" applyNumberFormat="0" applyBorder="0" applyAlignment="0" applyProtection="0"/>
    <xf numFmtId="0" fontId="47" fillId="0" borderId="6" applyNumberFormat="0" applyFill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50" fillId="7" borderId="1" applyNumberFormat="0" applyAlignment="0" applyProtection="0"/>
    <xf numFmtId="0" fontId="4" fillId="6" borderId="10" applyNumberFormat="0" applyFont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8" fillId="8" borderId="0" applyNumberFormat="0" applyBorder="0" applyAlignment="0" applyProtection="0"/>
    <xf numFmtId="0" fontId="29" fillId="26" borderId="11" applyNumberFormat="0" applyAlignment="0" applyProtection="0"/>
    <xf numFmtId="0" fontId="51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52" fillId="15" borderId="0" applyNumberFormat="0" applyBorder="0" applyAlignment="0" applyProtection="0"/>
    <xf numFmtId="0" fontId="68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40" fillId="6" borderId="10" applyNumberFormat="0" applyFont="0" applyAlignment="0" applyProtection="0"/>
    <xf numFmtId="0" fontId="53" fillId="24" borderId="11" applyNumberFormat="0" applyAlignment="0" applyProtection="0"/>
    <xf numFmtId="0" fontId="31" fillId="0" borderId="13" applyNumberFormat="0" applyFill="0" applyAlignment="0" applyProtection="0"/>
    <xf numFmtId="0" fontId="32" fillId="12" borderId="0" applyNumberFormat="0" applyBorder="0" applyAlignment="0" applyProtection="0"/>
    <xf numFmtId="0" fontId="33" fillId="15" borderId="0" applyNumberFormat="0" applyBorder="0" applyAlignment="0" applyProtection="0"/>
    <xf numFmtId="0" fontId="34" fillId="26" borderId="1" applyNumberFormat="0" applyAlignment="0" applyProtection="0"/>
    <xf numFmtId="0" fontId="54" fillId="0" borderId="0" applyNumberFormat="0" applyFill="0" applyBorder="0" applyAlignment="0" applyProtection="0"/>
    <xf numFmtId="0" fontId="55" fillId="0" borderId="14" applyNumberFormat="0" applyFill="0" applyAlignment="0" applyProtection="0"/>
    <xf numFmtId="0" fontId="56" fillId="0" borderId="0" applyNumberFormat="0" applyFill="0" applyBorder="0" applyAlignment="0" applyProtection="0"/>
    <xf numFmtId="0" fontId="4" fillId="0" borderId="0"/>
    <xf numFmtId="0" fontId="122" fillId="0" borderId="0"/>
    <xf numFmtId="0" fontId="11" fillId="0" borderId="0"/>
    <xf numFmtId="0" fontId="5" fillId="0" borderId="0"/>
    <xf numFmtId="0" fontId="5" fillId="0" borderId="0"/>
    <xf numFmtId="0" fontId="141" fillId="0" borderId="0"/>
    <xf numFmtId="0" fontId="141" fillId="0" borderId="0"/>
    <xf numFmtId="0" fontId="5" fillId="0" borderId="0"/>
    <xf numFmtId="0" fontId="5" fillId="0" borderId="0"/>
    <xf numFmtId="0" fontId="141" fillId="0" borderId="0"/>
    <xf numFmtId="0" fontId="162" fillId="0" borderId="0"/>
    <xf numFmtId="0" fontId="162" fillId="0" borderId="0"/>
    <xf numFmtId="0" fontId="162" fillId="0" borderId="0"/>
    <xf numFmtId="0" fontId="5" fillId="0" borderId="0"/>
    <xf numFmtId="0" fontId="3" fillId="0" borderId="0"/>
    <xf numFmtId="0" fontId="141" fillId="0" borderId="0"/>
    <xf numFmtId="0" fontId="141" fillId="0" borderId="0"/>
    <xf numFmtId="0" fontId="141" fillId="0" borderId="0"/>
    <xf numFmtId="0" fontId="188" fillId="0" borderId="0"/>
    <xf numFmtId="0" fontId="5" fillId="0" borderId="0"/>
    <xf numFmtId="0" fontId="141" fillId="0" borderId="0"/>
    <xf numFmtId="0" fontId="141" fillId="0" borderId="0"/>
    <xf numFmtId="0" fontId="2" fillId="0" borderId="0"/>
    <xf numFmtId="0" fontId="19" fillId="0" borderId="0"/>
    <xf numFmtId="0" fontId="122" fillId="0" borderId="0"/>
    <xf numFmtId="0" fontId="232" fillId="0" borderId="0"/>
    <xf numFmtId="0" fontId="1" fillId="0" borderId="0"/>
  </cellStyleXfs>
  <cellXfs count="2937">
    <xf numFmtId="0" fontId="0" fillId="0" borderId="0" xfId="0"/>
    <xf numFmtId="0" fontId="7" fillId="0" borderId="0" xfId="0" applyFont="1" applyBorder="1"/>
    <xf numFmtId="3" fontId="6" fillId="0" borderId="0" xfId="0" applyNumberFormat="1" applyFont="1" applyBorder="1"/>
    <xf numFmtId="3" fontId="7" fillId="0" borderId="0" xfId="0" applyNumberFormat="1" applyFont="1" applyBorder="1"/>
    <xf numFmtId="3" fontId="7" fillId="0" borderId="0" xfId="0" applyNumberFormat="1" applyFont="1"/>
    <xf numFmtId="3" fontId="7" fillId="0" borderId="0" xfId="0" applyNumberFormat="1" applyFont="1" applyFill="1"/>
    <xf numFmtId="0" fontId="7" fillId="0" borderId="0" xfId="0" applyFont="1"/>
    <xf numFmtId="3" fontId="6" fillId="0" borderId="0" xfId="0" applyNumberFormat="1" applyFont="1"/>
    <xf numFmtId="0" fontId="6" fillId="0" borderId="0" xfId="0" applyFont="1"/>
    <xf numFmtId="3" fontId="7" fillId="0" borderId="0" xfId="0" applyNumberFormat="1" applyFont="1" applyBorder="1" applyProtection="1">
      <protection locked="0"/>
    </xf>
    <xf numFmtId="0" fontId="7" fillId="0" borderId="0" xfId="0" applyFont="1" applyFill="1"/>
    <xf numFmtId="0" fontId="6" fillId="0" borderId="0" xfId="0" applyFont="1" applyAlignment="1">
      <alignment horizontal="center"/>
    </xf>
    <xf numFmtId="0" fontId="6" fillId="0" borderId="16" xfId="0" applyFont="1" applyBorder="1" applyProtection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 applyBorder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/>
    </xf>
    <xf numFmtId="0" fontId="6" fillId="0" borderId="0" xfId="0" applyFont="1" applyFill="1"/>
    <xf numFmtId="0" fontId="7" fillId="0" borderId="0" xfId="0" applyFont="1" applyFill="1" applyBorder="1"/>
    <xf numFmtId="3" fontId="7" fillId="0" borderId="0" xfId="0" applyNumberFormat="1" applyFont="1" applyAlignment="1">
      <alignment horizontal="right"/>
    </xf>
    <xf numFmtId="0" fontId="7" fillId="0" borderId="16" xfId="0" applyFont="1" applyFill="1" applyBorder="1" applyProtection="1"/>
    <xf numFmtId="0" fontId="6" fillId="0" borderId="0" xfId="0" applyFont="1" applyAlignment="1" applyProtection="1">
      <alignment horizontal="center"/>
    </xf>
    <xf numFmtId="0" fontId="7" fillId="0" borderId="0" xfId="77" applyFont="1"/>
    <xf numFmtId="0" fontId="7" fillId="0" borderId="0" xfId="77" applyFont="1" applyFill="1"/>
    <xf numFmtId="0" fontId="6" fillId="0" borderId="0" xfId="0" applyFont="1" applyBorder="1" applyAlignment="1">
      <alignment horizontal="center"/>
    </xf>
    <xf numFmtId="3" fontId="7" fillId="0" borderId="0" xfId="77" applyNumberFormat="1" applyFont="1" applyFill="1" applyBorder="1"/>
    <xf numFmtId="3" fontId="7" fillId="0" borderId="0" xfId="0" applyNumberFormat="1" applyFont="1" applyAlignment="1">
      <alignment horizontal="left"/>
    </xf>
    <xf numFmtId="3" fontId="7" fillId="0" borderId="0" xfId="77" applyNumberFormat="1" applyFont="1"/>
    <xf numFmtId="3" fontId="15" fillId="0" borderId="0" xfId="0" applyNumberFormat="1" applyFont="1"/>
    <xf numFmtId="3" fontId="12" fillId="0" borderId="0" xfId="0" applyNumberFormat="1" applyFont="1"/>
    <xf numFmtId="3" fontId="15" fillId="0" borderId="0" xfId="0" applyNumberFormat="1" applyFont="1" applyFill="1"/>
    <xf numFmtId="2" fontId="6" fillId="0" borderId="0" xfId="0" applyNumberFormat="1" applyFont="1" applyBorder="1"/>
    <xf numFmtId="0" fontId="18" fillId="0" borderId="0" xfId="0" applyFont="1" applyFill="1"/>
    <xf numFmtId="3" fontId="7" fillId="0" borderId="0" xfId="0" applyNumberFormat="1" applyFont="1" applyFill="1" applyBorder="1"/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center"/>
    </xf>
    <xf numFmtId="0" fontId="6" fillId="28" borderId="0" xfId="0" applyFont="1" applyFill="1" applyBorder="1" applyAlignment="1">
      <alignment horizontal="center"/>
    </xf>
    <xf numFmtId="0" fontId="7" fillId="0" borderId="0" xfId="77" applyFont="1" applyFill="1" applyBorder="1"/>
    <xf numFmtId="3" fontId="37" fillId="0" borderId="0" xfId="0" applyNumberFormat="1" applyFont="1" applyFill="1" applyBorder="1" applyAlignment="1">
      <alignment horizontal="right"/>
    </xf>
    <xf numFmtId="0" fontId="7" fillId="27" borderId="0" xfId="0" applyFont="1" applyFill="1"/>
    <xf numFmtId="0" fontId="38" fillId="0" borderId="69" xfId="0" applyFont="1" applyFill="1" applyBorder="1" applyAlignment="1">
      <alignment horizontal="center"/>
    </xf>
    <xf numFmtId="3" fontId="16" fillId="0" borderId="69" xfId="0" applyNumberFormat="1" applyFont="1" applyFill="1" applyBorder="1" applyAlignment="1">
      <alignment horizontal="center"/>
    </xf>
    <xf numFmtId="0" fontId="17" fillId="0" borderId="89" xfId="0" applyFont="1" applyFill="1" applyBorder="1" applyAlignment="1">
      <alignment horizontal="center"/>
    </xf>
    <xf numFmtId="3" fontId="6" fillId="0" borderId="89" xfId="0" applyNumberFormat="1" applyFont="1" applyFill="1" applyBorder="1"/>
    <xf numFmtId="3" fontId="6" fillId="0" borderId="69" xfId="0" applyNumberFormat="1" applyFont="1" applyFill="1" applyBorder="1"/>
    <xf numFmtId="4" fontId="6" fillId="0" borderId="89" xfId="0" applyNumberFormat="1" applyFont="1" applyFill="1" applyBorder="1"/>
    <xf numFmtId="4" fontId="6" fillId="0" borderId="69" xfId="0" applyNumberFormat="1" applyFont="1" applyFill="1" applyBorder="1"/>
    <xf numFmtId="0" fontId="17" fillId="0" borderId="69" xfId="0" applyFont="1" applyFill="1" applyBorder="1" applyAlignment="1">
      <alignment horizontal="center"/>
    </xf>
    <xf numFmtId="0" fontId="39" fillId="0" borderId="0" xfId="0" applyFont="1" applyFill="1" applyBorder="1"/>
    <xf numFmtId="0" fontId="39" fillId="0" borderId="0" xfId="0" applyFont="1" applyFill="1"/>
    <xf numFmtId="0" fontId="13" fillId="0" borderId="0" xfId="77" applyFont="1" applyFill="1"/>
    <xf numFmtId="3" fontId="7" fillId="0" borderId="0" xfId="77" applyNumberFormat="1" applyFont="1" applyFill="1" applyAlignment="1">
      <alignment horizontal="right"/>
    </xf>
    <xf numFmtId="0" fontId="7" fillId="0" borderId="0" xfId="77" applyFont="1" applyFill="1" applyBorder="1" applyAlignment="1">
      <alignment horizontal="center"/>
    </xf>
    <xf numFmtId="3" fontId="7" fillId="0" borderId="0" xfId="77" applyNumberFormat="1" applyFont="1" applyFill="1"/>
    <xf numFmtId="0" fontId="6" fillId="0" borderId="0" xfId="77" applyFont="1" applyFill="1" applyBorder="1" applyAlignment="1">
      <alignment horizontal="center"/>
    </xf>
    <xf numFmtId="0" fontId="58" fillId="0" borderId="0" xfId="0" applyFont="1" applyFill="1" applyBorder="1"/>
    <xf numFmtId="0" fontId="6" fillId="0" borderId="0" xfId="0" applyFont="1" applyFill="1" applyBorder="1"/>
    <xf numFmtId="3" fontId="6" fillId="0" borderId="0" xfId="0" applyNumberFormat="1" applyFont="1" applyFill="1" applyBorder="1"/>
    <xf numFmtId="0" fontId="17" fillId="0" borderId="20" xfId="0" applyFont="1" applyFill="1" applyBorder="1"/>
    <xf numFmtId="3" fontId="17" fillId="0" borderId="60" xfId="0" applyNumberFormat="1" applyFont="1" applyFill="1" applyBorder="1"/>
    <xf numFmtId="3" fontId="10" fillId="0" borderId="75" xfId="78" applyNumberFormat="1" applyFont="1" applyFill="1" applyBorder="1" applyAlignment="1">
      <alignment horizontal="right" vertical="top" wrapText="1"/>
    </xf>
    <xf numFmtId="4" fontId="10" fillId="0" borderId="75" xfId="78" applyNumberFormat="1" applyFont="1" applyFill="1" applyBorder="1" applyAlignment="1">
      <alignment horizontal="right" vertical="top" wrapText="1"/>
    </xf>
    <xf numFmtId="3" fontId="36" fillId="0" borderId="69" xfId="78" applyNumberFormat="1" applyFont="1" applyFill="1" applyBorder="1" applyAlignment="1">
      <alignment horizontal="justify" vertical="top" wrapText="1"/>
    </xf>
    <xf numFmtId="0" fontId="6" fillId="0" borderId="18" xfId="0" applyFont="1" applyFill="1" applyBorder="1"/>
    <xf numFmtId="0" fontId="6" fillId="0" borderId="93" xfId="0" applyFont="1" applyFill="1" applyBorder="1"/>
    <xf numFmtId="3" fontId="17" fillId="0" borderId="77" xfId="0" applyNumberFormat="1" applyFont="1" applyFill="1" applyBorder="1"/>
    <xf numFmtId="3" fontId="37" fillId="0" borderId="0" xfId="0" applyNumberFormat="1" applyFont="1" applyFill="1"/>
    <xf numFmtId="3" fontId="35" fillId="0" borderId="0" xfId="0" applyNumberFormat="1" applyFont="1" applyFill="1"/>
    <xf numFmtId="3" fontId="17" fillId="0" borderId="0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3" fontId="37" fillId="0" borderId="0" xfId="0" applyNumberFormat="1" applyFont="1" applyFill="1" applyBorder="1"/>
    <xf numFmtId="3" fontId="62" fillId="0" borderId="0" xfId="0" applyNumberFormat="1" applyFont="1" applyFill="1" applyBorder="1"/>
    <xf numFmtId="0" fontId="61" fillId="0" borderId="40" xfId="0" applyFont="1" applyFill="1" applyBorder="1"/>
    <xf numFmtId="0" fontId="38" fillId="0" borderId="20" xfId="0" applyFont="1" applyFill="1" applyBorder="1"/>
    <xf numFmtId="3" fontId="17" fillId="0" borderId="0" xfId="0" applyNumberFormat="1" applyFont="1" applyFill="1" applyBorder="1" applyAlignment="1">
      <alignment horizontal="centerContinuous"/>
    </xf>
    <xf numFmtId="3" fontId="17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center"/>
    </xf>
    <xf numFmtId="3" fontId="59" fillId="0" borderId="0" xfId="0" applyNumberFormat="1" applyFont="1" applyFill="1" applyBorder="1"/>
    <xf numFmtId="3" fontId="63" fillId="0" borderId="15" xfId="0" applyNumberFormat="1" applyFont="1" applyFill="1" applyBorder="1"/>
    <xf numFmtId="3" fontId="63" fillId="0" borderId="36" xfId="0" applyNumberFormat="1" applyFont="1" applyFill="1" applyBorder="1"/>
    <xf numFmtId="3" fontId="63" fillId="0" borderId="36" xfId="0" applyNumberFormat="1" applyFont="1" applyFill="1" applyBorder="1" applyProtection="1"/>
    <xf numFmtId="3" fontId="59" fillId="0" borderId="43" xfId="0" applyNumberFormat="1" applyFont="1" applyFill="1" applyBorder="1"/>
    <xf numFmtId="3" fontId="63" fillId="0" borderId="15" xfId="0" applyNumberFormat="1" applyFont="1" applyFill="1" applyBorder="1" applyProtection="1"/>
    <xf numFmtId="0" fontId="64" fillId="0" borderId="15" xfId="0" applyFont="1" applyFill="1" applyBorder="1" applyAlignment="1">
      <alignment horizontal="center"/>
    </xf>
    <xf numFmtId="3" fontId="59" fillId="0" borderId="21" xfId="0" applyNumberFormat="1" applyFont="1" applyFill="1" applyBorder="1"/>
    <xf numFmtId="3" fontId="63" fillId="0" borderId="15" xfId="0" applyNumberFormat="1" applyFont="1" applyFill="1" applyBorder="1" applyAlignment="1">
      <alignment horizontal="right"/>
    </xf>
    <xf numFmtId="3" fontId="63" fillId="0" borderId="36" xfId="0" applyNumberFormat="1" applyFont="1" applyFill="1" applyBorder="1" applyAlignment="1">
      <alignment horizontal="right"/>
    </xf>
    <xf numFmtId="3" fontId="59" fillId="0" borderId="61" xfId="0" applyNumberFormat="1" applyFont="1" applyFill="1" applyBorder="1"/>
    <xf numFmtId="3" fontId="65" fillId="0" borderId="36" xfId="0" applyNumberFormat="1" applyFont="1" applyFill="1" applyBorder="1" applyAlignment="1">
      <alignment horizontal="right"/>
    </xf>
    <xf numFmtId="3" fontId="64" fillId="0" borderId="21" xfId="0" applyNumberFormat="1" applyFont="1" applyFill="1" applyBorder="1" applyAlignment="1">
      <alignment horizontal="right"/>
    </xf>
    <xf numFmtId="3" fontId="64" fillId="0" borderId="32" xfId="0" applyNumberFormat="1" applyFont="1" applyFill="1" applyBorder="1" applyAlignment="1">
      <alignment horizontal="right"/>
    </xf>
    <xf numFmtId="3" fontId="59" fillId="0" borderId="45" xfId="0" applyNumberFormat="1" applyFont="1" applyFill="1" applyBorder="1"/>
    <xf numFmtId="4" fontId="59" fillId="0" borderId="80" xfId="0" applyNumberFormat="1" applyFont="1" applyFill="1" applyBorder="1"/>
    <xf numFmtId="4" fontId="63" fillId="0" borderId="102" xfId="0" applyNumberFormat="1" applyFont="1" applyFill="1" applyBorder="1" applyProtection="1"/>
    <xf numFmtId="4" fontId="63" fillId="0" borderId="68" xfId="0" applyNumberFormat="1" applyFont="1" applyFill="1" applyBorder="1" applyProtection="1"/>
    <xf numFmtId="4" fontId="59" fillId="0" borderId="81" xfId="0" applyNumberFormat="1" applyFont="1" applyFill="1" applyBorder="1"/>
    <xf numFmtId="4" fontId="63" fillId="0" borderId="102" xfId="0" applyNumberFormat="1" applyFont="1" applyFill="1" applyBorder="1" applyAlignment="1">
      <alignment horizontal="right"/>
    </xf>
    <xf numFmtId="4" fontId="63" fillId="0" borderId="68" xfId="0" applyNumberFormat="1" applyFont="1" applyFill="1" applyBorder="1" applyAlignment="1">
      <alignment horizontal="right"/>
    </xf>
    <xf numFmtId="4" fontId="59" fillId="0" borderId="84" xfId="0" applyNumberFormat="1" applyFont="1" applyFill="1" applyBorder="1"/>
    <xf numFmtId="4" fontId="64" fillId="0" borderId="86" xfId="0" applyNumberFormat="1" applyFont="1" applyFill="1" applyBorder="1" applyAlignment="1">
      <alignment horizontal="center"/>
    </xf>
    <xf numFmtId="4" fontId="59" fillId="0" borderId="54" xfId="0" applyNumberFormat="1" applyFont="1" applyFill="1" applyBorder="1"/>
    <xf numFmtId="4" fontId="59" fillId="0" borderId="46" xfId="0" applyNumberFormat="1" applyFont="1" applyFill="1" applyBorder="1"/>
    <xf numFmtId="0" fontId="62" fillId="0" borderId="0" xfId="0" applyFont="1" applyFill="1" applyBorder="1" applyProtection="1"/>
    <xf numFmtId="3" fontId="62" fillId="0" borderId="0" xfId="0" applyNumberFormat="1" applyFont="1" applyFill="1" applyBorder="1" applyAlignment="1">
      <alignment horizontal="centerContinuous"/>
    </xf>
    <xf numFmtId="4" fontId="59" fillId="0" borderId="0" xfId="0" applyNumberFormat="1" applyFont="1" applyFill="1" applyBorder="1"/>
    <xf numFmtId="2" fontId="63" fillId="0" borderId="102" xfId="0" applyNumberFormat="1" applyFont="1" applyFill="1" applyBorder="1"/>
    <xf numFmtId="2" fontId="63" fillId="0" borderId="68" xfId="0" applyNumberFormat="1" applyFont="1" applyFill="1" applyBorder="1"/>
    <xf numFmtId="4" fontId="17" fillId="0" borderId="60" xfId="0" applyNumberFormat="1" applyFont="1" applyFill="1" applyBorder="1"/>
    <xf numFmtId="3" fontId="17" fillId="0" borderId="81" xfId="0" applyNumberFormat="1" applyFont="1" applyFill="1" applyBorder="1"/>
    <xf numFmtId="4" fontId="59" fillId="0" borderId="53" xfId="0" applyNumberFormat="1" applyFont="1" applyFill="1" applyBorder="1"/>
    <xf numFmtId="0" fontId="67" fillId="0" borderId="0" xfId="77" applyFont="1" applyFill="1"/>
    <xf numFmtId="3" fontId="8" fillId="0" borderId="0" xfId="77" applyNumberFormat="1" applyFont="1" applyFill="1" applyBorder="1"/>
    <xf numFmtId="3" fontId="39" fillId="0" borderId="0" xfId="0" applyNumberFormat="1" applyFont="1" applyFill="1"/>
    <xf numFmtId="0" fontId="9" fillId="0" borderId="0" xfId="0" applyFont="1"/>
    <xf numFmtId="0" fontId="9" fillId="0" borderId="18" xfId="0" applyFont="1" applyFill="1" applyBorder="1" applyAlignment="1">
      <alignment horizontal="justify"/>
    </xf>
    <xf numFmtId="3" fontId="14" fillId="0" borderId="0" xfId="0" applyNumberFormat="1" applyFont="1"/>
    <xf numFmtId="3" fontId="7" fillId="0" borderId="0" xfId="0" applyNumberFormat="1" applyFont="1" applyFill="1" applyBorder="1" applyAlignment="1">
      <alignment wrapText="1"/>
    </xf>
    <xf numFmtId="0" fontId="39" fillId="0" borderId="0" xfId="77" applyFont="1" applyFill="1" applyBorder="1" applyAlignment="1">
      <alignment horizontal="left"/>
    </xf>
    <xf numFmtId="3" fontId="7" fillId="0" borderId="18" xfId="0" applyNumberFormat="1" applyFont="1" applyBorder="1"/>
    <xf numFmtId="4" fontId="7" fillId="0" borderId="86" xfId="0" applyNumberFormat="1" applyFont="1" applyBorder="1"/>
    <xf numFmtId="3" fontId="15" fillId="0" borderId="0" xfId="0" applyNumberFormat="1" applyFont="1" applyBorder="1"/>
    <xf numFmtId="0" fontId="9" fillId="0" borderId="0" xfId="0" applyFont="1" applyFill="1" applyBorder="1" applyAlignment="1">
      <alignment horizontal="justify"/>
    </xf>
    <xf numFmtId="0" fontId="7" fillId="0" borderId="0" xfId="77" applyFont="1" applyFill="1" applyAlignment="1">
      <alignment wrapText="1"/>
    </xf>
    <xf numFmtId="0" fontId="13" fillId="0" borderId="0" xfId="77" applyFont="1" applyFill="1" applyBorder="1"/>
    <xf numFmtId="3" fontId="7" fillId="0" borderId="0" xfId="77" applyNumberFormat="1" applyFont="1" applyFill="1" applyBorder="1" applyAlignment="1">
      <alignment horizontal="right"/>
    </xf>
    <xf numFmtId="0" fontId="18" fillId="0" borderId="0" xfId="77" applyFont="1" applyFill="1" applyBorder="1"/>
    <xf numFmtId="0" fontId="39" fillId="0" borderId="0" xfId="77" applyFont="1" applyFill="1" applyBorder="1"/>
    <xf numFmtId="3" fontId="57" fillId="0" borderId="0" xfId="0" applyNumberFormat="1" applyFont="1" applyFill="1" applyBorder="1" applyAlignment="1">
      <alignment horizontal="right"/>
    </xf>
    <xf numFmtId="3" fontId="36" fillId="0" borderId="0" xfId="0" applyNumberFormat="1" applyFont="1" applyFill="1" applyBorder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3" fontId="63" fillId="0" borderId="0" xfId="0" applyNumberFormat="1" applyFont="1" applyAlignment="1">
      <alignment horizontal="right"/>
    </xf>
    <xf numFmtId="3" fontId="69" fillId="0" borderId="0" xfId="0" applyNumberFormat="1" applyFont="1"/>
    <xf numFmtId="3" fontId="69" fillId="0" borderId="0" xfId="0" applyNumberFormat="1" applyFont="1" applyFill="1"/>
    <xf numFmtId="3" fontId="69" fillId="0" borderId="0" xfId="0" applyNumberFormat="1" applyFont="1" applyFill="1" applyAlignment="1">
      <alignment wrapText="1"/>
    </xf>
    <xf numFmtId="3" fontId="70" fillId="0" borderId="0" xfId="0" applyNumberFormat="1" applyFont="1"/>
    <xf numFmtId="0" fontId="17" fillId="0" borderId="0" xfId="0" applyFont="1" applyFill="1" applyAlignment="1">
      <alignment horizontal="center"/>
    </xf>
    <xf numFmtId="0" fontId="61" fillId="0" borderId="0" xfId="0" applyFont="1" applyFill="1"/>
    <xf numFmtId="0" fontId="37" fillId="0" borderId="0" xfId="0" applyFont="1" applyFill="1"/>
    <xf numFmtId="0" fontId="37" fillId="0" borderId="16" xfId="0" applyFont="1" applyFill="1" applyBorder="1" applyProtection="1"/>
    <xf numFmtId="0" fontId="17" fillId="0" borderId="16" xfId="0" applyFont="1" applyFill="1" applyBorder="1" applyProtection="1"/>
    <xf numFmtId="0" fontId="37" fillId="0" borderId="37" xfId="77" applyFont="1" applyFill="1" applyBorder="1" applyAlignment="1">
      <alignment horizontal="justify"/>
    </xf>
    <xf numFmtId="0" fontId="37" fillId="0" borderId="0" xfId="77" applyFont="1" applyFill="1" applyBorder="1" applyAlignment="1">
      <alignment horizontal="justify"/>
    </xf>
    <xf numFmtId="0" fontId="9" fillId="0" borderId="0" xfId="77" applyFont="1"/>
    <xf numFmtId="0" fontId="9" fillId="0" borderId="0" xfId="77" applyFont="1" applyFill="1"/>
    <xf numFmtId="3" fontId="6" fillId="0" borderId="0" xfId="0" applyNumberFormat="1" applyFont="1" applyFill="1"/>
    <xf numFmtId="3" fontId="15" fillId="0" borderId="0" xfId="0" applyNumberFormat="1" applyFont="1" applyAlignment="1">
      <alignment wrapText="1"/>
    </xf>
    <xf numFmtId="3" fontId="63" fillId="0" borderId="52" xfId="0" applyNumberFormat="1" applyFont="1" applyFill="1" applyBorder="1"/>
    <xf numFmtId="0" fontId="38" fillId="0" borderId="0" xfId="0" applyFont="1" applyFill="1" applyBorder="1"/>
    <xf numFmtId="4" fontId="63" fillId="0" borderId="67" xfId="0" applyNumberFormat="1" applyFont="1" applyFill="1" applyBorder="1" applyProtection="1"/>
    <xf numFmtId="4" fontId="63" fillId="0" borderId="67" xfId="0" applyNumberFormat="1" applyFont="1" applyFill="1" applyBorder="1" applyAlignment="1">
      <alignment horizontal="right"/>
    </xf>
    <xf numFmtId="4" fontId="63" fillId="0" borderId="86" xfId="0" applyNumberFormat="1" applyFont="1" applyFill="1" applyBorder="1"/>
    <xf numFmtId="0" fontId="7" fillId="0" borderId="0" xfId="0" applyFont="1" applyFill="1" applyBorder="1" applyAlignment="1">
      <alignment horizontal="justify"/>
    </xf>
    <xf numFmtId="3" fontId="15" fillId="0" borderId="0" xfId="0" applyNumberFormat="1" applyFont="1" applyFill="1" applyAlignment="1">
      <alignment wrapText="1"/>
    </xf>
    <xf numFmtId="3" fontId="63" fillId="0" borderId="0" xfId="0" applyNumberFormat="1" applyFont="1" applyFill="1"/>
    <xf numFmtId="0" fontId="63" fillId="0" borderId="0" xfId="0" applyFont="1" applyFill="1"/>
    <xf numFmtId="0" fontId="71" fillId="0" borderId="0" xfId="0" applyFont="1" applyFill="1"/>
    <xf numFmtId="3" fontId="72" fillId="0" borderId="0" xfId="0" applyNumberFormat="1" applyFont="1"/>
    <xf numFmtId="0" fontId="72" fillId="0" borderId="0" xfId="0" applyFont="1"/>
    <xf numFmtId="0" fontId="71" fillId="0" borderId="0" xfId="0" applyFont="1" applyFill="1" applyBorder="1"/>
    <xf numFmtId="0" fontId="73" fillId="0" borderId="0" xfId="0" applyFont="1" applyFill="1"/>
    <xf numFmtId="0" fontId="63" fillId="0" borderId="0" xfId="0" applyFont="1" applyFill="1" applyBorder="1"/>
    <xf numFmtId="3" fontId="59" fillId="0" borderId="0" xfId="0" applyNumberFormat="1" applyFont="1" applyFill="1"/>
    <xf numFmtId="0" fontId="59" fillId="0" borderId="0" xfId="0" applyFont="1" applyFill="1"/>
    <xf numFmtId="3" fontId="73" fillId="0" borderId="0" xfId="0" applyNumberFormat="1" applyFont="1" applyFill="1"/>
    <xf numFmtId="0" fontId="17" fillId="0" borderId="77" xfId="0" applyFont="1" applyFill="1" applyBorder="1"/>
    <xf numFmtId="0" fontId="6" fillId="0" borderId="0" xfId="0" applyFont="1" applyFill="1" applyAlignment="1">
      <alignment horizontal="center"/>
    </xf>
    <xf numFmtId="0" fontId="59" fillId="0" borderId="23" xfId="0" applyFont="1" applyFill="1" applyBorder="1" applyAlignment="1" applyProtection="1">
      <alignment horizontal="left"/>
    </xf>
    <xf numFmtId="0" fontId="63" fillId="0" borderId="46" xfId="0" applyFont="1" applyFill="1" applyBorder="1"/>
    <xf numFmtId="0" fontId="73" fillId="0" borderId="46" xfId="0" applyFont="1" applyFill="1" applyBorder="1"/>
    <xf numFmtId="0" fontId="59" fillId="0" borderId="83" xfId="0" applyFont="1" applyFill="1" applyBorder="1" applyAlignment="1">
      <alignment horizontal="center"/>
    </xf>
    <xf numFmtId="0" fontId="59" fillId="0" borderId="83" xfId="0" applyFont="1" applyBorder="1" applyAlignment="1">
      <alignment horizontal="center"/>
    </xf>
    <xf numFmtId="0" fontId="63" fillId="0" borderId="19" xfId="0" applyFont="1" applyFill="1" applyBorder="1"/>
    <xf numFmtId="0" fontId="59" fillId="0" borderId="16" xfId="0" applyFont="1" applyFill="1" applyBorder="1" applyAlignment="1" applyProtection="1">
      <alignment horizontal="left"/>
    </xf>
    <xf numFmtId="0" fontId="59" fillId="0" borderId="16" xfId="0" applyFont="1" applyFill="1" applyBorder="1" applyAlignment="1" applyProtection="1">
      <alignment horizontal="right"/>
    </xf>
    <xf numFmtId="0" fontId="59" fillId="0" borderId="76" xfId="0" applyFont="1" applyFill="1" applyBorder="1" applyAlignment="1">
      <alignment horizontal="center"/>
    </xf>
    <xf numFmtId="0" fontId="59" fillId="0" borderId="76" xfId="0" applyFont="1" applyBorder="1" applyAlignment="1">
      <alignment horizontal="center"/>
    </xf>
    <xf numFmtId="0" fontId="59" fillId="0" borderId="70" xfId="0" applyFont="1" applyFill="1" applyBorder="1" applyAlignment="1">
      <alignment horizontal="center"/>
    </xf>
    <xf numFmtId="0" fontId="59" fillId="0" borderId="70" xfId="0" applyFont="1" applyBorder="1" applyAlignment="1">
      <alignment horizontal="center"/>
    </xf>
    <xf numFmtId="0" fontId="73" fillId="0" borderId="23" xfId="0" applyFont="1" applyFill="1" applyBorder="1"/>
    <xf numFmtId="0" fontId="73" fillId="0" borderId="46" xfId="0" applyFont="1" applyFill="1" applyBorder="1" applyAlignment="1" applyProtection="1">
      <alignment horizontal="left"/>
    </xf>
    <xf numFmtId="0" fontId="59" fillId="0" borderId="46" xfId="0" applyFont="1" applyFill="1" applyBorder="1" applyAlignment="1" applyProtection="1">
      <alignment horizontal="left"/>
    </xf>
    <xf numFmtId="0" fontId="59" fillId="0" borderId="53" xfId="0" applyFont="1" applyFill="1" applyBorder="1" applyAlignment="1" applyProtection="1">
      <alignment horizontal="left"/>
    </xf>
    <xf numFmtId="3" fontId="59" fillId="0" borderId="83" xfId="0" applyNumberFormat="1" applyFont="1" applyFill="1" applyBorder="1" applyProtection="1"/>
    <xf numFmtId="0" fontId="71" fillId="0" borderId="18" xfId="0" applyFont="1" applyFill="1" applyBorder="1" applyProtection="1"/>
    <xf numFmtId="0" fontId="71" fillId="0" borderId="16" xfId="0" applyFont="1" applyFill="1" applyBorder="1" applyAlignment="1" applyProtection="1">
      <alignment horizontal="left"/>
    </xf>
    <xf numFmtId="0" fontId="71" fillId="0" borderId="50" xfId="0" applyFont="1" applyFill="1" applyBorder="1" applyProtection="1"/>
    <xf numFmtId="0" fontId="71" fillId="0" borderId="0" xfId="0" applyFont="1" applyFill="1" applyBorder="1" applyProtection="1"/>
    <xf numFmtId="3" fontId="77" fillId="0" borderId="75" xfId="0" applyNumberFormat="1" applyFont="1" applyFill="1" applyBorder="1"/>
    <xf numFmtId="4" fontId="63" fillId="0" borderId="75" xfId="0" applyNumberFormat="1" applyFont="1" applyFill="1" applyBorder="1" applyProtection="1"/>
    <xf numFmtId="3" fontId="71" fillId="0" borderId="38" xfId="0" applyNumberFormat="1" applyFont="1" applyFill="1" applyBorder="1"/>
    <xf numFmtId="4" fontId="73" fillId="0" borderId="75" xfId="0" applyNumberFormat="1" applyFont="1" applyFill="1" applyBorder="1" applyProtection="1"/>
    <xf numFmtId="3" fontId="71" fillId="0" borderId="75" xfId="0" applyNumberFormat="1" applyFont="1" applyFill="1" applyBorder="1"/>
    <xf numFmtId="0" fontId="63" fillId="0" borderId="18" xfId="0" applyFont="1" applyFill="1" applyBorder="1" applyProtection="1"/>
    <xf numFmtId="0" fontId="63" fillId="0" borderId="50" xfId="0" applyFont="1" applyFill="1" applyBorder="1" applyProtection="1"/>
    <xf numFmtId="0" fontId="63" fillId="0" borderId="37" xfId="0" applyFont="1" applyFill="1" applyBorder="1" applyProtection="1"/>
    <xf numFmtId="3" fontId="63" fillId="0" borderId="79" xfId="0" applyNumberFormat="1" applyFont="1" applyFill="1" applyBorder="1" applyProtection="1">
      <protection locked="0"/>
    </xf>
    <xf numFmtId="3" fontId="63" fillId="0" borderId="38" xfId="0" applyNumberFormat="1" applyFont="1" applyFill="1" applyBorder="1"/>
    <xf numFmtId="3" fontId="63" fillId="0" borderId="75" xfId="0" applyNumberFormat="1" applyFont="1" applyFill="1" applyBorder="1"/>
    <xf numFmtId="3" fontId="63" fillId="0" borderId="50" xfId="0" applyNumberFormat="1" applyFont="1" applyFill="1" applyBorder="1"/>
    <xf numFmtId="3" fontId="63" fillId="0" borderId="40" xfId="0" applyNumberFormat="1" applyFont="1" applyFill="1" applyBorder="1"/>
    <xf numFmtId="3" fontId="63" fillId="0" borderId="73" xfId="0" applyNumberFormat="1" applyFont="1" applyFill="1" applyBorder="1"/>
    <xf numFmtId="0" fontId="63" fillId="0" borderId="0" xfId="0" applyFont="1" applyFill="1" applyBorder="1" applyProtection="1"/>
    <xf numFmtId="0" fontId="63" fillId="0" borderId="37" xfId="0" applyFont="1" applyFill="1" applyBorder="1" applyAlignment="1">
      <alignment horizontal="left"/>
    </xf>
    <xf numFmtId="0" fontId="63" fillId="0" borderId="79" xfId="0" applyFont="1" applyFill="1" applyBorder="1" applyAlignment="1">
      <alignment horizontal="left"/>
    </xf>
    <xf numFmtId="4" fontId="63" fillId="0" borderId="73" xfId="0" applyNumberFormat="1" applyFont="1" applyFill="1" applyBorder="1" applyProtection="1"/>
    <xf numFmtId="0" fontId="63" fillId="0" borderId="50" xfId="0" applyFont="1" applyFill="1" applyBorder="1" applyAlignment="1">
      <alignment horizontal="left"/>
    </xf>
    <xf numFmtId="0" fontId="63" fillId="0" borderId="85" xfId="0" applyFont="1" applyFill="1" applyBorder="1" applyAlignment="1">
      <alignment horizontal="left"/>
    </xf>
    <xf numFmtId="0" fontId="63" fillId="0" borderId="66" xfId="0" applyFont="1" applyFill="1" applyBorder="1" applyProtection="1"/>
    <xf numFmtId="0" fontId="63" fillId="0" borderId="66" xfId="0" applyFont="1" applyFill="1" applyBorder="1" applyAlignment="1">
      <alignment horizontal="left"/>
    </xf>
    <xf numFmtId="0" fontId="73" fillId="0" borderId="18" xfId="0" applyFont="1" applyFill="1" applyBorder="1" applyProtection="1"/>
    <xf numFmtId="0" fontId="77" fillId="0" borderId="18" xfId="0" applyFont="1" applyFill="1" applyBorder="1"/>
    <xf numFmtId="4" fontId="77" fillId="0" borderId="87" xfId="0" applyNumberFormat="1" applyFont="1" applyFill="1" applyBorder="1" applyProtection="1"/>
    <xf numFmtId="0" fontId="73" fillId="0" borderId="18" xfId="0" applyFont="1" applyFill="1" applyBorder="1"/>
    <xf numFmtId="0" fontId="59" fillId="0" borderId="84" xfId="0" applyFont="1" applyFill="1" applyBorder="1" applyAlignment="1" applyProtection="1">
      <alignment horizontal="left"/>
    </xf>
    <xf numFmtId="0" fontId="63" fillId="0" borderId="18" xfId="0" applyFont="1" applyFill="1" applyBorder="1"/>
    <xf numFmtId="0" fontId="78" fillId="0" borderId="0" xfId="0" applyFont="1" applyFill="1" applyBorder="1" applyAlignment="1" applyProtection="1"/>
    <xf numFmtId="3" fontId="63" fillId="0" borderId="75" xfId="0" applyNumberFormat="1" applyFont="1" applyFill="1" applyBorder="1" applyProtection="1"/>
    <xf numFmtId="0" fontId="63" fillId="0" borderId="79" xfId="0" applyFont="1" applyFill="1" applyBorder="1"/>
    <xf numFmtId="0" fontId="63" fillId="0" borderId="37" xfId="77" applyFont="1" applyFill="1" applyBorder="1" applyAlignment="1">
      <alignment horizontal="left"/>
    </xf>
    <xf numFmtId="0" fontId="63" fillId="0" borderId="37" xfId="77" applyFont="1" applyFill="1" applyBorder="1" applyAlignment="1">
      <alignment horizontal="justify"/>
    </xf>
    <xf numFmtId="3" fontId="63" fillId="0" borderId="73" xfId="0" applyNumberFormat="1" applyFont="1" applyFill="1" applyBorder="1" applyProtection="1"/>
    <xf numFmtId="3" fontId="63" fillId="0" borderId="74" xfId="0" applyNumberFormat="1" applyFont="1" applyFill="1" applyBorder="1" applyProtection="1">
      <protection locked="0"/>
    </xf>
    <xf numFmtId="0" fontId="73" fillId="0" borderId="19" xfId="0" applyFont="1" applyFill="1" applyBorder="1"/>
    <xf numFmtId="3" fontId="59" fillId="0" borderId="70" xfId="0" applyNumberFormat="1" applyFont="1" applyFill="1" applyBorder="1" applyProtection="1">
      <protection locked="0"/>
    </xf>
    <xf numFmtId="0" fontId="59" fillId="0" borderId="46" xfId="0" applyFont="1" applyFill="1" applyBorder="1" applyAlignment="1">
      <alignment horizontal="center"/>
    </xf>
    <xf numFmtId="3" fontId="59" fillId="0" borderId="83" xfId="0" applyNumberFormat="1" applyFont="1" applyFill="1" applyBorder="1" applyProtection="1">
      <protection locked="0"/>
    </xf>
    <xf numFmtId="3" fontId="59" fillId="0" borderId="46" xfId="0" applyNumberFormat="1" applyFont="1" applyFill="1" applyBorder="1" applyProtection="1">
      <protection locked="0"/>
    </xf>
    <xf numFmtId="4" fontId="59" fillId="0" borderId="53" xfId="0" applyNumberFormat="1" applyFont="1" applyFill="1" applyBorder="1" applyProtection="1"/>
    <xf numFmtId="0" fontId="59" fillId="0" borderId="18" xfId="0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/>
    </xf>
    <xf numFmtId="0" fontId="59" fillId="0" borderId="86" xfId="0" applyFont="1" applyFill="1" applyBorder="1" applyAlignment="1" applyProtection="1">
      <alignment horizontal="left"/>
    </xf>
    <xf numFmtId="3" fontId="59" fillId="0" borderId="69" xfId="0" applyNumberFormat="1" applyFont="1" applyFill="1" applyBorder="1" applyProtection="1">
      <protection locked="0"/>
    </xf>
    <xf numFmtId="3" fontId="59" fillId="0" borderId="0" xfId="0" applyNumberFormat="1" applyFont="1" applyFill="1" applyBorder="1" applyProtection="1">
      <protection locked="0"/>
    </xf>
    <xf numFmtId="4" fontId="59" fillId="0" borderId="86" xfId="0" applyNumberFormat="1" applyFont="1" applyFill="1" applyBorder="1" applyProtection="1"/>
    <xf numFmtId="3" fontId="63" fillId="0" borderId="73" xfId="0" applyNumberFormat="1" applyFont="1" applyFill="1" applyBorder="1" applyProtection="1">
      <protection locked="0"/>
    </xf>
    <xf numFmtId="4" fontId="63" fillId="0" borderId="79" xfId="0" applyNumberFormat="1" applyFont="1" applyFill="1" applyBorder="1" applyProtection="1"/>
    <xf numFmtId="4" fontId="59" fillId="0" borderId="73" xfId="0" applyNumberFormat="1" applyFont="1" applyFill="1" applyBorder="1" applyProtection="1"/>
    <xf numFmtId="0" fontId="63" fillId="0" borderId="66" xfId="77" applyFont="1" applyFill="1" applyBorder="1" applyAlignment="1">
      <alignment horizontal="left"/>
    </xf>
    <xf numFmtId="0" fontId="63" fillId="0" borderId="66" xfId="77" applyFont="1" applyFill="1" applyBorder="1" applyAlignment="1">
      <alignment horizontal="justify"/>
    </xf>
    <xf numFmtId="0" fontId="63" fillId="0" borderId="74" xfId="0" applyFont="1" applyFill="1" applyBorder="1"/>
    <xf numFmtId="3" fontId="63" fillId="0" borderId="72" xfId="0" applyNumberFormat="1" applyFont="1" applyFill="1" applyBorder="1" applyProtection="1"/>
    <xf numFmtId="4" fontId="59" fillId="0" borderId="84" xfId="0" applyNumberFormat="1" applyFont="1" applyFill="1" applyBorder="1" applyProtection="1"/>
    <xf numFmtId="0" fontId="78" fillId="0" borderId="0" xfId="0" applyFont="1" applyFill="1" applyBorder="1" applyAlignment="1" applyProtection="1">
      <alignment horizontal="left"/>
    </xf>
    <xf numFmtId="0" fontId="59" fillId="28" borderId="83" xfId="0" applyFont="1" applyFill="1" applyBorder="1" applyAlignment="1">
      <alignment horizontal="center"/>
    </xf>
    <xf numFmtId="0" fontId="63" fillId="0" borderId="0" xfId="77" applyFont="1" applyFill="1" applyBorder="1" applyAlignment="1">
      <alignment horizontal="left"/>
    </xf>
    <xf numFmtId="3" fontId="63" fillId="0" borderId="69" xfId="0" applyNumberFormat="1" applyFont="1" applyFill="1" applyBorder="1" applyProtection="1"/>
    <xf numFmtId="0" fontId="63" fillId="0" borderId="50" xfId="0" applyFont="1" applyFill="1" applyBorder="1"/>
    <xf numFmtId="4" fontId="63" fillId="0" borderId="85" xfId="0" applyNumberFormat="1" applyFont="1" applyFill="1" applyBorder="1" applyProtection="1"/>
    <xf numFmtId="0" fontId="59" fillId="0" borderId="37" xfId="0" applyFont="1" applyFill="1" applyBorder="1" applyAlignment="1">
      <alignment horizontal="center"/>
    </xf>
    <xf numFmtId="0" fontId="59" fillId="0" borderId="79" xfId="0" applyFont="1" applyFill="1" applyBorder="1" applyAlignment="1" applyProtection="1">
      <alignment horizontal="left"/>
    </xf>
    <xf numFmtId="3" fontId="59" fillId="0" borderId="73" xfId="0" applyNumberFormat="1" applyFont="1" applyFill="1" applyBorder="1" applyProtection="1">
      <protection locked="0"/>
    </xf>
    <xf numFmtId="3" fontId="59" fillId="0" borderId="37" xfId="0" applyNumberFormat="1" applyFont="1" applyFill="1" applyBorder="1" applyProtection="1">
      <protection locked="0"/>
    </xf>
    <xf numFmtId="0" fontId="73" fillId="0" borderId="17" xfId="0" applyFont="1" applyFill="1" applyBorder="1"/>
    <xf numFmtId="0" fontId="73" fillId="0" borderId="22" xfId="0" applyFont="1" applyFill="1" applyBorder="1" applyAlignment="1" applyProtection="1">
      <alignment horizontal="left"/>
    </xf>
    <xf numFmtId="0" fontId="59" fillId="0" borderId="22" xfId="0" applyFont="1" applyFill="1" applyBorder="1" applyAlignment="1" applyProtection="1">
      <alignment horizontal="left"/>
    </xf>
    <xf numFmtId="3" fontId="59" fillId="0" borderId="76" xfId="0" applyNumberFormat="1" applyFont="1" applyFill="1" applyBorder="1" applyProtection="1"/>
    <xf numFmtId="4" fontId="59" fillId="0" borderId="76" xfId="0" applyNumberFormat="1" applyFont="1" applyFill="1" applyBorder="1" applyProtection="1"/>
    <xf numFmtId="0" fontId="73" fillId="0" borderId="0" xfId="0" applyFont="1" applyFill="1" applyBorder="1" applyAlignment="1" applyProtection="1">
      <alignment horizontal="left"/>
    </xf>
    <xf numFmtId="0" fontId="59" fillId="0" borderId="0" xfId="0" applyFont="1" applyFill="1" applyBorder="1" applyAlignment="1" applyProtection="1">
      <alignment horizontal="left"/>
    </xf>
    <xf numFmtId="3" fontId="59" fillId="0" borderId="69" xfId="0" applyNumberFormat="1" applyFont="1" applyFill="1" applyBorder="1" applyProtection="1"/>
    <xf numFmtId="4" fontId="59" fillId="0" borderId="83" xfId="0" applyNumberFormat="1" applyFont="1" applyFill="1" applyBorder="1" applyProtection="1"/>
    <xf numFmtId="3" fontId="59" fillId="0" borderId="75" xfId="0" applyNumberFormat="1" applyFont="1" applyFill="1" applyBorder="1" applyProtection="1"/>
    <xf numFmtId="4" fontId="59" fillId="0" borderId="75" xfId="0" applyNumberFormat="1" applyFont="1" applyFill="1" applyBorder="1" applyProtection="1"/>
    <xf numFmtId="0" fontId="63" fillId="0" borderId="0" xfId="0" applyFont="1" applyFill="1" applyBorder="1" applyAlignment="1">
      <alignment horizontal="left"/>
    </xf>
    <xf numFmtId="3" fontId="77" fillId="0" borderId="75" xfId="0" applyNumberFormat="1" applyFont="1" applyFill="1" applyBorder="1" applyProtection="1">
      <protection locked="0"/>
    </xf>
    <xf numFmtId="4" fontId="77" fillId="0" borderId="73" xfId="0" applyNumberFormat="1" applyFont="1" applyFill="1" applyBorder="1" applyProtection="1"/>
    <xf numFmtId="3" fontId="77" fillId="0" borderId="73" xfId="0" applyNumberFormat="1" applyFont="1" applyFill="1" applyBorder="1" applyProtection="1">
      <protection locked="0"/>
    </xf>
    <xf numFmtId="4" fontId="77" fillId="0" borderId="69" xfId="0" applyNumberFormat="1" applyFont="1" applyFill="1" applyBorder="1" applyProtection="1"/>
    <xf numFmtId="0" fontId="63" fillId="0" borderId="50" xfId="77" applyFont="1" applyFill="1" applyBorder="1" applyAlignment="1">
      <alignment horizontal="left"/>
    </xf>
    <xf numFmtId="0" fontId="63" fillId="0" borderId="37" xfId="0" applyFont="1" applyFill="1" applyBorder="1"/>
    <xf numFmtId="0" fontId="59" fillId="0" borderId="22" xfId="0" applyFont="1" applyFill="1" applyBorder="1" applyAlignment="1">
      <alignment horizontal="center"/>
    </xf>
    <xf numFmtId="3" fontId="59" fillId="0" borderId="76" xfId="0" applyNumberFormat="1" applyFont="1" applyFill="1" applyBorder="1" applyProtection="1">
      <protection locked="0"/>
    </xf>
    <xf numFmtId="4" fontId="73" fillId="0" borderId="76" xfId="0" applyNumberFormat="1" applyFont="1" applyFill="1" applyBorder="1" applyProtection="1"/>
    <xf numFmtId="0" fontId="63" fillId="0" borderId="53" xfId="0" applyFont="1" applyFill="1" applyBorder="1"/>
    <xf numFmtId="0" fontId="63" fillId="0" borderId="83" xfId="0" applyFont="1" applyFill="1" applyBorder="1"/>
    <xf numFmtId="0" fontId="63" fillId="0" borderId="69" xfId="0" applyFont="1" applyFill="1" applyBorder="1"/>
    <xf numFmtId="0" fontId="78" fillId="0" borderId="18" xfId="0" applyFont="1" applyFill="1" applyBorder="1" applyAlignment="1" applyProtection="1">
      <alignment horizontal="left"/>
    </xf>
    <xf numFmtId="0" fontId="63" fillId="0" borderId="0" xfId="0" applyFont="1" applyFill="1" applyBorder="1" applyAlignment="1" applyProtection="1">
      <alignment horizontal="left"/>
    </xf>
    <xf numFmtId="3" fontId="59" fillId="0" borderId="0" xfId="0" applyNumberFormat="1" applyFont="1" applyFill="1" applyBorder="1" applyProtection="1"/>
    <xf numFmtId="3" fontId="63" fillId="0" borderId="75" xfId="0" applyNumberFormat="1" applyFont="1" applyFill="1" applyBorder="1" applyProtection="1">
      <protection locked="0"/>
    </xf>
    <xf numFmtId="0" fontId="63" fillId="0" borderId="37" xfId="0" applyFont="1" applyFill="1" applyBorder="1" applyAlignment="1" applyProtection="1">
      <alignment horizontal="left"/>
    </xf>
    <xf numFmtId="0" fontId="77" fillId="0" borderId="37" xfId="0" applyFont="1" applyFill="1" applyBorder="1" applyAlignment="1" applyProtection="1">
      <alignment horizontal="left"/>
    </xf>
    <xf numFmtId="0" fontId="78" fillId="0" borderId="37" xfId="0" applyFont="1" applyFill="1" applyBorder="1" applyAlignment="1" applyProtection="1">
      <alignment horizontal="left"/>
    </xf>
    <xf numFmtId="3" fontId="59" fillId="0" borderId="37" xfId="0" applyNumberFormat="1" applyFont="1" applyFill="1" applyBorder="1" applyProtection="1"/>
    <xf numFmtId="0" fontId="59" fillId="0" borderId="0" xfId="0" applyFont="1" applyFill="1" applyBorder="1"/>
    <xf numFmtId="4" fontId="77" fillId="0" borderId="75" xfId="0" applyNumberFormat="1" applyFont="1" applyFill="1" applyBorder="1" applyProtection="1"/>
    <xf numFmtId="3" fontId="63" fillId="0" borderId="69" xfId="0" applyNumberFormat="1" applyFont="1" applyFill="1" applyBorder="1" applyProtection="1">
      <protection locked="0"/>
    </xf>
    <xf numFmtId="0" fontId="71" fillId="0" borderId="22" xfId="0" applyFont="1" applyFill="1" applyBorder="1" applyAlignment="1" applyProtection="1">
      <alignment horizontal="left"/>
    </xf>
    <xf numFmtId="3" fontId="73" fillId="0" borderId="76" xfId="0" applyNumberFormat="1" applyFont="1" applyFill="1" applyBorder="1" applyProtection="1">
      <protection locked="0"/>
    </xf>
    <xf numFmtId="3" fontId="59" fillId="0" borderId="53" xfId="0" applyNumberFormat="1" applyFont="1" applyFill="1" applyBorder="1" applyProtection="1"/>
    <xf numFmtId="0" fontId="63" fillId="0" borderId="23" xfId="0" applyFont="1" applyFill="1" applyBorder="1"/>
    <xf numFmtId="0" fontId="78" fillId="0" borderId="46" xfId="0" applyFont="1" applyFill="1" applyBorder="1" applyAlignment="1" applyProtection="1"/>
    <xf numFmtId="3" fontId="77" fillId="0" borderId="117" xfId="0" applyNumberFormat="1" applyFont="1" applyFill="1" applyBorder="1" applyAlignment="1" applyProtection="1"/>
    <xf numFmtId="0" fontId="63" fillId="0" borderId="125" xfId="0" applyFont="1" applyFill="1" applyBorder="1"/>
    <xf numFmtId="3" fontId="63" fillId="0" borderId="107" xfId="0" applyNumberFormat="1" applyFont="1" applyFill="1" applyBorder="1" applyProtection="1"/>
    <xf numFmtId="4" fontId="63" fillId="0" borderId="125" xfId="0" applyNumberFormat="1" applyFont="1" applyFill="1" applyBorder="1" applyProtection="1"/>
    <xf numFmtId="2" fontId="6" fillId="0" borderId="81" xfId="0" applyNumberFormat="1" applyFont="1" applyFill="1" applyBorder="1"/>
    <xf numFmtId="3" fontId="58" fillId="0" borderId="16" xfId="0" applyNumberFormat="1" applyFont="1" applyBorder="1" applyAlignment="1">
      <alignment horizontal="left"/>
    </xf>
    <xf numFmtId="3" fontId="61" fillId="0" borderId="0" xfId="0" applyNumberFormat="1" applyFont="1" applyFill="1" applyBorder="1" applyAlignment="1">
      <alignment horizontal="right"/>
    </xf>
    <xf numFmtId="0" fontId="61" fillId="0" borderId="70" xfId="0" applyFont="1" applyFill="1" applyBorder="1" applyAlignment="1">
      <alignment horizontal="center"/>
    </xf>
    <xf numFmtId="0" fontId="17" fillId="0" borderId="83" xfId="0" applyFont="1" applyFill="1" applyBorder="1" applyAlignment="1">
      <alignment horizontal="center"/>
    </xf>
    <xf numFmtId="0" fontId="17" fillId="0" borderId="70" xfId="0" applyFont="1" applyFill="1" applyBorder="1" applyAlignment="1">
      <alignment horizontal="center"/>
    </xf>
    <xf numFmtId="0" fontId="7" fillId="0" borderId="86" xfId="0" applyFont="1" applyBorder="1"/>
    <xf numFmtId="3" fontId="6" fillId="0" borderId="86" xfId="0" applyNumberFormat="1" applyFont="1" applyFill="1" applyBorder="1"/>
    <xf numFmtId="0" fontId="79" fillId="0" borderId="23" xfId="0" applyFont="1" applyBorder="1" applyAlignment="1">
      <alignment horizontal="center"/>
    </xf>
    <xf numFmtId="0" fontId="79" fillId="0" borderId="18" xfId="0" applyFont="1" applyBorder="1" applyAlignment="1">
      <alignment horizontal="center"/>
    </xf>
    <xf numFmtId="0" fontId="79" fillId="0" borderId="90" xfId="0" applyFont="1" applyBorder="1" applyAlignment="1">
      <alignment horizontal="center"/>
    </xf>
    <xf numFmtId="3" fontId="79" fillId="0" borderId="54" xfId="0" applyNumberFormat="1" applyFont="1" applyBorder="1" applyAlignment="1">
      <alignment horizontal="center"/>
    </xf>
    <xf numFmtId="0" fontId="80" fillId="0" borderId="23" xfId="0" applyFont="1" applyBorder="1"/>
    <xf numFmtId="3" fontId="80" fillId="0" borderId="45" xfId="0" applyNumberFormat="1" applyFont="1" applyBorder="1"/>
    <xf numFmtId="2" fontId="80" fillId="0" borderId="27" xfId="0" applyNumberFormat="1" applyFont="1" applyBorder="1"/>
    <xf numFmtId="0" fontId="80" fillId="0" borderId="40" xfId="0" applyFont="1" applyBorder="1"/>
    <xf numFmtId="3" fontId="80" fillId="0" borderId="36" xfId="0" applyNumberFormat="1" applyFont="1" applyBorder="1"/>
    <xf numFmtId="3" fontId="80" fillId="0" borderId="34" xfId="0" applyNumberFormat="1" applyFont="1" applyBorder="1"/>
    <xf numFmtId="2" fontId="80" fillId="0" borderId="68" xfId="0" applyNumberFormat="1" applyFont="1" applyBorder="1"/>
    <xf numFmtId="0" fontId="80" fillId="0" borderId="18" xfId="0" applyFont="1" applyBorder="1"/>
    <xf numFmtId="3" fontId="80" fillId="0" borderId="15" xfId="0" applyNumberFormat="1" applyFont="1" applyBorder="1"/>
    <xf numFmtId="3" fontId="80" fillId="0" borderId="29" xfId="0" applyNumberFormat="1" applyFont="1" applyBorder="1"/>
    <xf numFmtId="2" fontId="80" fillId="0" borderId="59" xfId="0" applyNumberFormat="1" applyFont="1" applyBorder="1"/>
    <xf numFmtId="3" fontId="79" fillId="0" borderId="43" xfId="0" applyNumberFormat="1" applyFont="1" applyBorder="1"/>
    <xf numFmtId="3" fontId="79" fillId="0" borderId="44" xfId="0" applyNumberFormat="1" applyFont="1" applyBorder="1"/>
    <xf numFmtId="2" fontId="79" fillId="0" borderId="54" xfId="0" applyNumberFormat="1" applyFont="1" applyBorder="1"/>
    <xf numFmtId="0" fontId="81" fillId="0" borderId="23" xfId="0" applyFont="1" applyBorder="1" applyAlignment="1">
      <alignment horizontal="center"/>
    </xf>
    <xf numFmtId="3" fontId="79" fillId="0" borderId="45" xfId="0" applyNumberFormat="1" applyFont="1" applyBorder="1"/>
    <xf numFmtId="0" fontId="80" fillId="29" borderId="38" xfId="0" applyFont="1" applyFill="1" applyBorder="1"/>
    <xf numFmtId="3" fontId="80" fillId="29" borderId="51" xfId="0" applyNumberFormat="1" applyFont="1" applyFill="1" applyBorder="1"/>
    <xf numFmtId="3" fontId="80" fillId="29" borderId="15" xfId="0" applyNumberFormat="1" applyFont="1" applyFill="1" applyBorder="1"/>
    <xf numFmtId="4" fontId="80" fillId="29" borderId="59" xfId="0" applyNumberFormat="1" applyFont="1" applyFill="1" applyBorder="1"/>
    <xf numFmtId="3" fontId="80" fillId="29" borderId="40" xfId="0" applyNumberFormat="1" applyFont="1" applyFill="1" applyBorder="1" applyAlignment="1">
      <alignment wrapText="1"/>
    </xf>
    <xf numFmtId="3" fontId="80" fillId="29" borderId="36" xfId="0" applyNumberFormat="1" applyFont="1" applyFill="1" applyBorder="1"/>
    <xf numFmtId="4" fontId="80" fillId="29" borderId="68" xfId="0" applyNumberFormat="1" applyFont="1" applyFill="1" applyBorder="1"/>
    <xf numFmtId="3" fontId="80" fillId="29" borderId="34" xfId="0" applyNumberFormat="1" applyFont="1" applyFill="1" applyBorder="1"/>
    <xf numFmtId="3" fontId="80" fillId="0" borderId="40" xfId="0" applyNumberFormat="1" applyFont="1" applyFill="1" applyBorder="1" applyAlignment="1">
      <alignment wrapText="1"/>
    </xf>
    <xf numFmtId="3" fontId="80" fillId="0" borderId="36" xfId="0" applyNumberFormat="1" applyFont="1" applyFill="1" applyBorder="1"/>
    <xf numFmtId="3" fontId="80" fillId="29" borderId="18" xfId="0" applyNumberFormat="1" applyFont="1" applyFill="1" applyBorder="1" applyAlignment="1">
      <alignment wrapText="1"/>
    </xf>
    <xf numFmtId="0" fontId="79" fillId="0" borderId="26" xfId="0" applyFont="1" applyFill="1" applyBorder="1" applyAlignment="1">
      <alignment horizontal="center"/>
    </xf>
    <xf numFmtId="3" fontId="79" fillId="0" borderId="32" xfId="0" applyNumberFormat="1" applyFont="1" applyFill="1" applyBorder="1"/>
    <xf numFmtId="3" fontId="79" fillId="0" borderId="49" xfId="0" applyNumberFormat="1" applyFont="1" applyFill="1" applyBorder="1"/>
    <xf numFmtId="4" fontId="79" fillId="0" borderId="58" xfId="0" applyNumberFormat="1" applyFont="1" applyFill="1" applyBorder="1"/>
    <xf numFmtId="0" fontId="81" fillId="0" borderId="18" xfId="0" applyFont="1" applyBorder="1" applyAlignment="1">
      <alignment horizontal="center"/>
    </xf>
    <xf numFmtId="0" fontId="80" fillId="0" borderId="40" xfId="0" applyFont="1" applyFill="1" applyBorder="1"/>
    <xf numFmtId="3" fontId="80" fillId="0" borderId="73" xfId="0" applyNumberFormat="1" applyFont="1" applyFill="1" applyBorder="1"/>
    <xf numFmtId="3" fontId="80" fillId="29" borderId="38" xfId="0" applyNumberFormat="1" applyFont="1" applyFill="1" applyBorder="1" applyAlignment="1">
      <alignment wrapText="1"/>
    </xf>
    <xf numFmtId="3" fontId="80" fillId="0" borderId="38" xfId="0" applyNumberFormat="1" applyFont="1" applyFill="1" applyBorder="1" applyAlignment="1">
      <alignment wrapText="1"/>
    </xf>
    <xf numFmtId="3" fontId="80" fillId="0" borderId="51" xfId="0" applyNumberFormat="1" applyFont="1" applyFill="1" applyBorder="1"/>
    <xf numFmtId="0" fontId="80" fillId="0" borderId="40" xfId="0" applyFont="1" applyFill="1" applyBorder="1" applyAlignment="1">
      <alignment wrapText="1"/>
    </xf>
    <xf numFmtId="0" fontId="80" fillId="0" borderId="38" xfId="0" applyFont="1" applyFill="1" applyBorder="1"/>
    <xf numFmtId="0" fontId="80" fillId="0" borderId="40" xfId="0" applyFont="1" applyFill="1" applyBorder="1" applyAlignment="1">
      <alignment horizontal="justify" wrapText="1"/>
    </xf>
    <xf numFmtId="3" fontId="80" fillId="0" borderId="52" xfId="0" applyNumberFormat="1" applyFont="1" applyFill="1" applyBorder="1"/>
    <xf numFmtId="0" fontId="82" fillId="0" borderId="40" xfId="0" applyFont="1" applyFill="1" applyBorder="1" applyAlignment="1">
      <alignment horizontal="justify" wrapText="1"/>
    </xf>
    <xf numFmtId="0" fontId="80" fillId="0" borderId="62" xfId="0" applyFont="1" applyFill="1" applyBorder="1"/>
    <xf numFmtId="0" fontId="80" fillId="0" borderId="62" xfId="0" applyFont="1" applyFill="1" applyBorder="1" applyAlignment="1">
      <alignment wrapText="1"/>
    </xf>
    <xf numFmtId="3" fontId="80" fillId="0" borderId="52" xfId="0" applyNumberFormat="1" applyFont="1" applyBorder="1"/>
    <xf numFmtId="0" fontId="82" fillId="0" borderId="38" xfId="0" applyFont="1" applyFill="1" applyBorder="1" applyAlignment="1">
      <alignment horizontal="justify" wrapText="1"/>
    </xf>
    <xf numFmtId="3" fontId="80" fillId="0" borderId="15" xfId="0" applyNumberFormat="1" applyFont="1" applyFill="1" applyBorder="1"/>
    <xf numFmtId="3" fontId="80" fillId="0" borderId="29" xfId="0" applyNumberFormat="1" applyFont="1" applyFill="1" applyBorder="1"/>
    <xf numFmtId="0" fontId="79" fillId="0" borderId="57" xfId="0" applyFont="1" applyBorder="1" applyAlignment="1">
      <alignment horizontal="center"/>
    </xf>
    <xf numFmtId="3" fontId="79" fillId="0" borderId="82" xfId="0" applyNumberFormat="1" applyFont="1" applyBorder="1"/>
    <xf numFmtId="0" fontId="81" fillId="0" borderId="23" xfId="0" applyFont="1" applyFill="1" applyBorder="1" applyAlignment="1">
      <alignment horizontal="center"/>
    </xf>
    <xf numFmtId="3" fontId="79" fillId="0" borderId="47" xfId="0" applyNumberFormat="1" applyFont="1" applyBorder="1"/>
    <xf numFmtId="0" fontId="80" fillId="0" borderId="41" xfId="0" applyFont="1" applyFill="1" applyBorder="1" applyAlignment="1">
      <alignment horizontal="justify" wrapText="1"/>
    </xf>
    <xf numFmtId="3" fontId="80" fillId="0" borderId="64" xfId="0" applyNumberFormat="1" applyFont="1" applyBorder="1"/>
    <xf numFmtId="0" fontId="79" fillId="0" borderId="19" xfId="0" applyFont="1" applyFill="1" applyBorder="1" applyAlignment="1">
      <alignment horizontal="center"/>
    </xf>
    <xf numFmtId="3" fontId="79" fillId="0" borderId="61" xfId="0" applyNumberFormat="1" applyFont="1" applyBorder="1"/>
    <xf numFmtId="0" fontId="79" fillId="0" borderId="20" xfId="0" applyFont="1" applyFill="1" applyBorder="1" applyAlignment="1">
      <alignment horizontal="left"/>
    </xf>
    <xf numFmtId="3" fontId="79" fillId="0" borderId="21" xfId="0" applyNumberFormat="1" applyFont="1" applyBorder="1"/>
    <xf numFmtId="3" fontId="79" fillId="0" borderId="48" xfId="0" applyNumberFormat="1" applyFont="1" applyBorder="1"/>
    <xf numFmtId="2" fontId="79" fillId="0" borderId="60" xfId="0" applyNumberFormat="1" applyFont="1" applyBorder="1"/>
    <xf numFmtId="0" fontId="79" fillId="0" borderId="19" xfId="0" applyFont="1" applyFill="1" applyBorder="1" applyAlignment="1">
      <alignment horizontal="left" wrapText="1"/>
    </xf>
    <xf numFmtId="3" fontId="79" fillId="0" borderId="33" xfId="0" applyNumberFormat="1" applyFont="1" applyBorder="1"/>
    <xf numFmtId="0" fontId="80" fillId="0" borderId="0" xfId="0" applyFont="1"/>
    <xf numFmtId="3" fontId="80" fillId="0" borderId="0" xfId="0" applyNumberFormat="1" applyFont="1"/>
    <xf numFmtId="0" fontId="82" fillId="0" borderId="0" xfId="0" applyFont="1" applyFill="1" applyBorder="1"/>
    <xf numFmtId="3" fontId="80" fillId="0" borderId="0" xfId="0" applyNumberFormat="1" applyFont="1" applyFill="1" applyBorder="1" applyAlignment="1">
      <alignment horizontal="right"/>
    </xf>
    <xf numFmtId="0" fontId="79" fillId="0" borderId="23" xfId="0" applyFont="1" applyFill="1" applyBorder="1" applyAlignment="1">
      <alignment horizontal="center"/>
    </xf>
    <xf numFmtId="0" fontId="79" fillId="28" borderId="83" xfId="0" applyFont="1" applyFill="1" applyBorder="1" applyAlignment="1">
      <alignment horizontal="center"/>
    </xf>
    <xf numFmtId="0" fontId="79" fillId="0" borderId="53" xfId="0" applyFont="1" applyBorder="1" applyAlignment="1">
      <alignment horizontal="center"/>
    </xf>
    <xf numFmtId="0" fontId="79" fillId="28" borderId="70" xfId="0" applyFont="1" applyFill="1" applyBorder="1" applyAlignment="1">
      <alignment horizontal="center"/>
    </xf>
    <xf numFmtId="0" fontId="79" fillId="0" borderId="86" xfId="0" applyFont="1" applyBorder="1" applyAlignment="1">
      <alignment horizontal="center"/>
    </xf>
    <xf numFmtId="0" fontId="80" fillId="0" borderId="23" xfId="0" applyFont="1" applyFill="1" applyBorder="1"/>
    <xf numFmtId="3" fontId="80" fillId="0" borderId="83" xfId="0" applyNumberFormat="1" applyFont="1" applyFill="1" applyBorder="1"/>
    <xf numFmtId="0" fontId="80" fillId="0" borderId="19" xfId="0" applyFont="1" applyFill="1" applyBorder="1"/>
    <xf numFmtId="3" fontId="80" fillId="0" borderId="69" xfId="0" applyNumberFormat="1" applyFont="1" applyFill="1" applyBorder="1"/>
    <xf numFmtId="2" fontId="80" fillId="0" borderId="28" xfId="0" applyNumberFormat="1" applyFont="1" applyBorder="1"/>
    <xf numFmtId="3" fontId="79" fillId="0" borderId="77" xfId="0" applyNumberFormat="1" applyFont="1" applyFill="1" applyBorder="1"/>
    <xf numFmtId="0" fontId="79" fillId="0" borderId="18" xfId="0" applyFont="1" applyFill="1" applyBorder="1"/>
    <xf numFmtId="3" fontId="79" fillId="0" borderId="0" xfId="0" applyNumberFormat="1" applyFont="1" applyFill="1" applyBorder="1"/>
    <xf numFmtId="0" fontId="79" fillId="0" borderId="0" xfId="0" applyFont="1" applyFill="1" applyBorder="1"/>
    <xf numFmtId="3" fontId="79" fillId="0" borderId="86" xfId="0" applyNumberFormat="1" applyFont="1" applyFill="1" applyBorder="1"/>
    <xf numFmtId="0" fontId="79" fillId="0" borderId="20" xfId="0" applyFont="1" applyFill="1" applyBorder="1" applyAlignment="1">
      <alignment wrapText="1"/>
    </xf>
    <xf numFmtId="3" fontId="79" fillId="0" borderId="60" xfId="0" applyNumberFormat="1" applyFont="1" applyFill="1" applyBorder="1"/>
    <xf numFmtId="3" fontId="61" fillId="0" borderId="15" xfId="77" applyNumberFormat="1" applyFont="1" applyFill="1" applyBorder="1"/>
    <xf numFmtId="3" fontId="61" fillId="0" borderId="36" xfId="77" applyNumberFormat="1" applyFont="1" applyFill="1" applyBorder="1"/>
    <xf numFmtId="3" fontId="37" fillId="0" borderId="37" xfId="0" applyNumberFormat="1" applyFont="1" applyFill="1" applyBorder="1" applyAlignment="1">
      <alignment horizontal="justify"/>
    </xf>
    <xf numFmtId="3" fontId="37" fillId="0" borderId="50" xfId="0" applyNumberFormat="1" applyFont="1" applyFill="1" applyBorder="1" applyAlignment="1">
      <alignment horizontal="justify"/>
    </xf>
    <xf numFmtId="0" fontId="37" fillId="0" borderId="37" xfId="0" applyFont="1" applyFill="1" applyBorder="1" applyAlignment="1">
      <alignment wrapText="1"/>
    </xf>
    <xf numFmtId="3" fontId="61" fillId="0" borderId="36" xfId="77" applyNumberFormat="1" applyFont="1" applyFill="1" applyBorder="1" applyAlignment="1">
      <alignment horizontal="right"/>
    </xf>
    <xf numFmtId="3" fontId="61" fillId="0" borderId="15" xfId="77" applyNumberFormat="1" applyFont="1" applyFill="1" applyBorder="1" applyAlignment="1">
      <alignment horizontal="right"/>
    </xf>
    <xf numFmtId="3" fontId="61" fillId="0" borderId="52" xfId="77" applyNumberFormat="1" applyFont="1" applyFill="1" applyBorder="1" applyAlignment="1">
      <alignment horizontal="right"/>
    </xf>
    <xf numFmtId="0" fontId="61" fillId="0" borderId="50" xfId="77" applyFont="1" applyFill="1" applyBorder="1" applyAlignment="1">
      <alignment horizontal="left" wrapText="1"/>
    </xf>
    <xf numFmtId="0" fontId="61" fillId="0" borderId="37" xfId="77" applyFont="1" applyFill="1" applyBorder="1" applyAlignment="1">
      <alignment horizontal="left"/>
    </xf>
    <xf numFmtId="3" fontId="63" fillId="0" borderId="70" xfId="0" applyNumberFormat="1" applyFont="1" applyFill="1" applyBorder="1" applyProtection="1"/>
    <xf numFmtId="3" fontId="77" fillId="0" borderId="73" xfId="0" applyNumberFormat="1" applyFont="1" applyFill="1" applyBorder="1" applyProtection="1"/>
    <xf numFmtId="3" fontId="63" fillId="0" borderId="69" xfId="0" applyNumberFormat="1" applyFont="1" applyFill="1" applyBorder="1"/>
    <xf numFmtId="0" fontId="59" fillId="0" borderId="18" xfId="0" applyFont="1" applyFill="1" applyBorder="1" applyProtection="1"/>
    <xf numFmtId="3" fontId="83" fillId="0" borderId="0" xfId="0" applyNumberFormat="1" applyFont="1"/>
    <xf numFmtId="0" fontId="83" fillId="0" borderId="0" xfId="0" applyFont="1"/>
    <xf numFmtId="0" fontId="63" fillId="0" borderId="16" xfId="0" applyFont="1" applyFill="1" applyBorder="1" applyAlignment="1" applyProtection="1">
      <alignment horizontal="left"/>
    </xf>
    <xf numFmtId="0" fontId="63" fillId="0" borderId="84" xfId="0" applyFont="1" applyFill="1" applyBorder="1" applyAlignment="1" applyProtection="1">
      <alignment horizontal="left"/>
    </xf>
    <xf numFmtId="3" fontId="63" fillId="0" borderId="19" xfId="0" applyNumberFormat="1" applyFont="1" applyFill="1" applyBorder="1" applyProtection="1"/>
    <xf numFmtId="3" fontId="63" fillId="0" borderId="16" xfId="0" applyNumberFormat="1" applyFont="1" applyFill="1" applyBorder="1" applyProtection="1"/>
    <xf numFmtId="3" fontId="63" fillId="0" borderId="40" xfId="0" applyNumberFormat="1" applyFont="1" applyFill="1" applyBorder="1" applyProtection="1"/>
    <xf numFmtId="4" fontId="73" fillId="0" borderId="87" xfId="0" applyNumberFormat="1" applyFont="1" applyFill="1" applyBorder="1" applyProtection="1"/>
    <xf numFmtId="0" fontId="59" fillId="0" borderId="93" xfId="0" applyFont="1" applyFill="1" applyBorder="1" applyAlignment="1">
      <alignment horizontal="left"/>
    </xf>
    <xf numFmtId="0" fontId="59" fillId="0" borderId="93" xfId="0" applyFont="1" applyFill="1" applyBorder="1" applyAlignment="1" applyProtection="1">
      <alignment horizontal="left"/>
    </xf>
    <xf numFmtId="0" fontId="59" fillId="0" borderId="81" xfId="0" applyFont="1" applyFill="1" applyBorder="1" applyAlignment="1" applyProtection="1">
      <alignment horizontal="left"/>
    </xf>
    <xf numFmtId="3" fontId="59" fillId="0" borderId="20" xfId="0" applyNumberFormat="1" applyFont="1" applyFill="1" applyBorder="1" applyProtection="1"/>
    <xf numFmtId="3" fontId="59" fillId="0" borderId="77" xfId="0" applyNumberFormat="1" applyFont="1" applyFill="1" applyBorder="1" applyProtection="1"/>
    <xf numFmtId="3" fontId="59" fillId="0" borderId="93" xfId="0" applyNumberFormat="1" applyFont="1" applyFill="1" applyBorder="1" applyProtection="1"/>
    <xf numFmtId="4" fontId="73" fillId="0" borderId="69" xfId="0" applyNumberFormat="1" applyFont="1" applyFill="1" applyBorder="1" applyProtection="1"/>
    <xf numFmtId="0" fontId="76" fillId="0" borderId="16" xfId="0" applyFont="1" applyFill="1" applyBorder="1" applyAlignment="1" applyProtection="1">
      <alignment horizontal="left"/>
    </xf>
    <xf numFmtId="0" fontId="63" fillId="0" borderId="16" xfId="0" applyFont="1" applyFill="1" applyBorder="1" applyProtection="1"/>
    <xf numFmtId="3" fontId="63" fillId="0" borderId="87" xfId="0" applyNumberFormat="1" applyFont="1" applyFill="1" applyBorder="1"/>
    <xf numFmtId="4" fontId="63" fillId="0" borderId="84" xfId="0" applyNumberFormat="1" applyFont="1" applyFill="1" applyBorder="1" applyProtection="1"/>
    <xf numFmtId="0" fontId="73" fillId="0" borderId="20" xfId="0" applyFont="1" applyFill="1" applyBorder="1"/>
    <xf numFmtId="0" fontId="71" fillId="0" borderId="93" xfId="0" applyFont="1" applyFill="1" applyBorder="1" applyAlignment="1" applyProtection="1">
      <alignment horizontal="left"/>
    </xf>
    <xf numFmtId="3" fontId="59" fillId="0" borderId="77" xfId="0" applyNumberFormat="1" applyFont="1" applyFill="1" applyBorder="1" applyProtection="1">
      <protection locked="0"/>
    </xf>
    <xf numFmtId="4" fontId="59" fillId="0" borderId="81" xfId="0" applyNumberFormat="1" applyFont="1" applyFill="1" applyBorder="1" applyProtection="1"/>
    <xf numFmtId="0" fontId="84" fillId="0" borderId="62" xfId="0" applyFont="1" applyFill="1" applyBorder="1" applyAlignment="1">
      <alignment horizontal="justify" wrapText="1"/>
    </xf>
    <xf numFmtId="49" fontId="80" fillId="0" borderId="40" xfId="0" applyNumberFormat="1" applyFont="1" applyFill="1" applyBorder="1"/>
    <xf numFmtId="49" fontId="80" fillId="0" borderId="62" xfId="0" applyNumberFormat="1" applyFont="1" applyFill="1" applyBorder="1" applyAlignment="1">
      <alignment horizontal="justify" wrapText="1"/>
    </xf>
    <xf numFmtId="3" fontId="38" fillId="0" borderId="15" xfId="77" applyNumberFormat="1" applyFont="1" applyFill="1" applyBorder="1"/>
    <xf numFmtId="0" fontId="38" fillId="0" borderId="18" xfId="77" applyFont="1" applyBorder="1" applyAlignment="1">
      <alignment horizontal="right"/>
    </xf>
    <xf numFmtId="0" fontId="38" fillId="0" borderId="0" xfId="77" applyFont="1" applyBorder="1"/>
    <xf numFmtId="0" fontId="18" fillId="0" borderId="0" xfId="77" applyFont="1"/>
    <xf numFmtId="0" fontId="61" fillId="0" borderId="50" xfId="77" applyFont="1" applyFill="1" applyBorder="1"/>
    <xf numFmtId="3" fontId="59" fillId="0" borderId="23" xfId="0" applyNumberFormat="1" applyFont="1" applyFill="1" applyBorder="1" applyProtection="1"/>
    <xf numFmtId="3" fontId="63" fillId="0" borderId="108" xfId="0" applyNumberFormat="1" applyFont="1" applyFill="1" applyBorder="1" applyProtection="1"/>
    <xf numFmtId="3" fontId="63" fillId="0" borderId="38" xfId="0" applyNumberFormat="1" applyFont="1" applyFill="1" applyBorder="1" applyProtection="1"/>
    <xf numFmtId="3" fontId="63" fillId="0" borderId="127" xfId="0" applyNumberFormat="1" applyFont="1" applyFill="1" applyBorder="1"/>
    <xf numFmtId="0" fontId="63" fillId="0" borderId="37" xfId="77" applyFont="1" applyFill="1" applyBorder="1" applyAlignment="1">
      <alignment horizontal="left"/>
    </xf>
    <xf numFmtId="3" fontId="62" fillId="0" borderId="0" xfId="0" applyNumberFormat="1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3" fontId="77" fillId="0" borderId="72" xfId="0" applyNumberFormat="1" applyFont="1" applyFill="1" applyBorder="1" applyProtection="1">
      <protection locked="0"/>
    </xf>
    <xf numFmtId="0" fontId="63" fillId="0" borderId="37" xfId="77" applyFont="1" applyFill="1" applyBorder="1" applyAlignment="1">
      <alignment horizontal="left"/>
    </xf>
    <xf numFmtId="3" fontId="63" fillId="30" borderId="36" xfId="0" applyNumberFormat="1" applyFont="1" applyFill="1" applyBorder="1"/>
    <xf numFmtId="4" fontId="63" fillId="30" borderId="67" xfId="0" applyNumberFormat="1" applyFont="1" applyFill="1" applyBorder="1" applyAlignment="1">
      <alignment horizontal="right"/>
    </xf>
    <xf numFmtId="0" fontId="11" fillId="0" borderId="0" xfId="77" applyFont="1"/>
    <xf numFmtId="3" fontId="11" fillId="0" borderId="0" xfId="77" applyNumberFormat="1" applyFont="1"/>
    <xf numFmtId="0" fontId="11" fillId="0" borderId="16" xfId="77" applyFont="1" applyFill="1" applyBorder="1" applyAlignment="1">
      <alignment horizontal="justify"/>
    </xf>
    <xf numFmtId="0" fontId="38" fillId="28" borderId="45" xfId="0" applyFont="1" applyFill="1" applyBorder="1" applyAlignment="1">
      <alignment horizontal="center"/>
    </xf>
    <xf numFmtId="0" fontId="38" fillId="0" borderId="27" xfId="0" applyFont="1" applyBorder="1" applyAlignment="1">
      <alignment horizontal="center"/>
    </xf>
    <xf numFmtId="0" fontId="38" fillId="0" borderId="18" xfId="77" applyFont="1" applyBorder="1" applyAlignment="1">
      <alignment horizontal="center"/>
    </xf>
    <xf numFmtId="0" fontId="38" fillId="0" borderId="0" xfId="77" applyFont="1" applyBorder="1" applyAlignment="1">
      <alignment horizontal="center"/>
    </xf>
    <xf numFmtId="0" fontId="38" fillId="0" borderId="43" xfId="0" applyFont="1" applyBorder="1" applyAlignment="1">
      <alignment horizontal="center"/>
    </xf>
    <xf numFmtId="3" fontId="38" fillId="0" borderId="43" xfId="0" applyNumberFormat="1" applyFont="1" applyBorder="1" applyAlignment="1">
      <alignment horizontal="center"/>
    </xf>
    <xf numFmtId="0" fontId="38" fillId="28" borderId="61" xfId="0" applyFont="1" applyFill="1" applyBorder="1" applyAlignment="1">
      <alignment horizontal="center"/>
    </xf>
    <xf numFmtId="0" fontId="38" fillId="0" borderId="28" xfId="0" applyFont="1" applyBorder="1" applyAlignment="1">
      <alignment horizontal="center"/>
    </xf>
    <xf numFmtId="0" fontId="38" fillId="0" borderId="23" xfId="77" applyFont="1" applyBorder="1" applyAlignment="1">
      <alignment horizontal="right"/>
    </xf>
    <xf numFmtId="0" fontId="38" fillId="0" borderId="46" xfId="77" applyFont="1" applyBorder="1"/>
    <xf numFmtId="3" fontId="61" fillId="0" borderId="15" xfId="77" applyNumberFormat="1" applyFont="1" applyFill="1" applyBorder="1" applyAlignment="1">
      <alignment horizontal="center"/>
    </xf>
    <xf numFmtId="3" fontId="61" fillId="0" borderId="15" xfId="77" applyNumberFormat="1" applyFont="1" applyBorder="1"/>
    <xf numFmtId="0" fontId="61" fillId="0" borderId="18" xfId="77" applyFont="1" applyBorder="1" applyAlignment="1">
      <alignment horizontal="right"/>
    </xf>
    <xf numFmtId="3" fontId="61" fillId="0" borderId="52" xfId="77" applyNumberFormat="1" applyFont="1" applyFill="1" applyBorder="1"/>
    <xf numFmtId="0" fontId="61" fillId="0" borderId="37" xfId="77" applyFont="1" applyFill="1" applyBorder="1"/>
    <xf numFmtId="0" fontId="61" fillId="0" borderId="37" xfId="77" applyFont="1" applyFill="1" applyBorder="1" applyAlignment="1">
      <alignment horizontal="justify"/>
    </xf>
    <xf numFmtId="0" fontId="61" fillId="0" borderId="37" xfId="77" applyFont="1" applyFill="1" applyBorder="1" applyAlignment="1">
      <alignment wrapText="1"/>
    </xf>
    <xf numFmtId="0" fontId="38" fillId="0" borderId="26" xfId="77" applyFont="1" applyBorder="1" applyAlignment="1">
      <alignment horizontal="right"/>
    </xf>
    <xf numFmtId="0" fontId="38" fillId="0" borderId="24" xfId="77" applyFont="1" applyBorder="1" applyAlignment="1">
      <alignment horizontal="center"/>
    </xf>
    <xf numFmtId="3" fontId="38" fillId="0" borderId="32" xfId="77" applyNumberFormat="1" applyFont="1" applyFill="1" applyBorder="1"/>
    <xf numFmtId="0" fontId="38" fillId="0" borderId="111" xfId="77" applyFont="1" applyBorder="1" applyAlignment="1">
      <alignment horizontal="right"/>
    </xf>
    <xf numFmtId="0" fontId="38" fillId="0" borderId="112" xfId="77" applyFont="1" applyBorder="1"/>
    <xf numFmtId="3" fontId="38" fillId="0" borderId="113" xfId="77" applyNumberFormat="1" applyFont="1" applyFill="1" applyBorder="1"/>
    <xf numFmtId="3" fontId="61" fillId="0" borderId="114" xfId="77" applyNumberFormat="1" applyFont="1" applyBorder="1"/>
    <xf numFmtId="3" fontId="61" fillId="0" borderId="52" xfId="77" applyNumberFormat="1" applyFont="1" applyBorder="1" applyAlignment="1">
      <alignment horizontal="right"/>
    </xf>
    <xf numFmtId="3" fontId="61" fillId="0" borderId="36" xfId="77" applyNumberFormat="1" applyFont="1" applyBorder="1" applyAlignment="1">
      <alignment horizontal="right"/>
    </xf>
    <xf numFmtId="0" fontId="38" fillId="0" borderId="24" xfId="77" applyFont="1" applyBorder="1"/>
    <xf numFmtId="3" fontId="61" fillId="0" borderId="37" xfId="0" applyNumberFormat="1" applyFont="1" applyFill="1" applyBorder="1" applyAlignment="1">
      <alignment horizontal="justify"/>
    </xf>
    <xf numFmtId="0" fontId="61" fillId="0" borderId="18" xfId="77" applyFont="1" applyFill="1" applyBorder="1" applyAlignment="1">
      <alignment horizontal="right"/>
    </xf>
    <xf numFmtId="0" fontId="58" fillId="0" borderId="18" xfId="77" applyFont="1" applyBorder="1" applyAlignment="1">
      <alignment horizontal="left"/>
    </xf>
    <xf numFmtId="0" fontId="58" fillId="0" borderId="0" xfId="77" applyFont="1" applyBorder="1"/>
    <xf numFmtId="3" fontId="61" fillId="0" borderId="36" xfId="77" applyNumberFormat="1" applyFont="1" applyBorder="1"/>
    <xf numFmtId="3" fontId="61" fillId="0" borderId="37" xfId="0" applyNumberFormat="1" applyFont="1" applyBorder="1"/>
    <xf numFmtId="3" fontId="61" fillId="0" borderId="51" xfId="0" applyNumberFormat="1" applyFont="1" applyBorder="1"/>
    <xf numFmtId="3" fontId="61" fillId="0" borderId="51" xfId="77" applyNumberFormat="1" applyFont="1" applyBorder="1"/>
    <xf numFmtId="3" fontId="61" fillId="0" borderId="50" xfId="0" applyNumberFormat="1" applyFont="1" applyFill="1" applyBorder="1" applyAlignment="1">
      <alignment horizontal="justify"/>
    </xf>
    <xf numFmtId="3" fontId="61" fillId="0" borderId="50" xfId="0" applyNumberFormat="1" applyFont="1" applyBorder="1"/>
    <xf numFmtId="3" fontId="61" fillId="0" borderId="36" xfId="0" applyNumberFormat="1" applyFont="1" applyBorder="1"/>
    <xf numFmtId="0" fontId="61" fillId="0" borderId="37" xfId="77" applyFont="1" applyBorder="1"/>
    <xf numFmtId="3" fontId="61" fillId="0" borderId="39" xfId="77" applyNumberFormat="1" applyFont="1" applyFill="1" applyBorder="1"/>
    <xf numFmtId="0" fontId="38" fillId="0" borderId="18" xfId="77" applyFont="1" applyBorder="1"/>
    <xf numFmtId="3" fontId="38" fillId="0" borderId="36" xfId="77" applyNumberFormat="1" applyFont="1" applyFill="1" applyBorder="1" applyAlignment="1">
      <alignment horizontal="right"/>
    </xf>
    <xf numFmtId="0" fontId="61" fillId="0" borderId="50" xfId="77" applyFont="1" applyBorder="1"/>
    <xf numFmtId="0" fontId="61" fillId="0" borderId="50" xfId="77" applyFont="1" applyFill="1" applyBorder="1" applyAlignment="1">
      <alignment wrapText="1"/>
    </xf>
    <xf numFmtId="0" fontId="38" fillId="0" borderId="18" xfId="77" applyFont="1" applyFill="1" applyBorder="1"/>
    <xf numFmtId="0" fontId="61" fillId="0" borderId="66" xfId="77" applyFont="1" applyFill="1" applyBorder="1"/>
    <xf numFmtId="3" fontId="61" fillId="0" borderId="92" xfId="77" applyNumberFormat="1" applyFont="1" applyFill="1" applyBorder="1"/>
    <xf numFmtId="0" fontId="61" fillId="0" borderId="37" xfId="0" applyFont="1" applyFill="1" applyBorder="1" applyAlignment="1">
      <alignment wrapText="1"/>
    </xf>
    <xf numFmtId="0" fontId="61" fillId="0" borderId="37" xfId="0" applyFont="1" applyBorder="1" applyAlignment="1">
      <alignment horizontal="justify"/>
    </xf>
    <xf numFmtId="0" fontId="61" fillId="0" borderId="50" xfId="0" applyFont="1" applyFill="1" applyBorder="1" applyAlignment="1">
      <alignment wrapText="1"/>
    </xf>
    <xf numFmtId="3" fontId="61" fillId="0" borderId="31" xfId="77" applyNumberFormat="1" applyFont="1" applyFill="1" applyBorder="1"/>
    <xf numFmtId="3" fontId="38" fillId="0" borderId="32" xfId="77" applyNumberFormat="1" applyFont="1" applyFill="1" applyBorder="1" applyAlignment="1">
      <alignment horizontal="right"/>
    </xf>
    <xf numFmtId="0" fontId="38" fillId="0" borderId="17" xfId="77" applyFont="1" applyBorder="1" applyAlignment="1">
      <alignment horizontal="right"/>
    </xf>
    <xf numFmtId="0" fontId="38" fillId="0" borderId="22" xfId="77" applyFont="1" applyBorder="1"/>
    <xf numFmtId="3" fontId="38" fillId="0" borderId="43" xfId="77" applyNumberFormat="1" applyFont="1" applyFill="1" applyBorder="1"/>
    <xf numFmtId="0" fontId="61" fillId="0" borderId="20" xfId="77" applyFont="1" applyBorder="1" applyAlignment="1">
      <alignment horizontal="right"/>
    </xf>
    <xf numFmtId="0" fontId="38" fillId="0" borderId="93" xfId="77" applyFont="1" applyFill="1" applyBorder="1"/>
    <xf numFmtId="3" fontId="38" fillId="0" borderId="21" xfId="77" applyNumberFormat="1" applyFont="1" applyBorder="1"/>
    <xf numFmtId="2" fontId="38" fillId="0" borderId="54" xfId="77" applyNumberFormat="1" applyFont="1" applyBorder="1"/>
    <xf numFmtId="0" fontId="61" fillId="0" borderId="0" xfId="77" applyFont="1"/>
    <xf numFmtId="0" fontId="61" fillId="0" borderId="0" xfId="77" applyFont="1" applyFill="1"/>
    <xf numFmtId="3" fontId="61" fillId="0" borderId="0" xfId="77" applyNumberFormat="1" applyFont="1"/>
    <xf numFmtId="3" fontId="61" fillId="0" borderId="51" xfId="77" applyNumberFormat="1" applyFont="1" applyBorder="1" applyAlignment="1">
      <alignment horizontal="right"/>
    </xf>
    <xf numFmtId="3" fontId="71" fillId="0" borderId="85" xfId="0" applyNumberFormat="1" applyFont="1" applyFill="1" applyBorder="1" applyProtection="1">
      <protection locked="0"/>
    </xf>
    <xf numFmtId="3" fontId="73" fillId="0" borderId="75" xfId="0" applyNumberFormat="1" applyFont="1" applyFill="1" applyBorder="1"/>
    <xf numFmtId="3" fontId="17" fillId="0" borderId="0" xfId="0" applyNumberFormat="1" applyFont="1" applyFill="1" applyBorder="1" applyAlignment="1">
      <alignment wrapText="1"/>
    </xf>
    <xf numFmtId="3" fontId="88" fillId="0" borderId="0" xfId="77" applyNumberFormat="1" applyFont="1" applyFill="1"/>
    <xf numFmtId="0" fontId="88" fillId="0" borderId="18" xfId="77" applyFont="1" applyFill="1" applyBorder="1" applyAlignment="1">
      <alignment horizontal="right"/>
    </xf>
    <xf numFmtId="3" fontId="88" fillId="0" borderId="52" xfId="77" applyNumberFormat="1" applyFont="1" applyFill="1" applyBorder="1"/>
    <xf numFmtId="0" fontId="89" fillId="0" borderId="0" xfId="77" applyFont="1"/>
    <xf numFmtId="0" fontId="85" fillId="0" borderId="0" xfId="77" applyFont="1" applyFill="1"/>
    <xf numFmtId="0" fontId="63" fillId="0" borderId="37" xfId="77" applyFont="1" applyFill="1" applyBorder="1" applyAlignment="1">
      <alignment horizontal="left"/>
    </xf>
    <xf numFmtId="0" fontId="63" fillId="0" borderId="19" xfId="0" applyFont="1" applyFill="1" applyBorder="1" applyProtection="1"/>
    <xf numFmtId="0" fontId="63" fillId="0" borderId="119" xfId="77" applyFont="1" applyFill="1" applyBorder="1" applyAlignment="1">
      <alignment horizontal="left"/>
    </xf>
    <xf numFmtId="0" fontId="80" fillId="0" borderId="62" xfId="0" applyFont="1" applyFill="1" applyBorder="1" applyAlignment="1">
      <alignment horizontal="justify" wrapText="1"/>
    </xf>
    <xf numFmtId="0" fontId="90" fillId="0" borderId="18" xfId="77" applyFont="1" applyFill="1" applyBorder="1" applyAlignment="1">
      <alignment horizontal="right"/>
    </xf>
    <xf numFmtId="0" fontId="90" fillId="0" borderId="37" xfId="0" applyFont="1" applyFill="1" applyBorder="1" applyAlignment="1">
      <alignment wrapText="1"/>
    </xf>
    <xf numFmtId="3" fontId="90" fillId="0" borderId="52" xfId="77" applyNumberFormat="1" applyFont="1" applyFill="1" applyBorder="1"/>
    <xf numFmtId="0" fontId="91" fillId="0" borderId="0" xfId="77" applyFont="1"/>
    <xf numFmtId="0" fontId="63" fillId="0" borderId="119" xfId="0" applyFont="1" applyFill="1" applyBorder="1" applyAlignment="1" applyProtection="1"/>
    <xf numFmtId="3" fontId="63" fillId="0" borderId="120" xfId="0" applyNumberFormat="1" applyFont="1" applyFill="1" applyBorder="1" applyAlignment="1" applyProtection="1">
      <protection locked="0"/>
    </xf>
    <xf numFmtId="0" fontId="92" fillId="0" borderId="83" xfId="0" applyFont="1" applyFill="1" applyBorder="1" applyAlignment="1">
      <alignment horizontal="center"/>
    </xf>
    <xf numFmtId="0" fontId="93" fillId="0" borderId="0" xfId="0" applyFont="1" applyFill="1"/>
    <xf numFmtId="3" fontId="94" fillId="0" borderId="0" xfId="0" applyNumberFormat="1" applyFont="1" applyFill="1"/>
    <xf numFmtId="3" fontId="63" fillId="0" borderId="18" xfId="0" applyNumberFormat="1" applyFont="1" applyFill="1" applyBorder="1"/>
    <xf numFmtId="4" fontId="63" fillId="0" borderId="69" xfId="0" applyNumberFormat="1" applyFont="1" applyFill="1" applyBorder="1" applyProtection="1"/>
    <xf numFmtId="0" fontId="76" fillId="0" borderId="0" xfId="0" applyFont="1" applyFill="1" applyBorder="1" applyProtection="1"/>
    <xf numFmtId="3" fontId="71" fillId="0" borderId="18" xfId="0" applyNumberFormat="1" applyFont="1" applyFill="1" applyBorder="1"/>
    <xf numFmtId="3" fontId="76" fillId="0" borderId="69" xfId="0" applyNumberFormat="1" applyFont="1" applyFill="1" applyBorder="1"/>
    <xf numFmtId="3" fontId="77" fillId="0" borderId="69" xfId="0" applyNumberFormat="1" applyFont="1" applyFill="1" applyBorder="1"/>
    <xf numFmtId="0" fontId="71" fillId="0" borderId="24" xfId="0" applyFont="1" applyFill="1" applyBorder="1" applyProtection="1"/>
    <xf numFmtId="3" fontId="71" fillId="0" borderId="88" xfId="0" applyNumberFormat="1" applyFont="1" applyFill="1" applyBorder="1" applyProtection="1">
      <protection locked="0"/>
    </xf>
    <xf numFmtId="3" fontId="71" fillId="0" borderId="26" xfId="0" applyNumberFormat="1" applyFont="1" applyFill="1" applyBorder="1"/>
    <xf numFmtId="3" fontId="71" fillId="0" borderId="78" xfId="0" applyNumberFormat="1" applyFont="1" applyFill="1" applyBorder="1"/>
    <xf numFmtId="3" fontId="73" fillId="0" borderId="78" xfId="0" applyNumberFormat="1" applyFont="1" applyFill="1" applyBorder="1"/>
    <xf numFmtId="4" fontId="59" fillId="0" borderId="78" xfId="0" applyNumberFormat="1" applyFont="1" applyFill="1" applyBorder="1" applyProtection="1"/>
    <xf numFmtId="0" fontId="71" fillId="0" borderId="50" xfId="0" applyFont="1" applyFill="1" applyBorder="1"/>
    <xf numFmtId="3" fontId="71" fillId="0" borderId="85" xfId="0" applyNumberFormat="1" applyFont="1" applyFill="1" applyBorder="1"/>
    <xf numFmtId="0" fontId="77" fillId="0" borderId="24" xfId="0" applyFont="1" applyFill="1" applyBorder="1" applyAlignment="1" applyProtection="1"/>
    <xf numFmtId="0" fontId="76" fillId="0" borderId="24" xfId="0" applyFont="1" applyFill="1" applyBorder="1" applyProtection="1"/>
    <xf numFmtId="0" fontId="77" fillId="0" borderId="24" xfId="0" applyFont="1" applyFill="1" applyBorder="1" applyAlignment="1" applyProtection="1">
      <alignment wrapText="1"/>
    </xf>
    <xf numFmtId="3" fontId="63" fillId="0" borderId="0" xfId="0" applyNumberFormat="1" applyFont="1" applyFill="1" applyBorder="1"/>
    <xf numFmtId="0" fontId="71" fillId="0" borderId="24" xfId="0" applyFont="1" applyFill="1" applyBorder="1"/>
    <xf numFmtId="3" fontId="59" fillId="0" borderId="24" xfId="0" applyNumberFormat="1" applyFont="1" applyFill="1" applyBorder="1"/>
    <xf numFmtId="0" fontId="59" fillId="0" borderId="24" xfId="0" applyFont="1" applyFill="1" applyBorder="1" applyProtection="1"/>
    <xf numFmtId="3" fontId="59" fillId="0" borderId="88" xfId="0" applyNumberFormat="1" applyFont="1" applyFill="1" applyBorder="1" applyProtection="1">
      <protection locked="0"/>
    </xf>
    <xf numFmtId="3" fontId="59" fillId="0" borderId="26" xfId="0" applyNumberFormat="1" applyFont="1" applyFill="1" applyBorder="1"/>
    <xf numFmtId="3" fontId="59" fillId="0" borderId="78" xfId="0" applyNumberFormat="1" applyFont="1" applyFill="1" applyBorder="1"/>
    <xf numFmtId="4" fontId="73" fillId="0" borderId="78" xfId="0" applyNumberFormat="1" applyFont="1" applyFill="1" applyBorder="1" applyProtection="1"/>
    <xf numFmtId="0" fontId="73" fillId="0" borderId="50" xfId="0" applyFont="1" applyFill="1" applyBorder="1" applyProtection="1"/>
    <xf numFmtId="0" fontId="73" fillId="0" borderId="50" xfId="0" applyFont="1" applyFill="1" applyBorder="1" applyAlignment="1">
      <alignment horizontal="left"/>
    </xf>
    <xf numFmtId="0" fontId="73" fillId="0" borderId="85" xfId="0" applyFont="1" applyFill="1" applyBorder="1" applyAlignment="1">
      <alignment horizontal="left"/>
    </xf>
    <xf numFmtId="3" fontId="73" fillId="0" borderId="38" xfId="0" applyNumberFormat="1" applyFont="1" applyFill="1" applyBorder="1"/>
    <xf numFmtId="0" fontId="63" fillId="0" borderId="66" xfId="0" applyFont="1" applyFill="1" applyBorder="1" applyAlignment="1" applyProtection="1">
      <alignment horizontal="left"/>
    </xf>
    <xf numFmtId="0" fontId="63" fillId="0" borderId="74" xfId="0" applyFont="1" applyFill="1" applyBorder="1" applyAlignment="1" applyProtection="1">
      <alignment horizontal="left"/>
    </xf>
    <xf numFmtId="3" fontId="63" fillId="0" borderId="62" xfId="0" applyNumberFormat="1" applyFont="1" applyFill="1" applyBorder="1" applyProtection="1"/>
    <xf numFmtId="4" fontId="77" fillId="0" borderId="72" xfId="0" applyNumberFormat="1" applyFont="1" applyFill="1" applyBorder="1" applyProtection="1"/>
    <xf numFmtId="0" fontId="71" fillId="0" borderId="22" xfId="0" applyFont="1" applyFill="1" applyBorder="1" applyProtection="1"/>
    <xf numFmtId="0" fontId="59" fillId="0" borderId="80" xfId="0" applyFont="1" applyFill="1" applyBorder="1" applyAlignment="1" applyProtection="1">
      <alignment horizontal="left"/>
    </xf>
    <xf numFmtId="3" fontId="59" fillId="0" borderId="17" xfId="0" applyNumberFormat="1" applyFont="1" applyFill="1" applyBorder="1" applyProtection="1"/>
    <xf numFmtId="0" fontId="95" fillId="0" borderId="0" xfId="77" applyFont="1"/>
    <xf numFmtId="0" fontId="86" fillId="0" borderId="18" xfId="77" applyFont="1" applyFill="1" applyBorder="1" applyAlignment="1">
      <alignment horizontal="right"/>
    </xf>
    <xf numFmtId="0" fontId="87" fillId="0" borderId="0" xfId="77" applyFont="1"/>
    <xf numFmtId="0" fontId="96" fillId="0" borderId="0" xfId="77" applyFont="1" applyAlignment="1">
      <alignment wrapText="1"/>
    </xf>
    <xf numFmtId="0" fontId="90" fillId="0" borderId="50" xfId="77" applyFont="1" applyFill="1" applyBorder="1" applyAlignment="1">
      <alignment wrapText="1"/>
    </xf>
    <xf numFmtId="0" fontId="76" fillId="0" borderId="86" xfId="0" applyFont="1" applyFill="1" applyBorder="1" applyProtection="1"/>
    <xf numFmtId="0" fontId="76" fillId="0" borderId="79" xfId="0" applyFont="1" applyFill="1" applyBorder="1" applyProtection="1"/>
    <xf numFmtId="3" fontId="63" fillId="0" borderId="51" xfId="0" applyNumberFormat="1" applyFont="1" applyFill="1" applyBorder="1"/>
    <xf numFmtId="0" fontId="63" fillId="0" borderId="37" xfId="0" applyFont="1" applyFill="1" applyBorder="1" applyAlignment="1">
      <alignment horizontal="left"/>
    </xf>
    <xf numFmtId="0" fontId="63" fillId="0" borderId="37" xfId="0" applyFont="1" applyFill="1" applyBorder="1" applyAlignment="1">
      <alignment horizontal="left"/>
    </xf>
    <xf numFmtId="0" fontId="63" fillId="0" borderId="37" xfId="77" applyFont="1" applyFill="1" applyBorder="1" applyAlignment="1">
      <alignment horizontal="left"/>
    </xf>
    <xf numFmtId="0" fontId="88" fillId="0" borderId="37" xfId="0" applyFont="1" applyFill="1" applyBorder="1" applyAlignment="1">
      <alignment wrapText="1"/>
    </xf>
    <xf numFmtId="3" fontId="88" fillId="0" borderId="92" xfId="77" applyNumberFormat="1" applyFont="1" applyFill="1" applyBorder="1"/>
    <xf numFmtId="0" fontId="89" fillId="0" borderId="0" xfId="77" applyFont="1" applyFill="1"/>
    <xf numFmtId="3" fontId="88" fillId="0" borderId="36" xfId="77" applyNumberFormat="1" applyFont="1" applyFill="1" applyBorder="1"/>
    <xf numFmtId="3" fontId="88" fillId="0" borderId="39" xfId="77" applyNumberFormat="1" applyFont="1" applyFill="1" applyBorder="1"/>
    <xf numFmtId="0" fontId="88" fillId="0" borderId="37" xfId="77" applyFont="1" applyFill="1" applyBorder="1"/>
    <xf numFmtId="0" fontId="88" fillId="0" borderId="37" xfId="77" applyFont="1" applyFill="1" applyBorder="1" applyAlignment="1">
      <alignment wrapText="1"/>
    </xf>
    <xf numFmtId="3" fontId="88" fillId="0" borderId="36" xfId="77" applyNumberFormat="1" applyFont="1" applyFill="1" applyBorder="1" applyAlignment="1">
      <alignment horizontal="right"/>
    </xf>
    <xf numFmtId="3" fontId="90" fillId="0" borderId="36" xfId="77" applyNumberFormat="1" applyFont="1" applyFill="1" applyBorder="1" applyAlignment="1">
      <alignment horizontal="right"/>
    </xf>
    <xf numFmtId="3" fontId="90" fillId="0" borderId="39" xfId="77" applyNumberFormat="1" applyFont="1" applyFill="1" applyBorder="1"/>
    <xf numFmtId="0" fontId="91" fillId="0" borderId="0" xfId="77" applyFont="1" applyFill="1"/>
    <xf numFmtId="0" fontId="76" fillId="0" borderId="74" xfId="0" applyFont="1" applyFill="1" applyBorder="1" applyProtection="1"/>
    <xf numFmtId="0" fontId="76" fillId="0" borderId="37" xfId="0" applyFont="1" applyFill="1" applyBorder="1" applyProtection="1"/>
    <xf numFmtId="0" fontId="37" fillId="0" borderId="50" xfId="77" applyFont="1" applyBorder="1"/>
    <xf numFmtId="0" fontId="99" fillId="0" borderId="37" xfId="0" applyFont="1" applyBorder="1" applyAlignment="1">
      <alignment wrapText="1"/>
    </xf>
    <xf numFmtId="0" fontId="99" fillId="0" borderId="66" xfId="0" applyFont="1" applyBorder="1" applyAlignment="1">
      <alignment wrapText="1"/>
    </xf>
    <xf numFmtId="0" fontId="61" fillId="0" borderId="50" xfId="77" applyFont="1" applyBorder="1" applyAlignment="1">
      <alignment horizontal="left"/>
    </xf>
    <xf numFmtId="0" fontId="37" fillId="0" borderId="37" xfId="0" applyFont="1" applyBorder="1" applyAlignment="1">
      <alignment wrapText="1"/>
    </xf>
    <xf numFmtId="3" fontId="63" fillId="0" borderId="110" xfId="77" applyNumberFormat="1" applyFont="1" applyBorder="1" applyAlignment="1">
      <alignment horizontal="right"/>
    </xf>
    <xf numFmtId="3" fontId="63" fillId="0" borderId="34" xfId="0" applyNumberFormat="1" applyFont="1" applyFill="1" applyBorder="1"/>
    <xf numFmtId="0" fontId="18" fillId="0" borderId="0" xfId="77" applyFont="1" applyFill="1"/>
    <xf numFmtId="0" fontId="63" fillId="0" borderId="37" xfId="0" applyFont="1" applyFill="1" applyBorder="1" applyAlignment="1">
      <alignment horizontal="left"/>
    </xf>
    <xf numFmtId="3" fontId="86" fillId="0" borderId="0" xfId="77" applyNumberFormat="1" applyFont="1" applyAlignment="1">
      <alignment wrapText="1"/>
    </xf>
    <xf numFmtId="3" fontId="86" fillId="0" borderId="0" xfId="77" applyNumberFormat="1" applyFont="1"/>
    <xf numFmtId="0" fontId="71" fillId="0" borderId="37" xfId="0" applyFont="1" applyFill="1" applyBorder="1" applyProtection="1"/>
    <xf numFmtId="3" fontId="71" fillId="0" borderId="40" xfId="0" applyNumberFormat="1" applyFont="1" applyFill="1" applyBorder="1"/>
    <xf numFmtId="3" fontId="76" fillId="0" borderId="73" xfId="0" applyNumberFormat="1" applyFont="1" applyFill="1" applyBorder="1"/>
    <xf numFmtId="3" fontId="77" fillId="0" borderId="73" xfId="0" applyNumberFormat="1" applyFont="1" applyFill="1" applyBorder="1"/>
    <xf numFmtId="3" fontId="61" fillId="0" borderId="37" xfId="0" applyNumberFormat="1" applyFont="1" applyBorder="1" applyAlignment="1">
      <alignment wrapText="1"/>
    </xf>
    <xf numFmtId="3" fontId="69" fillId="0" borderId="0" xfId="0" applyNumberFormat="1" applyFont="1" applyAlignment="1">
      <alignment horizontal="right"/>
    </xf>
    <xf numFmtId="0" fontId="61" fillId="0" borderId="37" xfId="77" applyFont="1" applyBorder="1" applyAlignment="1">
      <alignment horizontal="left" wrapText="1"/>
    </xf>
    <xf numFmtId="3" fontId="80" fillId="0" borderId="18" xfId="0" applyNumberFormat="1" applyFont="1" applyFill="1" applyBorder="1" applyAlignment="1">
      <alignment wrapText="1"/>
    </xf>
    <xf numFmtId="0" fontId="72" fillId="0" borderId="37" xfId="0" applyFont="1" applyBorder="1" applyAlignment="1"/>
    <xf numFmtId="0" fontId="72" fillId="0" borderId="79" xfId="0" applyFont="1" applyBorder="1" applyAlignment="1"/>
    <xf numFmtId="0" fontId="63" fillId="0" borderId="37" xfId="0" applyFont="1" applyFill="1" applyBorder="1" applyAlignment="1">
      <alignment horizontal="left"/>
    </xf>
    <xf numFmtId="0" fontId="61" fillId="0" borderId="0" xfId="0" applyFont="1" applyFill="1" applyBorder="1" applyAlignment="1">
      <alignment horizontal="right"/>
    </xf>
    <xf numFmtId="0" fontId="38" fillId="0" borderId="25" xfId="0" applyFont="1" applyFill="1" applyBorder="1" applyAlignment="1">
      <alignment horizontal="center"/>
    </xf>
    <xf numFmtId="0" fontId="38" fillId="0" borderId="94" xfId="0" applyFont="1" applyFill="1" applyBorder="1" applyAlignment="1">
      <alignment horizontal="center"/>
    </xf>
    <xf numFmtId="3" fontId="61" fillId="29" borderId="51" xfId="0" applyNumberFormat="1" applyFont="1" applyFill="1" applyBorder="1"/>
    <xf numFmtId="2" fontId="61" fillId="29" borderId="67" xfId="0" applyNumberFormat="1" applyFont="1" applyFill="1" applyBorder="1"/>
    <xf numFmtId="0" fontId="61" fillId="29" borderId="40" xfId="0" applyFont="1" applyFill="1" applyBorder="1"/>
    <xf numFmtId="3" fontId="61" fillId="29" borderId="34" xfId="0" applyNumberFormat="1" applyFont="1" applyFill="1" applyBorder="1"/>
    <xf numFmtId="3" fontId="61" fillId="29" borderId="36" xfId="0" applyNumberFormat="1" applyFont="1" applyFill="1" applyBorder="1"/>
    <xf numFmtId="0" fontId="61" fillId="0" borderId="41" xfId="0" applyFont="1" applyFill="1" applyBorder="1"/>
    <xf numFmtId="3" fontId="61" fillId="0" borderId="35" xfId="0" applyNumberFormat="1" applyFont="1" applyFill="1" applyBorder="1"/>
    <xf numFmtId="3" fontId="61" fillId="0" borderId="64" xfId="0" applyNumberFormat="1" applyFont="1" applyFill="1" applyBorder="1"/>
    <xf numFmtId="2" fontId="61" fillId="0" borderId="67" xfId="0" applyNumberFormat="1" applyFont="1" applyFill="1" applyBorder="1"/>
    <xf numFmtId="0" fontId="38" fillId="0" borderId="17" xfId="0" applyFont="1" applyFill="1" applyBorder="1"/>
    <xf numFmtId="3" fontId="38" fillId="0" borderId="44" xfId="0" applyNumberFormat="1" applyFont="1" applyFill="1" applyBorder="1"/>
    <xf numFmtId="2" fontId="38" fillId="0" borderId="54" xfId="0" applyNumberFormat="1" applyFont="1" applyFill="1" applyBorder="1"/>
    <xf numFmtId="0" fontId="61" fillId="29" borderId="96" xfId="0" applyFont="1" applyFill="1" applyBorder="1" applyAlignment="1">
      <alignment horizontal="left"/>
    </xf>
    <xf numFmtId="3" fontId="61" fillId="29" borderId="116" xfId="0" applyNumberFormat="1" applyFont="1" applyFill="1" applyBorder="1"/>
    <xf numFmtId="2" fontId="61" fillId="29" borderId="102" xfId="0" applyNumberFormat="1" applyFont="1" applyFill="1" applyBorder="1"/>
    <xf numFmtId="0" fontId="61" fillId="29" borderId="105" xfId="0" applyFont="1" applyFill="1" applyBorder="1" applyAlignment="1">
      <alignment horizontal="left" wrapText="1"/>
    </xf>
    <xf numFmtId="0" fontId="61" fillId="29" borderId="40" xfId="0" applyFont="1" applyFill="1" applyBorder="1" applyAlignment="1">
      <alignment wrapText="1"/>
    </xf>
    <xf numFmtId="0" fontId="61" fillId="0" borderId="42" xfId="0" applyFont="1" applyFill="1" applyBorder="1" applyAlignment="1">
      <alignment horizontal="left"/>
    </xf>
    <xf numFmtId="3" fontId="61" fillId="0" borderId="34" xfId="0" applyNumberFormat="1" applyFont="1" applyFill="1" applyBorder="1"/>
    <xf numFmtId="3" fontId="61" fillId="0" borderId="36" xfId="0" applyNumberFormat="1" applyFont="1" applyFill="1" applyBorder="1"/>
    <xf numFmtId="0" fontId="61" fillId="0" borderId="42" xfId="0" applyFont="1" applyFill="1" applyBorder="1" applyAlignment="1">
      <alignment horizontal="left" wrapText="1"/>
    </xf>
    <xf numFmtId="0" fontId="61" fillId="0" borderId="42" xfId="0" applyFont="1" applyFill="1" applyBorder="1"/>
    <xf numFmtId="0" fontId="61" fillId="0" borderId="40" xfId="0" applyFont="1" applyFill="1" applyBorder="1" applyAlignment="1">
      <alignment horizontal="justify"/>
    </xf>
    <xf numFmtId="3" fontId="61" fillId="0" borderId="65" xfId="0" applyNumberFormat="1" applyFont="1" applyFill="1" applyBorder="1"/>
    <xf numFmtId="0" fontId="61" fillId="0" borderId="62" xfId="0" applyFont="1" applyFill="1" applyBorder="1" applyAlignment="1">
      <alignment horizontal="left" wrapText="1"/>
    </xf>
    <xf numFmtId="2" fontId="61" fillId="0" borderId="68" xfId="0" applyNumberFormat="1" applyFont="1" applyFill="1" applyBorder="1"/>
    <xf numFmtId="0" fontId="61" fillId="0" borderId="18" xfId="0" applyFont="1" applyFill="1" applyBorder="1" applyAlignment="1">
      <alignment horizontal="left" wrapText="1"/>
    </xf>
    <xf numFmtId="3" fontId="61" fillId="0" borderId="29" xfId="0" applyNumberFormat="1" applyFont="1" applyFill="1" applyBorder="1"/>
    <xf numFmtId="0" fontId="38" fillId="0" borderId="17" xfId="0" applyFont="1" applyFill="1" applyBorder="1" applyAlignment="1">
      <alignment wrapText="1"/>
    </xf>
    <xf numFmtId="2" fontId="38" fillId="0" borderId="56" xfId="0" applyNumberFormat="1" applyFont="1" applyFill="1" applyBorder="1"/>
    <xf numFmtId="0" fontId="38" fillId="0" borderId="19" xfId="0" applyFont="1" applyFill="1" applyBorder="1"/>
    <xf numFmtId="3" fontId="38" fillId="0" borderId="21" xfId="0" applyNumberFormat="1" applyFont="1" applyFill="1" applyBorder="1"/>
    <xf numFmtId="2" fontId="38" fillId="0" borderId="60" xfId="0" applyNumberFormat="1" applyFont="1" applyFill="1" applyBorder="1"/>
    <xf numFmtId="3" fontId="38" fillId="0" borderId="60" xfId="0" applyNumberFormat="1" applyFont="1" applyFill="1" applyBorder="1"/>
    <xf numFmtId="0" fontId="61" fillId="0" borderId="0" xfId="0" applyFont="1" applyFill="1" applyBorder="1"/>
    <xf numFmtId="3" fontId="61" fillId="0" borderId="0" xfId="0" applyNumberFormat="1" applyFont="1" applyFill="1"/>
    <xf numFmtId="0" fontId="38" fillId="0" borderId="23" xfId="0" applyFont="1" applyFill="1" applyBorder="1" applyAlignment="1">
      <alignment horizontal="center"/>
    </xf>
    <xf numFmtId="0" fontId="38" fillId="28" borderId="27" xfId="0" applyFont="1" applyFill="1" applyBorder="1" applyAlignment="1">
      <alignment horizontal="center"/>
    </xf>
    <xf numFmtId="0" fontId="38" fillId="0" borderId="19" xfId="0" applyFont="1" applyFill="1" applyBorder="1" applyAlignment="1">
      <alignment horizontal="center"/>
    </xf>
    <xf numFmtId="0" fontId="38" fillId="28" borderId="28" xfId="0" applyFont="1" applyFill="1" applyBorder="1" applyAlignment="1">
      <alignment horizontal="center"/>
    </xf>
    <xf numFmtId="0" fontId="61" fillId="29" borderId="108" xfId="0" applyFont="1" applyFill="1" applyBorder="1"/>
    <xf numFmtId="3" fontId="61" fillId="29" borderId="52" xfId="0" applyNumberFormat="1" applyFont="1" applyFill="1" applyBorder="1"/>
    <xf numFmtId="3" fontId="61" fillId="29" borderId="45" xfId="0" applyNumberFormat="1" applyFont="1" applyFill="1" applyBorder="1" applyAlignment="1">
      <alignment horizontal="right"/>
    </xf>
    <xf numFmtId="4" fontId="61" fillId="29" borderId="27" xfId="0" applyNumberFormat="1" applyFont="1" applyFill="1" applyBorder="1" applyAlignment="1">
      <alignment horizontal="right"/>
    </xf>
    <xf numFmtId="3" fontId="61" fillId="29" borderId="101" xfId="0" applyNumberFormat="1" applyFont="1" applyFill="1" applyBorder="1"/>
    <xf numFmtId="3" fontId="61" fillId="29" borderId="64" xfId="0" applyNumberFormat="1" applyFont="1" applyFill="1" applyBorder="1"/>
    <xf numFmtId="4" fontId="61" fillId="29" borderId="109" xfId="0" applyNumberFormat="1" applyFont="1" applyFill="1" applyBorder="1" applyAlignment="1">
      <alignment horizontal="right"/>
    </xf>
    <xf numFmtId="3" fontId="38" fillId="0" borderId="43" xfId="0" applyNumberFormat="1" applyFont="1" applyFill="1" applyBorder="1"/>
    <xf numFmtId="4" fontId="38" fillId="0" borderId="80" xfId="0" applyNumberFormat="1" applyFont="1" applyFill="1" applyBorder="1"/>
    <xf numFmtId="3" fontId="38" fillId="0" borderId="0" xfId="0" applyNumberFormat="1" applyFont="1" applyFill="1" applyBorder="1"/>
    <xf numFmtId="0" fontId="38" fillId="0" borderId="0" xfId="0" applyFont="1" applyFill="1"/>
    <xf numFmtId="4" fontId="38" fillId="0" borderId="0" xfId="0" applyNumberFormat="1" applyFont="1" applyFill="1"/>
    <xf numFmtId="4" fontId="38" fillId="0" borderId="60" xfId="0" applyNumberFormat="1" applyFont="1" applyFill="1" applyBorder="1"/>
    <xf numFmtId="0" fontId="61" fillId="0" borderId="40" xfId="0" applyFont="1" applyFill="1" applyBorder="1" applyAlignment="1">
      <alignment wrapText="1"/>
    </xf>
    <xf numFmtId="4" fontId="38" fillId="0" borderId="77" xfId="0" applyNumberFormat="1" applyFont="1" applyFill="1" applyBorder="1"/>
    <xf numFmtId="0" fontId="100" fillId="0" borderId="69" xfId="0" applyFont="1" applyFill="1" applyBorder="1" applyAlignment="1">
      <alignment horizontal="left"/>
    </xf>
    <xf numFmtId="0" fontId="101" fillId="0" borderId="69" xfId="0" applyFont="1" applyFill="1" applyBorder="1" applyAlignment="1">
      <alignment horizontal="center"/>
    </xf>
    <xf numFmtId="4" fontId="101" fillId="0" borderId="69" xfId="0" applyNumberFormat="1" applyFont="1" applyFill="1" applyBorder="1" applyAlignment="1">
      <alignment horizontal="center"/>
    </xf>
    <xf numFmtId="0" fontId="102" fillId="29" borderId="75" xfId="0" applyFont="1" applyFill="1" applyBorder="1" applyAlignment="1">
      <alignment wrapText="1"/>
    </xf>
    <xf numFmtId="3" fontId="102" fillId="29" borderId="75" xfId="0" applyNumberFormat="1" applyFont="1" applyFill="1" applyBorder="1"/>
    <xf numFmtId="4" fontId="102" fillId="29" borderId="75" xfId="0" applyNumberFormat="1" applyFont="1" applyFill="1" applyBorder="1"/>
    <xf numFmtId="0" fontId="102" fillId="29" borderId="73" xfId="0" applyFont="1" applyFill="1" applyBorder="1"/>
    <xf numFmtId="3" fontId="102" fillId="29" borderId="73" xfId="0" applyNumberFormat="1" applyFont="1" applyFill="1" applyBorder="1"/>
    <xf numFmtId="0" fontId="102" fillId="29" borderId="73" xfId="0" applyFont="1" applyFill="1" applyBorder="1" applyAlignment="1">
      <alignment wrapText="1"/>
    </xf>
    <xf numFmtId="0" fontId="92" fillId="0" borderId="77" xfId="0" applyFont="1" applyFill="1" applyBorder="1"/>
    <xf numFmtId="3" fontId="92" fillId="0" borderId="77" xfId="0" applyNumberFormat="1" applyFont="1" applyFill="1" applyBorder="1"/>
    <xf numFmtId="4" fontId="92" fillId="0" borderId="77" xfId="0" applyNumberFormat="1" applyFont="1" applyFill="1" applyBorder="1"/>
    <xf numFmtId="0" fontId="105" fillId="0" borderId="75" xfId="0" applyFont="1" applyBorder="1" applyAlignment="1">
      <alignment horizontal="justify"/>
    </xf>
    <xf numFmtId="3" fontId="102" fillId="0" borderId="75" xfId="0" applyNumberFormat="1" applyFont="1" applyFill="1" applyBorder="1"/>
    <xf numFmtId="4" fontId="102" fillId="0" borderId="75" xfId="0" applyNumberFormat="1" applyFont="1" applyFill="1" applyBorder="1"/>
    <xf numFmtId="0" fontId="105" fillId="0" borderId="72" xfId="0" applyFont="1" applyFill="1" applyBorder="1" applyAlignment="1">
      <alignment horizontal="justify"/>
    </xf>
    <xf numFmtId="3" fontId="102" fillId="0" borderId="69" xfId="0" applyNumberFormat="1" applyFont="1" applyFill="1" applyBorder="1"/>
    <xf numFmtId="0" fontId="108" fillId="0" borderId="77" xfId="0" applyFont="1" applyBorder="1" applyAlignment="1">
      <alignment horizontal="justify"/>
    </xf>
    <xf numFmtId="0" fontId="105" fillId="0" borderId="107" xfId="0" applyFont="1" applyFill="1" applyBorder="1" applyAlignment="1">
      <alignment horizontal="justify"/>
    </xf>
    <xf numFmtId="3" fontId="102" fillId="0" borderId="107" xfId="0" applyNumberFormat="1" applyFont="1" applyFill="1" applyBorder="1"/>
    <xf numFmtId="4" fontId="102" fillId="0" borderId="107" xfId="0" applyNumberFormat="1" applyFont="1" applyFill="1" applyBorder="1"/>
    <xf numFmtId="0" fontId="105" fillId="0" borderId="73" xfId="0" applyFont="1" applyFill="1" applyBorder="1" applyAlignment="1">
      <alignment horizontal="justify"/>
    </xf>
    <xf numFmtId="3" fontId="102" fillId="0" borderId="73" xfId="0" applyNumberFormat="1" applyFont="1" applyFill="1" applyBorder="1"/>
    <xf numFmtId="4" fontId="102" fillId="0" borderId="73" xfId="0" applyNumberFormat="1" applyFont="1" applyFill="1" applyBorder="1"/>
    <xf numFmtId="4" fontId="102" fillId="0" borderId="69" xfId="0" applyNumberFormat="1" applyFont="1" applyFill="1" applyBorder="1"/>
    <xf numFmtId="0" fontId="108" fillId="0" borderId="83" xfId="0" applyFont="1" applyBorder="1" applyAlignment="1">
      <alignment horizontal="justify"/>
    </xf>
    <xf numFmtId="3" fontId="92" fillId="0" borderId="83" xfId="0" applyNumberFormat="1" applyFont="1" applyFill="1" applyBorder="1"/>
    <xf numFmtId="3" fontId="102" fillId="29" borderId="107" xfId="0" applyNumberFormat="1" applyFont="1" applyFill="1" applyBorder="1"/>
    <xf numFmtId="4" fontId="102" fillId="29" borderId="107" xfId="0" applyNumberFormat="1" applyFont="1" applyFill="1" applyBorder="1"/>
    <xf numFmtId="0" fontId="102" fillId="29" borderId="69" xfId="0" applyFont="1" applyFill="1" applyBorder="1"/>
    <xf numFmtId="3" fontId="102" fillId="29" borderId="69" xfId="0" applyNumberFormat="1" applyFont="1" applyFill="1" applyBorder="1"/>
    <xf numFmtId="4" fontId="102" fillId="29" borderId="69" xfId="0" applyNumberFormat="1" applyFont="1" applyFill="1" applyBorder="1"/>
    <xf numFmtId="4" fontId="102" fillId="29" borderId="73" xfId="0" applyNumberFormat="1" applyFont="1" applyFill="1" applyBorder="1"/>
    <xf numFmtId="0" fontId="102" fillId="0" borderId="107" xfId="0" applyFont="1" applyFill="1" applyBorder="1"/>
    <xf numFmtId="0" fontId="102" fillId="0" borderId="73" xfId="0" applyFont="1" applyFill="1" applyBorder="1"/>
    <xf numFmtId="0" fontId="102" fillId="0" borderId="69" xfId="0" applyFont="1" applyFill="1" applyBorder="1"/>
    <xf numFmtId="0" fontId="102" fillId="0" borderId="75" xfId="0" applyFont="1" applyFill="1" applyBorder="1"/>
    <xf numFmtId="0" fontId="102" fillId="0" borderId="75" xfId="0" applyFont="1" applyFill="1" applyBorder="1" applyAlignment="1">
      <alignment horizontal="justify"/>
    </xf>
    <xf numFmtId="0" fontId="102" fillId="0" borderId="69" xfId="0" applyFont="1" applyFill="1" applyBorder="1" applyAlignment="1">
      <alignment horizontal="left" wrapText="1"/>
    </xf>
    <xf numFmtId="3" fontId="102" fillId="0" borderId="87" xfId="0" applyNumberFormat="1" applyFont="1" applyFill="1" applyBorder="1"/>
    <xf numFmtId="3" fontId="92" fillId="0" borderId="70" xfId="0" applyNumberFormat="1" applyFont="1" applyFill="1" applyBorder="1"/>
    <xf numFmtId="0" fontId="101" fillId="0" borderId="77" xfId="0" applyFont="1" applyFill="1" applyBorder="1" applyAlignment="1">
      <alignment horizontal="left"/>
    </xf>
    <xf numFmtId="3" fontId="101" fillId="0" borderId="77" xfId="0" applyNumberFormat="1" applyFont="1" applyFill="1" applyBorder="1"/>
    <xf numFmtId="0" fontId="103" fillId="0" borderId="69" xfId="0" applyFont="1" applyFill="1" applyBorder="1"/>
    <xf numFmtId="0" fontId="102" fillId="0" borderId="73" xfId="0" applyFont="1" applyFill="1" applyBorder="1" applyAlignment="1"/>
    <xf numFmtId="3" fontId="102" fillId="0" borderId="75" xfId="0" applyNumberFormat="1" applyFont="1" applyFill="1" applyBorder="1" applyAlignment="1">
      <alignment horizontal="right"/>
    </xf>
    <xf numFmtId="4" fontId="102" fillId="0" borderId="75" xfId="0" applyNumberFormat="1" applyFont="1" applyFill="1" applyBorder="1" applyAlignment="1">
      <alignment horizontal="right"/>
    </xf>
    <xf numFmtId="3" fontId="102" fillId="0" borderId="75" xfId="0" applyNumberFormat="1" applyFont="1" applyFill="1" applyBorder="1" applyAlignment="1">
      <alignment horizontal="justify"/>
    </xf>
    <xf numFmtId="3" fontId="109" fillId="0" borderId="75" xfId="0" applyNumberFormat="1" applyFont="1" applyFill="1" applyBorder="1" applyAlignment="1">
      <alignment horizontal="right"/>
    </xf>
    <xf numFmtId="3" fontId="110" fillId="0" borderId="73" xfId="78" applyNumberFormat="1" applyFont="1" applyFill="1" applyBorder="1" applyAlignment="1">
      <alignment horizontal="justify" wrapText="1"/>
    </xf>
    <xf numFmtId="3" fontId="110" fillId="0" borderId="75" xfId="78" applyNumberFormat="1" applyFont="1" applyFill="1" applyBorder="1" applyAlignment="1">
      <alignment horizontal="right" wrapText="1"/>
    </xf>
    <xf numFmtId="3" fontId="102" fillId="0" borderId="73" xfId="0" applyNumberFormat="1" applyFont="1" applyFill="1" applyBorder="1" applyAlignment="1">
      <alignment horizontal="right"/>
    </xf>
    <xf numFmtId="4" fontId="102" fillId="0" borderId="73" xfId="0" applyNumberFormat="1" applyFont="1" applyFill="1" applyBorder="1" applyAlignment="1">
      <alignment horizontal="right"/>
    </xf>
    <xf numFmtId="3" fontId="102" fillId="0" borderId="69" xfId="0" applyNumberFormat="1" applyFont="1" applyFill="1" applyBorder="1" applyAlignment="1">
      <alignment horizontal="right"/>
    </xf>
    <xf numFmtId="0" fontId="102" fillId="0" borderId="69" xfId="0" applyFont="1" applyFill="1" applyBorder="1" applyAlignment="1"/>
    <xf numFmtId="3" fontId="110" fillId="0" borderId="106" xfId="78" applyNumberFormat="1" applyFont="1" applyFill="1" applyBorder="1" applyAlignment="1">
      <alignment horizontal="justify" wrapText="1"/>
    </xf>
    <xf numFmtId="3" fontId="102" fillId="0" borderId="106" xfId="0" applyNumberFormat="1" applyFont="1" applyFill="1" applyBorder="1" applyAlignment="1">
      <alignment horizontal="right"/>
    </xf>
    <xf numFmtId="0" fontId="101" fillId="0" borderId="70" xfId="0" applyFont="1" applyFill="1" applyBorder="1"/>
    <xf numFmtId="3" fontId="101" fillId="0" borderId="70" xfId="0" applyNumberFormat="1" applyFont="1" applyFill="1" applyBorder="1" applyAlignment="1">
      <alignment horizontal="right"/>
    </xf>
    <xf numFmtId="0" fontId="101" fillId="0" borderId="76" xfId="0" applyFont="1" applyFill="1" applyBorder="1"/>
    <xf numFmtId="3" fontId="101" fillId="0" borderId="76" xfId="0" applyNumberFormat="1" applyFont="1" applyFill="1" applyBorder="1"/>
    <xf numFmtId="4" fontId="101" fillId="0" borderId="76" xfId="0" applyNumberFormat="1" applyFont="1" applyFill="1" applyBorder="1"/>
    <xf numFmtId="4" fontId="101" fillId="0" borderId="70" xfId="0" applyNumberFormat="1" applyFont="1" applyFill="1" applyBorder="1" applyAlignment="1">
      <alignment horizontal="right"/>
    </xf>
    <xf numFmtId="4" fontId="101" fillId="0" borderId="77" xfId="0" applyNumberFormat="1" applyFont="1" applyFill="1" applyBorder="1"/>
    <xf numFmtId="3" fontId="101" fillId="0" borderId="89" xfId="0" applyNumberFormat="1" applyFont="1" applyFill="1" applyBorder="1"/>
    <xf numFmtId="4" fontId="101" fillId="0" borderId="89" xfId="0" applyNumberFormat="1" applyFont="1" applyFill="1" applyBorder="1"/>
    <xf numFmtId="0" fontId="101" fillId="0" borderId="77" xfId="0" applyFont="1" applyFill="1" applyBorder="1"/>
    <xf numFmtId="0" fontId="100" fillId="0" borderId="89" xfId="0" applyFont="1" applyFill="1" applyBorder="1" applyAlignment="1">
      <alignment horizontal="left"/>
    </xf>
    <xf numFmtId="3" fontId="110" fillId="0" borderId="75" xfId="78" applyNumberFormat="1" applyFont="1" applyFill="1" applyBorder="1" applyAlignment="1">
      <alignment wrapText="1"/>
    </xf>
    <xf numFmtId="4" fontId="92" fillId="0" borderId="76" xfId="0" applyNumberFormat="1" applyFont="1" applyFill="1" applyBorder="1"/>
    <xf numFmtId="0" fontId="100" fillId="0" borderId="69" xfId="0" applyFont="1" applyFill="1" applyBorder="1" applyAlignment="1">
      <alignment horizontal="left" wrapText="1"/>
    </xf>
    <xf numFmtId="3" fontId="101" fillId="0" borderId="69" xfId="0" applyNumberFormat="1" applyFont="1" applyFill="1" applyBorder="1"/>
    <xf numFmtId="4" fontId="101" fillId="0" borderId="69" xfId="0" applyNumberFormat="1" applyFont="1" applyFill="1" applyBorder="1"/>
    <xf numFmtId="3" fontId="101" fillId="0" borderId="76" xfId="0" applyNumberFormat="1" applyFont="1" applyFill="1" applyBorder="1" applyAlignment="1">
      <alignment horizontal="right"/>
    </xf>
    <xf numFmtId="4" fontId="92" fillId="0" borderId="76" xfId="0" applyNumberFormat="1" applyFont="1" applyFill="1" applyBorder="1" applyAlignment="1">
      <alignment horizontal="right"/>
    </xf>
    <xf numFmtId="3" fontId="110" fillId="0" borderId="75" xfId="78" applyNumberFormat="1" applyFont="1" applyFill="1" applyBorder="1" applyAlignment="1">
      <alignment horizontal="justify" wrapText="1"/>
    </xf>
    <xf numFmtId="0" fontId="92" fillId="0" borderId="89" xfId="0" applyFont="1" applyFill="1" applyBorder="1" applyAlignment="1">
      <alignment horizontal="center"/>
    </xf>
    <xf numFmtId="0" fontId="101" fillId="28" borderId="83" xfId="0" applyFont="1" applyFill="1" applyBorder="1" applyAlignment="1">
      <alignment horizontal="center"/>
    </xf>
    <xf numFmtId="0" fontId="101" fillId="0" borderId="22" xfId="0" applyFont="1" applyBorder="1" applyAlignment="1">
      <alignment horizontal="center"/>
    </xf>
    <xf numFmtId="0" fontId="101" fillId="0" borderId="44" xfId="0" applyFont="1" applyBorder="1" applyAlignment="1">
      <alignment horizontal="center"/>
    </xf>
    <xf numFmtId="0" fontId="101" fillId="28" borderId="70" xfId="0" applyFont="1" applyFill="1" applyBorder="1" applyAlignment="1">
      <alignment horizontal="center"/>
    </xf>
    <xf numFmtId="0" fontId="101" fillId="28" borderId="61" xfId="0" applyFont="1" applyFill="1" applyBorder="1" applyAlignment="1">
      <alignment horizontal="center"/>
    </xf>
    <xf numFmtId="0" fontId="102" fillId="0" borderId="126" xfId="0" applyFont="1" applyFill="1" applyBorder="1" applyAlignment="1">
      <alignment wrapText="1"/>
    </xf>
    <xf numFmtId="3" fontId="105" fillId="0" borderId="73" xfId="0" applyNumberFormat="1" applyFont="1" applyFill="1" applyBorder="1" applyAlignment="1">
      <alignment horizontal="justify"/>
    </xf>
    <xf numFmtId="3" fontId="105" fillId="0" borderId="73" xfId="0" applyNumberFormat="1" applyFont="1" applyFill="1" applyBorder="1" applyAlignment="1">
      <alignment horizontal="right"/>
    </xf>
    <xf numFmtId="0" fontId="108" fillId="0" borderId="77" xfId="0" applyFont="1" applyFill="1" applyBorder="1" applyAlignment="1">
      <alignment horizontal="justify"/>
    </xf>
    <xf numFmtId="3" fontId="105" fillId="0" borderId="40" xfId="0" applyNumberFormat="1" applyFont="1" applyFill="1" applyBorder="1" applyAlignment="1">
      <alignment horizontal="justify"/>
    </xf>
    <xf numFmtId="3" fontId="102" fillId="0" borderId="38" xfId="0" applyNumberFormat="1" applyFont="1" applyFill="1" applyBorder="1"/>
    <xf numFmtId="3" fontId="92" fillId="0" borderId="20" xfId="0" applyNumberFormat="1" applyFont="1" applyFill="1" applyBorder="1"/>
    <xf numFmtId="0" fontId="109" fillId="29" borderId="73" xfId="0" applyFont="1" applyFill="1" applyBorder="1"/>
    <xf numFmtId="0" fontId="109" fillId="0" borderId="73" xfId="0" applyFont="1" applyFill="1" applyBorder="1"/>
    <xf numFmtId="3" fontId="102" fillId="0" borderId="40" xfId="0" applyNumberFormat="1" applyFont="1" applyFill="1" applyBorder="1" applyAlignment="1">
      <alignment horizontal="right"/>
    </xf>
    <xf numFmtId="3" fontId="109" fillId="0" borderId="73" xfId="0" applyNumberFormat="1" applyFont="1" applyFill="1" applyBorder="1"/>
    <xf numFmtId="0" fontId="101" fillId="0" borderId="20" xfId="0" applyFont="1" applyFill="1" applyBorder="1"/>
    <xf numFmtId="3" fontId="101" fillId="0" borderId="20" xfId="0" applyNumberFormat="1" applyFont="1" applyFill="1" applyBorder="1"/>
    <xf numFmtId="0" fontId="92" fillId="28" borderId="83" xfId="0" applyFont="1" applyFill="1" applyBorder="1" applyAlignment="1">
      <alignment horizontal="center"/>
    </xf>
    <xf numFmtId="0" fontId="92" fillId="0" borderId="53" xfId="0" applyFont="1" applyBorder="1" applyAlignment="1">
      <alignment horizontal="center"/>
    </xf>
    <xf numFmtId="0" fontId="92" fillId="0" borderId="90" xfId="0" applyFont="1" applyBorder="1" applyAlignment="1">
      <alignment horizontal="center"/>
    </xf>
    <xf numFmtId="0" fontId="92" fillId="0" borderId="44" xfId="0" applyFont="1" applyBorder="1" applyAlignment="1">
      <alignment horizontal="center"/>
    </xf>
    <xf numFmtId="0" fontId="92" fillId="28" borderId="70" xfId="0" applyFont="1" applyFill="1" applyBorder="1" applyAlignment="1">
      <alignment horizontal="center"/>
    </xf>
    <xf numFmtId="0" fontId="92" fillId="0" borderId="84" xfId="0" applyFont="1" applyBorder="1" applyAlignment="1">
      <alignment horizontal="center"/>
    </xf>
    <xf numFmtId="3" fontId="100" fillId="0" borderId="16" xfId="0" applyNumberFormat="1" applyFont="1" applyBorder="1" applyAlignment="1">
      <alignment horizontal="left"/>
    </xf>
    <xf numFmtId="3" fontId="109" fillId="0" borderId="0" xfId="0" applyNumberFormat="1" applyFont="1" applyAlignment="1">
      <alignment horizontal="left"/>
    </xf>
    <xf numFmtId="3" fontId="109" fillId="0" borderId="0" xfId="0" applyNumberFormat="1" applyFont="1" applyAlignment="1">
      <alignment horizontal="right"/>
    </xf>
    <xf numFmtId="3" fontId="92" fillId="0" borderId="25" xfId="0" applyNumberFormat="1" applyFont="1" applyBorder="1" applyAlignment="1">
      <alignment horizontal="center"/>
    </xf>
    <xf numFmtId="0" fontId="92" fillId="28" borderId="45" xfId="0" applyFont="1" applyFill="1" applyBorder="1" applyAlignment="1">
      <alignment horizontal="center"/>
    </xf>
    <xf numFmtId="0" fontId="92" fillId="0" borderId="27" xfId="0" applyFont="1" applyBorder="1" applyAlignment="1">
      <alignment horizontal="center"/>
    </xf>
    <xf numFmtId="3" fontId="92" fillId="0" borderId="30" xfId="0" applyNumberFormat="1" applyFont="1" applyBorder="1" applyAlignment="1">
      <alignment horizontal="center"/>
    </xf>
    <xf numFmtId="0" fontId="92" fillId="0" borderId="55" xfId="0" applyFont="1" applyBorder="1" applyAlignment="1">
      <alignment horizontal="center"/>
    </xf>
    <xf numFmtId="0" fontId="92" fillId="28" borderId="61" xfId="0" applyFont="1" applyFill="1" applyBorder="1" applyAlignment="1">
      <alignment horizontal="center"/>
    </xf>
    <xf numFmtId="0" fontId="92" fillId="0" borderId="28" xfId="0" applyFont="1" applyBorder="1" applyAlignment="1">
      <alignment horizontal="center"/>
    </xf>
    <xf numFmtId="0" fontId="109" fillId="29" borderId="108" xfId="0" applyFont="1" applyFill="1" applyBorder="1" applyAlignment="1">
      <alignment horizontal="justify"/>
    </xf>
    <xf numFmtId="3" fontId="109" fillId="29" borderId="116" xfId="0" applyNumberFormat="1" applyFont="1" applyFill="1" applyBorder="1"/>
    <xf numFmtId="3" fontId="109" fillId="29" borderId="36" xfId="0" applyNumberFormat="1" applyFont="1" applyFill="1" applyBorder="1"/>
    <xf numFmtId="4" fontId="109" fillId="29" borderId="67" xfId="0" applyNumberFormat="1" applyFont="1" applyFill="1" applyBorder="1"/>
    <xf numFmtId="0" fontId="109" fillId="29" borderId="40" xfId="0" applyFont="1" applyFill="1" applyBorder="1" applyAlignment="1">
      <alignment horizontal="justify"/>
    </xf>
    <xf numFmtId="4" fontId="109" fillId="29" borderId="68" xfId="0" applyNumberFormat="1" applyFont="1" applyFill="1" applyBorder="1"/>
    <xf numFmtId="3" fontId="109" fillId="29" borderId="15" xfId="0" applyNumberFormat="1" applyFont="1" applyFill="1" applyBorder="1"/>
    <xf numFmtId="3" fontId="92" fillId="0" borderId="17" xfId="0" applyNumberFormat="1" applyFont="1" applyBorder="1"/>
    <xf numFmtId="3" fontId="92" fillId="0" borderId="43" xfId="0" applyNumberFormat="1" applyFont="1" applyBorder="1"/>
    <xf numFmtId="4" fontId="92" fillId="0" borderId="54" xfId="0" applyNumberFormat="1" applyFont="1" applyBorder="1"/>
    <xf numFmtId="0" fontId="100" fillId="0" borderId="18" xfId="0" applyFont="1" applyFill="1" applyBorder="1"/>
    <xf numFmtId="3" fontId="92" fillId="0" borderId="15" xfId="0" applyNumberFormat="1" applyFont="1" applyBorder="1"/>
    <xf numFmtId="3" fontId="92" fillId="0" borderId="0" xfId="0" applyNumberFormat="1" applyFont="1" applyBorder="1"/>
    <xf numFmtId="4" fontId="92" fillId="0" borderId="59" xfId="0" applyNumberFormat="1" applyFont="1" applyBorder="1"/>
    <xf numFmtId="0" fontId="109" fillId="0" borderId="38" xfId="0" applyFont="1" applyFill="1" applyBorder="1"/>
    <xf numFmtId="3" fontId="109" fillId="0" borderId="51" xfId="0" applyNumberFormat="1" applyFont="1" applyFill="1" applyBorder="1"/>
    <xf numFmtId="4" fontId="109" fillId="0" borderId="67" xfId="0" applyNumberFormat="1" applyFont="1" applyBorder="1"/>
    <xf numFmtId="0" fontId="100" fillId="0" borderId="20" xfId="0" applyFont="1" applyFill="1" applyBorder="1"/>
    <xf numFmtId="3" fontId="92" fillId="0" borderId="21" xfId="0" applyNumberFormat="1" applyFont="1" applyBorder="1"/>
    <xf numFmtId="4" fontId="109" fillId="0" borderId="60" xfId="0" applyNumberFormat="1" applyFont="1" applyBorder="1"/>
    <xf numFmtId="3" fontId="109" fillId="0" borderId="45" xfId="0" applyNumberFormat="1" applyFont="1" applyFill="1" applyBorder="1"/>
    <xf numFmtId="3" fontId="109" fillId="0" borderId="46" xfId="0" applyNumberFormat="1" applyFont="1" applyBorder="1"/>
    <xf numFmtId="3" fontId="109" fillId="0" borderId="45" xfId="0" applyNumberFormat="1" applyFont="1" applyBorder="1"/>
    <xf numFmtId="4" fontId="109" fillId="0" borderId="27" xfId="0" applyNumberFormat="1" applyFont="1" applyBorder="1"/>
    <xf numFmtId="0" fontId="109" fillId="0" borderId="40" xfId="0" applyFont="1" applyFill="1" applyBorder="1"/>
    <xf numFmtId="3" fontId="109" fillId="0" borderId="36" xfId="0" applyNumberFormat="1" applyFont="1" applyFill="1" applyBorder="1"/>
    <xf numFmtId="3" fontId="109" fillId="0" borderId="36" xfId="0" applyNumberFormat="1" applyFont="1" applyBorder="1"/>
    <xf numFmtId="4" fontId="109" fillId="0" borderId="68" xfId="0" applyNumberFormat="1" applyFont="1" applyBorder="1"/>
    <xf numFmtId="3" fontId="109" fillId="29" borderId="29" xfId="0" applyNumberFormat="1" applyFont="1" applyFill="1" applyBorder="1"/>
    <xf numFmtId="3" fontId="109" fillId="0" borderId="51" xfId="0" applyNumberFormat="1" applyFont="1" applyBorder="1"/>
    <xf numFmtId="4" fontId="109" fillId="0" borderId="67" xfId="0" applyNumberFormat="1" applyFont="1" applyFill="1" applyBorder="1"/>
    <xf numFmtId="0" fontId="109" fillId="0" borderId="40" xfId="0" applyFont="1" applyFill="1" applyBorder="1" applyAlignment="1">
      <alignment horizontal="justify"/>
    </xf>
    <xf numFmtId="0" fontId="109" fillId="0" borderId="62" xfId="0" applyFont="1" applyFill="1" applyBorder="1"/>
    <xf numFmtId="3" fontId="109" fillId="0" borderId="52" xfId="0" applyNumberFormat="1" applyFont="1" applyFill="1" applyBorder="1"/>
    <xf numFmtId="3" fontId="109" fillId="0" borderId="52" xfId="0" applyNumberFormat="1" applyFont="1" applyBorder="1"/>
    <xf numFmtId="0" fontId="109" fillId="0" borderId="18" xfId="0" applyFont="1" applyFill="1" applyBorder="1" applyAlignment="1">
      <alignment horizontal="justify"/>
    </xf>
    <xf numFmtId="3" fontId="109" fillId="0" borderId="61" xfId="0" applyNumberFormat="1" applyFont="1" applyFill="1" applyBorder="1"/>
    <xf numFmtId="3" fontId="109" fillId="0" borderId="15" xfId="0" applyNumberFormat="1" applyFont="1" applyBorder="1"/>
    <xf numFmtId="0" fontId="100" fillId="0" borderId="20" xfId="0" applyFont="1" applyFill="1" applyBorder="1" applyAlignment="1">
      <alignment horizontal="justify"/>
    </xf>
    <xf numFmtId="4" fontId="92" fillId="0" borderId="60" xfId="0" applyNumberFormat="1" applyFont="1" applyBorder="1"/>
    <xf numFmtId="0" fontId="92" fillId="0" borderId="17" xfId="0" applyFont="1" applyFill="1" applyBorder="1"/>
    <xf numFmtId="3" fontId="92" fillId="0" borderId="61" xfId="0" applyNumberFormat="1" applyFont="1" applyBorder="1"/>
    <xf numFmtId="3" fontId="109" fillId="0" borderId="0" xfId="0" applyNumberFormat="1" applyFont="1"/>
    <xf numFmtId="3" fontId="92" fillId="0" borderId="94" xfId="0" applyNumberFormat="1" applyFont="1" applyBorder="1" applyAlignment="1">
      <alignment horizontal="center"/>
    </xf>
    <xf numFmtId="0" fontId="92" fillId="0" borderId="43" xfId="0" applyFont="1" applyBorder="1" applyAlignment="1">
      <alignment horizontal="center"/>
    </xf>
    <xf numFmtId="0" fontId="109" fillId="29" borderId="18" xfId="0" applyFont="1" applyFill="1" applyBorder="1" applyAlignment="1">
      <alignment horizontal="left" wrapText="1"/>
    </xf>
    <xf numFmtId="4" fontId="109" fillId="29" borderId="56" xfId="0" applyNumberFormat="1" applyFont="1" applyFill="1" applyBorder="1"/>
    <xf numFmtId="0" fontId="109" fillId="29" borderId="40" xfId="0" applyFont="1" applyFill="1" applyBorder="1" applyAlignment="1">
      <alignment horizontal="left" wrapText="1"/>
    </xf>
    <xf numFmtId="4" fontId="109" fillId="29" borderId="71" xfId="0" applyNumberFormat="1" applyFont="1" applyFill="1" applyBorder="1"/>
    <xf numFmtId="0" fontId="109" fillId="29" borderId="19" xfId="0" applyFont="1" applyFill="1" applyBorder="1" applyAlignment="1">
      <alignment horizontal="left" wrapText="1"/>
    </xf>
    <xf numFmtId="3" fontId="109" fillId="29" borderId="61" xfId="0" applyNumberFormat="1" applyFont="1" applyFill="1" applyBorder="1"/>
    <xf numFmtId="0" fontId="92" fillId="0" borderId="20" xfId="0" applyFont="1" applyFill="1" applyBorder="1"/>
    <xf numFmtId="4" fontId="109" fillId="0" borderId="77" xfId="0" applyNumberFormat="1" applyFont="1" applyBorder="1"/>
    <xf numFmtId="3" fontId="17" fillId="0" borderId="103" xfId="0" applyNumberFormat="1" applyFont="1" applyBorder="1"/>
    <xf numFmtId="4" fontId="17" fillId="0" borderId="60" xfId="0" applyNumberFormat="1" applyFont="1" applyBorder="1"/>
    <xf numFmtId="0" fontId="102" fillId="0" borderId="0" xfId="0" applyFont="1" applyAlignment="1">
      <alignment horizontal="right"/>
    </xf>
    <xf numFmtId="0" fontId="101" fillId="0" borderId="23" xfId="0" applyFont="1" applyBorder="1" applyAlignment="1">
      <alignment horizontal="center"/>
    </xf>
    <xf numFmtId="0" fontId="101" fillId="28" borderId="45" xfId="0" applyFont="1" applyFill="1" applyBorder="1" applyAlignment="1">
      <alignment horizontal="center"/>
    </xf>
    <xf numFmtId="0" fontId="101" fillId="0" borderId="27" xfId="0" applyFont="1" applyBorder="1" applyAlignment="1">
      <alignment horizontal="center"/>
    </xf>
    <xf numFmtId="0" fontId="101" fillId="0" borderId="19" xfId="0" applyFont="1" applyBorder="1" applyAlignment="1">
      <alignment horizontal="center"/>
    </xf>
    <xf numFmtId="0" fontId="101" fillId="0" borderId="43" xfId="0" applyFont="1" applyBorder="1" applyAlignment="1">
      <alignment horizontal="center"/>
    </xf>
    <xf numFmtId="0" fontId="101" fillId="0" borderId="28" xfId="0" applyFont="1" applyBorder="1" applyAlignment="1">
      <alignment horizontal="center"/>
    </xf>
    <xf numFmtId="0" fontId="102" fillId="29" borderId="38" xfId="0" applyFont="1" applyFill="1" applyBorder="1" applyAlignment="1">
      <alignment horizontal="justify"/>
    </xf>
    <xf numFmtId="3" fontId="102" fillId="29" borderId="51" xfId="0" applyNumberFormat="1" applyFont="1" applyFill="1" applyBorder="1"/>
    <xf numFmtId="4" fontId="102" fillId="29" borderId="67" xfId="0" applyNumberFormat="1" applyFont="1" applyFill="1" applyBorder="1"/>
    <xf numFmtId="3" fontId="102" fillId="29" borderId="36" xfId="0" applyNumberFormat="1" applyFont="1" applyFill="1" applyBorder="1"/>
    <xf numFmtId="0" fontId="102" fillId="29" borderId="40" xfId="0" applyFont="1" applyFill="1" applyBorder="1" applyAlignment="1">
      <alignment horizontal="justify"/>
    </xf>
    <xf numFmtId="3" fontId="102" fillId="29" borderId="15" xfId="0" applyNumberFormat="1" applyFont="1" applyFill="1" applyBorder="1"/>
    <xf numFmtId="3" fontId="101" fillId="0" borderId="48" xfId="0" applyNumberFormat="1" applyFont="1" applyBorder="1"/>
    <xf numFmtId="3" fontId="101" fillId="0" borderId="21" xfId="0" applyNumberFormat="1" applyFont="1" applyBorder="1"/>
    <xf numFmtId="2" fontId="101" fillId="0" borderId="60" xfId="0" applyNumberFormat="1" applyFont="1" applyBorder="1"/>
    <xf numFmtId="3" fontId="102" fillId="29" borderId="38" xfId="0" applyNumberFormat="1" applyFont="1" applyFill="1" applyBorder="1" applyAlignment="1">
      <alignment wrapText="1"/>
    </xf>
    <xf numFmtId="3" fontId="102" fillId="29" borderId="116" xfId="0" applyNumberFormat="1" applyFont="1" applyFill="1" applyBorder="1"/>
    <xf numFmtId="0" fontId="102" fillId="0" borderId="38" xfId="0" applyFont="1" applyFill="1" applyBorder="1"/>
    <xf numFmtId="3" fontId="102" fillId="0" borderId="51" xfId="0" applyNumberFormat="1" applyFont="1" applyFill="1" applyBorder="1"/>
    <xf numFmtId="2" fontId="102" fillId="0" borderId="67" xfId="0" applyNumberFormat="1" applyFont="1" applyBorder="1"/>
    <xf numFmtId="0" fontId="102" fillId="0" borderId="38" xfId="0" applyFont="1" applyBorder="1"/>
    <xf numFmtId="3" fontId="102" fillId="0" borderId="51" xfId="0" applyNumberFormat="1" applyFont="1" applyBorder="1"/>
    <xf numFmtId="0" fontId="102" fillId="0" borderId="40" xfId="0" applyFont="1" applyFill="1" applyBorder="1"/>
    <xf numFmtId="3" fontId="102" fillId="0" borderId="36" xfId="0" applyNumberFormat="1" applyFont="1" applyBorder="1"/>
    <xf numFmtId="0" fontId="102" fillId="0" borderId="40" xfId="0" applyFont="1" applyFill="1" applyBorder="1" applyAlignment="1">
      <alignment wrapText="1"/>
    </xf>
    <xf numFmtId="0" fontId="102" fillId="0" borderId="40" xfId="0" applyFont="1" applyFill="1" applyBorder="1" applyAlignment="1">
      <alignment horizontal="justify"/>
    </xf>
    <xf numFmtId="3" fontId="102" fillId="29" borderId="18" xfId="0" applyNumberFormat="1" applyFont="1" applyFill="1" applyBorder="1" applyAlignment="1">
      <alignment wrapText="1"/>
    </xf>
    <xf numFmtId="3" fontId="102" fillId="0" borderId="36" xfId="0" applyNumberFormat="1" applyFont="1" applyFill="1" applyBorder="1"/>
    <xf numFmtId="0" fontId="102" fillId="0" borderId="62" xfId="0" applyFont="1" applyFill="1" applyBorder="1" applyAlignment="1">
      <alignment horizontal="left" wrapText="1"/>
    </xf>
    <xf numFmtId="3" fontId="102" fillId="0" borderId="52" xfId="0" applyNumberFormat="1" applyFont="1" applyBorder="1"/>
    <xf numFmtId="3" fontId="102" fillId="0" borderId="52" xfId="0" applyNumberFormat="1" applyFont="1" applyFill="1" applyBorder="1"/>
    <xf numFmtId="0" fontId="101" fillId="0" borderId="17" xfId="0" applyFont="1" applyBorder="1" applyAlignment="1">
      <alignment horizontal="left"/>
    </xf>
    <xf numFmtId="3" fontId="101" fillId="0" borderId="44" xfId="0" applyNumberFormat="1" applyFont="1" applyBorder="1"/>
    <xf numFmtId="3" fontId="101" fillId="0" borderId="43" xfId="0" applyNumberFormat="1" applyFont="1" applyBorder="1"/>
    <xf numFmtId="2" fontId="101" fillId="0" borderId="54" xfId="0" applyNumberFormat="1" applyFont="1" applyBorder="1"/>
    <xf numFmtId="0" fontId="101" fillId="0" borderId="19" xfId="0" applyFont="1" applyBorder="1" applyAlignment="1">
      <alignment horizontal="left"/>
    </xf>
    <xf numFmtId="3" fontId="101" fillId="0" borderId="33" xfId="0" applyNumberFormat="1" applyFont="1" applyBorder="1"/>
    <xf numFmtId="3" fontId="101" fillId="0" borderId="61" xfId="0" applyNumberFormat="1" applyFont="1" applyBorder="1"/>
    <xf numFmtId="0" fontId="101" fillId="0" borderId="23" xfId="0" applyFont="1" applyFill="1" applyBorder="1" applyAlignment="1">
      <alignment horizontal="center"/>
    </xf>
    <xf numFmtId="0" fontId="101" fillId="0" borderId="19" xfId="0" applyFont="1" applyFill="1" applyBorder="1" applyAlignment="1">
      <alignment horizontal="center"/>
    </xf>
    <xf numFmtId="2" fontId="102" fillId="29" borderId="59" xfId="0" applyNumberFormat="1" applyFont="1" applyFill="1" applyBorder="1"/>
    <xf numFmtId="0" fontId="101" fillId="29" borderId="36" xfId="0" applyFont="1" applyFill="1" applyBorder="1" applyAlignment="1">
      <alignment horizontal="center"/>
    </xf>
    <xf numFmtId="3" fontId="102" fillId="29" borderId="34" xfId="0" applyNumberFormat="1" applyFont="1" applyFill="1" applyBorder="1" applyAlignment="1">
      <alignment horizontal="right"/>
    </xf>
    <xf numFmtId="2" fontId="102" fillId="29" borderId="68" xfId="0" applyNumberFormat="1" applyFont="1" applyFill="1" applyBorder="1"/>
    <xf numFmtId="3" fontId="101" fillId="0" borderId="60" xfId="0" applyNumberFormat="1" applyFont="1" applyFill="1" applyBorder="1"/>
    <xf numFmtId="0" fontId="102" fillId="0" borderId="19" xfId="0" applyFont="1" applyBorder="1" applyAlignment="1">
      <alignment horizontal="center"/>
    </xf>
    <xf numFmtId="3" fontId="101" fillId="0" borderId="43" xfId="0" applyNumberFormat="1" applyFont="1" applyBorder="1" applyAlignment="1">
      <alignment horizontal="center"/>
    </xf>
    <xf numFmtId="0" fontId="102" fillId="29" borderId="38" xfId="0" applyFont="1" applyFill="1" applyBorder="1" applyAlignment="1">
      <alignment horizontal="justify" wrapText="1"/>
    </xf>
    <xf numFmtId="4" fontId="102" fillId="29" borderId="68" xfId="0" applyNumberFormat="1" applyFont="1" applyFill="1" applyBorder="1"/>
    <xf numFmtId="0" fontId="102" fillId="29" borderId="40" xfId="0" applyFont="1" applyFill="1" applyBorder="1" applyAlignment="1">
      <alignment horizontal="justify" wrapText="1"/>
    </xf>
    <xf numFmtId="3" fontId="102" fillId="29" borderId="40" xfId="0" applyNumberFormat="1" applyFont="1" applyFill="1" applyBorder="1" applyAlignment="1">
      <alignment wrapText="1"/>
    </xf>
    <xf numFmtId="3" fontId="102" fillId="0" borderId="34" xfId="0" applyNumberFormat="1" applyFont="1" applyFill="1" applyBorder="1"/>
    <xf numFmtId="4" fontId="102" fillId="0" borderId="68" xfId="0" applyNumberFormat="1" applyFont="1" applyFill="1" applyBorder="1"/>
    <xf numFmtId="0" fontId="102" fillId="0" borderId="18" xfId="0" applyFont="1" applyFill="1" applyBorder="1" applyAlignment="1">
      <alignment horizontal="justify"/>
    </xf>
    <xf numFmtId="3" fontId="102" fillId="0" borderId="29" xfId="0" applyNumberFormat="1" applyFont="1" applyBorder="1"/>
    <xf numFmtId="0" fontId="101" fillId="28" borderId="47" xfId="0" applyFont="1" applyFill="1" applyBorder="1" applyAlignment="1">
      <alignment horizontal="center"/>
    </xf>
    <xf numFmtId="0" fontId="101" fillId="28" borderId="16" xfId="0" applyFont="1" applyFill="1" applyBorder="1" applyAlignment="1">
      <alignment horizontal="center"/>
    </xf>
    <xf numFmtId="3" fontId="102" fillId="29" borderId="0" xfId="0" applyNumberFormat="1" applyFont="1" applyFill="1" applyBorder="1"/>
    <xf numFmtId="3" fontId="102" fillId="29" borderId="34" xfId="0" applyNumberFormat="1" applyFont="1" applyFill="1" applyBorder="1"/>
    <xf numFmtId="3" fontId="102" fillId="29" borderId="37" xfId="0" applyNumberFormat="1" applyFont="1" applyFill="1" applyBorder="1"/>
    <xf numFmtId="3" fontId="102" fillId="29" borderId="29" xfId="0" applyNumberFormat="1" applyFont="1" applyFill="1" applyBorder="1"/>
    <xf numFmtId="3" fontId="101" fillId="0" borderId="48" xfId="0" applyNumberFormat="1" applyFont="1" applyFill="1" applyBorder="1"/>
    <xf numFmtId="4" fontId="101" fillId="0" borderId="60" xfId="0" applyNumberFormat="1" applyFont="1" applyFill="1" applyBorder="1"/>
    <xf numFmtId="0" fontId="80" fillId="0" borderId="0" xfId="0" applyFont="1" applyAlignment="1">
      <alignment horizontal="right"/>
    </xf>
    <xf numFmtId="0" fontId="102" fillId="0" borderId="0" xfId="0" applyFont="1" applyFill="1"/>
    <xf numFmtId="0" fontId="102" fillId="0" borderId="0" xfId="0" applyFont="1" applyFill="1" applyAlignment="1">
      <alignment horizontal="right"/>
    </xf>
    <xf numFmtId="3" fontId="102" fillId="0" borderId="0" xfId="0" applyNumberFormat="1" applyFont="1" applyFill="1" applyAlignment="1">
      <alignment horizontal="right"/>
    </xf>
    <xf numFmtId="0" fontId="101" fillId="0" borderId="94" xfId="0" applyFont="1" applyFill="1" applyBorder="1" applyAlignment="1">
      <alignment horizontal="center"/>
    </xf>
    <xf numFmtId="3" fontId="102" fillId="0" borderId="116" xfId="0" applyNumberFormat="1" applyFont="1" applyFill="1" applyBorder="1"/>
    <xf numFmtId="0" fontId="102" fillId="29" borderId="40" xfId="0" applyFont="1" applyFill="1" applyBorder="1"/>
    <xf numFmtId="0" fontId="102" fillId="0" borderId="18" xfId="0" applyFont="1" applyFill="1" applyBorder="1"/>
    <xf numFmtId="3" fontId="102" fillId="0" borderId="65" xfId="0" applyNumberFormat="1" applyFont="1" applyFill="1" applyBorder="1"/>
    <xf numFmtId="0" fontId="102" fillId="0" borderId="62" xfId="0" applyFont="1" applyFill="1" applyBorder="1"/>
    <xf numFmtId="0" fontId="102" fillId="0" borderId="62" xfId="0" applyFont="1" applyFill="1" applyBorder="1" applyAlignment="1">
      <alignment wrapText="1"/>
    </xf>
    <xf numFmtId="0" fontId="102" fillId="0" borderId="42" xfId="0" applyFont="1" applyFill="1" applyBorder="1" applyAlignment="1">
      <alignment wrapText="1"/>
    </xf>
    <xf numFmtId="2" fontId="101" fillId="0" borderId="60" xfId="0" applyNumberFormat="1" applyFont="1" applyFill="1" applyBorder="1"/>
    <xf numFmtId="3" fontId="17" fillId="0" borderId="21" xfId="0" applyNumberFormat="1" applyFont="1" applyFill="1" applyBorder="1"/>
    <xf numFmtId="3" fontId="17" fillId="0" borderId="48" xfId="0" applyNumberFormat="1" applyFont="1" applyFill="1" applyBorder="1"/>
    <xf numFmtId="2" fontId="17" fillId="0" borderId="60" xfId="0" applyNumberFormat="1" applyFont="1" applyFill="1" applyBorder="1"/>
    <xf numFmtId="0" fontId="59" fillId="0" borderId="43" xfId="0" applyFont="1" applyBorder="1" applyAlignment="1">
      <alignment horizontal="center"/>
    </xf>
    <xf numFmtId="0" fontId="59" fillId="28" borderId="61" xfId="0" applyFont="1" applyFill="1" applyBorder="1" applyAlignment="1">
      <alignment horizontal="center"/>
    </xf>
    <xf numFmtId="0" fontId="101" fillId="0" borderId="16" xfId="0" applyFont="1" applyFill="1" applyBorder="1" applyAlignment="1">
      <alignment horizontal="center"/>
    </xf>
    <xf numFmtId="0" fontId="102" fillId="29" borderId="38" xfId="0" applyFont="1" applyFill="1" applyBorder="1" applyAlignment="1"/>
    <xf numFmtId="0" fontId="111" fillId="29" borderId="50" xfId="0" applyFont="1" applyFill="1" applyBorder="1" applyAlignment="1"/>
    <xf numFmtId="0" fontId="111" fillId="29" borderId="130" xfId="0" applyFont="1" applyFill="1" applyBorder="1" applyAlignment="1"/>
    <xf numFmtId="3" fontId="102" fillId="29" borderId="29" xfId="0" applyNumberFormat="1" applyFont="1" applyFill="1" applyBorder="1" applyProtection="1">
      <protection locked="0"/>
    </xf>
    <xf numFmtId="2" fontId="102" fillId="29" borderId="67" xfId="0" applyNumberFormat="1" applyFont="1" applyFill="1" applyBorder="1"/>
    <xf numFmtId="0" fontId="102" fillId="29" borderId="40" xfId="0" applyFont="1" applyFill="1" applyBorder="1" applyAlignment="1"/>
    <xf numFmtId="0" fontId="111" fillId="29" borderId="37" xfId="0" applyFont="1" applyFill="1" applyBorder="1" applyAlignment="1"/>
    <xf numFmtId="0" fontId="111" fillId="29" borderId="39" xfId="0" applyFont="1" applyFill="1" applyBorder="1" applyAlignment="1"/>
    <xf numFmtId="3" fontId="102" fillId="29" borderId="65" xfId="0" applyNumberFormat="1" applyFont="1" applyFill="1" applyBorder="1" applyProtection="1">
      <protection locked="0"/>
    </xf>
    <xf numFmtId="3" fontId="102" fillId="29" borderId="52" xfId="0" applyNumberFormat="1" applyFont="1" applyFill="1" applyBorder="1"/>
    <xf numFmtId="3" fontId="102" fillId="29" borderId="34" xfId="0" applyNumberFormat="1" applyFont="1" applyFill="1" applyBorder="1" applyProtection="1">
      <protection locked="0"/>
    </xf>
    <xf numFmtId="0" fontId="102" fillId="29" borderId="62" xfId="0" applyFont="1" applyFill="1" applyBorder="1" applyAlignment="1"/>
    <xf numFmtId="0" fontId="111" fillId="29" borderId="66" xfId="0" applyFont="1" applyFill="1" applyBorder="1" applyAlignment="1"/>
    <xf numFmtId="0" fontId="111" fillId="29" borderId="92" xfId="0" applyFont="1" applyFill="1" applyBorder="1" applyAlignment="1"/>
    <xf numFmtId="3" fontId="102" fillId="29" borderId="65" xfId="0" applyNumberFormat="1" applyFont="1" applyFill="1" applyBorder="1"/>
    <xf numFmtId="2" fontId="102" fillId="29" borderId="71" xfId="0" applyNumberFormat="1" applyFont="1" applyFill="1" applyBorder="1"/>
    <xf numFmtId="3" fontId="102" fillId="0" borderId="65" xfId="0" applyNumberFormat="1" applyFont="1" applyFill="1" applyBorder="1" applyProtection="1">
      <protection locked="0"/>
    </xf>
    <xf numFmtId="2" fontId="102" fillId="0" borderId="71" xfId="0" applyNumberFormat="1" applyFont="1" applyFill="1" applyBorder="1"/>
    <xf numFmtId="0" fontId="102" fillId="0" borderId="108" xfId="0" applyFont="1" applyFill="1" applyBorder="1"/>
    <xf numFmtId="0" fontId="102" fillId="0" borderId="117" xfId="0" applyFont="1" applyFill="1" applyBorder="1"/>
    <xf numFmtId="3" fontId="102" fillId="0" borderId="118" xfId="0" applyNumberFormat="1" applyFont="1" applyFill="1" applyBorder="1" applyProtection="1">
      <protection locked="0"/>
    </xf>
    <xf numFmtId="2" fontId="109" fillId="0" borderId="102" xfId="0" applyNumberFormat="1" applyFont="1" applyFill="1" applyBorder="1"/>
    <xf numFmtId="0" fontId="102" fillId="0" borderId="0" xfId="0" applyFont="1" applyFill="1" applyBorder="1"/>
    <xf numFmtId="3" fontId="102" fillId="0" borderId="29" xfId="0" applyNumberFormat="1" applyFont="1" applyFill="1" applyBorder="1" applyProtection="1">
      <protection locked="0"/>
    </xf>
    <xf numFmtId="2" fontId="109" fillId="0" borderId="59" xfId="0" applyNumberFormat="1" applyFont="1" applyFill="1" applyBorder="1"/>
    <xf numFmtId="3" fontId="92" fillId="0" borderId="21" xfId="0" applyNumberFormat="1" applyFont="1" applyFill="1" applyBorder="1"/>
    <xf numFmtId="0" fontId="62" fillId="0" borderId="20" xfId="0" applyFont="1" applyBorder="1" applyAlignment="1" applyProtection="1">
      <alignment horizontal="left"/>
    </xf>
    <xf numFmtId="3" fontId="17" fillId="0" borderId="48" xfId="0" applyNumberFormat="1" applyFont="1" applyBorder="1" applyProtection="1"/>
    <xf numFmtId="2" fontId="17" fillId="0" borderId="60" xfId="0" applyNumberFormat="1" applyFont="1" applyBorder="1"/>
    <xf numFmtId="3" fontId="101" fillId="0" borderId="23" xfId="0" applyNumberFormat="1" applyFont="1" applyFill="1" applyBorder="1" applyAlignment="1" applyProtection="1">
      <alignment horizontal="centerContinuous"/>
    </xf>
    <xf numFmtId="3" fontId="101" fillId="0" borderId="18" xfId="0" applyNumberFormat="1" applyFont="1" applyFill="1" applyBorder="1" applyAlignment="1" applyProtection="1">
      <alignment horizontal="centerContinuous"/>
    </xf>
    <xf numFmtId="0" fontId="102" fillId="29" borderId="96" xfId="0" applyFont="1" applyFill="1" applyBorder="1" applyAlignment="1" applyProtection="1">
      <alignment horizontal="left"/>
    </xf>
    <xf numFmtId="0" fontId="102" fillId="29" borderId="42" xfId="0" applyFont="1" applyFill="1" applyBorder="1" applyAlignment="1" applyProtection="1">
      <alignment horizontal="left"/>
    </xf>
    <xf numFmtId="0" fontId="102" fillId="29" borderId="42" xfId="0" applyFont="1" applyFill="1" applyBorder="1" applyAlignment="1" applyProtection="1">
      <alignment horizontal="left" wrapText="1"/>
    </xf>
    <xf numFmtId="0" fontId="102" fillId="29" borderId="40" xfId="0" applyFont="1" applyFill="1" applyBorder="1" applyAlignment="1" applyProtection="1">
      <alignment horizontal="left" wrapText="1"/>
    </xf>
    <xf numFmtId="0" fontId="102" fillId="29" borderId="97" xfId="0" applyFont="1" applyFill="1" applyBorder="1" applyAlignment="1"/>
    <xf numFmtId="0" fontId="102" fillId="29" borderId="18" xfId="0" applyFont="1" applyFill="1" applyBorder="1" applyAlignment="1" applyProtection="1">
      <alignment horizontal="left" wrapText="1"/>
    </xf>
    <xf numFmtId="3" fontId="102" fillId="29" borderId="33" xfId="0" applyNumberFormat="1" applyFont="1" applyFill="1" applyBorder="1" applyProtection="1">
      <protection locked="0"/>
    </xf>
    <xf numFmtId="0" fontId="102" fillId="0" borderId="23" xfId="77" applyFont="1" applyFill="1" applyBorder="1"/>
    <xf numFmtId="0" fontId="101" fillId="0" borderId="46" xfId="77" applyFont="1" applyFill="1" applyBorder="1" applyAlignment="1">
      <alignment horizontal="center"/>
    </xf>
    <xf numFmtId="0" fontId="102" fillId="0" borderId="19" xfId="77" applyFont="1" applyFill="1" applyBorder="1"/>
    <xf numFmtId="0" fontId="102" fillId="0" borderId="16" xfId="77" applyFont="1" applyFill="1" applyBorder="1" applyAlignment="1">
      <alignment horizontal="center"/>
    </xf>
    <xf numFmtId="0" fontId="101" fillId="0" borderId="76" xfId="0" applyFont="1" applyBorder="1" applyAlignment="1">
      <alignment horizontal="center"/>
    </xf>
    <xf numFmtId="0" fontId="92" fillId="0" borderId="18" xfId="77" applyFont="1" applyFill="1" applyBorder="1"/>
    <xf numFmtId="0" fontId="102" fillId="0" borderId="0" xfId="77" applyFont="1" applyFill="1" applyBorder="1" applyAlignment="1">
      <alignment horizontal="center"/>
    </xf>
    <xf numFmtId="0" fontId="108" fillId="0" borderId="69" xfId="0" applyFont="1" applyFill="1" applyBorder="1" applyAlignment="1">
      <alignment horizontal="center"/>
    </xf>
    <xf numFmtId="0" fontId="102" fillId="0" borderId="24" xfId="77" applyFont="1" applyFill="1" applyBorder="1" applyAlignment="1">
      <alignment horizontal="center"/>
    </xf>
    <xf numFmtId="0" fontId="108" fillId="0" borderId="78" xfId="0" applyFont="1" applyFill="1" applyBorder="1" applyAlignment="1">
      <alignment horizontal="center"/>
    </xf>
    <xf numFmtId="0" fontId="100" fillId="0" borderId="18" xfId="77" applyFont="1" applyFill="1" applyBorder="1"/>
    <xf numFmtId="0" fontId="100" fillId="0" borderId="24" xfId="77" applyFont="1" applyFill="1" applyBorder="1" applyAlignment="1">
      <alignment horizontal="left"/>
    </xf>
    <xf numFmtId="3" fontId="106" fillId="0" borderId="78" xfId="0" applyNumberFormat="1" applyFont="1" applyFill="1" applyBorder="1" applyAlignment="1">
      <alignment horizontal="right"/>
    </xf>
    <xf numFmtId="3" fontId="108" fillId="0" borderId="126" xfId="0" applyNumberFormat="1" applyFont="1" applyFill="1" applyBorder="1" applyAlignment="1">
      <alignment horizontal="right"/>
    </xf>
    <xf numFmtId="4" fontId="103" fillId="0" borderId="78" xfId="77" applyNumberFormat="1" applyFont="1" applyFill="1" applyBorder="1" applyAlignment="1">
      <alignment horizontal="right"/>
    </xf>
    <xf numFmtId="3" fontId="102" fillId="0" borderId="18" xfId="77" applyNumberFormat="1" applyFont="1" applyFill="1" applyBorder="1"/>
    <xf numFmtId="0" fontId="101" fillId="0" borderId="104" xfId="77" applyFont="1" applyFill="1" applyBorder="1" applyAlignment="1">
      <alignment horizontal="justify"/>
    </xf>
    <xf numFmtId="0" fontId="102" fillId="0" borderId="95" xfId="0" applyFont="1" applyFill="1" applyBorder="1" applyAlignment="1">
      <alignment wrapText="1"/>
    </xf>
    <xf numFmtId="3" fontId="105" fillId="0" borderId="106" xfId="0" applyNumberFormat="1" applyFont="1" applyFill="1" applyBorder="1" applyAlignment="1">
      <alignment horizontal="right"/>
    </xf>
    <xf numFmtId="3" fontId="103" fillId="0" borderId="18" xfId="77" applyNumberFormat="1" applyFont="1" applyFill="1" applyBorder="1"/>
    <xf numFmtId="0" fontId="102" fillId="0" borderId="79" xfId="77" applyFont="1" applyFill="1" applyBorder="1" applyAlignment="1">
      <alignment horizontal="left" wrapText="1"/>
    </xf>
    <xf numFmtId="3" fontId="106" fillId="0" borderId="73" xfId="0" applyNumberFormat="1" applyFont="1" applyFill="1" applyBorder="1" applyAlignment="1">
      <alignment horizontal="right"/>
    </xf>
    <xf numFmtId="4" fontId="102" fillId="0" borderId="73" xfId="77" applyNumberFormat="1" applyFont="1" applyFill="1" applyBorder="1" applyAlignment="1">
      <alignment horizontal="right"/>
    </xf>
    <xf numFmtId="3" fontId="102" fillId="0" borderId="73" xfId="77" applyNumberFormat="1" applyFont="1" applyFill="1" applyBorder="1" applyAlignment="1">
      <alignment horizontal="right"/>
    </xf>
    <xf numFmtId="0" fontId="102" fillId="0" borderId="18" xfId="77" applyFont="1" applyFill="1" applyBorder="1" applyAlignment="1">
      <alignment horizontal="right"/>
    </xf>
    <xf numFmtId="0" fontId="102" fillId="0" borderId="37" xfId="0" applyFont="1" applyFill="1" applyBorder="1" applyAlignment="1">
      <alignment wrapText="1"/>
    </xf>
    <xf numFmtId="0" fontId="109" fillId="0" borderId="50" xfId="77" applyFont="1" applyFill="1" applyBorder="1" applyAlignment="1">
      <alignment horizontal="left" wrapText="1"/>
    </xf>
    <xf numFmtId="0" fontId="102" fillId="0" borderId="50" xfId="0" applyFont="1" applyFill="1" applyBorder="1" applyAlignment="1">
      <alignment wrapText="1"/>
    </xf>
    <xf numFmtId="0" fontId="109" fillId="0" borderId="50" xfId="77" applyFont="1" applyBorder="1" applyAlignment="1">
      <alignment horizontal="left" wrapText="1"/>
    </xf>
    <xf numFmtId="4" fontId="102" fillId="0" borderId="72" xfId="77" applyNumberFormat="1" applyFont="1" applyFill="1" applyBorder="1" applyAlignment="1">
      <alignment horizontal="right"/>
    </xf>
    <xf numFmtId="0" fontId="109" fillId="0" borderId="37" xfId="77" applyFont="1" applyFill="1" applyBorder="1" applyAlignment="1">
      <alignment horizontal="left" wrapText="1"/>
    </xf>
    <xf numFmtId="0" fontId="102" fillId="0" borderId="37" xfId="77" applyFont="1" applyFill="1" applyBorder="1" applyAlignment="1">
      <alignment horizontal="left" wrapText="1"/>
    </xf>
    <xf numFmtId="0" fontId="102" fillId="0" borderId="98" xfId="77" applyFont="1" applyFill="1" applyBorder="1" applyAlignment="1">
      <alignment horizontal="right"/>
    </xf>
    <xf numFmtId="0" fontId="109" fillId="0" borderId="91" xfId="77" applyFont="1" applyFill="1" applyBorder="1" applyAlignment="1">
      <alignment horizontal="left" wrapText="1"/>
    </xf>
    <xf numFmtId="3" fontId="102" fillId="0" borderId="106" xfId="77" applyNumberFormat="1" applyFont="1" applyFill="1" applyBorder="1" applyAlignment="1">
      <alignment horizontal="right"/>
    </xf>
    <xf numFmtId="4" fontId="102" fillId="0" borderId="106" xfId="77" applyNumberFormat="1" applyFont="1" applyFill="1" applyBorder="1" applyAlignment="1">
      <alignment horizontal="right"/>
    </xf>
    <xf numFmtId="0" fontId="100" fillId="0" borderId="91" xfId="77" applyFont="1" applyFill="1" applyBorder="1" applyAlignment="1">
      <alignment horizontal="left"/>
    </xf>
    <xf numFmtId="3" fontId="102" fillId="0" borderId="115" xfId="77" applyNumberFormat="1" applyFont="1" applyFill="1" applyBorder="1" applyAlignment="1">
      <alignment horizontal="right"/>
    </xf>
    <xf numFmtId="4" fontId="92" fillId="0" borderId="69" xfId="77" applyNumberFormat="1" applyFont="1" applyFill="1" applyBorder="1" applyAlignment="1">
      <alignment horizontal="right"/>
    </xf>
    <xf numFmtId="0" fontId="101" fillId="0" borderId="26" xfId="77" applyFont="1" applyFill="1" applyBorder="1" applyAlignment="1">
      <alignment horizontal="left"/>
    </xf>
    <xf numFmtId="0" fontId="101" fillId="0" borderId="88" xfId="77" applyFont="1" applyFill="1" applyBorder="1" applyAlignment="1">
      <alignment horizontal="left"/>
    </xf>
    <xf numFmtId="3" fontId="101" fillId="0" borderId="78" xfId="77" applyNumberFormat="1" applyFont="1" applyFill="1" applyBorder="1"/>
    <xf numFmtId="4" fontId="101" fillId="0" borderId="78" xfId="77" applyNumberFormat="1" applyFont="1" applyFill="1" applyBorder="1"/>
    <xf numFmtId="0" fontId="102" fillId="0" borderId="37" xfId="77" applyFont="1" applyFill="1" applyBorder="1" applyAlignment="1">
      <alignment horizontal="justify"/>
    </xf>
    <xf numFmtId="3" fontId="102" fillId="0" borderId="73" xfId="77" applyNumberFormat="1" applyFont="1" applyFill="1" applyBorder="1"/>
    <xf numFmtId="2" fontId="102" fillId="0" borderId="73" xfId="77" applyNumberFormat="1" applyFont="1" applyFill="1" applyBorder="1"/>
    <xf numFmtId="0" fontId="92" fillId="0" borderId="20" xfId="77" applyFont="1" applyFill="1" applyBorder="1"/>
    <xf numFmtId="0" fontId="102" fillId="0" borderId="93" xfId="77" applyFont="1" applyFill="1" applyBorder="1" applyAlignment="1">
      <alignment horizontal="center"/>
    </xf>
    <xf numFmtId="3" fontId="108" fillId="0" borderId="77" xfId="0" applyNumberFormat="1" applyFont="1" applyFill="1" applyBorder="1" applyAlignment="1">
      <alignment horizontal="right"/>
    </xf>
    <xf numFmtId="4" fontId="108" fillId="0" borderId="77" xfId="0" applyNumberFormat="1" applyFont="1" applyFill="1" applyBorder="1" applyAlignment="1">
      <alignment horizontal="right"/>
    </xf>
    <xf numFmtId="0" fontId="101" fillId="0" borderId="18" xfId="77" applyFont="1" applyFill="1" applyBorder="1" applyAlignment="1">
      <alignment horizontal="left"/>
    </xf>
    <xf numFmtId="0" fontId="101" fillId="0" borderId="0" xfId="77" applyFont="1" applyFill="1" applyBorder="1" applyAlignment="1">
      <alignment horizontal="center"/>
    </xf>
    <xf numFmtId="3" fontId="101" fillId="0" borderId="69" xfId="77" applyNumberFormat="1" applyFont="1" applyFill="1" applyBorder="1"/>
    <xf numFmtId="0" fontId="101" fillId="0" borderId="0" xfId="77" applyFont="1" applyFill="1" applyBorder="1" applyAlignment="1">
      <alignment horizontal="justify"/>
    </xf>
    <xf numFmtId="3" fontId="101" fillId="0" borderId="73" xfId="77" applyNumberFormat="1" applyFont="1" applyFill="1" applyBorder="1"/>
    <xf numFmtId="0" fontId="109" fillId="0" borderId="37" xfId="77" applyFont="1" applyFill="1" applyBorder="1" applyAlignment="1">
      <alignment horizontal="left"/>
    </xf>
    <xf numFmtId="3" fontId="109" fillId="0" borderId="73" xfId="77" applyNumberFormat="1" applyFont="1" applyFill="1" applyBorder="1"/>
    <xf numFmtId="0" fontId="102" fillId="0" borderId="37" xfId="77" applyFont="1" applyFill="1" applyBorder="1" applyAlignment="1">
      <alignment horizontal="left"/>
    </xf>
    <xf numFmtId="0" fontId="101" fillId="0" borderId="37" xfId="77" applyFont="1" applyFill="1" applyBorder="1" applyAlignment="1">
      <alignment horizontal="justify"/>
    </xf>
    <xf numFmtId="0" fontId="102" fillId="0" borderId="0" xfId="77" applyFont="1" applyFill="1" applyBorder="1" applyAlignment="1">
      <alignment horizontal="justify"/>
    </xf>
    <xf numFmtId="3" fontId="102" fillId="0" borderId="69" xfId="77" applyNumberFormat="1" applyFont="1" applyFill="1" applyBorder="1"/>
    <xf numFmtId="4" fontId="108" fillId="0" borderId="78" xfId="0" applyNumberFormat="1" applyFont="1" applyFill="1" applyBorder="1" applyAlignment="1">
      <alignment horizontal="right"/>
    </xf>
    <xf numFmtId="3" fontId="101" fillId="0" borderId="76" xfId="77" applyNumberFormat="1" applyFont="1" applyFill="1" applyBorder="1"/>
    <xf numFmtId="4" fontId="108" fillId="0" borderId="70" xfId="0" applyNumberFormat="1" applyFont="1" applyFill="1" applyBorder="1" applyAlignment="1">
      <alignment horizontal="right"/>
    </xf>
    <xf numFmtId="0" fontId="92" fillId="0" borderId="18" xfId="0" applyFont="1" applyFill="1" applyBorder="1"/>
    <xf numFmtId="0" fontId="101" fillId="0" borderId="86" xfId="77" applyFont="1" applyFill="1" applyBorder="1" applyAlignment="1">
      <alignment horizontal="left"/>
    </xf>
    <xf numFmtId="0" fontId="102" fillId="0" borderId="0" xfId="0" applyFont="1" applyFill="1" applyBorder="1" applyAlignment="1" applyProtection="1">
      <alignment horizontal="left"/>
    </xf>
    <xf numFmtId="3" fontId="109" fillId="0" borderId="75" xfId="77" applyNumberFormat="1" applyFont="1" applyFill="1" applyBorder="1"/>
    <xf numFmtId="0" fontId="109" fillId="0" borderId="37" xfId="0" applyFont="1" applyFill="1" applyBorder="1" applyAlignment="1" applyProtection="1">
      <alignment horizontal="left"/>
    </xf>
    <xf numFmtId="0" fontId="109" fillId="0" borderId="37" xfId="0" applyFont="1" applyFill="1" applyBorder="1" applyAlignment="1" applyProtection="1"/>
    <xf numFmtId="3" fontId="109" fillId="0" borderId="69" xfId="77" applyNumberFormat="1" applyFont="1" applyFill="1" applyBorder="1"/>
    <xf numFmtId="0" fontId="102" fillId="0" borderId="37" xfId="0" applyFont="1" applyFill="1" applyBorder="1" applyAlignment="1" applyProtection="1">
      <alignment horizontal="left"/>
    </xf>
    <xf numFmtId="0" fontId="102" fillId="0" borderId="50" xfId="0" applyFont="1" applyFill="1" applyBorder="1" applyAlignment="1" applyProtection="1">
      <alignment horizontal="left"/>
    </xf>
    <xf numFmtId="3" fontId="102" fillId="0" borderId="75" xfId="77" applyNumberFormat="1" applyFont="1" applyFill="1" applyBorder="1" applyAlignment="1">
      <alignment horizontal="right"/>
    </xf>
    <xf numFmtId="3" fontId="102" fillId="0" borderId="69" xfId="77" applyNumberFormat="1" applyFont="1" applyFill="1" applyBorder="1" applyAlignment="1">
      <alignment horizontal="right"/>
    </xf>
    <xf numFmtId="0" fontId="109" fillId="0" borderId="0" xfId="77" applyFont="1" applyAlignment="1">
      <alignment horizontal="right"/>
    </xf>
    <xf numFmtId="3" fontId="112" fillId="0" borderId="50" xfId="0" applyNumberFormat="1" applyFont="1" applyFill="1" applyBorder="1" applyAlignment="1" applyProtection="1"/>
    <xf numFmtId="0" fontId="112" fillId="0" borderId="37" xfId="77" applyFont="1" applyFill="1" applyBorder="1" applyAlignment="1">
      <alignment horizontal="justify"/>
    </xf>
    <xf numFmtId="0" fontId="112" fillId="0" borderId="79" xfId="0" applyFont="1" applyFill="1" applyBorder="1"/>
    <xf numFmtId="0" fontId="112" fillId="0" borderId="37" xfId="77" applyFont="1" applyFill="1" applyBorder="1" applyAlignment="1">
      <alignment horizontal="left"/>
    </xf>
    <xf numFmtId="0" fontId="112" fillId="0" borderId="37" xfId="0" applyFont="1" applyFill="1" applyBorder="1" applyProtection="1"/>
    <xf numFmtId="3" fontId="112" fillId="0" borderId="79" xfId="0" applyNumberFormat="1" applyFont="1" applyFill="1" applyBorder="1" applyProtection="1">
      <protection locked="0"/>
    </xf>
    <xf numFmtId="0" fontId="87" fillId="0" borderId="0" xfId="77" applyFont="1" applyFill="1"/>
    <xf numFmtId="3" fontId="88" fillId="0" borderId="0" xfId="77" applyNumberFormat="1" applyFont="1" applyFill="1" applyAlignment="1">
      <alignment wrapText="1"/>
    </xf>
    <xf numFmtId="3" fontId="112" fillId="0" borderId="0" xfId="77" applyNumberFormat="1" applyFont="1" applyFill="1"/>
    <xf numFmtId="3" fontId="113" fillId="0" borderId="0" xfId="77" applyNumberFormat="1" applyFont="1" applyFill="1"/>
    <xf numFmtId="3" fontId="59" fillId="0" borderId="23" xfId="0" applyNumberFormat="1" applyFont="1" applyFill="1" applyBorder="1" applyAlignment="1"/>
    <xf numFmtId="3" fontId="59" fillId="0" borderId="46" xfId="0" applyNumberFormat="1" applyFont="1" applyFill="1" applyBorder="1" applyAlignment="1"/>
    <xf numFmtId="3" fontId="59" fillId="0" borderId="63" xfId="0" applyNumberFormat="1" applyFont="1" applyFill="1" applyBorder="1" applyAlignment="1"/>
    <xf numFmtId="3" fontId="59" fillId="0" borderId="46" xfId="0" applyNumberFormat="1" applyFont="1" applyFill="1" applyBorder="1" applyAlignment="1">
      <alignment horizontal="left"/>
    </xf>
    <xf numFmtId="3" fontId="63" fillId="0" borderId="46" xfId="0" applyNumberFormat="1" applyFont="1" applyFill="1" applyBorder="1"/>
    <xf numFmtId="0" fontId="59" fillId="0" borderId="19" xfId="0" applyFont="1" applyFill="1" applyBorder="1" applyAlignment="1" applyProtection="1">
      <alignment horizontal="left"/>
    </xf>
    <xf numFmtId="3" fontId="59" fillId="0" borderId="16" xfId="0" applyNumberFormat="1" applyFont="1" applyFill="1" applyBorder="1" applyAlignment="1">
      <alignment horizontal="left"/>
    </xf>
    <xf numFmtId="3" fontId="63" fillId="0" borderId="16" xfId="0" applyNumberFormat="1" applyFont="1" applyFill="1" applyBorder="1"/>
    <xf numFmtId="3" fontId="78" fillId="0" borderId="0" xfId="0" applyNumberFormat="1" applyFont="1" applyFill="1" applyBorder="1"/>
    <xf numFmtId="3" fontId="59" fillId="0" borderId="0" xfId="0" applyNumberFormat="1" applyFont="1" applyFill="1" applyBorder="1" applyAlignment="1" applyProtection="1">
      <alignment horizontal="right"/>
    </xf>
    <xf numFmtId="0" fontId="77" fillId="0" borderId="40" xfId="0" applyFont="1" applyFill="1" applyBorder="1" applyAlignment="1" applyProtection="1"/>
    <xf numFmtId="3" fontId="59" fillId="0" borderId="37" xfId="0" applyNumberFormat="1" applyFont="1" applyFill="1" applyBorder="1"/>
    <xf numFmtId="0" fontId="77" fillId="0" borderId="40" xfId="0" applyFont="1" applyFill="1" applyBorder="1"/>
    <xf numFmtId="3" fontId="78" fillId="0" borderId="37" xfId="0" applyNumberFormat="1" applyFont="1" applyFill="1" applyBorder="1" applyAlignment="1" applyProtection="1">
      <alignment horizontal="left"/>
    </xf>
    <xf numFmtId="3" fontId="63" fillId="0" borderId="86" xfId="0" applyNumberFormat="1" applyFont="1" applyFill="1" applyBorder="1"/>
    <xf numFmtId="3" fontId="63" fillId="0" borderId="37" xfId="0" applyNumberFormat="1" applyFont="1" applyFill="1" applyBorder="1"/>
    <xf numFmtId="3" fontId="63" fillId="0" borderId="37" xfId="0" applyNumberFormat="1" applyFont="1" applyFill="1" applyBorder="1" applyAlignment="1" applyProtection="1">
      <alignment horizontal="left"/>
    </xf>
    <xf numFmtId="0" fontId="73" fillId="0" borderId="0" xfId="0" applyFont="1" applyFill="1" applyBorder="1"/>
    <xf numFmtId="3" fontId="59" fillId="0" borderId="18" xfId="0" applyNumberFormat="1" applyFont="1" applyFill="1" applyBorder="1"/>
    <xf numFmtId="0" fontId="59" fillId="0" borderId="18" xfId="0" applyFont="1" applyFill="1" applyBorder="1"/>
    <xf numFmtId="0" fontId="63" fillId="0" borderId="37" xfId="0" applyFont="1" applyBorder="1" applyAlignment="1">
      <alignment wrapText="1"/>
    </xf>
    <xf numFmtId="3" fontId="59" fillId="0" borderId="98" xfId="0" applyNumberFormat="1" applyFont="1" applyFill="1" applyBorder="1"/>
    <xf numFmtId="0" fontId="59" fillId="0" borderId="91" xfId="0" applyFont="1" applyFill="1" applyBorder="1" applyProtection="1"/>
    <xf numFmtId="3" fontId="59" fillId="0" borderId="91" xfId="0" applyNumberFormat="1" applyFont="1" applyFill="1" applyBorder="1"/>
    <xf numFmtId="3" fontId="59" fillId="0" borderId="101" xfId="0" applyNumberFormat="1" applyFont="1" applyFill="1" applyBorder="1"/>
    <xf numFmtId="3" fontId="59" fillId="0" borderId="100" xfId="0" applyNumberFormat="1" applyFont="1" applyFill="1" applyBorder="1"/>
    <xf numFmtId="3" fontId="73" fillId="0" borderId="93" xfId="0" applyNumberFormat="1" applyFont="1" applyFill="1" applyBorder="1"/>
    <xf numFmtId="3" fontId="59" fillId="0" borderId="0" xfId="0" applyNumberFormat="1" applyFont="1" applyFill="1" applyBorder="1" applyAlignment="1">
      <alignment horizontal="center"/>
    </xf>
    <xf numFmtId="4" fontId="63" fillId="0" borderId="0" xfId="0" applyNumberFormat="1" applyFont="1" applyFill="1" applyBorder="1" applyAlignment="1">
      <alignment horizontal="right"/>
    </xf>
    <xf numFmtId="4" fontId="59" fillId="28" borderId="27" xfId="0" applyNumberFormat="1" applyFont="1" applyFill="1" applyBorder="1" applyAlignment="1">
      <alignment horizontal="center"/>
    </xf>
    <xf numFmtId="0" fontId="59" fillId="0" borderId="18" xfId="0" applyFont="1" applyFill="1" applyBorder="1" applyAlignment="1" applyProtection="1">
      <alignment horizontal="left"/>
    </xf>
    <xf numFmtId="3" fontId="59" fillId="0" borderId="0" xfId="0" applyNumberFormat="1" applyFont="1" applyFill="1" applyBorder="1" applyAlignment="1">
      <alignment horizontal="left"/>
    </xf>
    <xf numFmtId="0" fontId="59" fillId="0" borderId="55" xfId="0" applyFont="1" applyBorder="1" applyAlignment="1">
      <alignment horizontal="center"/>
    </xf>
    <xf numFmtId="0" fontId="59" fillId="28" borderId="15" xfId="0" applyFont="1" applyFill="1" applyBorder="1" applyAlignment="1">
      <alignment horizontal="center"/>
    </xf>
    <xf numFmtId="4" fontId="59" fillId="28" borderId="59" xfId="0" applyNumberFormat="1" applyFont="1" applyFill="1" applyBorder="1" applyAlignment="1">
      <alignment horizontal="center"/>
    </xf>
    <xf numFmtId="3" fontId="59" fillId="0" borderId="19" xfId="0" applyNumberFormat="1" applyFont="1" applyFill="1" applyBorder="1" applyAlignment="1">
      <alignment horizontal="centerContinuous"/>
    </xf>
    <xf numFmtId="3" fontId="59" fillId="0" borderId="16" xfId="0" applyNumberFormat="1" applyFont="1" applyFill="1" applyBorder="1" applyAlignment="1">
      <alignment horizontal="centerContinuous"/>
    </xf>
    <xf numFmtId="0" fontId="64" fillId="0" borderId="61" xfId="0" applyFont="1" applyFill="1" applyBorder="1" applyAlignment="1">
      <alignment horizontal="center"/>
    </xf>
    <xf numFmtId="0" fontId="64" fillId="0" borderId="84" xfId="0" applyFont="1" applyFill="1" applyBorder="1" applyAlignment="1">
      <alignment horizontal="center"/>
    </xf>
    <xf numFmtId="0" fontId="63" fillId="0" borderId="16" xfId="0" applyFont="1" applyFill="1" applyBorder="1"/>
    <xf numFmtId="3" fontId="59" fillId="0" borderId="16" xfId="0" applyNumberFormat="1" applyFont="1" applyFill="1" applyBorder="1" applyAlignment="1" applyProtection="1">
      <alignment horizontal="right"/>
    </xf>
    <xf numFmtId="4" fontId="64" fillId="0" borderId="84" xfId="0" applyNumberFormat="1" applyFont="1" applyFill="1" applyBorder="1" applyAlignment="1">
      <alignment horizontal="center"/>
    </xf>
    <xf numFmtId="3" fontId="77" fillId="0" borderId="18" xfId="0" applyNumberFormat="1" applyFont="1" applyFill="1" applyBorder="1" applyAlignment="1">
      <alignment horizontal="left"/>
    </xf>
    <xf numFmtId="3" fontId="77" fillId="0" borderId="0" xfId="0" applyNumberFormat="1" applyFont="1" applyFill="1" applyBorder="1" applyAlignment="1">
      <alignment horizontal="left"/>
    </xf>
    <xf numFmtId="3" fontId="77" fillId="0" borderId="0" xfId="0" applyNumberFormat="1" applyFont="1" applyFill="1" applyBorder="1" applyAlignment="1">
      <alignment horizontal="centerContinuous"/>
    </xf>
    <xf numFmtId="3" fontId="77" fillId="0" borderId="40" xfId="0" applyNumberFormat="1" applyFont="1" applyFill="1" applyBorder="1" applyAlignment="1">
      <alignment horizontal="left"/>
    </xf>
    <xf numFmtId="3" fontId="77" fillId="0" borderId="37" xfId="0" applyNumberFormat="1" applyFont="1" applyFill="1" applyBorder="1" applyAlignment="1">
      <alignment horizontal="left"/>
    </xf>
    <xf numFmtId="3" fontId="77" fillId="0" borderId="37" xfId="0" applyNumberFormat="1" applyFont="1" applyFill="1" applyBorder="1" applyAlignment="1">
      <alignment horizontal="centerContinuous"/>
    </xf>
    <xf numFmtId="3" fontId="59" fillId="0" borderId="37" xfId="0" applyNumberFormat="1" applyFont="1" applyFill="1" applyBorder="1" applyAlignment="1" applyProtection="1">
      <alignment horizontal="right"/>
    </xf>
    <xf numFmtId="0" fontId="77" fillId="0" borderId="40" xfId="0" applyFont="1" applyFill="1" applyBorder="1" applyAlignment="1">
      <alignment horizontal="left"/>
    </xf>
    <xf numFmtId="3" fontId="77" fillId="0" borderId="37" xfId="0" applyNumberFormat="1" applyFont="1" applyFill="1" applyBorder="1" applyAlignment="1">
      <alignment horizontal="right"/>
    </xf>
    <xf numFmtId="3" fontId="77" fillId="0" borderId="18" xfId="0" applyNumberFormat="1" applyFont="1" applyFill="1" applyBorder="1" applyAlignment="1">
      <alignment horizontal="centerContinuous"/>
    </xf>
    <xf numFmtId="0" fontId="64" fillId="0" borderId="86" xfId="0" applyFont="1" applyFill="1" applyBorder="1" applyAlignment="1">
      <alignment horizontal="center"/>
    </xf>
    <xf numFmtId="3" fontId="59" fillId="0" borderId="18" xfId="0" applyNumberFormat="1" applyFont="1" applyFill="1" applyBorder="1" applyAlignment="1">
      <alignment horizontal="centerContinuous"/>
    </xf>
    <xf numFmtId="3" fontId="59" fillId="0" borderId="0" xfId="0" applyNumberFormat="1" applyFont="1" applyFill="1" applyBorder="1" applyAlignment="1">
      <alignment horizontal="centerContinuous"/>
    </xf>
    <xf numFmtId="3" fontId="59" fillId="0" borderId="93" xfId="0" applyNumberFormat="1" applyFont="1" applyFill="1" applyBorder="1" applyAlignment="1" applyProtection="1">
      <alignment horizontal="right"/>
    </xf>
    <xf numFmtId="3" fontId="63" fillId="0" borderId="0" xfId="0" applyNumberFormat="1" applyFont="1" applyFill="1" applyBorder="1" applyAlignment="1" applyProtection="1">
      <alignment horizontal="left"/>
    </xf>
    <xf numFmtId="3" fontId="59" fillId="0" borderId="18" xfId="0" applyNumberFormat="1" applyFont="1" applyFill="1" applyBorder="1" applyAlignment="1">
      <alignment horizontal="left"/>
    </xf>
    <xf numFmtId="0" fontId="63" fillId="0" borderId="0" xfId="77" applyFont="1" applyFill="1" applyBorder="1"/>
    <xf numFmtId="3" fontId="63" fillId="0" borderId="0" xfId="0" applyNumberFormat="1" applyFont="1" applyFill="1" applyBorder="1" applyAlignment="1">
      <alignment horizontal="center"/>
    </xf>
    <xf numFmtId="3" fontId="59" fillId="0" borderId="24" xfId="0" applyNumberFormat="1" applyFont="1" applyFill="1" applyBorder="1" applyAlignment="1" applyProtection="1">
      <alignment horizontal="right"/>
    </xf>
    <xf numFmtId="3" fontId="59" fillId="0" borderId="0" xfId="0" applyNumberFormat="1" applyFont="1" applyFill="1" applyBorder="1" applyAlignment="1"/>
    <xf numFmtId="3" fontId="59" fillId="0" borderId="25" xfId="0" applyNumberFormat="1" applyFont="1" applyFill="1" applyBorder="1" applyAlignment="1"/>
    <xf numFmtId="3" fontId="59" fillId="0" borderId="45" xfId="0" applyNumberFormat="1" applyFont="1" applyFill="1" applyBorder="1" applyAlignment="1"/>
    <xf numFmtId="3" fontId="59" fillId="0" borderId="47" xfId="0" applyNumberFormat="1" applyFont="1" applyFill="1" applyBorder="1" applyAlignment="1"/>
    <xf numFmtId="3" fontId="59" fillId="0" borderId="116" xfId="0" applyNumberFormat="1" applyFont="1" applyFill="1" applyBorder="1"/>
    <xf numFmtId="3" fontId="59" fillId="0" borderId="102" xfId="0" applyNumberFormat="1" applyFont="1" applyFill="1" applyBorder="1"/>
    <xf numFmtId="3" fontId="59" fillId="0" borderId="47" xfId="0" applyNumberFormat="1" applyFont="1" applyFill="1" applyBorder="1" applyAlignment="1">
      <alignment horizontal="left"/>
    </xf>
    <xf numFmtId="3" fontId="59" fillId="0" borderId="18" xfId="0" applyNumberFormat="1" applyFont="1" applyFill="1" applyBorder="1" applyAlignment="1"/>
    <xf numFmtId="0" fontId="63" fillId="0" borderId="37" xfId="77" applyFont="1" applyBorder="1" applyAlignment="1">
      <alignment horizontal="justify"/>
    </xf>
    <xf numFmtId="3" fontId="59" fillId="0" borderId="37" xfId="0" applyNumberFormat="1" applyFont="1" applyFill="1" applyBorder="1" applyAlignment="1">
      <alignment horizontal="left"/>
    </xf>
    <xf numFmtId="0" fontId="63" fillId="0" borderId="50" xfId="77" applyFont="1" applyBorder="1" applyAlignment="1">
      <alignment horizontal="justify"/>
    </xf>
    <xf numFmtId="3" fontId="59" fillId="30" borderId="37" xfId="0" applyNumberFormat="1" applyFont="1" applyFill="1" applyBorder="1" applyAlignment="1">
      <alignment horizontal="left"/>
    </xf>
    <xf numFmtId="3" fontId="98" fillId="0" borderId="37" xfId="0" applyNumberFormat="1" applyFont="1" applyFill="1" applyBorder="1" applyAlignment="1">
      <alignment horizontal="left"/>
    </xf>
    <xf numFmtId="3" fontId="63" fillId="0" borderId="0" xfId="0" applyNumberFormat="1" applyFont="1" applyFill="1" applyBorder="1" applyAlignment="1">
      <alignment horizontal="right"/>
    </xf>
    <xf numFmtId="0" fontId="59" fillId="28" borderId="53" xfId="0" applyFont="1" applyFill="1" applyBorder="1" applyAlignment="1">
      <alignment horizontal="center"/>
    </xf>
    <xf numFmtId="0" fontId="59" fillId="28" borderId="84" xfId="0" applyFont="1" applyFill="1" applyBorder="1" applyAlignment="1">
      <alignment horizontal="center"/>
    </xf>
    <xf numFmtId="0" fontId="37" fillId="0" borderId="50" xfId="0" applyFont="1" applyFill="1" applyBorder="1" applyAlignment="1">
      <alignment wrapText="1"/>
    </xf>
    <xf numFmtId="4" fontId="7" fillId="0" borderId="0" xfId="0" applyNumberFormat="1" applyFont="1" applyFill="1"/>
    <xf numFmtId="4" fontId="39" fillId="0" borderId="0" xfId="0" applyNumberFormat="1" applyFont="1" applyFill="1"/>
    <xf numFmtId="4" fontId="67" fillId="0" borderId="0" xfId="77" applyNumberFormat="1" applyFont="1" applyFill="1"/>
    <xf numFmtId="2" fontId="7" fillId="0" borderId="0" xfId="77" applyNumberFormat="1" applyFont="1" applyFill="1"/>
    <xf numFmtId="2" fontId="67" fillId="0" borderId="0" xfId="77" applyNumberFormat="1" applyFont="1" applyFill="1"/>
    <xf numFmtId="4" fontId="7" fillId="0" borderId="0" xfId="0" applyNumberFormat="1" applyFont="1"/>
    <xf numFmtId="4" fontId="6" fillId="0" borderId="0" xfId="0" applyNumberFormat="1" applyFont="1"/>
    <xf numFmtId="2" fontId="7" fillId="0" borderId="0" xfId="0" applyNumberFormat="1" applyFont="1" applyFill="1"/>
    <xf numFmtId="4" fontId="93" fillId="0" borderId="0" xfId="0" applyNumberFormat="1" applyFont="1" applyFill="1"/>
    <xf numFmtId="2" fontId="7" fillId="0" borderId="0" xfId="0" applyNumberFormat="1" applyFont="1"/>
    <xf numFmtId="3" fontId="37" fillId="0" borderId="0" xfId="77" applyNumberFormat="1" applyFont="1" applyFill="1"/>
    <xf numFmtId="3" fontId="90" fillId="0" borderId="36" xfId="77" applyNumberFormat="1" applyFont="1" applyFill="1" applyBorder="1"/>
    <xf numFmtId="3" fontId="61" fillId="29" borderId="118" xfId="0" applyNumberFormat="1" applyFont="1" applyFill="1" applyBorder="1"/>
    <xf numFmtId="4" fontId="105" fillId="0" borderId="73" xfId="0" applyNumberFormat="1" applyFont="1" applyFill="1" applyBorder="1" applyAlignment="1">
      <alignment horizontal="right"/>
    </xf>
    <xf numFmtId="3" fontId="115" fillId="0" borderId="65" xfId="0" applyNumberFormat="1" applyFont="1" applyFill="1" applyBorder="1"/>
    <xf numFmtId="3" fontId="114" fillId="0" borderId="36" xfId="0" applyNumberFormat="1" applyFont="1" applyFill="1" applyBorder="1"/>
    <xf numFmtId="0" fontId="102" fillId="29" borderId="107" xfId="0" applyFont="1" applyFill="1" applyBorder="1" applyAlignment="1">
      <alignment wrapText="1"/>
    </xf>
    <xf numFmtId="3" fontId="115" fillId="0" borderId="34" xfId="0" applyNumberFormat="1" applyFont="1" applyFill="1" applyBorder="1"/>
    <xf numFmtId="3" fontId="77" fillId="0" borderId="50" xfId="0" applyNumberFormat="1" applyFont="1" applyFill="1" applyBorder="1" applyAlignment="1" applyProtection="1"/>
    <xf numFmtId="0" fontId="63" fillId="0" borderId="85" xfId="0" applyFont="1" applyFill="1" applyBorder="1"/>
    <xf numFmtId="2" fontId="114" fillId="0" borderId="68" xfId="0" applyNumberFormat="1" applyFont="1" applyFill="1" applyBorder="1"/>
    <xf numFmtId="0" fontId="109" fillId="0" borderId="40" xfId="0" applyFont="1" applyFill="1" applyBorder="1" applyAlignment="1">
      <alignment wrapText="1"/>
    </xf>
    <xf numFmtId="0" fontId="63" fillId="0" borderId="86" xfId="0" applyFont="1" applyFill="1" applyBorder="1" applyAlignment="1">
      <alignment horizontal="left"/>
    </xf>
    <xf numFmtId="3" fontId="63" fillId="0" borderId="62" xfId="0" applyNumberFormat="1" applyFont="1" applyFill="1" applyBorder="1"/>
    <xf numFmtId="3" fontId="63" fillId="0" borderId="72" xfId="0" applyNumberFormat="1" applyFont="1" applyFill="1" applyBorder="1"/>
    <xf numFmtId="0" fontId="102" fillId="0" borderId="40" xfId="0" applyFont="1" applyFill="1" applyBorder="1" applyAlignment="1"/>
    <xf numFmtId="0" fontId="111" fillId="0" borderId="37" xfId="0" applyFont="1" applyFill="1" applyBorder="1" applyAlignment="1"/>
    <xf numFmtId="0" fontId="111" fillId="0" borderId="39" xfId="0" applyFont="1" applyFill="1" applyBorder="1" applyAlignment="1"/>
    <xf numFmtId="2" fontId="102" fillId="0" borderId="67" xfId="0" applyNumberFormat="1" applyFont="1" applyFill="1" applyBorder="1"/>
    <xf numFmtId="3" fontId="37" fillId="0" borderId="50" xfId="0" applyNumberFormat="1" applyFont="1" applyBorder="1" applyAlignment="1">
      <alignment horizontal="justify"/>
    </xf>
    <xf numFmtId="0" fontId="6" fillId="0" borderId="19" xfId="0" applyFont="1" applyBorder="1"/>
    <xf numFmtId="0" fontId="102" fillId="29" borderId="18" xfId="0" applyFont="1" applyFill="1" applyBorder="1" applyAlignment="1">
      <alignment horizontal="justify"/>
    </xf>
    <xf numFmtId="3" fontId="102" fillId="29" borderId="15" xfId="0" applyNumberFormat="1" applyFont="1" applyFill="1" applyBorder="1" applyAlignment="1">
      <alignment horizontal="right"/>
    </xf>
    <xf numFmtId="3" fontId="102" fillId="29" borderId="29" xfId="0" applyNumberFormat="1" applyFont="1" applyFill="1" applyBorder="1" applyAlignment="1">
      <alignment horizontal="right"/>
    </xf>
    <xf numFmtId="0" fontId="102" fillId="29" borderId="108" xfId="0" applyFont="1" applyFill="1" applyBorder="1" applyAlignment="1">
      <alignment horizontal="justify"/>
    </xf>
    <xf numFmtId="3" fontId="102" fillId="29" borderId="118" xfId="0" applyNumberFormat="1" applyFont="1" applyFill="1" applyBorder="1"/>
    <xf numFmtId="2" fontId="102" fillId="29" borderId="102" xfId="0" applyNumberFormat="1" applyFont="1" applyFill="1" applyBorder="1"/>
    <xf numFmtId="3" fontId="102" fillId="29" borderId="117" xfId="0" applyNumberFormat="1" applyFont="1" applyFill="1" applyBorder="1"/>
    <xf numFmtId="4" fontId="102" fillId="29" borderId="102" xfId="0" applyNumberFormat="1" applyFont="1" applyFill="1" applyBorder="1"/>
    <xf numFmtId="2" fontId="80" fillId="0" borderId="114" xfId="0" applyNumberFormat="1" applyFont="1" applyBorder="1"/>
    <xf numFmtId="3" fontId="114" fillId="29" borderId="36" xfId="0" applyNumberFormat="1" applyFont="1" applyFill="1" applyBorder="1"/>
    <xf numFmtId="4" fontId="114" fillId="29" borderId="68" xfId="0" applyNumberFormat="1" applyFont="1" applyFill="1" applyBorder="1"/>
    <xf numFmtId="4" fontId="114" fillId="0" borderId="68" xfId="0" applyNumberFormat="1" applyFont="1" applyFill="1" applyBorder="1"/>
    <xf numFmtId="3" fontId="114" fillId="0" borderId="65" xfId="0" applyNumberFormat="1" applyFont="1" applyFill="1" applyBorder="1"/>
    <xf numFmtId="3" fontId="114" fillId="0" borderId="73" xfId="77" applyNumberFormat="1" applyFont="1" applyFill="1" applyBorder="1" applyAlignment="1">
      <alignment horizontal="right"/>
    </xf>
    <xf numFmtId="3" fontId="114" fillId="0" borderId="106" xfId="77" applyNumberFormat="1" applyFont="1" applyFill="1" applyBorder="1" applyAlignment="1">
      <alignment horizontal="right"/>
    </xf>
    <xf numFmtId="3" fontId="116" fillId="0" borderId="73" xfId="0" applyNumberFormat="1" applyFont="1" applyFill="1" applyBorder="1" applyAlignment="1">
      <alignment horizontal="right"/>
    </xf>
    <xf numFmtId="3" fontId="115" fillId="29" borderId="36" xfId="0" applyNumberFormat="1" applyFont="1" applyFill="1" applyBorder="1"/>
    <xf numFmtId="4" fontId="115" fillId="29" borderId="67" xfId="0" applyNumberFormat="1" applyFont="1" applyFill="1" applyBorder="1"/>
    <xf numFmtId="3" fontId="115" fillId="29" borderId="15" xfId="0" applyNumberFormat="1" applyFont="1" applyFill="1" applyBorder="1"/>
    <xf numFmtId="3" fontId="115" fillId="0" borderId="36" xfId="0" applyNumberFormat="1" applyFont="1" applyFill="1" applyBorder="1"/>
    <xf numFmtId="4" fontId="115" fillId="0" borderId="68" xfId="0" applyNumberFormat="1" applyFont="1" applyFill="1" applyBorder="1"/>
    <xf numFmtId="2" fontId="115" fillId="0" borderId="67" xfId="0" applyNumberFormat="1" applyFont="1" applyBorder="1"/>
    <xf numFmtId="3" fontId="115" fillId="29" borderId="51" xfId="0" applyNumberFormat="1" applyFont="1" applyFill="1" applyBorder="1"/>
    <xf numFmtId="3" fontId="115" fillId="0" borderId="51" xfId="0" applyNumberFormat="1" applyFont="1" applyFill="1" applyBorder="1"/>
    <xf numFmtId="2" fontId="115" fillId="0" borderId="67" xfId="0" applyNumberFormat="1" applyFont="1" applyFill="1" applyBorder="1"/>
    <xf numFmtId="2" fontId="115" fillId="0" borderId="68" xfId="0" applyNumberFormat="1" applyFont="1" applyBorder="1"/>
    <xf numFmtId="2" fontId="115" fillId="0" borderId="71" xfId="0" applyNumberFormat="1" applyFont="1" applyBorder="1"/>
    <xf numFmtId="3" fontId="115" fillId="0" borderId="110" xfId="0" applyNumberFormat="1" applyFont="1" applyFill="1" applyBorder="1"/>
    <xf numFmtId="4" fontId="115" fillId="29" borderId="68" xfId="0" applyNumberFormat="1" applyFont="1" applyFill="1" applyBorder="1"/>
    <xf numFmtId="3" fontId="115" fillId="0" borderId="29" xfId="0" applyNumberFormat="1" applyFont="1" applyFill="1" applyBorder="1"/>
    <xf numFmtId="2" fontId="115" fillId="0" borderId="59" xfId="0" applyNumberFormat="1" applyFont="1" applyBorder="1"/>
    <xf numFmtId="3" fontId="117" fillId="0" borderId="82" xfId="0" applyNumberFormat="1" applyFont="1" applyBorder="1"/>
    <xf numFmtId="2" fontId="117" fillId="0" borderId="56" xfId="0" applyNumberFormat="1" applyFont="1" applyBorder="1"/>
    <xf numFmtId="3" fontId="117" fillId="0" borderId="47" xfId="0" applyNumberFormat="1" applyFont="1" applyBorder="1"/>
    <xf numFmtId="2" fontId="117" fillId="0" borderId="27" xfId="0" applyNumberFormat="1" applyFont="1" applyBorder="1"/>
    <xf numFmtId="3" fontId="115" fillId="0" borderId="35" xfId="0" applyNumberFormat="1" applyFont="1" applyFill="1" applyBorder="1"/>
    <xf numFmtId="2" fontId="115" fillId="0" borderId="109" xfId="0" applyNumberFormat="1" applyFont="1" applyBorder="1"/>
    <xf numFmtId="3" fontId="117" fillId="0" borderId="61" xfId="0" applyNumberFormat="1" applyFont="1" applyBorder="1"/>
    <xf numFmtId="2" fontId="117" fillId="0" borderId="28" xfId="0" applyNumberFormat="1" applyFont="1" applyBorder="1"/>
    <xf numFmtId="3" fontId="117" fillId="0" borderId="48" xfId="0" applyNumberFormat="1" applyFont="1" applyBorder="1"/>
    <xf numFmtId="2" fontId="117" fillId="0" borderId="60" xfId="0" applyNumberFormat="1" applyFont="1" applyBorder="1"/>
    <xf numFmtId="3" fontId="90" fillId="0" borderId="15" xfId="77" applyNumberFormat="1" applyFont="1" applyFill="1" applyBorder="1"/>
    <xf numFmtId="3" fontId="114" fillId="0" borderId="75" xfId="0" applyNumberFormat="1" applyFont="1" applyFill="1" applyBorder="1" applyAlignment="1">
      <alignment horizontal="right"/>
    </xf>
    <xf numFmtId="4" fontId="114" fillId="0" borderId="75" xfId="0" applyNumberFormat="1" applyFont="1" applyFill="1" applyBorder="1" applyAlignment="1">
      <alignment horizontal="right"/>
    </xf>
    <xf numFmtId="3" fontId="118" fillId="0" borderId="75" xfId="0" applyNumberFormat="1" applyFont="1" applyFill="1" applyBorder="1" applyAlignment="1">
      <alignment horizontal="right"/>
    </xf>
    <xf numFmtId="3" fontId="119" fillId="0" borderId="75" xfId="78" applyNumberFormat="1" applyFont="1" applyFill="1" applyBorder="1" applyAlignment="1">
      <alignment horizontal="right" wrapText="1"/>
    </xf>
    <xf numFmtId="3" fontId="114" fillId="0" borderId="73" xfId="0" applyNumberFormat="1" applyFont="1" applyFill="1" applyBorder="1" applyAlignment="1">
      <alignment horizontal="right"/>
    </xf>
    <xf numFmtId="4" fontId="114" fillId="0" borderId="73" xfId="0" applyNumberFormat="1" applyFont="1" applyFill="1" applyBorder="1" applyAlignment="1">
      <alignment horizontal="right"/>
    </xf>
    <xf numFmtId="3" fontId="114" fillId="0" borderId="69" xfId="0" applyNumberFormat="1" applyFont="1" applyFill="1" applyBorder="1" applyAlignment="1">
      <alignment horizontal="right"/>
    </xf>
    <xf numFmtId="3" fontId="114" fillId="0" borderId="106" xfId="0" applyNumberFormat="1" applyFont="1" applyFill="1" applyBorder="1" applyAlignment="1">
      <alignment horizontal="right"/>
    </xf>
    <xf numFmtId="4" fontId="114" fillId="0" borderId="106" xfId="0" applyNumberFormat="1" applyFont="1" applyFill="1" applyBorder="1" applyAlignment="1">
      <alignment horizontal="right"/>
    </xf>
    <xf numFmtId="4" fontId="114" fillId="0" borderId="75" xfId="0" applyNumberFormat="1" applyFont="1" applyFill="1" applyBorder="1"/>
    <xf numFmtId="3" fontId="114" fillId="0" borderId="73" xfId="0" applyNumberFormat="1" applyFont="1" applyFill="1" applyBorder="1"/>
    <xf numFmtId="4" fontId="114" fillId="0" borderId="73" xfId="0" applyNumberFormat="1" applyFont="1" applyFill="1" applyBorder="1"/>
    <xf numFmtId="3" fontId="105" fillId="0" borderId="126" xfId="0" applyNumberFormat="1" applyFont="1" applyFill="1" applyBorder="1" applyAlignment="1">
      <alignment horizontal="right"/>
    </xf>
    <xf numFmtId="0" fontId="102" fillId="0" borderId="69" xfId="0" applyFont="1" applyFill="1" applyBorder="1" applyAlignment="1">
      <alignment wrapText="1"/>
    </xf>
    <xf numFmtId="3" fontId="88" fillId="0" borderId="0" xfId="77" applyNumberFormat="1" applyFont="1" applyFill="1" applyBorder="1"/>
    <xf numFmtId="0" fontId="79" fillId="0" borderId="17" xfId="0" applyFont="1" applyBorder="1" applyAlignment="1">
      <alignment horizontal="left"/>
    </xf>
    <xf numFmtId="0" fontId="101" fillId="0" borderId="76" xfId="0" applyFont="1" applyFill="1" applyBorder="1" applyAlignment="1">
      <alignment wrapText="1"/>
    </xf>
    <xf numFmtId="0" fontId="102" fillId="0" borderId="73" xfId="0" applyFont="1" applyFill="1" applyBorder="1" applyAlignment="1">
      <alignment wrapText="1"/>
    </xf>
    <xf numFmtId="2" fontId="85" fillId="0" borderId="0" xfId="0" applyNumberFormat="1" applyFont="1" applyFill="1"/>
    <xf numFmtId="0" fontId="63" fillId="0" borderId="0" xfId="88" applyFont="1"/>
    <xf numFmtId="0" fontId="63" fillId="0" borderId="0" xfId="88" applyFont="1" applyFill="1"/>
    <xf numFmtId="3" fontId="63" fillId="0" borderId="0" xfId="88" applyNumberFormat="1" applyFont="1" applyFill="1"/>
    <xf numFmtId="0" fontId="9" fillId="0" borderId="0" xfId="88" applyFont="1"/>
    <xf numFmtId="0" fontId="7" fillId="0" borderId="0" xfId="88" applyFont="1"/>
    <xf numFmtId="0" fontId="6" fillId="0" borderId="0" xfId="88" applyFont="1"/>
    <xf numFmtId="0" fontId="6" fillId="0" borderId="0" xfId="88" applyFont="1" applyAlignment="1">
      <alignment horizontal="right"/>
    </xf>
    <xf numFmtId="0" fontId="7" fillId="0" borderId="0" xfId="88" applyFont="1" applyFill="1"/>
    <xf numFmtId="0" fontId="38" fillId="0" borderId="83" xfId="88" applyFont="1" applyBorder="1" applyAlignment="1">
      <alignment horizontal="center"/>
    </xf>
    <xf numFmtId="0" fontId="38" fillId="0" borderId="23" xfId="88" applyFont="1" applyBorder="1" applyAlignment="1">
      <alignment horizontal="center"/>
    </xf>
    <xf numFmtId="0" fontId="38" fillId="0" borderId="53" xfId="88" applyFont="1" applyBorder="1" applyAlignment="1">
      <alignment horizontal="center"/>
    </xf>
    <xf numFmtId="0" fontId="61" fillId="0" borderId="0" xfId="88" applyFont="1" applyFill="1"/>
    <xf numFmtId="0" fontId="61" fillId="0" borderId="0" xfId="88" applyFont="1"/>
    <xf numFmtId="0" fontId="38" fillId="0" borderId="69" xfId="88" applyFont="1" applyBorder="1" applyAlignment="1">
      <alignment horizontal="center"/>
    </xf>
    <xf numFmtId="0" fontId="61" fillId="0" borderId="18" xfId="88" applyFont="1" applyBorder="1"/>
    <xf numFmtId="0" fontId="38" fillId="0" borderId="86" xfId="88" applyFont="1" applyBorder="1" applyAlignment="1">
      <alignment horizontal="center"/>
    </xf>
    <xf numFmtId="0" fontId="38" fillId="0" borderId="70" xfId="88" applyFont="1" applyBorder="1" applyAlignment="1">
      <alignment horizontal="center"/>
    </xf>
    <xf numFmtId="0" fontId="61" fillId="0" borderId="19" xfId="88" applyFont="1" applyBorder="1"/>
    <xf numFmtId="0" fontId="38" fillId="0" borderId="70" xfId="88" applyFont="1" applyBorder="1" applyAlignment="1">
      <alignment horizontal="center" vertical="center" wrapText="1"/>
    </xf>
    <xf numFmtId="0" fontId="38" fillId="0" borderId="84" xfId="88" applyFont="1" applyBorder="1" applyAlignment="1">
      <alignment horizontal="center" vertical="center" wrapText="1"/>
    </xf>
    <xf numFmtId="0" fontId="38" fillId="0" borderId="84" xfId="88" applyFont="1" applyBorder="1" applyAlignment="1">
      <alignment horizontal="justify"/>
    </xf>
    <xf numFmtId="0" fontId="120" fillId="0" borderId="0" xfId="88" applyFont="1" applyFill="1" applyAlignment="1">
      <alignment horizontal="center"/>
    </xf>
    <xf numFmtId="0" fontId="18" fillId="0" borderId="69" xfId="88" applyFont="1" applyBorder="1" applyAlignment="1">
      <alignment horizontal="center"/>
    </xf>
    <xf numFmtId="0" fontId="18" fillId="0" borderId="18" xfId="88" applyFont="1" applyBorder="1" applyAlignment="1">
      <alignment horizontal="center"/>
    </xf>
    <xf numFmtId="0" fontId="7" fillId="0" borderId="83" xfId="88" applyFont="1" applyBorder="1" applyAlignment="1">
      <alignment horizontal="center"/>
    </xf>
    <xf numFmtId="0" fontId="7" fillId="0" borderId="53" xfId="88" applyFont="1" applyBorder="1" applyAlignment="1">
      <alignment horizontal="center"/>
    </xf>
    <xf numFmtId="0" fontId="18" fillId="0" borderId="53" xfId="88" applyFont="1" applyBorder="1" applyAlignment="1">
      <alignment horizontal="center"/>
    </xf>
    <xf numFmtId="0" fontId="6" fillId="0" borderId="69" xfId="88" applyFont="1" applyBorder="1" applyAlignment="1">
      <alignment horizontal="center"/>
    </xf>
    <xf numFmtId="0" fontId="18" fillId="0" borderId="23" xfId="88" applyFont="1" applyBorder="1" applyAlignment="1">
      <alignment horizontal="center"/>
    </xf>
    <xf numFmtId="0" fontId="121" fillId="0" borderId="0" xfId="88" applyFont="1" applyFill="1" applyAlignment="1">
      <alignment horizontal="center"/>
    </xf>
    <xf numFmtId="3" fontId="38" fillId="0" borderId="115" xfId="88" applyNumberFormat="1" applyFont="1" applyBorder="1" applyAlignment="1">
      <alignment horizontal="center"/>
    </xf>
    <xf numFmtId="0" fontId="99" fillId="0" borderId="98" xfId="89" applyFont="1" applyBorder="1"/>
    <xf numFmtId="3" fontId="61" fillId="0" borderId="115" xfId="88" applyNumberFormat="1" applyFont="1" applyBorder="1"/>
    <xf numFmtId="3" fontId="38" fillId="0" borderId="115" xfId="88" applyNumberFormat="1" applyFont="1" applyBorder="1"/>
    <xf numFmtId="3" fontId="17" fillId="0" borderId="69" xfId="88" applyNumberFormat="1" applyFont="1" applyBorder="1" applyAlignment="1">
      <alignment horizontal="center"/>
    </xf>
    <xf numFmtId="3" fontId="37" fillId="0" borderId="69" xfId="88" applyNumberFormat="1" applyFont="1" applyBorder="1"/>
    <xf numFmtId="3" fontId="37" fillId="0" borderId="115" xfId="88" applyNumberFormat="1" applyFont="1" applyBorder="1"/>
    <xf numFmtId="3" fontId="7" fillId="0" borderId="0" xfId="88" applyNumberFormat="1" applyFont="1" applyFill="1"/>
    <xf numFmtId="3" fontId="38" fillId="0" borderId="78" xfId="88" applyNumberFormat="1" applyFont="1" applyBorder="1" applyAlignment="1">
      <alignment horizontal="center"/>
    </xf>
    <xf numFmtId="0" fontId="99" fillId="0" borderId="26" xfId="89" applyFont="1" applyBorder="1"/>
    <xf numFmtId="3" fontId="17" fillId="0" borderId="78" xfId="88" applyNumberFormat="1" applyFont="1" applyBorder="1" applyAlignment="1">
      <alignment horizontal="center"/>
    </xf>
    <xf numFmtId="3" fontId="37" fillId="0" borderId="78" xfId="88" applyNumberFormat="1" applyFont="1" applyBorder="1"/>
    <xf numFmtId="3" fontId="17" fillId="0" borderId="89" xfId="88" applyNumberFormat="1" applyFont="1" applyBorder="1" applyAlignment="1">
      <alignment horizontal="center"/>
    </xf>
    <xf numFmtId="0" fontId="99" fillId="0" borderId="57" xfId="89" applyFont="1" applyBorder="1"/>
    <xf numFmtId="3" fontId="38" fillId="0" borderId="69" xfId="88" applyNumberFormat="1" applyFont="1" applyBorder="1"/>
    <xf numFmtId="3" fontId="123" fillId="0" borderId="0" xfId="88" applyNumberFormat="1" applyFont="1" applyFill="1"/>
    <xf numFmtId="3" fontId="38" fillId="0" borderId="77" xfId="88" applyNumberFormat="1" applyFont="1" applyBorder="1" applyAlignment="1">
      <alignment horizontal="center"/>
    </xf>
    <xf numFmtId="0" fontId="38" fillId="0" borderId="20" xfId="88" applyFont="1" applyBorder="1"/>
    <xf numFmtId="3" fontId="38" fillId="0" borderId="77" xfId="88" applyNumberFormat="1" applyFont="1" applyBorder="1"/>
    <xf numFmtId="3" fontId="17" fillId="0" borderId="77" xfId="88" applyNumberFormat="1" applyFont="1" applyBorder="1" applyAlignment="1">
      <alignment horizontal="center"/>
    </xf>
    <xf numFmtId="3" fontId="17" fillId="0" borderId="77" xfId="88" applyNumberFormat="1" applyFont="1" applyBorder="1"/>
    <xf numFmtId="3" fontId="17" fillId="0" borderId="135" xfId="88" applyNumberFormat="1" applyFont="1" applyBorder="1" applyAlignment="1">
      <alignment horizontal="center"/>
    </xf>
    <xf numFmtId="0" fontId="99" fillId="0" borderId="23" xfId="89" applyFont="1" applyBorder="1"/>
    <xf numFmtId="3" fontId="37" fillId="0" borderId="83" xfId="88" applyNumberFormat="1" applyFont="1" applyBorder="1"/>
    <xf numFmtId="0" fontId="18" fillId="0" borderId="0" xfId="88" applyFont="1" applyFill="1"/>
    <xf numFmtId="0" fontId="18" fillId="0" borderId="0" xfId="88" applyFont="1"/>
    <xf numFmtId="3" fontId="17" fillId="0" borderId="115" xfId="88" applyNumberFormat="1" applyFont="1" applyBorder="1" applyAlignment="1">
      <alignment horizontal="center"/>
    </xf>
    <xf numFmtId="0" fontId="99" fillId="0" borderId="18" xfId="89" applyFont="1" applyBorder="1"/>
    <xf numFmtId="3" fontId="18" fillId="0" borderId="77" xfId="88" applyNumberFormat="1" applyFont="1" applyBorder="1" applyAlignment="1">
      <alignment horizontal="center"/>
    </xf>
    <xf numFmtId="0" fontId="38" fillId="0" borderId="20" xfId="88" applyFont="1" applyBorder="1" applyAlignment="1">
      <alignment horizontal="justify"/>
    </xf>
    <xf numFmtId="3" fontId="18" fillId="0" borderId="77" xfId="88" applyNumberFormat="1" applyFont="1" applyFill="1" applyBorder="1" applyAlignment="1">
      <alignment horizontal="center"/>
    </xf>
    <xf numFmtId="3" fontId="18" fillId="0" borderId="69" xfId="88" applyNumberFormat="1" applyFont="1" applyBorder="1" applyAlignment="1">
      <alignment horizontal="center"/>
    </xf>
    <xf numFmtId="0" fontId="38" fillId="0" borderId="18" xfId="88" applyFont="1" applyBorder="1" applyAlignment="1">
      <alignment horizontal="justify"/>
    </xf>
    <xf numFmtId="3" fontId="61" fillId="0" borderId="77" xfId="88" applyNumberFormat="1" applyFont="1" applyBorder="1"/>
    <xf numFmtId="3" fontId="61" fillId="0" borderId="86" xfId="88" applyNumberFormat="1" applyFont="1" applyBorder="1"/>
    <xf numFmtId="3" fontId="6" fillId="0" borderId="83" xfId="88" applyNumberFormat="1" applyFont="1" applyBorder="1" applyAlignment="1">
      <alignment horizontal="center"/>
    </xf>
    <xf numFmtId="0" fontId="38" fillId="0" borderId="23" xfId="88" applyFont="1" applyBorder="1" applyAlignment="1">
      <alignment horizontal="justify"/>
    </xf>
    <xf numFmtId="3" fontId="6" fillId="0" borderId="77" xfId="88" applyNumberFormat="1" applyFont="1" applyBorder="1" applyAlignment="1">
      <alignment horizontal="center"/>
    </xf>
    <xf numFmtId="0" fontId="17" fillId="0" borderId="20" xfId="88" applyFont="1" applyBorder="1"/>
    <xf numFmtId="3" fontId="7" fillId="0" borderId="0" xfId="88" applyNumberFormat="1" applyFont="1"/>
    <xf numFmtId="3" fontId="6" fillId="0" borderId="0" xfId="88" applyNumberFormat="1" applyFont="1"/>
    <xf numFmtId="3" fontId="7" fillId="0" borderId="46" xfId="88" applyNumberFormat="1" applyFont="1" applyBorder="1"/>
    <xf numFmtId="3" fontId="6" fillId="0" borderId="46" xfId="88" applyNumberFormat="1" applyFont="1" applyBorder="1"/>
    <xf numFmtId="3" fontId="9" fillId="0" borderId="0" xfId="88" applyNumberFormat="1" applyFont="1" applyFill="1" applyBorder="1"/>
    <xf numFmtId="0" fontId="7" fillId="0" borderId="0" xfId="88" applyFont="1" applyAlignment="1">
      <alignment horizontal="right"/>
    </xf>
    <xf numFmtId="3" fontId="124" fillId="0" borderId="0" xfId="88" applyNumberFormat="1" applyFont="1" applyFill="1"/>
    <xf numFmtId="49" fontId="7" fillId="0" borderId="0" xfId="88" applyNumberFormat="1" applyFont="1" applyAlignment="1">
      <alignment horizontal="right"/>
    </xf>
    <xf numFmtId="3" fontId="6" fillId="0" borderId="0" xfId="88" applyNumberFormat="1" applyFont="1" applyFill="1"/>
    <xf numFmtId="3" fontId="7" fillId="0" borderId="0" xfId="88" applyNumberFormat="1" applyFont="1" applyBorder="1"/>
    <xf numFmtId="0" fontId="7" fillId="0" borderId="0" xfId="88" applyFont="1" applyBorder="1"/>
    <xf numFmtId="3" fontId="6" fillId="0" borderId="0" xfId="88" applyNumberFormat="1" applyFont="1" applyFill="1" applyBorder="1"/>
    <xf numFmtId="3" fontId="6" fillId="0" borderId="0" xfId="88" applyNumberFormat="1" applyFont="1" applyBorder="1"/>
    <xf numFmtId="0" fontId="7" fillId="0" borderId="0" xfId="88" applyFont="1" applyAlignment="1">
      <alignment horizontal="left"/>
    </xf>
    <xf numFmtId="49" fontId="7" fillId="0" borderId="0" xfId="88" applyNumberFormat="1" applyFont="1" applyAlignment="1">
      <alignment horizontal="left"/>
    </xf>
    <xf numFmtId="0" fontId="9" fillId="0" borderId="0" xfId="88" applyFont="1" applyAlignment="1">
      <alignment horizontal="right"/>
    </xf>
    <xf numFmtId="3" fontId="124" fillId="0" borderId="0" xfId="88" applyNumberFormat="1" applyFont="1" applyFill="1" applyBorder="1"/>
    <xf numFmtId="0" fontId="6" fillId="0" borderId="0" xfId="88" applyFont="1" applyBorder="1"/>
    <xf numFmtId="3" fontId="7" fillId="0" borderId="0" xfId="88" applyNumberFormat="1" applyFont="1" applyFill="1" applyBorder="1"/>
    <xf numFmtId="0" fontId="7" fillId="0" borderId="0" xfId="88" applyFont="1" applyFill="1" applyBorder="1"/>
    <xf numFmtId="0" fontId="36" fillId="0" borderId="0" xfId="0" applyFont="1"/>
    <xf numFmtId="0" fontId="36" fillId="0" borderId="0" xfId="0" applyFont="1" applyFill="1"/>
    <xf numFmtId="0" fontId="36" fillId="0" borderId="0" xfId="78" applyFont="1" applyAlignment="1">
      <alignment horizontal="right"/>
    </xf>
    <xf numFmtId="0" fontId="127" fillId="0" borderId="23" xfId="0" applyFont="1" applyFill="1" applyBorder="1"/>
    <xf numFmtId="3" fontId="127" fillId="0" borderId="27" xfId="0" applyNumberFormat="1" applyFont="1" applyFill="1" applyBorder="1" applyAlignment="1">
      <alignment horizontal="right"/>
    </xf>
    <xf numFmtId="3" fontId="127" fillId="0" borderId="0" xfId="0" applyNumberFormat="1" applyFont="1" applyFill="1" applyBorder="1" applyAlignment="1">
      <alignment horizontal="right"/>
    </xf>
    <xf numFmtId="3" fontId="36" fillId="0" borderId="0" xfId="0" applyNumberFormat="1" applyFont="1" applyFill="1"/>
    <xf numFmtId="0" fontId="16" fillId="0" borderId="26" xfId="0" quotePrefix="1" applyFont="1" applyFill="1" applyBorder="1"/>
    <xf numFmtId="3" fontId="16" fillId="0" borderId="58" xfId="0" quotePrefix="1" applyNumberFormat="1" applyFont="1" applyFill="1" applyBorder="1" applyAlignment="1">
      <alignment horizontal="right"/>
    </xf>
    <xf numFmtId="0" fontId="16" fillId="0" borderId="0" xfId="0" applyFont="1" applyFill="1"/>
    <xf numFmtId="3" fontId="16" fillId="0" borderId="0" xfId="0" quotePrefix="1" applyNumberFormat="1" applyFont="1" applyFill="1" applyBorder="1" applyAlignment="1">
      <alignment horizontal="right"/>
    </xf>
    <xf numFmtId="3" fontId="16" fillId="0" borderId="0" xfId="0" applyNumberFormat="1" applyFont="1" applyFill="1"/>
    <xf numFmtId="49" fontId="36" fillId="0" borderId="18" xfId="0" applyNumberFormat="1" applyFont="1" applyFill="1" applyBorder="1"/>
    <xf numFmtId="3" fontId="36" fillId="0" borderId="59" xfId="0" quotePrefix="1" applyNumberFormat="1" applyFont="1" applyFill="1" applyBorder="1" applyAlignment="1">
      <alignment horizontal="right"/>
    </xf>
    <xf numFmtId="3" fontId="36" fillId="0" borderId="0" xfId="0" quotePrefix="1" applyNumberFormat="1" applyFont="1" applyFill="1" applyBorder="1" applyAlignment="1">
      <alignment horizontal="right"/>
    </xf>
    <xf numFmtId="0" fontId="36" fillId="0" borderId="26" xfId="0" quotePrefix="1" applyFont="1" applyFill="1" applyBorder="1"/>
    <xf numFmtId="3" fontId="36" fillId="0" borderId="58" xfId="0" quotePrefix="1" applyNumberFormat="1" applyFont="1" applyFill="1" applyBorder="1" applyAlignment="1">
      <alignment horizontal="right"/>
    </xf>
    <xf numFmtId="0" fontId="127" fillId="0" borderId="17" xfId="0" applyFont="1" applyFill="1" applyBorder="1"/>
    <xf numFmtId="3" fontId="127" fillId="0" borderId="54" xfId="0" quotePrefix="1" applyNumberFormat="1" applyFont="1" applyFill="1" applyBorder="1" applyAlignment="1">
      <alignment horizontal="right"/>
    </xf>
    <xf numFmtId="3" fontId="127" fillId="0" borderId="0" xfId="0" quotePrefix="1" applyNumberFormat="1" applyFont="1" applyFill="1" applyBorder="1" applyAlignment="1">
      <alignment horizontal="right"/>
    </xf>
    <xf numFmtId="0" fontId="36" fillId="0" borderId="18" xfId="0" applyFont="1" applyBorder="1"/>
    <xf numFmtId="3" fontId="36" fillId="0" borderId="59" xfId="0" applyNumberFormat="1" applyFont="1" applyFill="1" applyBorder="1" applyAlignment="1">
      <alignment horizontal="right"/>
    </xf>
    <xf numFmtId="0" fontId="36" fillId="0" borderId="26" xfId="0" applyFont="1" applyBorder="1"/>
    <xf numFmtId="3" fontId="128" fillId="0" borderId="58" xfId="0" applyNumberFormat="1" applyFont="1" applyFill="1" applyBorder="1" applyAlignment="1">
      <alignment horizontal="right"/>
    </xf>
    <xf numFmtId="0" fontId="36" fillId="0" borderId="19" xfId="0" applyFont="1" applyBorder="1"/>
    <xf numFmtId="3" fontId="128" fillId="0" borderId="28" xfId="0" applyNumberFormat="1" applyFont="1" applyFill="1" applyBorder="1" applyAlignment="1">
      <alignment horizontal="right"/>
    </xf>
    <xf numFmtId="0" fontId="0" fillId="0" borderId="0" xfId="0" applyFill="1"/>
    <xf numFmtId="0" fontId="5" fillId="0" borderId="0" xfId="78"/>
    <xf numFmtId="0" fontId="15" fillId="0" borderId="0" xfId="78" applyFont="1" applyAlignment="1">
      <alignment horizontal="right"/>
    </xf>
    <xf numFmtId="0" fontId="129" fillId="0" borderId="77" xfId="78" applyFont="1" applyBorder="1" applyAlignment="1">
      <alignment horizontal="center"/>
    </xf>
    <xf numFmtId="0" fontId="130" fillId="0" borderId="135" xfId="78" applyFont="1" applyBorder="1" applyAlignment="1">
      <alignment horizontal="center" vertical="center"/>
    </xf>
    <xf numFmtId="0" fontId="130" fillId="0" borderId="135" xfId="78" applyFont="1" applyBorder="1" applyAlignment="1">
      <alignment wrapText="1"/>
    </xf>
    <xf numFmtId="3" fontId="130" fillId="0" borderId="135" xfId="78" applyNumberFormat="1" applyFont="1" applyBorder="1" applyAlignment="1"/>
    <xf numFmtId="0" fontId="130" fillId="0" borderId="69" xfId="78" applyFont="1" applyBorder="1" applyAlignment="1">
      <alignment horizontal="center" vertical="center"/>
    </xf>
    <xf numFmtId="0" fontId="130" fillId="0" borderId="0" xfId="78" applyFont="1" applyBorder="1" applyAlignment="1">
      <alignment wrapText="1"/>
    </xf>
    <xf numFmtId="3" fontId="130" fillId="0" borderId="69" xfId="78" applyNumberFormat="1" applyFont="1" applyBorder="1" applyAlignment="1"/>
    <xf numFmtId="0" fontId="130" fillId="0" borderId="89" xfId="78" applyFont="1" applyBorder="1" applyAlignment="1">
      <alignment horizontal="center" vertical="center"/>
    </xf>
    <xf numFmtId="0" fontId="130" fillId="0" borderId="104" xfId="78" applyFont="1" applyBorder="1" applyAlignment="1">
      <alignment wrapText="1"/>
    </xf>
    <xf numFmtId="3" fontId="130" fillId="0" borderId="89" xfId="78" applyNumberFormat="1" applyFont="1" applyBorder="1"/>
    <xf numFmtId="0" fontId="130" fillId="0" borderId="0" xfId="78" applyFont="1" applyBorder="1"/>
    <xf numFmtId="3" fontId="130" fillId="0" borderId="69" xfId="78" applyNumberFormat="1" applyFont="1" applyBorder="1"/>
    <xf numFmtId="49" fontId="130" fillId="0" borderId="0" xfId="78" applyNumberFormat="1" applyFont="1" applyBorder="1"/>
    <xf numFmtId="0" fontId="130" fillId="0" borderId="78" xfId="78" applyFont="1" applyBorder="1" applyAlignment="1">
      <alignment horizontal="center" vertical="center"/>
    </xf>
    <xf numFmtId="0" fontId="130" fillId="0" borderId="24" xfId="78" applyFont="1" applyBorder="1" applyAlignment="1">
      <alignment wrapText="1"/>
    </xf>
    <xf numFmtId="3" fontId="130" fillId="0" borderId="78" xfId="78" applyNumberFormat="1" applyFont="1" applyFill="1" applyBorder="1"/>
    <xf numFmtId="3" fontId="130" fillId="0" borderId="78" xfId="78" applyNumberFormat="1" applyFont="1" applyBorder="1"/>
    <xf numFmtId="0" fontId="130" fillId="0" borderId="77" xfId="78" applyFont="1" applyBorder="1"/>
    <xf numFmtId="0" fontId="129" fillId="0" borderId="93" xfId="78" applyFont="1" applyBorder="1"/>
    <xf numFmtId="3" fontId="129" fillId="0" borderId="77" xfId="78" applyNumberFormat="1" applyFont="1" applyBorder="1"/>
    <xf numFmtId="0" fontId="131" fillId="0" borderId="0" xfId="78" applyFont="1"/>
    <xf numFmtId="0" fontId="132" fillId="0" borderId="0" xfId="90" applyFont="1"/>
    <xf numFmtId="0" fontId="15" fillId="0" borderId="0" xfId="78" applyFont="1"/>
    <xf numFmtId="0" fontId="5" fillId="0" borderId="0" xfId="78" applyFill="1"/>
    <xf numFmtId="0" fontId="130" fillId="0" borderId="0" xfId="90" applyFont="1" applyAlignment="1">
      <alignment wrapText="1"/>
    </xf>
    <xf numFmtId="0" fontId="11" fillId="0" borderId="0" xfId="90" applyFont="1"/>
    <xf numFmtId="0" fontId="130" fillId="0" borderId="0" xfId="90" applyFont="1"/>
    <xf numFmtId="0" fontId="130" fillId="0" borderId="0" xfId="77" applyFont="1" applyFill="1"/>
    <xf numFmtId="0" fontId="133" fillId="0" borderId="0" xfId="77" applyFont="1" applyFill="1"/>
    <xf numFmtId="3" fontId="130" fillId="0" borderId="0" xfId="77" applyNumberFormat="1" applyFont="1" applyFill="1" applyAlignment="1">
      <alignment horizontal="right"/>
    </xf>
    <xf numFmtId="0" fontId="130" fillId="0" borderId="0" xfId="78" applyFont="1" applyAlignment="1">
      <alignment horizontal="right"/>
    </xf>
    <xf numFmtId="0" fontId="6" fillId="0" borderId="23" xfId="77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center"/>
    </xf>
    <xf numFmtId="0" fontId="7" fillId="0" borderId="19" xfId="77" applyFont="1" applyFill="1" applyBorder="1" applyAlignment="1">
      <alignment horizontal="center"/>
    </xf>
    <xf numFmtId="0" fontId="6" fillId="0" borderId="61" xfId="0" applyFont="1" applyFill="1" applyBorder="1" applyAlignment="1">
      <alignment horizontal="center"/>
    </xf>
    <xf numFmtId="0" fontId="6" fillId="0" borderId="84" xfId="0" applyFont="1" applyFill="1" applyBorder="1" applyAlignment="1">
      <alignment horizontal="center"/>
    </xf>
    <xf numFmtId="0" fontId="134" fillId="0" borderId="121" xfId="77" applyFont="1" applyFill="1" applyBorder="1" applyAlignment="1">
      <alignment horizontal="center"/>
    </xf>
    <xf numFmtId="0" fontId="6" fillId="0" borderId="133" xfId="0" applyFont="1" applyFill="1" applyBorder="1" applyAlignment="1">
      <alignment horizontal="center"/>
    </xf>
    <xf numFmtId="0" fontId="6" fillId="0" borderId="122" xfId="0" applyFont="1" applyFill="1" applyBorder="1" applyAlignment="1">
      <alignment horizontal="center"/>
    </xf>
    <xf numFmtId="3" fontId="36" fillId="0" borderId="131" xfId="0" applyNumberFormat="1" applyFont="1" applyFill="1" applyBorder="1" applyAlignment="1">
      <alignment wrapText="1"/>
    </xf>
    <xf numFmtId="3" fontId="36" fillId="0" borderId="49" xfId="0" applyNumberFormat="1" applyFont="1" applyFill="1" applyBorder="1" applyProtection="1"/>
    <xf numFmtId="3" fontId="7" fillId="0" borderId="58" xfId="0" applyNumberFormat="1" applyFont="1" applyFill="1" applyBorder="1"/>
    <xf numFmtId="0" fontId="134" fillId="0" borderId="26" xfId="77" applyFont="1" applyFill="1" applyBorder="1" applyAlignment="1">
      <alignment horizontal="center"/>
    </xf>
    <xf numFmtId="3" fontId="7" fillId="0" borderId="49" xfId="0" applyNumberFormat="1" applyFont="1" applyFill="1" applyBorder="1" applyProtection="1"/>
    <xf numFmtId="3" fontId="7" fillId="0" borderId="58" xfId="77" applyNumberFormat="1" applyFont="1" applyFill="1" applyBorder="1" applyAlignment="1">
      <alignment horizontal="right"/>
    </xf>
    <xf numFmtId="0" fontId="36" fillId="0" borderId="131" xfId="77" applyFont="1" applyFill="1" applyBorder="1" applyAlignment="1">
      <alignment horizontal="left" wrapText="1"/>
    </xf>
    <xf numFmtId="3" fontId="36" fillId="0" borderId="32" xfId="77" applyNumberFormat="1" applyFont="1" applyFill="1" applyBorder="1" applyAlignment="1">
      <alignment horizontal="right"/>
    </xf>
    <xf numFmtId="3" fontId="7" fillId="0" borderId="88" xfId="0" applyNumberFormat="1" applyFont="1" applyFill="1" applyBorder="1"/>
    <xf numFmtId="3" fontId="7" fillId="0" borderId="86" xfId="0" applyNumberFormat="1" applyFont="1" applyFill="1" applyBorder="1"/>
    <xf numFmtId="3" fontId="7" fillId="0" borderId="136" xfId="0" applyNumberFormat="1" applyFont="1" applyFill="1" applyBorder="1"/>
    <xf numFmtId="0" fontId="6" fillId="0" borderId="17" xfId="77" applyFont="1" applyFill="1" applyBorder="1" applyAlignment="1">
      <alignment horizontal="center"/>
    </xf>
    <xf numFmtId="3" fontId="6" fillId="0" borderId="44" xfId="77" applyNumberFormat="1" applyFont="1" applyFill="1" applyBorder="1"/>
    <xf numFmtId="3" fontId="6" fillId="0" borderId="54" xfId="77" applyNumberFormat="1" applyFont="1" applyFill="1" applyBorder="1"/>
    <xf numFmtId="0" fontId="7" fillId="0" borderId="0" xfId="0" applyFont="1" applyFill="1" applyBorder="1" applyAlignment="1">
      <alignment horizontal="right"/>
    </xf>
    <xf numFmtId="0" fontId="6" fillId="0" borderId="121" xfId="77" applyFont="1" applyFill="1" applyBorder="1" applyAlignment="1">
      <alignment horizontal="center"/>
    </xf>
    <xf numFmtId="0" fontId="6" fillId="0" borderId="123" xfId="0" applyFont="1" applyFill="1" applyBorder="1" applyAlignment="1">
      <alignment horizontal="center"/>
    </xf>
    <xf numFmtId="0" fontId="6" fillId="0" borderId="134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18" xfId="77" applyFont="1" applyFill="1" applyBorder="1"/>
    <xf numFmtId="0" fontId="6" fillId="0" borderId="29" xfId="0" applyFont="1" applyFill="1" applyBorder="1" applyAlignment="1">
      <alignment horizontal="center"/>
    </xf>
    <xf numFmtId="0" fontId="6" fillId="0" borderId="59" xfId="0" applyFont="1" applyFill="1" applyBorder="1" applyAlignment="1">
      <alignment horizontal="center"/>
    </xf>
    <xf numFmtId="0" fontId="36" fillId="0" borderId="131" xfId="0" applyFont="1" applyFill="1" applyBorder="1" applyAlignment="1">
      <alignment wrapText="1" shrinkToFit="1"/>
    </xf>
    <xf numFmtId="3" fontId="36" fillId="0" borderId="32" xfId="0" applyNumberFormat="1" applyFont="1" applyFill="1" applyBorder="1"/>
    <xf numFmtId="0" fontId="135" fillId="0" borderId="131" xfId="77" applyFont="1" applyFill="1" applyBorder="1" applyAlignment="1">
      <alignment horizontal="center"/>
    </xf>
    <xf numFmtId="3" fontId="7" fillId="0" borderId="32" xfId="0" applyNumberFormat="1" applyFont="1" applyFill="1" applyBorder="1" applyAlignment="1">
      <alignment horizontal="right"/>
    </xf>
    <xf numFmtId="3" fontId="11" fillId="0" borderId="86" xfId="0" applyNumberFormat="1" applyFont="1" applyFill="1" applyBorder="1" applyAlignment="1">
      <alignment horizontal="right"/>
    </xf>
    <xf numFmtId="0" fontId="6" fillId="0" borderId="131" xfId="77" applyFont="1" applyFill="1" applyBorder="1"/>
    <xf numFmtId="0" fontId="7" fillId="0" borderId="32" xfId="77" applyFont="1" applyFill="1" applyBorder="1"/>
    <xf numFmtId="3" fontId="7" fillId="0" borderId="88" xfId="77" applyNumberFormat="1" applyFont="1" applyFill="1" applyBorder="1" applyAlignment="1">
      <alignment horizontal="right"/>
    </xf>
    <xf numFmtId="0" fontId="36" fillId="0" borderId="131" xfId="77" applyFont="1" applyFill="1" applyBorder="1" applyAlignment="1">
      <alignment wrapText="1"/>
    </xf>
    <xf numFmtId="3" fontId="36" fillId="28" borderId="32" xfId="77" applyNumberFormat="1" applyFont="1" applyFill="1" applyBorder="1" applyAlignment="1">
      <alignment horizontal="right"/>
    </xf>
    <xf numFmtId="3" fontId="129" fillId="0" borderId="43" xfId="77" applyNumberFormat="1" applyFont="1" applyFill="1" applyBorder="1" applyAlignment="1">
      <alignment horizontal="right"/>
    </xf>
    <xf numFmtId="3" fontId="129" fillId="0" borderId="54" xfId="77" applyNumberFormat="1" applyFont="1" applyFill="1" applyBorder="1" applyAlignment="1">
      <alignment horizontal="right"/>
    </xf>
    <xf numFmtId="3" fontId="130" fillId="0" borderId="0" xfId="77" applyNumberFormat="1" applyFont="1" applyFill="1"/>
    <xf numFmtId="2" fontId="7" fillId="0" borderId="0" xfId="77" applyNumberFormat="1" applyFont="1" applyBorder="1"/>
    <xf numFmtId="0" fontId="130" fillId="0" borderId="0" xfId="77" applyFont="1" applyFill="1" applyBorder="1"/>
    <xf numFmtId="0" fontId="136" fillId="0" borderId="0" xfId="91" applyFont="1"/>
    <xf numFmtId="0" fontId="138" fillId="0" borderId="16" xfId="91" applyFont="1" applyBorder="1" applyAlignment="1">
      <alignment horizontal="center"/>
    </xf>
    <xf numFmtId="0" fontId="139" fillId="0" borderId="0" xfId="91" applyFont="1"/>
    <xf numFmtId="0" fontId="6" fillId="0" borderId="23" xfId="0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0" fontId="6" fillId="0" borderId="53" xfId="77" applyFont="1" applyFill="1" applyBorder="1" applyAlignment="1">
      <alignment horizontal="center"/>
    </xf>
    <xf numFmtId="0" fontId="7" fillId="0" borderId="19" xfId="77" applyFont="1" applyFill="1" applyBorder="1"/>
    <xf numFmtId="0" fontId="7" fillId="0" borderId="16" xfId="77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8" xfId="77" applyFont="1" applyFill="1" applyBorder="1" applyAlignment="1">
      <alignment horizontal="right"/>
    </xf>
    <xf numFmtId="0" fontId="6" fillId="0" borderId="0" xfId="77" applyFont="1" applyFill="1" applyBorder="1"/>
    <xf numFmtId="3" fontId="7" fillId="0" borderId="23" xfId="77" applyNumberFormat="1" applyFont="1" applyFill="1" applyBorder="1" applyAlignment="1">
      <alignment horizontal="center"/>
    </xf>
    <xf numFmtId="3" fontId="7" fillId="0" borderId="45" xfId="77" applyNumberFormat="1" applyFont="1" applyFill="1" applyBorder="1" applyAlignment="1">
      <alignment horizontal="center"/>
    </xf>
    <xf numFmtId="3" fontId="7" fillId="0" borderId="46" xfId="77" applyNumberFormat="1" applyFont="1" applyFill="1" applyBorder="1" applyAlignment="1">
      <alignment horizontal="center"/>
    </xf>
    <xf numFmtId="3" fontId="7" fillId="0" borderId="45" xfId="77" applyNumberFormat="1" applyFont="1" applyFill="1" applyBorder="1" applyAlignment="1">
      <alignment horizontal="right"/>
    </xf>
    <xf numFmtId="3" fontId="7" fillId="0" borderId="53" xfId="77" applyNumberFormat="1" applyFont="1" applyFill="1" applyBorder="1" applyAlignment="1">
      <alignment horizontal="right"/>
    </xf>
    <xf numFmtId="0" fontId="7" fillId="0" borderId="18" xfId="77" applyFont="1" applyFill="1" applyBorder="1" applyAlignment="1">
      <alignment horizontal="right"/>
    </xf>
    <xf numFmtId="0" fontId="37" fillId="0" borderId="50" xfId="77" applyFont="1" applyFill="1" applyBorder="1" applyAlignment="1">
      <alignment horizontal="justify"/>
    </xf>
    <xf numFmtId="3" fontId="7" fillId="0" borderId="18" xfId="77" applyNumberFormat="1" applyFont="1" applyFill="1" applyBorder="1" applyAlignment="1">
      <alignment horizontal="right"/>
    </xf>
    <xf numFmtId="3" fontId="7" fillId="0" borderId="15" xfId="77" applyNumberFormat="1" applyFont="1" applyFill="1" applyBorder="1" applyAlignment="1">
      <alignment horizontal="right"/>
    </xf>
    <xf numFmtId="3" fontId="7" fillId="0" borderId="86" xfId="77" applyNumberFormat="1" applyFont="1" applyFill="1" applyBorder="1" applyAlignment="1">
      <alignment horizontal="right"/>
    </xf>
    <xf numFmtId="0" fontId="6" fillId="0" borderId="17" xfId="77" applyFont="1" applyFill="1" applyBorder="1" applyAlignment="1">
      <alignment horizontal="right"/>
    </xf>
    <xf numFmtId="0" fontId="6" fillId="0" borderId="22" xfId="77" applyFont="1" applyFill="1" applyBorder="1" applyAlignment="1">
      <alignment horizontal="right"/>
    </xf>
    <xf numFmtId="3" fontId="6" fillId="0" borderId="17" xfId="77" applyNumberFormat="1" applyFont="1" applyFill="1" applyBorder="1" applyAlignment="1">
      <alignment horizontal="right"/>
    </xf>
    <xf numFmtId="3" fontId="6" fillId="0" borderId="43" xfId="77" applyNumberFormat="1" applyFont="1" applyFill="1" applyBorder="1" applyAlignment="1">
      <alignment horizontal="right"/>
    </xf>
    <xf numFmtId="3" fontId="6" fillId="0" borderId="22" xfId="77" applyNumberFormat="1" applyFont="1" applyFill="1" applyBorder="1" applyAlignment="1">
      <alignment horizontal="right"/>
    </xf>
    <xf numFmtId="3" fontId="6" fillId="0" borderId="80" xfId="77" applyNumberFormat="1" applyFont="1" applyFill="1" applyBorder="1" applyAlignment="1">
      <alignment horizontal="right"/>
    </xf>
    <xf numFmtId="0" fontId="6" fillId="0" borderId="23" xfId="77" applyFont="1" applyFill="1" applyBorder="1" applyAlignment="1">
      <alignment horizontal="right"/>
    </xf>
    <xf numFmtId="0" fontId="6" fillId="0" borderId="46" xfId="77" applyFont="1" applyFill="1" applyBorder="1"/>
    <xf numFmtId="0" fontId="7" fillId="0" borderId="98" xfId="77" applyFont="1" applyFill="1" applyBorder="1" applyAlignment="1">
      <alignment horizontal="right"/>
    </xf>
    <xf numFmtId="0" fontId="37" fillId="0" borderId="91" xfId="77" applyFont="1" applyFill="1" applyBorder="1"/>
    <xf numFmtId="3" fontId="7" fillId="0" borderId="98" xfId="77" applyNumberFormat="1" applyFont="1" applyFill="1" applyBorder="1" applyAlignment="1">
      <alignment horizontal="right"/>
    </xf>
    <xf numFmtId="3" fontId="7" fillId="0" borderId="101" xfId="77" applyNumberFormat="1" applyFont="1" applyFill="1" applyBorder="1" applyAlignment="1">
      <alignment horizontal="right"/>
    </xf>
    <xf numFmtId="3" fontId="7" fillId="0" borderId="91" xfId="77" applyNumberFormat="1" applyFont="1" applyFill="1" applyBorder="1" applyAlignment="1">
      <alignment horizontal="right"/>
    </xf>
    <xf numFmtId="3" fontId="7" fillId="0" borderId="100" xfId="77" applyNumberFormat="1" applyFont="1" applyFill="1" applyBorder="1" applyAlignment="1">
      <alignment horizontal="right"/>
    </xf>
    <xf numFmtId="0" fontId="6" fillId="0" borderId="0" xfId="77" applyFont="1" applyFill="1" applyBorder="1" applyAlignment="1">
      <alignment horizontal="right"/>
    </xf>
    <xf numFmtId="3" fontId="6" fillId="0" borderId="19" xfId="77" applyNumberFormat="1" applyFont="1" applyFill="1" applyBorder="1" applyAlignment="1">
      <alignment horizontal="right"/>
    </xf>
    <xf numFmtId="3" fontId="6" fillId="0" borderId="61" xfId="77" applyNumberFormat="1" applyFont="1" applyFill="1" applyBorder="1" applyAlignment="1">
      <alignment horizontal="right"/>
    </xf>
    <xf numFmtId="3" fontId="6" fillId="0" borderId="28" xfId="77" applyNumberFormat="1" applyFont="1" applyFill="1" applyBorder="1" applyAlignment="1">
      <alignment horizontal="right"/>
    </xf>
    <xf numFmtId="0" fontId="37" fillId="0" borderId="50" xfId="77" applyFont="1" applyFill="1" applyBorder="1"/>
    <xf numFmtId="3" fontId="7" fillId="0" borderId="18" xfId="77" applyNumberFormat="1" applyFont="1" applyFill="1" applyBorder="1" applyAlignment="1">
      <alignment horizontal="center"/>
    </xf>
    <xf numFmtId="3" fontId="7" fillId="0" borderId="47" xfId="77" applyNumberFormat="1" applyFont="1" applyFill="1" applyBorder="1" applyAlignment="1">
      <alignment horizontal="center"/>
    </xf>
    <xf numFmtId="3" fontId="7" fillId="0" borderId="47" xfId="77" applyNumberFormat="1" applyFont="1" applyFill="1" applyBorder="1" applyAlignment="1">
      <alignment horizontal="right"/>
    </xf>
    <xf numFmtId="3" fontId="7" fillId="0" borderId="27" xfId="77" applyNumberFormat="1" applyFont="1" applyFill="1" applyBorder="1" applyAlignment="1">
      <alignment horizontal="right"/>
    </xf>
    <xf numFmtId="3" fontId="7" fillId="0" borderId="29" xfId="77" applyNumberFormat="1" applyFont="1" applyFill="1" applyBorder="1" applyAlignment="1">
      <alignment horizontal="right"/>
    </xf>
    <xf numFmtId="3" fontId="7" fillId="0" borderId="59" xfId="77" applyNumberFormat="1" applyFont="1" applyFill="1" applyBorder="1" applyAlignment="1">
      <alignment horizontal="right"/>
    </xf>
    <xf numFmtId="3" fontId="6" fillId="0" borderId="44" xfId="77" applyNumberFormat="1" applyFont="1" applyFill="1" applyBorder="1" applyAlignment="1">
      <alignment horizontal="right"/>
    </xf>
    <xf numFmtId="3" fontId="6" fillId="0" borderId="54" xfId="77" applyNumberFormat="1" applyFont="1" applyFill="1" applyBorder="1" applyAlignment="1">
      <alignment horizontal="right"/>
    </xf>
    <xf numFmtId="0" fontId="6" fillId="0" borderId="125" xfId="77" applyFont="1" applyBorder="1"/>
    <xf numFmtId="3" fontId="7" fillId="0" borderId="15" xfId="77" applyNumberFormat="1" applyFont="1" applyFill="1" applyBorder="1" applyAlignment="1">
      <alignment horizontal="center"/>
    </xf>
    <xf numFmtId="3" fontId="7" fillId="0" borderId="0" xfId="77" applyNumberFormat="1" applyFont="1" applyFill="1" applyBorder="1" applyAlignment="1">
      <alignment horizontal="center"/>
    </xf>
    <xf numFmtId="0" fontId="37" fillId="0" borderId="85" xfId="77" applyFont="1" applyFill="1" applyBorder="1" applyAlignment="1"/>
    <xf numFmtId="3" fontId="7" fillId="0" borderId="41" xfId="77" applyNumberFormat="1" applyFont="1" applyFill="1" applyBorder="1" applyAlignment="1">
      <alignment horizontal="right"/>
    </xf>
    <xf numFmtId="3" fontId="7" fillId="0" borderId="64" xfId="77" applyNumberFormat="1" applyFont="1" applyFill="1" applyBorder="1" applyAlignment="1">
      <alignment horizontal="right"/>
    </xf>
    <xf numFmtId="3" fontId="7" fillId="0" borderId="95" xfId="77" applyNumberFormat="1" applyFont="1" applyFill="1" applyBorder="1" applyAlignment="1">
      <alignment horizontal="right"/>
    </xf>
    <xf numFmtId="3" fontId="7" fillId="0" borderId="137" xfId="77" applyNumberFormat="1" applyFont="1" applyFill="1" applyBorder="1" applyAlignment="1">
      <alignment horizontal="right"/>
    </xf>
    <xf numFmtId="0" fontId="6" fillId="0" borderId="80" xfId="77" applyFont="1" applyBorder="1" applyAlignment="1">
      <alignment horizontal="right"/>
    </xf>
    <xf numFmtId="0" fontId="7" fillId="0" borderId="20" xfId="77" applyFont="1" applyFill="1" applyBorder="1" applyAlignment="1">
      <alignment horizontal="right"/>
    </xf>
    <xf numFmtId="0" fontId="6" fillId="0" borderId="93" xfId="77" applyFont="1" applyFill="1" applyBorder="1"/>
    <xf numFmtId="3" fontId="6" fillId="0" borderId="20" xfId="77" applyNumberFormat="1" applyFont="1" applyFill="1" applyBorder="1"/>
    <xf numFmtId="3" fontId="6" fillId="0" borderId="77" xfId="77" applyNumberFormat="1" applyFont="1" applyFill="1" applyBorder="1"/>
    <xf numFmtId="0" fontId="7" fillId="0" borderId="0" xfId="77" applyFont="1" applyFill="1" applyBorder="1" applyAlignment="1">
      <alignment horizontal="right"/>
    </xf>
    <xf numFmtId="3" fontId="6" fillId="0" borderId="0" xfId="77" applyNumberFormat="1" applyFont="1" applyFill="1" applyBorder="1"/>
    <xf numFmtId="0" fontId="66" fillId="0" borderId="0" xfId="77" applyFont="1" applyFill="1"/>
    <xf numFmtId="0" fontId="37" fillId="0" borderId="0" xfId="77" applyFont="1" applyFill="1"/>
    <xf numFmtId="0" fontId="139" fillId="0" borderId="0" xfId="92" applyFont="1"/>
    <xf numFmtId="0" fontId="10" fillId="0" borderId="0" xfId="92" applyFont="1"/>
    <xf numFmtId="0" fontId="136" fillId="0" borderId="16" xfId="92" applyFont="1" applyBorder="1" applyAlignment="1">
      <alignment horizontal="center"/>
    </xf>
    <xf numFmtId="0" fontId="136" fillId="0" borderId="23" xfId="92" applyFont="1" applyBorder="1" applyAlignment="1">
      <alignment horizontal="center"/>
    </xf>
    <xf numFmtId="0" fontId="136" fillId="0" borderId="83" xfId="92" applyFont="1" applyBorder="1"/>
    <xf numFmtId="49" fontId="136" fillId="0" borderId="83" xfId="92" applyNumberFormat="1" applyFont="1" applyBorder="1" applyAlignment="1">
      <alignment horizontal="center"/>
    </xf>
    <xf numFmtId="0" fontId="136" fillId="0" borderId="18" xfId="92" applyFont="1" applyBorder="1" applyAlignment="1">
      <alignment horizontal="center"/>
    </xf>
    <xf numFmtId="0" fontId="136" fillId="0" borderId="86" xfId="92" applyFont="1" applyBorder="1" applyAlignment="1">
      <alignment horizontal="center"/>
    </xf>
    <xf numFmtId="0" fontId="136" fillId="0" borderId="69" xfId="92" applyFont="1" applyBorder="1"/>
    <xf numFmtId="2" fontId="136" fillId="0" borderId="69" xfId="92" applyNumberFormat="1" applyFont="1" applyBorder="1" applyAlignment="1">
      <alignment horizontal="center"/>
    </xf>
    <xf numFmtId="0" fontId="136" fillId="0" borderId="19" xfId="92" applyFont="1" applyBorder="1" applyAlignment="1">
      <alignment horizontal="center"/>
    </xf>
    <xf numFmtId="0" fontId="136" fillId="0" borderId="84" xfId="92" applyFont="1" applyBorder="1" applyAlignment="1">
      <alignment horizontal="center"/>
    </xf>
    <xf numFmtId="0" fontId="136" fillId="0" borderId="70" xfId="92" applyFont="1" applyBorder="1"/>
    <xf numFmtId="49" fontId="136" fillId="0" borderId="70" xfId="92" applyNumberFormat="1" applyFont="1" applyBorder="1" applyAlignment="1">
      <alignment horizontal="center"/>
    </xf>
    <xf numFmtId="49" fontId="136" fillId="0" borderId="86" xfId="92" applyNumberFormat="1" applyFont="1" applyBorder="1" applyAlignment="1">
      <alignment horizontal="center"/>
    </xf>
    <xf numFmtId="3" fontId="10" fillId="0" borderId="18" xfId="92" applyNumberFormat="1" applyFont="1" applyBorder="1" applyAlignment="1">
      <alignment horizontal="center"/>
    </xf>
    <xf numFmtId="0" fontId="10" fillId="0" borderId="18" xfId="92" applyFont="1" applyBorder="1"/>
    <xf numFmtId="0" fontId="10" fillId="0" borderId="86" xfId="92" applyFont="1" applyBorder="1"/>
    <xf numFmtId="0" fontId="10" fillId="0" borderId="69" xfId="92" applyFont="1" applyBorder="1"/>
    <xf numFmtId="3" fontId="10" fillId="0" borderId="59" xfId="92" applyNumberFormat="1" applyFont="1" applyBorder="1"/>
    <xf numFmtId="3" fontId="136" fillId="0" borderId="26" xfId="92" applyNumberFormat="1" applyFont="1" applyBorder="1" applyAlignment="1">
      <alignment horizontal="center"/>
    </xf>
    <xf numFmtId="0" fontId="136" fillId="0" borderId="26" xfId="92" applyFont="1" applyBorder="1"/>
    <xf numFmtId="0" fontId="136" fillId="0" borderId="88" xfId="92" applyFont="1" applyBorder="1"/>
    <xf numFmtId="0" fontId="136" fillId="0" borderId="78" xfId="92" applyFont="1" applyBorder="1"/>
    <xf numFmtId="3" fontId="136" fillId="0" borderId="58" xfId="92" applyNumberFormat="1" applyFont="1" applyBorder="1"/>
    <xf numFmtId="3" fontId="136" fillId="0" borderId="18" xfId="92" applyNumberFormat="1" applyFont="1" applyBorder="1" applyAlignment="1">
      <alignment horizontal="center"/>
    </xf>
    <xf numFmtId="0" fontId="136" fillId="0" borderId="18" xfId="92" applyFont="1" applyBorder="1"/>
    <xf numFmtId="0" fontId="136" fillId="0" borderId="86" xfId="92" applyFont="1" applyBorder="1"/>
    <xf numFmtId="3" fontId="136" fillId="0" borderId="59" xfId="92" applyNumberFormat="1" applyFont="1" applyBorder="1"/>
    <xf numFmtId="0" fontId="142" fillId="0" borderId="0" xfId="92" applyFont="1" applyFill="1"/>
    <xf numFmtId="0" fontId="36" fillId="0" borderId="18" xfId="92" applyFont="1" applyBorder="1"/>
    <xf numFmtId="3" fontId="136" fillId="0" borderId="17" xfId="92" applyNumberFormat="1" applyFont="1" applyBorder="1" applyAlignment="1">
      <alignment horizontal="center"/>
    </xf>
    <xf numFmtId="0" fontId="136" fillId="0" borderId="17" xfId="92" applyFont="1" applyBorder="1"/>
    <xf numFmtId="0" fontId="136" fillId="0" borderId="80" xfId="92" applyFont="1" applyBorder="1"/>
    <xf numFmtId="0" fontId="136" fillId="0" borderId="76" xfId="92" applyFont="1" applyBorder="1"/>
    <xf numFmtId="3" fontId="136" fillId="0" borderId="54" xfId="92" applyNumberFormat="1" applyFont="1" applyBorder="1"/>
    <xf numFmtId="3" fontId="136" fillId="0" borderId="83" xfId="92" applyNumberFormat="1" applyFont="1" applyBorder="1"/>
    <xf numFmtId="3" fontId="10" fillId="0" borderId="69" xfId="92" applyNumberFormat="1" applyFont="1" applyBorder="1"/>
    <xf numFmtId="3" fontId="136" fillId="0" borderId="78" xfId="92" applyNumberFormat="1" applyFont="1" applyBorder="1"/>
    <xf numFmtId="3" fontId="136" fillId="0" borderId="69" xfId="92" applyNumberFormat="1" applyFont="1" applyBorder="1"/>
    <xf numFmtId="3" fontId="136" fillId="0" borderId="76" xfId="92" applyNumberFormat="1" applyFont="1" applyBorder="1"/>
    <xf numFmtId="3" fontId="136" fillId="0" borderId="86" xfId="92" applyNumberFormat="1" applyFont="1" applyBorder="1"/>
    <xf numFmtId="3" fontId="136" fillId="0" borderId="57" xfId="92" applyNumberFormat="1" applyFont="1" applyBorder="1" applyAlignment="1">
      <alignment horizontal="center"/>
    </xf>
    <xf numFmtId="0" fontId="136" fillId="0" borderId="89" xfId="92" applyFont="1" applyBorder="1"/>
    <xf numFmtId="3" fontId="136" fillId="0" borderId="56" xfId="92" applyNumberFormat="1" applyFont="1" applyBorder="1"/>
    <xf numFmtId="3" fontId="136" fillId="0" borderId="23" xfId="92" applyNumberFormat="1" applyFont="1" applyBorder="1" applyAlignment="1">
      <alignment horizontal="center"/>
    </xf>
    <xf numFmtId="0" fontId="136" fillId="0" borderId="23" xfId="92" applyFont="1" applyBorder="1"/>
    <xf numFmtId="0" fontId="136" fillId="0" borderId="53" xfId="92" applyFont="1" applyBorder="1"/>
    <xf numFmtId="3" fontId="10" fillId="0" borderId="19" xfId="92" applyNumberFormat="1" applyFont="1" applyBorder="1" applyAlignment="1">
      <alignment horizontal="center"/>
    </xf>
    <xf numFmtId="0" fontId="10" fillId="0" borderId="19" xfId="92" applyFont="1" applyBorder="1"/>
    <xf numFmtId="0" fontId="10" fillId="0" borderId="84" xfId="92" applyFont="1" applyBorder="1"/>
    <xf numFmtId="0" fontId="10" fillId="0" borderId="70" xfId="92" applyFont="1" applyBorder="1"/>
    <xf numFmtId="3" fontId="10" fillId="0" borderId="70" xfId="92" applyNumberFormat="1" applyFont="1" applyBorder="1"/>
    <xf numFmtId="3" fontId="143" fillId="0" borderId="18" xfId="92" applyNumberFormat="1" applyFont="1" applyBorder="1" applyAlignment="1">
      <alignment horizontal="center"/>
    </xf>
    <xf numFmtId="0" fontId="143" fillId="0" borderId="69" xfId="92" applyFont="1" applyBorder="1"/>
    <xf numFmtId="3" fontId="143" fillId="0" borderId="59" xfId="92" applyNumberFormat="1" applyFont="1" applyBorder="1"/>
    <xf numFmtId="0" fontId="136" fillId="0" borderId="53" xfId="92" applyFont="1" applyBorder="1" applyAlignment="1">
      <alignment horizontal="center"/>
    </xf>
    <xf numFmtId="3" fontId="10" fillId="0" borderId="115" xfId="92" applyNumberFormat="1" applyFont="1" applyBorder="1" applyAlignment="1">
      <alignment horizontal="center"/>
    </xf>
    <xf numFmtId="3" fontId="136" fillId="0" borderId="19" xfId="92" applyNumberFormat="1" applyFont="1" applyBorder="1" applyAlignment="1">
      <alignment horizontal="center"/>
    </xf>
    <xf numFmtId="3" fontId="143" fillId="0" borderId="20" xfId="92" applyNumberFormat="1" applyFont="1" applyBorder="1" applyAlignment="1">
      <alignment horizontal="center"/>
    </xf>
    <xf numFmtId="0" fontId="143" fillId="0" borderId="77" xfId="92" applyFont="1" applyBorder="1"/>
    <xf numFmtId="3" fontId="143" fillId="0" borderId="60" xfId="92" applyNumberFormat="1" applyFont="1" applyBorder="1"/>
    <xf numFmtId="3" fontId="143" fillId="0" borderId="0" xfId="92" applyNumberFormat="1" applyFont="1" applyBorder="1" applyAlignment="1">
      <alignment horizontal="center"/>
    </xf>
    <xf numFmtId="0" fontId="143" fillId="0" borderId="0" xfId="92" applyFont="1" applyBorder="1" applyAlignment="1">
      <alignment wrapText="1"/>
    </xf>
    <xf numFmtId="0" fontId="141" fillId="0" borderId="0" xfId="0" applyFont="1" applyBorder="1" applyAlignment="1">
      <alignment wrapText="1"/>
    </xf>
    <xf numFmtId="0" fontId="143" fillId="0" borderId="0" xfId="92" applyFont="1" applyBorder="1"/>
    <xf numFmtId="3" fontId="143" fillId="0" borderId="0" xfId="92" applyNumberFormat="1" applyFont="1" applyBorder="1"/>
    <xf numFmtId="0" fontId="10" fillId="0" borderId="0" xfId="92" applyFont="1" applyBorder="1"/>
    <xf numFmtId="0" fontId="136" fillId="0" borderId="46" xfId="92" applyFont="1" applyBorder="1"/>
    <xf numFmtId="0" fontId="136" fillId="0" borderId="0" xfId="92" applyFont="1" applyBorder="1"/>
    <xf numFmtId="0" fontId="136" fillId="0" borderId="16" xfId="92" applyFont="1" applyBorder="1"/>
    <xf numFmtId="0" fontId="136" fillId="0" borderId="24" xfId="92" applyFont="1" applyBorder="1"/>
    <xf numFmtId="0" fontId="10" fillId="0" borderId="98" xfId="92" applyFont="1" applyBorder="1"/>
    <xf numFmtId="0" fontId="16" fillId="0" borderId="26" xfId="92" applyFont="1" applyBorder="1"/>
    <xf numFmtId="0" fontId="143" fillId="0" borderId="93" xfId="92" applyFont="1" applyBorder="1"/>
    <xf numFmtId="0" fontId="16" fillId="0" borderId="18" xfId="92" applyFont="1" applyBorder="1"/>
    <xf numFmtId="0" fontId="143" fillId="0" borderId="18" xfId="92" applyFont="1" applyBorder="1" applyAlignment="1">
      <alignment wrapText="1"/>
    </xf>
    <xf numFmtId="0" fontId="141" fillId="0" borderId="86" xfId="0" applyFont="1" applyBorder="1" applyAlignment="1">
      <alignment wrapText="1"/>
    </xf>
    <xf numFmtId="0" fontId="139" fillId="0" borderId="0" xfId="92" applyFont="1" applyAlignment="1">
      <alignment horizontal="center"/>
    </xf>
    <xf numFmtId="0" fontId="144" fillId="0" borderId="0" xfId="92" applyFont="1" applyAlignment="1">
      <alignment horizontal="center"/>
    </xf>
    <xf numFmtId="0" fontId="144" fillId="0" borderId="0" xfId="92" applyFont="1"/>
    <xf numFmtId="0" fontId="16" fillId="0" borderId="0" xfId="92" applyFont="1"/>
    <xf numFmtId="0" fontId="145" fillId="0" borderId="0" xfId="92" applyFont="1" applyBorder="1" applyAlignment="1">
      <alignment horizontal="center"/>
    </xf>
    <xf numFmtId="0" fontId="130" fillId="0" borderId="0" xfId="0" applyFont="1" applyAlignment="1">
      <alignment horizontal="right"/>
    </xf>
    <xf numFmtId="0" fontId="145" fillId="0" borderId="23" xfId="92" applyFont="1" applyBorder="1" applyAlignment="1">
      <alignment horizontal="center"/>
    </xf>
    <xf numFmtId="0" fontId="145" fillId="0" borderId="46" xfId="92" applyFont="1" applyBorder="1"/>
    <xf numFmtId="49" fontId="145" fillId="0" borderId="83" xfId="92" applyNumberFormat="1" applyFont="1" applyBorder="1" applyAlignment="1">
      <alignment horizontal="center"/>
    </xf>
    <xf numFmtId="0" fontId="145" fillId="0" borderId="18" xfId="92" applyFont="1" applyBorder="1" applyAlignment="1">
      <alignment horizontal="center"/>
    </xf>
    <xf numFmtId="0" fontId="145" fillId="0" borderId="86" xfId="92" applyFont="1" applyBorder="1" applyAlignment="1">
      <alignment horizontal="center"/>
    </xf>
    <xf numFmtId="0" fontId="145" fillId="0" borderId="0" xfId="92" applyFont="1" applyBorder="1"/>
    <xf numFmtId="2" fontId="145" fillId="0" borderId="69" xfId="92" applyNumberFormat="1" applyFont="1" applyBorder="1" applyAlignment="1">
      <alignment horizontal="center"/>
    </xf>
    <xf numFmtId="0" fontId="145" fillId="0" borderId="19" xfId="92" applyFont="1" applyBorder="1" applyAlignment="1">
      <alignment horizontal="center"/>
    </xf>
    <xf numFmtId="0" fontId="145" fillId="0" borderId="84" xfId="92" applyFont="1" applyBorder="1" applyAlignment="1">
      <alignment horizontal="center"/>
    </xf>
    <xf numFmtId="0" fontId="145" fillId="0" borderId="16" xfId="92" applyFont="1" applyBorder="1"/>
    <xf numFmtId="49" fontId="145" fillId="0" borderId="70" xfId="92" applyNumberFormat="1" applyFont="1" applyBorder="1" applyAlignment="1">
      <alignment horizontal="center"/>
    </xf>
    <xf numFmtId="3" fontId="145" fillId="0" borderId="18" xfId="92" applyNumberFormat="1" applyFont="1" applyBorder="1" applyAlignment="1">
      <alignment horizontal="center"/>
    </xf>
    <xf numFmtId="0" fontId="145" fillId="0" borderId="18" xfId="92" applyFont="1" applyBorder="1"/>
    <xf numFmtId="0" fontId="145" fillId="0" borderId="86" xfId="92" applyFont="1" applyBorder="1"/>
    <xf numFmtId="3" fontId="145" fillId="0" borderId="59" xfId="92" applyNumberFormat="1" applyFont="1" applyBorder="1"/>
    <xf numFmtId="3" fontId="144" fillId="0" borderId="18" xfId="92" applyNumberFormat="1" applyFont="1" applyBorder="1" applyAlignment="1">
      <alignment horizontal="center"/>
    </xf>
    <xf numFmtId="0" fontId="144" fillId="0" borderId="18" xfId="92" applyFont="1" applyBorder="1"/>
    <xf numFmtId="0" fontId="144" fillId="0" borderId="86" xfId="92" applyFont="1" applyBorder="1"/>
    <xf numFmtId="0" fontId="144" fillId="0" borderId="0" xfId="92" applyFont="1" applyBorder="1"/>
    <xf numFmtId="3" fontId="144" fillId="0" borderId="59" xfId="92" applyNumberFormat="1" applyFont="1" applyBorder="1"/>
    <xf numFmtId="3" fontId="145" fillId="0" borderId="26" xfId="92" applyNumberFormat="1" applyFont="1" applyBorder="1" applyAlignment="1">
      <alignment horizontal="center"/>
    </xf>
    <xf numFmtId="0" fontId="147" fillId="0" borderId="26" xfId="92" applyFont="1" applyBorder="1"/>
    <xf numFmtId="0" fontId="145" fillId="0" borderId="88" xfId="92" applyFont="1" applyBorder="1"/>
    <xf numFmtId="0" fontId="145" fillId="0" borderId="24" xfId="92" applyFont="1" applyBorder="1"/>
    <xf numFmtId="3" fontId="145" fillId="0" borderId="58" xfId="92" applyNumberFormat="1" applyFont="1" applyBorder="1"/>
    <xf numFmtId="3" fontId="144" fillId="0" borderId="0" xfId="92" applyNumberFormat="1" applyFont="1"/>
    <xf numFmtId="0" fontId="144" fillId="0" borderId="98" xfId="92" applyFont="1" applyBorder="1"/>
    <xf numFmtId="0" fontId="147" fillId="0" borderId="18" xfId="92" applyFont="1" applyBorder="1"/>
    <xf numFmtId="3" fontId="148" fillId="0" borderId="20" xfId="92" applyNumberFormat="1" applyFont="1" applyBorder="1" applyAlignment="1">
      <alignment horizontal="center"/>
    </xf>
    <xf numFmtId="0" fontId="148" fillId="0" borderId="93" xfId="92" applyFont="1" applyBorder="1"/>
    <xf numFmtId="3" fontId="148" fillId="0" borderId="60" xfId="92" applyNumberFormat="1" applyFont="1" applyBorder="1"/>
    <xf numFmtId="3" fontId="148" fillId="0" borderId="18" xfId="92" applyNumberFormat="1" applyFont="1" applyBorder="1" applyAlignment="1">
      <alignment horizontal="center"/>
    </xf>
    <xf numFmtId="0" fontId="148" fillId="0" borderId="18" xfId="92" applyFont="1" applyBorder="1" applyAlignment="1">
      <alignment wrapText="1"/>
    </xf>
    <xf numFmtId="0" fontId="146" fillId="0" borderId="86" xfId="0" applyFont="1" applyBorder="1" applyAlignment="1">
      <alignment wrapText="1"/>
    </xf>
    <xf numFmtId="0" fontId="148" fillId="0" borderId="0" xfId="92" applyFont="1" applyBorder="1"/>
    <xf numFmtId="3" fontId="148" fillId="0" borderId="59" xfId="92" applyNumberFormat="1" applyFont="1" applyBorder="1"/>
    <xf numFmtId="0" fontId="7" fillId="0" borderId="0" xfId="93" applyFont="1"/>
    <xf numFmtId="0" fontId="6" fillId="0" borderId="0" xfId="93" applyFont="1"/>
    <xf numFmtId="0" fontId="6" fillId="0" borderId="20" xfId="93" applyFont="1" applyBorder="1" applyAlignment="1">
      <alignment horizontal="centerContinuous"/>
    </xf>
    <xf numFmtId="3" fontId="6" fillId="0" borderId="129" xfId="93" applyNumberFormat="1" applyFont="1" applyBorder="1" applyAlignment="1">
      <alignment horizontal="centerContinuous"/>
    </xf>
    <xf numFmtId="0" fontId="6" fillId="0" borderId="93" xfId="93" applyFont="1" applyBorder="1" applyAlignment="1">
      <alignment horizontal="centerContinuous"/>
    </xf>
    <xf numFmtId="3" fontId="6" fillId="0" borderId="93" xfId="93" applyNumberFormat="1" applyFont="1" applyBorder="1" applyAlignment="1">
      <alignment horizontal="centerContinuous"/>
    </xf>
    <xf numFmtId="3" fontId="6" fillId="0" borderId="81" xfId="93" applyNumberFormat="1" applyFont="1" applyBorder="1" applyAlignment="1">
      <alignment horizontal="justify"/>
    </xf>
    <xf numFmtId="0" fontId="6" fillId="0" borderId="18" xfId="93" applyFont="1" applyBorder="1"/>
    <xf numFmtId="3" fontId="6" fillId="0" borderId="31" xfId="93" applyNumberFormat="1" applyFont="1" applyBorder="1"/>
    <xf numFmtId="0" fontId="6" fillId="0" borderId="0" xfId="93" applyFont="1" applyBorder="1"/>
    <xf numFmtId="3" fontId="6" fillId="0" borderId="0" xfId="93" applyNumberFormat="1" applyFont="1" applyBorder="1"/>
    <xf numFmtId="0" fontId="7" fillId="0" borderId="86" xfId="93" applyFont="1" applyBorder="1"/>
    <xf numFmtId="0" fontId="7" fillId="0" borderId="18" xfId="93" applyFont="1" applyBorder="1"/>
    <xf numFmtId="3" fontId="7" fillId="0" borderId="31" xfId="93" applyNumberFormat="1" applyFont="1" applyBorder="1" applyAlignment="1">
      <alignment horizontal="center"/>
    </xf>
    <xf numFmtId="0" fontId="7" fillId="0" borderId="0" xfId="93" applyFont="1" applyBorder="1"/>
    <xf numFmtId="3" fontId="7" fillId="0" borderId="0" xfId="93" applyNumberFormat="1" applyFont="1" applyBorder="1"/>
    <xf numFmtId="3" fontId="7" fillId="0" borderId="31" xfId="93" applyNumberFormat="1" applyFont="1" applyBorder="1"/>
    <xf numFmtId="0" fontId="6" fillId="0" borderId="17" xfId="93" applyFont="1" applyBorder="1"/>
    <xf numFmtId="3" fontId="6" fillId="0" borderId="132" xfId="93" applyNumberFormat="1" applyFont="1" applyBorder="1" applyAlignment="1">
      <alignment horizontal="center"/>
    </xf>
    <xf numFmtId="0" fontId="6" fillId="0" borderId="22" xfId="93" applyFont="1" applyBorder="1"/>
    <xf numFmtId="3" fontId="6" fillId="0" borderId="22" xfId="93" applyNumberFormat="1" applyFont="1" applyBorder="1"/>
    <xf numFmtId="3" fontId="6" fillId="0" borderId="80" xfId="93" applyNumberFormat="1" applyFont="1" applyBorder="1"/>
    <xf numFmtId="0" fontId="6" fillId="0" borderId="86" xfId="93" applyFont="1" applyBorder="1"/>
    <xf numFmtId="3" fontId="6" fillId="0" borderId="31" xfId="93" applyNumberFormat="1" applyFont="1" applyBorder="1" applyAlignment="1">
      <alignment horizontal="center"/>
    </xf>
    <xf numFmtId="3" fontId="7" fillId="0" borderId="86" xfId="93" applyNumberFormat="1" applyFont="1" applyBorder="1"/>
    <xf numFmtId="3" fontId="7" fillId="0" borderId="0" xfId="93" applyNumberFormat="1" applyFont="1"/>
    <xf numFmtId="3" fontId="6" fillId="0" borderId="0" xfId="93" applyNumberFormat="1" applyFont="1"/>
    <xf numFmtId="0" fontId="7" fillId="0" borderId="47" xfId="93" applyFont="1" applyBorder="1"/>
    <xf numFmtId="3" fontId="7" fillId="0" borderId="31" xfId="93" applyNumberFormat="1" applyFont="1" applyBorder="1" applyAlignment="1">
      <alignment horizontal="right"/>
    </xf>
    <xf numFmtId="0" fontId="7" fillId="0" borderId="18" xfId="93" applyFont="1" applyBorder="1" applyAlignment="1">
      <alignment horizontal="left"/>
    </xf>
    <xf numFmtId="3" fontId="6" fillId="0" borderId="132" xfId="93" applyNumberFormat="1" applyFont="1" applyBorder="1" applyAlignment="1">
      <alignment horizontal="right"/>
    </xf>
    <xf numFmtId="0" fontId="7" fillId="0" borderId="0" xfId="93" applyFont="1" applyBorder="1" applyAlignment="1">
      <alignment horizontal="right"/>
    </xf>
    <xf numFmtId="0" fontId="6" fillId="0" borderId="23" xfId="93" applyFont="1" applyBorder="1"/>
    <xf numFmtId="3" fontId="7" fillId="0" borderId="63" xfId="93" applyNumberFormat="1" applyFont="1" applyBorder="1" applyAlignment="1">
      <alignment horizontal="right"/>
    </xf>
    <xf numFmtId="0" fontId="7" fillId="0" borderId="46" xfId="93" applyFont="1" applyBorder="1"/>
    <xf numFmtId="3" fontId="7" fillId="0" borderId="46" xfId="93" applyNumberFormat="1" applyFont="1" applyBorder="1"/>
    <xf numFmtId="0" fontId="7" fillId="0" borderId="53" xfId="93" applyFont="1" applyBorder="1"/>
    <xf numFmtId="0" fontId="8" fillId="0" borderId="18" xfId="93" applyFont="1" applyBorder="1"/>
    <xf numFmtId="0" fontId="7" fillId="0" borderId="29" xfId="93" applyFont="1" applyBorder="1"/>
    <xf numFmtId="3" fontId="7" fillId="0" borderId="31" xfId="93" applyNumberFormat="1" applyFont="1" applyFill="1" applyBorder="1" applyAlignment="1">
      <alignment horizontal="right"/>
    </xf>
    <xf numFmtId="3" fontId="7" fillId="0" borderId="0" xfId="93" applyNumberFormat="1" applyFont="1" applyFill="1" applyBorder="1"/>
    <xf numFmtId="0" fontId="9" fillId="0" borderId="0" xfId="93" applyFont="1"/>
    <xf numFmtId="0" fontId="7" fillId="0" borderId="0" xfId="93" applyFont="1" applyBorder="1" applyAlignment="1">
      <alignment wrapText="1"/>
    </xf>
    <xf numFmtId="3" fontId="7" fillId="0" borderId="31" xfId="77" applyNumberFormat="1" applyFont="1" applyFill="1" applyBorder="1"/>
    <xf numFmtId="0" fontId="149" fillId="0" borderId="0" xfId="0" applyFont="1"/>
    <xf numFmtId="0" fontId="11" fillId="0" borderId="0" xfId="77" applyFont="1" applyFill="1" applyBorder="1"/>
    <xf numFmtId="3" fontId="7" fillId="0" borderId="46" xfId="93" applyNumberFormat="1" applyFont="1" applyBorder="1" applyAlignment="1">
      <alignment horizontal="right"/>
    </xf>
    <xf numFmtId="3" fontId="6" fillId="0" borderId="53" xfId="93" applyNumberFormat="1" applyFont="1" applyBorder="1"/>
    <xf numFmtId="3" fontId="7" fillId="0" borderId="0" xfId="93" applyNumberFormat="1" applyFont="1" applyFill="1" applyBorder="1" applyAlignment="1">
      <alignment horizontal="right"/>
    </xf>
    <xf numFmtId="3" fontId="6" fillId="0" borderId="86" xfId="93" applyNumberFormat="1" applyFont="1" applyBorder="1"/>
    <xf numFmtId="3" fontId="7" fillId="0" borderId="0" xfId="93" applyNumberFormat="1" applyFont="1" applyBorder="1" applyAlignment="1">
      <alignment horizontal="right"/>
    </xf>
    <xf numFmtId="0" fontId="8" fillId="0" borderId="98" xfId="93" applyFont="1" applyBorder="1"/>
    <xf numFmtId="3" fontId="7" fillId="0" borderId="91" xfId="93" applyNumberFormat="1" applyFont="1" applyBorder="1" applyAlignment="1">
      <alignment horizontal="right"/>
    </xf>
    <xf numFmtId="0" fontId="6" fillId="0" borderId="91" xfId="77" applyFont="1" applyFill="1" applyBorder="1"/>
    <xf numFmtId="3" fontId="6" fillId="0" borderId="91" xfId="93" applyNumberFormat="1" applyFont="1" applyBorder="1"/>
    <xf numFmtId="3" fontId="6" fillId="0" borderId="100" xfId="93" applyNumberFormat="1" applyFont="1" applyBorder="1"/>
    <xf numFmtId="0" fontId="6" fillId="0" borderId="19" xfId="93" applyFont="1" applyBorder="1"/>
    <xf numFmtId="3" fontId="6" fillId="0" borderId="16" xfId="93" applyNumberFormat="1" applyFont="1" applyBorder="1" applyAlignment="1">
      <alignment horizontal="right"/>
    </xf>
    <xf numFmtId="0" fontId="6" fillId="0" borderId="16" xfId="93" applyFont="1" applyBorder="1"/>
    <xf numFmtId="3" fontId="6" fillId="0" borderId="16" xfId="93" applyNumberFormat="1" applyFont="1" applyBorder="1"/>
    <xf numFmtId="3" fontId="6" fillId="0" borderId="84" xfId="93" applyNumberFormat="1" applyFont="1" applyBorder="1"/>
    <xf numFmtId="0" fontId="7" fillId="0" borderId="0" xfId="93" applyFont="1" applyFill="1" applyBorder="1" applyAlignment="1">
      <alignment wrapText="1"/>
    </xf>
    <xf numFmtId="0" fontId="7" fillId="0" borderId="0" xfId="93" applyFont="1" applyFill="1" applyBorder="1"/>
    <xf numFmtId="3" fontId="7" fillId="0" borderId="91" xfId="93" applyNumberFormat="1" applyFont="1" applyFill="1" applyBorder="1" applyAlignment="1">
      <alignment horizontal="right"/>
    </xf>
    <xf numFmtId="3" fontId="6" fillId="0" borderId="91" xfId="93" applyNumberFormat="1" applyFont="1" applyFill="1" applyBorder="1"/>
    <xf numFmtId="3" fontId="6" fillId="0" borderId="16" xfId="93" applyNumberFormat="1" applyFont="1" applyFill="1" applyBorder="1" applyAlignment="1">
      <alignment horizontal="right"/>
    </xf>
    <xf numFmtId="0" fontId="6" fillId="0" borderId="16" xfId="93" applyFont="1" applyFill="1" applyBorder="1"/>
    <xf numFmtId="3" fontId="6" fillId="0" borderId="16" xfId="93" applyNumberFormat="1" applyFont="1" applyFill="1" applyBorder="1"/>
    <xf numFmtId="3" fontId="7" fillId="0" borderId="46" xfId="93" applyNumberFormat="1" applyFont="1" applyFill="1" applyBorder="1" applyAlignment="1">
      <alignment horizontal="right"/>
    </xf>
    <xf numFmtId="0" fontId="7" fillId="0" borderId="46" xfId="93" applyFont="1" applyFill="1" applyBorder="1"/>
    <xf numFmtId="3" fontId="7" fillId="0" borderId="46" xfId="93" applyNumberFormat="1" applyFont="1" applyFill="1" applyBorder="1"/>
    <xf numFmtId="3" fontId="9" fillId="0" borderId="0" xfId="77" applyNumberFormat="1" applyFont="1" applyFill="1" applyBorder="1"/>
    <xf numFmtId="3" fontId="9" fillId="0" borderId="0" xfId="93" applyNumberFormat="1" applyFont="1" applyBorder="1"/>
    <xf numFmtId="0" fontId="10" fillId="0" borderId="0" xfId="94" applyFont="1"/>
    <xf numFmtId="3" fontId="10" fillId="0" borderId="0" xfId="94" applyNumberFormat="1" applyFont="1"/>
    <xf numFmtId="0" fontId="150" fillId="0" borderId="0" xfId="92" applyFont="1"/>
    <xf numFmtId="0" fontId="136" fillId="0" borderId="0" xfId="94" applyFont="1"/>
    <xf numFmtId="0" fontId="10" fillId="0" borderId="0" xfId="94" applyFont="1" applyBorder="1"/>
    <xf numFmtId="3" fontId="136" fillId="0" borderId="0" xfId="94" applyNumberFormat="1" applyFont="1"/>
    <xf numFmtId="0" fontId="151" fillId="0" borderId="23" xfId="94" applyFont="1" applyBorder="1"/>
    <xf numFmtId="0" fontId="151" fillId="0" borderId="46" xfId="94" applyFont="1" applyBorder="1" applyAlignment="1">
      <alignment horizontal="centerContinuous"/>
    </xf>
    <xf numFmtId="0" fontId="140" fillId="0" borderId="47" xfId="0" applyFont="1" applyBorder="1"/>
    <xf numFmtId="0" fontId="140" fillId="0" borderId="53" xfId="0" applyFont="1" applyBorder="1"/>
    <xf numFmtId="0" fontId="151" fillId="0" borderId="0" xfId="94" applyFont="1"/>
    <xf numFmtId="0" fontId="151" fillId="0" borderId="19" xfId="94" applyFont="1" applyBorder="1"/>
    <xf numFmtId="0" fontId="151" fillId="0" borderId="16" xfId="94" applyFont="1" applyBorder="1"/>
    <xf numFmtId="3" fontId="137" fillId="0" borderId="61" xfId="94" applyNumberFormat="1" applyFont="1" applyBorder="1" applyAlignment="1">
      <alignment horizontal="center"/>
    </xf>
    <xf numFmtId="3" fontId="137" fillId="0" borderId="28" xfId="94" applyNumberFormat="1" applyFont="1" applyBorder="1" applyAlignment="1">
      <alignment horizontal="center"/>
    </xf>
    <xf numFmtId="0" fontId="151" fillId="0" borderId="26" xfId="94" applyFont="1" applyFill="1" applyBorder="1"/>
    <xf numFmtId="0" fontId="151" fillId="0" borderId="91" xfId="94" applyFont="1" applyFill="1" applyBorder="1"/>
    <xf numFmtId="0" fontId="151" fillId="0" borderId="24" xfId="94" applyFont="1" applyFill="1" applyBorder="1"/>
    <xf numFmtId="3" fontId="151" fillId="0" borderId="32" xfId="94" applyNumberFormat="1" applyFont="1" applyFill="1" applyBorder="1"/>
    <xf numFmtId="4" fontId="151" fillId="0" borderId="58" xfId="94" applyNumberFormat="1" applyFont="1" applyFill="1" applyBorder="1"/>
    <xf numFmtId="0" fontId="151" fillId="0" borderId="0" xfId="94" applyFont="1" applyFill="1"/>
    <xf numFmtId="0" fontId="137" fillId="0" borderId="19" xfId="94" applyFont="1" applyFill="1" applyBorder="1"/>
    <xf numFmtId="0" fontId="137" fillId="0" borderId="16" xfId="94" applyFont="1" applyFill="1" applyBorder="1"/>
    <xf numFmtId="3" fontId="137" fillId="0" borderId="61" xfId="94" applyNumberFormat="1" applyFont="1" applyFill="1" applyBorder="1"/>
    <xf numFmtId="4" fontId="137" fillId="0" borderId="28" xfId="94" applyNumberFormat="1" applyFont="1" applyFill="1" applyBorder="1"/>
    <xf numFmtId="0" fontId="99" fillId="0" borderId="26" xfId="94" applyFont="1" applyFill="1" applyBorder="1"/>
    <xf numFmtId="4" fontId="99" fillId="0" borderId="58" xfId="94" applyNumberFormat="1" applyFont="1" applyFill="1" applyBorder="1"/>
    <xf numFmtId="0" fontId="99" fillId="0" borderId="0" xfId="0" applyFont="1" applyFill="1" applyBorder="1" applyAlignment="1">
      <alignment vertical="center" wrapText="1"/>
    </xf>
    <xf numFmtId="0" fontId="99" fillId="0" borderId="0" xfId="94" applyFont="1" applyFill="1"/>
    <xf numFmtId="0" fontId="126" fillId="0" borderId="19" xfId="94" applyFont="1" applyFill="1" applyBorder="1"/>
    <xf numFmtId="0" fontId="126" fillId="0" borderId="22" xfId="94" applyFont="1" applyFill="1" applyBorder="1"/>
    <xf numFmtId="3" fontId="126" fillId="0" borderId="43" xfId="94" applyNumberFormat="1" applyFont="1" applyFill="1" applyBorder="1"/>
    <xf numFmtId="4" fontId="126" fillId="0" borderId="28" xfId="94" applyNumberFormat="1" applyFont="1" applyFill="1" applyBorder="1"/>
    <xf numFmtId="3" fontId="151" fillId="0" borderId="0" xfId="94" applyNumberFormat="1" applyFont="1"/>
    <xf numFmtId="0" fontId="99" fillId="0" borderId="18" xfId="94" applyFont="1" applyFill="1" applyBorder="1"/>
    <xf numFmtId="4" fontId="151" fillId="0" borderId="139" xfId="94" applyNumberFormat="1" applyFont="1" applyFill="1" applyBorder="1"/>
    <xf numFmtId="0" fontId="151" fillId="0" borderId="57" xfId="94" applyFont="1" applyBorder="1"/>
    <xf numFmtId="0" fontId="151" fillId="0" borderId="24" xfId="94" applyFont="1" applyBorder="1"/>
    <xf numFmtId="3" fontId="151" fillId="0" borderId="32" xfId="94" applyNumberFormat="1" applyFont="1" applyBorder="1"/>
    <xf numFmtId="4" fontId="151" fillId="0" borderId="139" xfId="94" applyNumberFormat="1" applyFont="1" applyBorder="1"/>
    <xf numFmtId="0" fontId="126" fillId="0" borderId="0" xfId="94" applyFont="1"/>
    <xf numFmtId="0" fontId="151" fillId="0" borderId="18" xfId="94" applyFont="1" applyBorder="1"/>
    <xf numFmtId="0" fontId="152" fillId="0" borderId="24" xfId="94" applyFont="1" applyBorder="1"/>
    <xf numFmtId="4" fontId="151" fillId="0" borderId="58" xfId="94" applyNumberFormat="1" applyFont="1" applyBorder="1"/>
    <xf numFmtId="0" fontId="151" fillId="0" borderId="26" xfId="94" applyFont="1" applyBorder="1"/>
    <xf numFmtId="0" fontId="151" fillId="0" borderId="104" xfId="94" applyFont="1" applyBorder="1"/>
    <xf numFmtId="3" fontId="151" fillId="0" borderId="55" xfId="94" applyNumberFormat="1" applyFont="1" applyFill="1" applyBorder="1"/>
    <xf numFmtId="4" fontId="151" fillId="0" borderId="56" xfId="94" applyNumberFormat="1" applyFont="1" applyBorder="1"/>
    <xf numFmtId="0" fontId="137" fillId="31" borderId="19" xfId="94" applyFont="1" applyFill="1" applyBorder="1"/>
    <xf numFmtId="0" fontId="137" fillId="31" borderId="16" xfId="94" applyFont="1" applyFill="1" applyBorder="1"/>
    <xf numFmtId="3" fontId="137" fillId="31" borderId="61" xfId="94" applyNumberFormat="1" applyFont="1" applyFill="1" applyBorder="1"/>
    <xf numFmtId="4" fontId="137" fillId="31" borderId="28" xfId="94" applyNumberFormat="1" applyFont="1" applyFill="1" applyBorder="1"/>
    <xf numFmtId="4" fontId="151" fillId="0" borderId="0" xfId="94" applyNumberFormat="1" applyFont="1"/>
    <xf numFmtId="0" fontId="5" fillId="0" borderId="0" xfId="95"/>
    <xf numFmtId="0" fontId="12" fillId="0" borderId="0" xfId="95" applyFont="1" applyBorder="1" applyAlignment="1">
      <alignment horizontal="center"/>
    </xf>
    <xf numFmtId="0" fontId="5" fillId="0" borderId="0" xfId="95" applyBorder="1" applyAlignment="1">
      <alignment horizontal="center"/>
    </xf>
    <xf numFmtId="0" fontId="5" fillId="0" borderId="32" xfId="95" applyBorder="1" applyAlignment="1">
      <alignment horizontal="center"/>
    </xf>
    <xf numFmtId="0" fontId="5" fillId="0" borderId="58" xfId="95" applyBorder="1" applyAlignment="1">
      <alignment horizontal="center"/>
    </xf>
    <xf numFmtId="0" fontId="12" fillId="0" borderId="43" xfId="95" applyFont="1" applyBorder="1" applyAlignment="1">
      <alignment horizontal="center"/>
    </xf>
    <xf numFmtId="0" fontId="12" fillId="0" borderId="54" xfId="95" applyFont="1" applyBorder="1" applyAlignment="1">
      <alignment horizontal="center"/>
    </xf>
    <xf numFmtId="3" fontId="5" fillId="0" borderId="91" xfId="95" applyNumberFormat="1" applyFill="1" applyBorder="1"/>
    <xf numFmtId="3" fontId="5" fillId="0" borderId="101" xfId="95" applyNumberFormat="1" applyBorder="1"/>
    <xf numFmtId="3" fontId="5" fillId="0" borderId="91" xfId="95" applyNumberFormat="1" applyBorder="1"/>
    <xf numFmtId="3" fontId="5" fillId="0" borderId="101" xfId="95" applyNumberFormat="1" applyFill="1" applyBorder="1"/>
    <xf numFmtId="3" fontId="5" fillId="0" borderId="100" xfId="95" applyNumberFormat="1" applyBorder="1"/>
    <xf numFmtId="3" fontId="5" fillId="0" borderId="24" xfId="95" applyNumberFormat="1" applyFill="1" applyBorder="1"/>
    <xf numFmtId="3" fontId="5" fillId="0" borderId="32" xfId="95" applyNumberFormat="1" applyBorder="1"/>
    <xf numFmtId="3" fontId="5" fillId="0" borderId="24" xfId="95" applyNumberFormat="1" applyBorder="1"/>
    <xf numFmtId="3" fontId="5" fillId="0" borderId="32" xfId="95" applyNumberFormat="1" applyFill="1" applyBorder="1"/>
    <xf numFmtId="3" fontId="5" fillId="0" borderId="88" xfId="95" applyNumberFormat="1" applyBorder="1"/>
    <xf numFmtId="3" fontId="5" fillId="0" borderId="141" xfId="95" applyNumberFormat="1" applyFill="1" applyBorder="1"/>
    <xf numFmtId="3" fontId="5" fillId="0" borderId="133" xfId="95" applyNumberFormat="1" applyFill="1" applyBorder="1"/>
    <xf numFmtId="0" fontId="5" fillId="0" borderId="0" xfId="95" applyBorder="1"/>
    <xf numFmtId="0" fontId="5" fillId="0" borderId="32" xfId="95" applyBorder="1"/>
    <xf numFmtId="0" fontId="5" fillId="0" borderId="143" xfId="95" applyBorder="1"/>
    <xf numFmtId="3" fontId="5" fillId="0" borderId="0" xfId="95" applyNumberFormat="1"/>
    <xf numFmtId="0" fontId="5" fillId="0" borderId="0" xfId="95" applyBorder="1" applyAlignment="1">
      <alignment vertical="center"/>
    </xf>
    <xf numFmtId="0" fontId="5" fillId="0" borderId="55" xfId="95" applyBorder="1"/>
    <xf numFmtId="3" fontId="5" fillId="0" borderId="0" xfId="95" applyNumberFormat="1" applyBorder="1"/>
    <xf numFmtId="3" fontId="5" fillId="0" borderId="15" xfId="95" applyNumberFormat="1" applyBorder="1"/>
    <xf numFmtId="3" fontId="5" fillId="0" borderId="15" xfId="95" applyNumberFormat="1" applyFill="1" applyBorder="1"/>
    <xf numFmtId="3" fontId="5" fillId="0" borderId="0" xfId="95" applyNumberFormat="1" applyFill="1" applyBorder="1"/>
    <xf numFmtId="3" fontId="5" fillId="0" borderId="86" xfId="95" applyNumberFormat="1" applyBorder="1"/>
    <xf numFmtId="0" fontId="5" fillId="0" borderId="0" xfId="95" applyBorder="1" applyAlignment="1">
      <alignment horizontal="left" vertical="center"/>
    </xf>
    <xf numFmtId="3" fontId="5" fillId="0" borderId="49" xfId="95" applyNumberFormat="1" applyBorder="1"/>
    <xf numFmtId="0" fontId="5" fillId="0" borderId="91" xfId="95" applyBorder="1" applyAlignment="1">
      <alignment horizontal="left" vertical="center"/>
    </xf>
    <xf numFmtId="0" fontId="5" fillId="0" borderId="101" xfId="95" applyBorder="1"/>
    <xf numFmtId="0" fontId="5" fillId="0" borderId="15" xfId="95" applyFont="1" applyBorder="1"/>
    <xf numFmtId="0" fontId="5" fillId="0" borderId="15" xfId="95" applyBorder="1"/>
    <xf numFmtId="0" fontId="5" fillId="0" borderId="82" xfId="95" applyBorder="1"/>
    <xf numFmtId="0" fontId="5" fillId="0" borderId="15" xfId="95" applyFill="1" applyBorder="1"/>
    <xf numFmtId="0" fontId="5" fillId="0" borderId="32" xfId="95" applyFill="1" applyBorder="1"/>
    <xf numFmtId="0" fontId="5" fillId="0" borderId="61" xfId="95" applyBorder="1"/>
    <xf numFmtId="0" fontId="5" fillId="0" borderId="99" xfId="95" applyBorder="1"/>
    <xf numFmtId="3" fontId="5" fillId="0" borderId="16" xfId="95" applyNumberFormat="1" applyBorder="1"/>
    <xf numFmtId="3" fontId="5" fillId="0" borderId="61" xfId="95" applyNumberFormat="1" applyBorder="1"/>
    <xf numFmtId="3" fontId="5" fillId="0" borderId="84" xfId="95" applyNumberFormat="1" applyBorder="1"/>
    <xf numFmtId="3" fontId="10" fillId="0" borderId="0" xfId="96" applyNumberFormat="1" applyFont="1" applyAlignment="1">
      <alignment horizontal="center"/>
    </xf>
    <xf numFmtId="3" fontId="10" fillId="0" borderId="0" xfId="96" applyNumberFormat="1" applyFont="1"/>
    <xf numFmtId="3" fontId="153" fillId="0" borderId="0" xfId="96" applyNumberFormat="1" applyFont="1"/>
    <xf numFmtId="3" fontId="151" fillId="0" borderId="0" xfId="96" applyNumberFormat="1" applyFont="1"/>
    <xf numFmtId="3" fontId="154" fillId="0" borderId="0" xfId="96" applyNumberFormat="1" applyFont="1"/>
    <xf numFmtId="0" fontId="7" fillId="0" borderId="0" xfId="78" applyFont="1" applyAlignment="1">
      <alignment horizontal="right"/>
    </xf>
    <xf numFmtId="3" fontId="137" fillId="0" borderId="20" xfId="96" applyNumberFormat="1" applyFont="1" applyBorder="1" applyAlignment="1"/>
    <xf numFmtId="3" fontId="151" fillId="0" borderId="93" xfId="96" applyNumberFormat="1" applyFont="1" applyBorder="1"/>
    <xf numFmtId="3" fontId="155" fillId="0" borderId="0" xfId="96" applyNumberFormat="1" applyFont="1"/>
    <xf numFmtId="3" fontId="10" fillId="0" borderId="18" xfId="96" applyNumberFormat="1" applyFont="1" applyBorder="1" applyAlignment="1">
      <alignment horizontal="center"/>
    </xf>
    <xf numFmtId="3" fontId="10" fillId="0" borderId="0" xfId="96" applyNumberFormat="1" applyFont="1" applyBorder="1"/>
    <xf numFmtId="3" fontId="136" fillId="0" borderId="43" xfId="96" applyNumberFormat="1" applyFont="1" applyBorder="1" applyAlignment="1">
      <alignment horizontal="center"/>
    </xf>
    <xf numFmtId="3" fontId="136" fillId="0" borderId="22" xfId="96" applyNumberFormat="1" applyFont="1" applyBorder="1" applyAlignment="1">
      <alignment horizontal="center"/>
    </xf>
    <xf numFmtId="3" fontId="136" fillId="0" borderId="54" xfId="96" applyNumberFormat="1" applyFont="1" applyBorder="1" applyAlignment="1">
      <alignment horizontal="center"/>
    </xf>
    <xf numFmtId="3" fontId="156" fillId="0" borderId="17" xfId="96" applyNumberFormat="1" applyFont="1" applyFill="1" applyBorder="1" applyAlignment="1">
      <alignment horizontal="center"/>
    </xf>
    <xf numFmtId="3" fontId="156" fillId="0" borderId="22" xfId="96" applyNumberFormat="1" applyFont="1" applyFill="1" applyBorder="1"/>
    <xf numFmtId="3" fontId="137" fillId="0" borderId="43" xfId="96" applyNumberFormat="1" applyFont="1" applyFill="1" applyBorder="1" applyAlignment="1">
      <alignment horizontal="center"/>
    </xf>
    <xf numFmtId="3" fontId="137" fillId="0" borderId="54" xfId="96" applyNumberFormat="1" applyFont="1" applyFill="1" applyBorder="1" applyAlignment="1">
      <alignment horizontal="center"/>
    </xf>
    <xf numFmtId="3" fontId="157" fillId="0" borderId="0" xfId="96" applyNumberFormat="1" applyFont="1" applyFill="1"/>
    <xf numFmtId="3" fontId="156" fillId="0" borderId="0" xfId="96" applyNumberFormat="1" applyFont="1" applyFill="1"/>
    <xf numFmtId="3" fontId="137" fillId="0" borderId="20" xfId="96" applyNumberFormat="1" applyFont="1" applyFill="1" applyBorder="1" applyAlignment="1">
      <alignment horizontal="center"/>
    </xf>
    <xf numFmtId="3" fontId="137" fillId="0" borderId="93" xfId="96" applyNumberFormat="1" applyFont="1" applyFill="1" applyBorder="1"/>
    <xf numFmtId="3" fontId="137" fillId="0" borderId="21" xfId="96" applyNumberFormat="1" applyFont="1" applyFill="1" applyBorder="1"/>
    <xf numFmtId="3" fontId="137" fillId="0" borderId="60" xfId="96" applyNumberFormat="1" applyFont="1" applyFill="1" applyBorder="1"/>
    <xf numFmtId="3" fontId="158" fillId="0" borderId="0" xfId="96" applyNumberFormat="1" applyFont="1" applyFill="1"/>
    <xf numFmtId="3" fontId="137" fillId="0" borderId="0" xfId="96" applyNumberFormat="1" applyFont="1" applyFill="1"/>
    <xf numFmtId="3" fontId="136" fillId="0" borderId="18" xfId="96" applyNumberFormat="1" applyFont="1" applyFill="1" applyBorder="1" applyAlignment="1">
      <alignment horizontal="center"/>
    </xf>
    <xf numFmtId="3" fontId="136" fillId="0" borderId="0" xfId="96" applyNumberFormat="1" applyFont="1" applyFill="1" applyBorder="1"/>
    <xf numFmtId="3" fontId="136" fillId="0" borderId="15" xfId="96" applyNumberFormat="1" applyFont="1" applyFill="1" applyBorder="1"/>
    <xf numFmtId="3" fontId="136" fillId="0" borderId="59" xfId="96" applyNumberFormat="1" applyFont="1" applyFill="1" applyBorder="1"/>
    <xf numFmtId="3" fontId="159" fillId="0" borderId="0" xfId="96" applyNumberFormat="1" applyFont="1" applyFill="1"/>
    <xf numFmtId="3" fontId="136" fillId="0" borderId="0" xfId="96" applyNumberFormat="1" applyFont="1" applyFill="1"/>
    <xf numFmtId="3" fontId="10" fillId="0" borderId="40" xfId="96" applyNumberFormat="1" applyFont="1" applyFill="1" applyBorder="1" applyAlignment="1">
      <alignment horizontal="center"/>
    </xf>
    <xf numFmtId="3" fontId="10" fillId="0" borderId="37" xfId="96" applyNumberFormat="1" applyFont="1" applyFill="1" applyBorder="1"/>
    <xf numFmtId="3" fontId="10" fillId="0" borderId="36" xfId="96" applyNumberFormat="1" applyFont="1" applyFill="1" applyBorder="1"/>
    <xf numFmtId="3" fontId="10" fillId="0" borderId="68" xfId="96" applyNumberFormat="1" applyFont="1" applyFill="1" applyBorder="1"/>
    <xf numFmtId="3" fontId="10" fillId="0" borderId="0" xfId="96" applyNumberFormat="1" applyFont="1" applyFill="1"/>
    <xf numFmtId="3" fontId="10" fillId="0" borderId="18" xfId="96" applyNumberFormat="1" applyFont="1" applyFill="1" applyBorder="1" applyAlignment="1">
      <alignment horizontal="center"/>
    </xf>
    <xf numFmtId="3" fontId="10" fillId="0" borderId="0" xfId="96" applyNumberFormat="1" applyFont="1" applyFill="1" applyBorder="1"/>
    <xf numFmtId="3" fontId="10" fillId="0" borderId="15" xfId="96" applyNumberFormat="1" applyFont="1" applyFill="1" applyBorder="1"/>
    <xf numFmtId="3" fontId="10" fillId="0" borderId="59" xfId="96" applyNumberFormat="1" applyFont="1" applyFill="1" applyBorder="1"/>
    <xf numFmtId="3" fontId="136" fillId="0" borderId="40" xfId="96" applyNumberFormat="1" applyFont="1" applyFill="1" applyBorder="1" applyAlignment="1">
      <alignment horizontal="center"/>
    </xf>
    <xf numFmtId="3" fontId="136" fillId="0" borderId="37" xfId="96" applyNumberFormat="1" applyFont="1" applyFill="1" applyBorder="1"/>
    <xf numFmtId="3" fontId="136" fillId="0" borderId="36" xfId="96" applyNumberFormat="1" applyFont="1" applyFill="1" applyBorder="1"/>
    <xf numFmtId="3" fontId="136" fillId="0" borderId="68" xfId="96" applyNumberFormat="1" applyFont="1" applyFill="1" applyBorder="1"/>
    <xf numFmtId="3" fontId="137" fillId="0" borderId="81" xfId="96" applyNumberFormat="1" applyFont="1" applyFill="1" applyBorder="1"/>
    <xf numFmtId="3" fontId="126" fillId="0" borderId="18" xfId="96" applyNumberFormat="1" applyFont="1" applyFill="1" applyBorder="1" applyAlignment="1">
      <alignment horizontal="center"/>
    </xf>
    <xf numFmtId="3" fontId="126" fillId="0" borderId="0" xfId="96" applyNumberFormat="1" applyFont="1" applyFill="1" applyBorder="1"/>
    <xf numFmtId="3" fontId="126" fillId="0" borderId="15" xfId="96" applyNumberFormat="1" applyFont="1" applyFill="1" applyBorder="1"/>
    <xf numFmtId="3" fontId="126" fillId="0" borderId="59" xfId="96" applyNumberFormat="1" applyFont="1" applyFill="1" applyBorder="1"/>
    <xf numFmtId="3" fontId="126" fillId="0" borderId="0" xfId="96" applyNumberFormat="1" applyFont="1" applyFill="1"/>
    <xf numFmtId="3" fontId="16" fillId="0" borderId="40" xfId="96" applyNumberFormat="1" applyFont="1" applyFill="1" applyBorder="1" applyAlignment="1">
      <alignment horizontal="center"/>
    </xf>
    <xf numFmtId="3" fontId="57" fillId="0" borderId="37" xfId="96" applyNumberFormat="1" applyFont="1" applyFill="1" applyBorder="1"/>
    <xf numFmtId="3" fontId="16" fillId="0" borderId="37" xfId="96" applyNumberFormat="1" applyFont="1" applyFill="1" applyBorder="1"/>
    <xf numFmtId="3" fontId="57" fillId="0" borderId="36" xfId="96" applyNumberFormat="1" applyFont="1" applyFill="1" applyBorder="1"/>
    <xf numFmtId="3" fontId="57" fillId="0" borderId="68" xfId="96" applyNumberFormat="1" applyFont="1" applyFill="1" applyBorder="1"/>
    <xf numFmtId="3" fontId="16" fillId="0" borderId="0" xfId="96" applyNumberFormat="1" applyFont="1" applyFill="1"/>
    <xf numFmtId="3" fontId="10" fillId="0" borderId="0" xfId="96" applyNumberFormat="1" applyFont="1" applyFill="1" applyBorder="1" applyAlignment="1">
      <alignment horizontal="center"/>
    </xf>
    <xf numFmtId="3" fontId="10" fillId="0" borderId="37" xfId="96" applyNumberFormat="1" applyFont="1" applyFill="1" applyBorder="1" applyAlignment="1">
      <alignment horizontal="center"/>
    </xf>
    <xf numFmtId="3" fontId="10" fillId="0" borderId="0" xfId="96" applyNumberFormat="1" applyFont="1" applyFill="1" applyBorder="1" applyAlignment="1">
      <alignment horizontal="center" vertical="center"/>
    </xf>
    <xf numFmtId="3" fontId="10" fillId="0" borderId="0" xfId="96" applyNumberFormat="1" applyFont="1" applyFill="1" applyBorder="1" applyAlignment="1">
      <alignment wrapText="1"/>
    </xf>
    <xf numFmtId="3" fontId="126" fillId="0" borderId="40" xfId="96" applyNumberFormat="1" applyFont="1" applyBorder="1" applyAlignment="1">
      <alignment horizontal="center"/>
    </xf>
    <xf numFmtId="3" fontId="126" fillId="0" borderId="37" xfId="96" applyNumberFormat="1" applyFont="1" applyBorder="1"/>
    <xf numFmtId="3" fontId="126" fillId="0" borderId="36" xfId="96" applyNumberFormat="1" applyFont="1" applyBorder="1"/>
    <xf numFmtId="3" fontId="126" fillId="0" borderId="68" xfId="96" applyNumberFormat="1" applyFont="1" applyBorder="1"/>
    <xf numFmtId="3" fontId="158" fillId="0" borderId="0" xfId="96" applyNumberFormat="1" applyFont="1"/>
    <xf numFmtId="3" fontId="126" fillId="0" borderId="0" xfId="96" applyNumberFormat="1" applyFont="1"/>
    <xf numFmtId="3" fontId="10" fillId="0" borderId="15" xfId="96" applyNumberFormat="1" applyFont="1" applyBorder="1"/>
    <xf numFmtId="3" fontId="10" fillId="0" borderId="59" xfId="96" applyNumberFormat="1" applyFont="1" applyBorder="1"/>
    <xf numFmtId="3" fontId="159" fillId="0" borderId="0" xfId="96" applyNumberFormat="1" applyFont="1"/>
    <xf numFmtId="3" fontId="10" fillId="0" borderId="40" xfId="96" applyNumberFormat="1" applyFont="1" applyBorder="1" applyAlignment="1">
      <alignment horizontal="center"/>
    </xf>
    <xf numFmtId="3" fontId="10" fillId="0" borderId="37" xfId="96" applyNumberFormat="1" applyFont="1" applyBorder="1"/>
    <xf numFmtId="3" fontId="10" fillId="0" borderId="36" xfId="96" applyNumberFormat="1" applyFont="1" applyBorder="1"/>
    <xf numFmtId="3" fontId="10" fillId="0" borderId="68" xfId="96" applyNumberFormat="1" applyFont="1" applyBorder="1"/>
    <xf numFmtId="3" fontId="10" fillId="0" borderId="41" xfId="96" applyNumberFormat="1" applyFont="1" applyBorder="1" applyAlignment="1">
      <alignment horizontal="center"/>
    </xf>
    <xf numFmtId="3" fontId="10" fillId="0" borderId="95" xfId="96" applyNumberFormat="1" applyFont="1" applyBorder="1"/>
    <xf numFmtId="3" fontId="10" fillId="0" borderId="64" xfId="96" applyNumberFormat="1" applyFont="1" applyBorder="1"/>
    <xf numFmtId="3" fontId="10" fillId="0" borderId="109" xfId="96" applyNumberFormat="1" applyFont="1" applyBorder="1"/>
    <xf numFmtId="3" fontId="126" fillId="0" borderId="111" xfId="96" applyNumberFormat="1" applyFont="1" applyBorder="1" applyAlignment="1">
      <alignment horizontal="center"/>
    </xf>
    <xf numFmtId="3" fontId="126" fillId="0" borderId="112" xfId="96" applyNumberFormat="1" applyFont="1" applyBorder="1"/>
    <xf numFmtId="3" fontId="126" fillId="0" borderId="113" xfId="96" applyNumberFormat="1" applyFont="1" applyBorder="1"/>
    <xf numFmtId="3" fontId="126" fillId="0" borderId="114" xfId="96" applyNumberFormat="1" applyFont="1" applyBorder="1"/>
    <xf numFmtId="3" fontId="126" fillId="0" borderId="18" xfId="96" applyNumberFormat="1" applyFont="1" applyBorder="1" applyAlignment="1">
      <alignment horizontal="center"/>
    </xf>
    <xf numFmtId="3" fontId="126" fillId="0" borderId="0" xfId="96" applyNumberFormat="1" applyFont="1" applyBorder="1"/>
    <xf numFmtId="3" fontId="126" fillId="0" borderId="15" xfId="96" applyNumberFormat="1" applyFont="1" applyBorder="1"/>
    <xf numFmtId="3" fontId="126" fillId="0" borderId="59" xfId="96" applyNumberFormat="1" applyFont="1" applyBorder="1"/>
    <xf numFmtId="3" fontId="10" fillId="0" borderId="37" xfId="97" applyNumberFormat="1" applyFont="1" applyBorder="1"/>
    <xf numFmtId="3" fontId="10" fillId="0" borderId="36" xfId="97" applyNumberFormat="1" applyFont="1" applyBorder="1"/>
    <xf numFmtId="3" fontId="126" fillId="0" borderId="0" xfId="97" applyNumberFormat="1" applyFont="1" applyBorder="1"/>
    <xf numFmtId="3" fontId="126" fillId="0" borderId="15" xfId="97" applyNumberFormat="1" applyFont="1" applyBorder="1"/>
    <xf numFmtId="3" fontId="137" fillId="0" borderId="20" xfId="96" applyNumberFormat="1" applyFont="1" applyBorder="1" applyAlignment="1">
      <alignment horizontal="center"/>
    </xf>
    <xf numFmtId="3" fontId="137" fillId="0" borderId="93" xfId="96" applyNumberFormat="1" applyFont="1" applyBorder="1"/>
    <xf numFmtId="3" fontId="137" fillId="0" borderId="93" xfId="97" applyNumberFormat="1" applyFont="1" applyBorder="1"/>
    <xf numFmtId="3" fontId="137" fillId="0" borderId="21" xfId="97" applyNumberFormat="1" applyFont="1" applyBorder="1"/>
    <xf numFmtId="3" fontId="137" fillId="0" borderId="60" xfId="96" applyNumberFormat="1" applyFont="1" applyBorder="1"/>
    <xf numFmtId="3" fontId="137" fillId="0" borderId="0" xfId="96" applyNumberFormat="1" applyFont="1"/>
    <xf numFmtId="3" fontId="36" fillId="0" borderId="18" xfId="96" applyNumberFormat="1" applyFont="1" applyBorder="1" applyAlignment="1">
      <alignment horizontal="center"/>
    </xf>
    <xf numFmtId="3" fontId="36" fillId="0" borderId="0" xfId="96" applyNumberFormat="1" applyFont="1" applyBorder="1"/>
    <xf numFmtId="3" fontId="36" fillId="0" borderId="0" xfId="97" applyNumberFormat="1" applyFont="1" applyBorder="1"/>
    <xf numFmtId="3" fontId="36" fillId="0" borderId="15" xfId="97" applyNumberFormat="1" applyFont="1" applyBorder="1"/>
    <xf numFmtId="3" fontId="36" fillId="0" borderId="0" xfId="96" applyNumberFormat="1" applyFont="1"/>
    <xf numFmtId="3" fontId="36" fillId="0" borderId="40" xfId="96" applyNumberFormat="1" applyFont="1" applyBorder="1" applyAlignment="1">
      <alignment horizontal="center"/>
    </xf>
    <xf numFmtId="3" fontId="36" fillId="0" borderId="37" xfId="96" applyNumberFormat="1" applyFont="1" applyBorder="1"/>
    <xf numFmtId="3" fontId="36" fillId="0" borderId="37" xfId="97" applyNumberFormat="1" applyFont="1" applyBorder="1"/>
    <xf numFmtId="3" fontId="36" fillId="0" borderId="36" xfId="97" applyNumberFormat="1" applyFont="1" applyBorder="1"/>
    <xf numFmtId="3" fontId="160" fillId="0" borderId="0" xfId="97" applyNumberFormat="1" applyFont="1" applyBorder="1"/>
    <xf numFmtId="3" fontId="10" fillId="0" borderId="0" xfId="97" applyNumberFormat="1" applyFont="1" applyBorder="1"/>
    <xf numFmtId="3" fontId="10" fillId="0" borderId="15" xfId="97" applyNumberFormat="1" applyFont="1" applyBorder="1"/>
    <xf numFmtId="3" fontId="10" fillId="0" borderId="23" xfId="96" applyNumberFormat="1" applyFont="1" applyBorder="1" applyAlignment="1">
      <alignment horizontal="center"/>
    </xf>
    <xf numFmtId="3" fontId="10" fillId="0" borderId="46" xfId="96" applyNumberFormat="1" applyFont="1" applyBorder="1"/>
    <xf numFmtId="3" fontId="10" fillId="0" borderId="46" xfId="97" applyNumberFormat="1" applyFont="1" applyBorder="1"/>
    <xf numFmtId="3" fontId="10" fillId="0" borderId="45" xfId="97" applyNumberFormat="1" applyFont="1" applyBorder="1"/>
    <xf numFmtId="3" fontId="10" fillId="0" borderId="27" xfId="96" applyNumberFormat="1" applyFont="1" applyBorder="1"/>
    <xf numFmtId="3" fontId="136" fillId="0" borderId="18" xfId="96" applyNumberFormat="1" applyFont="1" applyBorder="1" applyAlignment="1"/>
    <xf numFmtId="3" fontId="136" fillId="0" borderId="0" xfId="96" applyNumberFormat="1" applyFont="1" applyBorder="1"/>
    <xf numFmtId="3" fontId="136" fillId="0" borderId="15" xfId="96" applyNumberFormat="1" applyFont="1" applyBorder="1"/>
    <xf numFmtId="3" fontId="136" fillId="0" borderId="59" xfId="96" applyNumberFormat="1" applyFont="1" applyBorder="1"/>
    <xf numFmtId="3" fontId="136" fillId="0" borderId="0" xfId="96" applyNumberFormat="1" applyFont="1"/>
    <xf numFmtId="3" fontId="16" fillId="0" borderId="18" xfId="96" applyNumberFormat="1" applyFont="1" applyFill="1" applyBorder="1" applyAlignment="1">
      <alignment horizontal="center"/>
    </xf>
    <xf numFmtId="3" fontId="16" fillId="0" borderId="0" xfId="96" applyNumberFormat="1" applyFont="1" applyFill="1" applyBorder="1"/>
    <xf numFmtId="3" fontId="16" fillId="0" borderId="15" xfId="96" applyNumberFormat="1" applyFont="1" applyFill="1" applyBorder="1"/>
    <xf numFmtId="3" fontId="16" fillId="0" borderId="59" xfId="96" applyNumberFormat="1" applyFont="1" applyFill="1" applyBorder="1"/>
    <xf numFmtId="3" fontId="36" fillId="0" borderId="40" xfId="96" applyNumberFormat="1" applyFont="1" applyFill="1" applyBorder="1" applyAlignment="1">
      <alignment horizontal="center"/>
    </xf>
    <xf numFmtId="3" fontId="36" fillId="0" borderId="37" xfId="96" applyNumberFormat="1" applyFont="1" applyFill="1" applyBorder="1"/>
    <xf numFmtId="3" fontId="36" fillId="0" borderId="36" xfId="96" applyNumberFormat="1" applyFont="1" applyFill="1" applyBorder="1"/>
    <xf numFmtId="3" fontId="36" fillId="0" borderId="68" xfId="96" applyNumberFormat="1" applyFont="1" applyFill="1" applyBorder="1"/>
    <xf numFmtId="3" fontId="153" fillId="0" borderId="0" xfId="96" applyNumberFormat="1" applyFont="1" applyFill="1"/>
    <xf numFmtId="3" fontId="36" fillId="0" borderId="0" xfId="96" applyNumberFormat="1" applyFont="1" applyFill="1"/>
    <xf numFmtId="3" fontId="36" fillId="0" borderId="18" xfId="96" applyNumberFormat="1" applyFont="1" applyFill="1" applyBorder="1" applyAlignment="1">
      <alignment horizontal="center"/>
    </xf>
    <xf numFmtId="3" fontId="36" fillId="0" borderId="0" xfId="96" applyNumberFormat="1" applyFont="1" applyFill="1" applyBorder="1"/>
    <xf numFmtId="3" fontId="36" fillId="0" borderId="15" xfId="96" applyNumberFormat="1" applyFont="1" applyFill="1" applyBorder="1"/>
    <xf numFmtId="3" fontId="16" fillId="0" borderId="40" xfId="96" applyNumberFormat="1" applyFont="1" applyFill="1" applyBorder="1"/>
    <xf numFmtId="3" fontId="126" fillId="0" borderId="37" xfId="96" applyNumberFormat="1" applyFont="1" applyFill="1" applyBorder="1"/>
    <xf numFmtId="3" fontId="126" fillId="0" borderId="36" xfId="96" applyNumberFormat="1" applyFont="1" applyFill="1" applyBorder="1"/>
    <xf numFmtId="3" fontId="128" fillId="0" borderId="40" xfId="96" applyNumberFormat="1" applyFont="1" applyFill="1" applyBorder="1" applyAlignment="1">
      <alignment horizontal="center"/>
    </xf>
    <xf numFmtId="3" fontId="128" fillId="0" borderId="36" xfId="96" applyNumberFormat="1" applyFont="1" applyFill="1" applyBorder="1"/>
    <xf numFmtId="3" fontId="128" fillId="0" borderId="37" xfId="96" applyNumberFormat="1" applyFont="1" applyFill="1" applyBorder="1"/>
    <xf numFmtId="3" fontId="128" fillId="0" borderId="68" xfId="96" applyNumberFormat="1" applyFont="1" applyFill="1" applyBorder="1"/>
    <xf numFmtId="3" fontId="128" fillId="0" borderId="0" xfId="96" applyNumberFormat="1" applyFont="1" applyFill="1"/>
    <xf numFmtId="3" fontId="36" fillId="0" borderId="59" xfId="96" applyNumberFormat="1" applyFont="1" applyFill="1" applyBorder="1"/>
    <xf numFmtId="3" fontId="16" fillId="0" borderId="28" xfId="96" applyNumberFormat="1" applyFont="1" applyFill="1" applyBorder="1"/>
    <xf numFmtId="0" fontId="163" fillId="0" borderId="0" xfId="98" applyFont="1"/>
    <xf numFmtId="3" fontId="164" fillId="0" borderId="0" xfId="99" applyNumberFormat="1" applyFont="1" applyBorder="1" applyAlignment="1">
      <alignment horizontal="right"/>
    </xf>
    <xf numFmtId="0" fontId="162" fillId="0" borderId="0" xfId="100" applyBorder="1"/>
    <xf numFmtId="0" fontId="163" fillId="0" borderId="0" xfId="100" applyFont="1"/>
    <xf numFmtId="0" fontId="165" fillId="0" borderId="0" xfId="98" applyFont="1" applyFill="1"/>
    <xf numFmtId="0" fontId="165" fillId="0" borderId="0" xfId="98" applyFont="1" applyFill="1" applyAlignment="1">
      <alignment horizontal="left"/>
    </xf>
    <xf numFmtId="3" fontId="163" fillId="0" borderId="0" xfId="99" applyNumberFormat="1" applyFont="1" applyBorder="1" applyAlignment="1">
      <alignment horizontal="right"/>
    </xf>
    <xf numFmtId="0" fontId="166" fillId="0" borderId="23" xfId="98" applyFont="1" applyBorder="1" applyAlignment="1">
      <alignment horizontal="center" vertical="center"/>
    </xf>
    <xf numFmtId="0" fontId="167" fillId="0" borderId="83" xfId="100" applyFont="1" applyBorder="1" applyAlignment="1">
      <alignment horizontal="center"/>
    </xf>
    <xf numFmtId="3" fontId="167" fillId="0" borderId="53" xfId="100" applyNumberFormat="1" applyFont="1" applyBorder="1" applyAlignment="1">
      <alignment horizontal="center"/>
    </xf>
    <xf numFmtId="0" fontId="168" fillId="0" borderId="0" xfId="100" applyFont="1" applyBorder="1"/>
    <xf numFmtId="0" fontId="167" fillId="0" borderId="70" xfId="100" applyFont="1" applyBorder="1" applyAlignment="1">
      <alignment horizontal="center"/>
    </xf>
    <xf numFmtId="0" fontId="172" fillId="0" borderId="18" xfId="101" applyFont="1" applyFill="1" applyBorder="1" applyAlignment="1" applyProtection="1">
      <alignment horizontal="left"/>
    </xf>
    <xf numFmtId="0" fontId="172" fillId="0" borderId="69" xfId="101" applyFont="1" applyFill="1" applyBorder="1" applyAlignment="1" applyProtection="1">
      <alignment horizontal="left"/>
    </xf>
    <xf numFmtId="0" fontId="172" fillId="0" borderId="76" xfId="101" applyFont="1" applyFill="1" applyBorder="1" applyAlignment="1" applyProtection="1">
      <alignment horizontal="left"/>
    </xf>
    <xf numFmtId="3" fontId="173" fillId="0" borderId="77" xfId="99" applyNumberFormat="1" applyFont="1" applyFill="1" applyBorder="1" applyAlignment="1">
      <alignment horizontal="right"/>
    </xf>
    <xf numFmtId="0" fontId="172" fillId="0" borderId="78" xfId="101" applyFont="1" applyFill="1" applyBorder="1" applyAlignment="1" applyProtection="1">
      <alignment horizontal="left"/>
    </xf>
    <xf numFmtId="0" fontId="172" fillId="0" borderId="135" xfId="101" applyFont="1" applyFill="1" applyBorder="1" applyAlignment="1" applyProtection="1">
      <alignment horizontal="left"/>
    </xf>
    <xf numFmtId="3" fontId="174" fillId="0" borderId="77" xfId="99" applyNumberFormat="1" applyFont="1" applyFill="1" applyBorder="1" applyAlignment="1">
      <alignment horizontal="left"/>
    </xf>
    <xf numFmtId="0" fontId="176" fillId="0" borderId="0" xfId="100" applyFont="1" applyBorder="1"/>
    <xf numFmtId="0" fontId="174" fillId="0" borderId="77" xfId="98" applyFont="1" applyFill="1" applyBorder="1" applyAlignment="1" applyProtection="1">
      <alignment horizontal="left"/>
    </xf>
    <xf numFmtId="3" fontId="173" fillId="0" borderId="23" xfId="99" applyNumberFormat="1" applyFont="1" applyFill="1" applyBorder="1" applyAlignment="1">
      <alignment horizontal="left"/>
    </xf>
    <xf numFmtId="0" fontId="162" fillId="0" borderId="91" xfId="100" applyBorder="1"/>
    <xf numFmtId="0" fontId="173" fillId="0" borderId="18" xfId="98" applyFont="1" applyFill="1" applyBorder="1" applyAlignment="1" applyProtection="1">
      <alignment horizontal="left" vertical="top"/>
    </xf>
    <xf numFmtId="3" fontId="173" fillId="0" borderId="26" xfId="99" applyNumberFormat="1" applyFont="1" applyFill="1" applyBorder="1" applyAlignment="1">
      <alignment horizontal="left"/>
    </xf>
    <xf numFmtId="3" fontId="173" fillId="0" borderId="18" xfId="99" applyNumberFormat="1" applyFont="1" applyFill="1" applyBorder="1" applyAlignment="1">
      <alignment horizontal="left"/>
    </xf>
    <xf numFmtId="3" fontId="173" fillId="0" borderId="98" xfId="99" applyNumberFormat="1" applyFont="1" applyFill="1" applyBorder="1" applyAlignment="1">
      <alignment horizontal="left"/>
    </xf>
    <xf numFmtId="0" fontId="173" fillId="0" borderId="69" xfId="98" applyFont="1" applyFill="1" applyBorder="1" applyAlignment="1" applyProtection="1">
      <alignment horizontal="left" vertical="top" wrapText="1"/>
    </xf>
    <xf numFmtId="0" fontId="175" fillId="0" borderId="77" xfId="98" applyFont="1" applyFill="1" applyBorder="1" applyAlignment="1" applyProtection="1">
      <alignment horizontal="center" vertical="center"/>
    </xf>
    <xf numFmtId="3" fontId="179" fillId="0" borderId="0" xfId="99" applyNumberFormat="1" applyFont="1" applyBorder="1" applyAlignment="1"/>
    <xf numFmtId="0" fontId="182" fillId="0" borderId="69" xfId="98" applyFont="1" applyFill="1" applyBorder="1" applyAlignment="1" applyProtection="1">
      <alignment horizontal="left" wrapText="1"/>
    </xf>
    <xf numFmtId="0" fontId="130" fillId="0" borderId="0" xfId="103" applyFont="1"/>
    <xf numFmtId="0" fontId="183" fillId="0" borderId="0" xfId="103" applyFont="1"/>
    <xf numFmtId="3" fontId="130" fillId="0" borderId="0" xfId="103" applyNumberFormat="1" applyFont="1"/>
    <xf numFmtId="3" fontId="183" fillId="0" borderId="0" xfId="103" applyNumberFormat="1" applyFont="1"/>
    <xf numFmtId="0" fontId="129" fillId="0" borderId="0" xfId="103" applyFont="1"/>
    <xf numFmtId="3" fontId="129" fillId="0" borderId="0" xfId="103" applyNumberFormat="1" applyFont="1"/>
    <xf numFmtId="0" fontId="130" fillId="0" borderId="0" xfId="103" applyFont="1" applyAlignment="1">
      <alignment horizontal="right"/>
    </xf>
    <xf numFmtId="0" fontId="184" fillId="0" borderId="0" xfId="103" applyFont="1" applyAlignment="1">
      <alignment horizontal="center"/>
    </xf>
    <xf numFmtId="3" fontId="6" fillId="0" borderId="23" xfId="103" applyNumberFormat="1" applyFont="1" applyBorder="1"/>
    <xf numFmtId="0" fontId="129" fillId="0" borderId="0" xfId="103" applyFont="1" applyBorder="1"/>
    <xf numFmtId="0" fontId="6" fillId="0" borderId="44" xfId="103" applyFont="1" applyBorder="1" applyAlignment="1">
      <alignment horizontal="center" vertical="center" wrapText="1"/>
    </xf>
    <xf numFmtId="3" fontId="6" fillId="0" borderId="19" xfId="103" applyNumberFormat="1" applyFont="1" applyBorder="1"/>
    <xf numFmtId="0" fontId="7" fillId="0" borderId="26" xfId="103" applyFont="1" applyBorder="1"/>
    <xf numFmtId="0" fontId="7" fillId="0" borderId="24" xfId="103" applyFont="1" applyBorder="1"/>
    <xf numFmtId="0" fontId="7" fillId="0" borderId="140" xfId="103" applyFont="1" applyBorder="1"/>
    <xf numFmtId="2" fontId="7" fillId="0" borderId="49" xfId="103" applyNumberFormat="1" applyFont="1" applyBorder="1"/>
    <xf numFmtId="3" fontId="7" fillId="0" borderId="32" xfId="103" applyNumberFormat="1" applyFont="1" applyFill="1" applyBorder="1"/>
    <xf numFmtId="3" fontId="7" fillId="0" borderId="88" xfId="103" applyNumberFormat="1" applyFont="1" applyFill="1" applyBorder="1"/>
    <xf numFmtId="3" fontId="7" fillId="0" borderId="26" xfId="103" applyNumberFormat="1" applyFont="1" applyFill="1" applyBorder="1"/>
    <xf numFmtId="3" fontId="130" fillId="0" borderId="0" xfId="103" applyNumberFormat="1" applyFont="1" applyBorder="1"/>
    <xf numFmtId="3" fontId="7" fillId="0" borderId="78" xfId="103" applyNumberFormat="1" applyFont="1" applyFill="1" applyBorder="1"/>
    <xf numFmtId="0" fontId="7" fillId="0" borderId="40" xfId="103" applyFont="1" applyBorder="1"/>
    <xf numFmtId="2" fontId="7" fillId="0" borderId="49" xfId="103" applyNumberFormat="1" applyFont="1" applyFill="1" applyBorder="1"/>
    <xf numFmtId="14" fontId="130" fillId="0" borderId="0" xfId="103" applyNumberFormat="1" applyFont="1"/>
    <xf numFmtId="0" fontId="130" fillId="0" borderId="0" xfId="103" applyFont="1" applyFill="1"/>
    <xf numFmtId="0" fontId="7" fillId="0" borderId="57" xfId="103" applyFont="1" applyFill="1" applyBorder="1"/>
    <xf numFmtId="0" fontId="7" fillId="0" borderId="104" xfId="103" applyFont="1" applyFill="1" applyBorder="1"/>
    <xf numFmtId="0" fontId="7" fillId="0" borderId="142" xfId="103" applyFont="1" applyFill="1" applyBorder="1"/>
    <xf numFmtId="2" fontId="7" fillId="0" borderId="82" xfId="103" applyNumberFormat="1" applyFont="1" applyFill="1" applyBorder="1"/>
    <xf numFmtId="3" fontId="7" fillId="0" borderId="55" xfId="103" applyNumberFormat="1" applyFont="1" applyFill="1" applyBorder="1"/>
    <xf numFmtId="3" fontId="7" fillId="0" borderId="57" xfId="103" applyNumberFormat="1" applyFont="1" applyFill="1" applyBorder="1"/>
    <xf numFmtId="3" fontId="130" fillId="0" borderId="0" xfId="103" applyNumberFormat="1" applyFont="1" applyFill="1" applyBorder="1"/>
    <xf numFmtId="3" fontId="7" fillId="0" borderId="136" xfId="103" applyNumberFormat="1" applyFont="1" applyFill="1" applyBorder="1"/>
    <xf numFmtId="3" fontId="7" fillId="0" borderId="89" xfId="103" applyNumberFormat="1" applyFont="1" applyFill="1" applyBorder="1"/>
    <xf numFmtId="0" fontId="6" fillId="0" borderId="26" xfId="103" applyFont="1" applyFill="1" applyBorder="1" applyAlignment="1">
      <alignment horizontal="left"/>
    </xf>
    <xf numFmtId="3" fontId="6" fillId="0" borderId="88" xfId="103" applyNumberFormat="1" applyFont="1" applyFill="1" applyBorder="1"/>
    <xf numFmtId="3" fontId="6" fillId="0" borderId="78" xfId="103" applyNumberFormat="1" applyFont="1" applyFill="1" applyBorder="1"/>
    <xf numFmtId="0" fontId="7" fillId="0" borderId="26" xfId="103" applyFont="1" applyFill="1" applyBorder="1"/>
    <xf numFmtId="0" fontId="7" fillId="0" borderId="24" xfId="103" applyFont="1" applyFill="1" applyBorder="1"/>
    <xf numFmtId="0" fontId="7" fillId="0" borderId="140" xfId="103" applyFont="1" applyFill="1" applyBorder="1"/>
    <xf numFmtId="3" fontId="7" fillId="0" borderId="26" xfId="103" applyNumberFormat="1" applyFont="1" applyBorder="1"/>
    <xf numFmtId="3" fontId="7" fillId="0" borderId="115" xfId="103" applyNumberFormat="1" applyFont="1" applyBorder="1"/>
    <xf numFmtId="14" fontId="130" fillId="0" borderId="0" xfId="103" applyNumberFormat="1" applyFont="1" applyFill="1"/>
    <xf numFmtId="3" fontId="7" fillId="0" borderId="24" xfId="103" applyNumberFormat="1" applyFont="1" applyFill="1" applyBorder="1"/>
    <xf numFmtId="0" fontId="7" fillId="0" borderId="49" xfId="103" applyFont="1" applyFill="1" applyBorder="1"/>
    <xf numFmtId="164" fontId="7" fillId="0" borderId="82" xfId="103" applyNumberFormat="1" applyFont="1" applyFill="1" applyBorder="1"/>
    <xf numFmtId="3" fontId="7" fillId="0" borderId="56" xfId="103" applyNumberFormat="1" applyFont="1" applyFill="1" applyBorder="1"/>
    <xf numFmtId="0" fontId="6" fillId="0" borderId="17" xfId="103" applyFont="1" applyBorder="1"/>
    <xf numFmtId="0" fontId="6" fillId="0" borderId="22" xfId="103" applyFont="1" applyBorder="1"/>
    <xf numFmtId="165" fontId="6" fillId="0" borderId="44" xfId="103" applyNumberFormat="1" applyFont="1" applyBorder="1"/>
    <xf numFmtId="3" fontId="6" fillId="0" borderId="43" xfId="103" applyNumberFormat="1" applyFont="1" applyFill="1" applyBorder="1"/>
    <xf numFmtId="3" fontId="6" fillId="0" borderId="54" xfId="103" applyNumberFormat="1" applyFont="1" applyBorder="1"/>
    <xf numFmtId="0" fontId="6" fillId="0" borderId="20" xfId="103" applyFont="1" applyBorder="1"/>
    <xf numFmtId="0" fontId="7" fillId="0" borderId="93" xfId="103" applyFont="1" applyBorder="1"/>
    <xf numFmtId="2" fontId="7" fillId="0" borderId="93" xfId="103" applyNumberFormat="1" applyFont="1" applyBorder="1"/>
    <xf numFmtId="3" fontId="7" fillId="0" borderId="93" xfId="103" applyNumberFormat="1" applyFont="1" applyBorder="1"/>
    <xf numFmtId="3" fontId="6" fillId="0" borderId="77" xfId="103" applyNumberFormat="1" applyFont="1" applyBorder="1"/>
    <xf numFmtId="3" fontId="6" fillId="0" borderId="81" xfId="103" applyNumberFormat="1" applyFont="1" applyBorder="1"/>
    <xf numFmtId="3" fontId="185" fillId="0" borderId="0" xfId="103" applyNumberFormat="1" applyFont="1"/>
    <xf numFmtId="0" fontId="186" fillId="0" borderId="0" xfId="103" applyFont="1"/>
    <xf numFmtId="0" fontId="130" fillId="0" borderId="0" xfId="103" applyFont="1" applyBorder="1"/>
    <xf numFmtId="0" fontId="131" fillId="0" borderId="0" xfId="103" applyFont="1"/>
    <xf numFmtId="0" fontId="186" fillId="0" borderId="0" xfId="103" applyFont="1" applyBorder="1"/>
    <xf numFmtId="0" fontId="89" fillId="0" borderId="26" xfId="103" applyFont="1" applyFill="1" applyBorder="1"/>
    <xf numFmtId="0" fontId="89" fillId="0" borderId="24" xfId="103" applyFont="1" applyFill="1" applyBorder="1"/>
    <xf numFmtId="0" fontId="89" fillId="0" borderId="57" xfId="103" applyFont="1" applyFill="1" applyBorder="1"/>
    <xf numFmtId="0" fontId="89" fillId="0" borderId="104" xfId="103" applyFont="1" applyFill="1" applyBorder="1"/>
    <xf numFmtId="0" fontId="89" fillId="0" borderId="142" xfId="103" applyFont="1" applyFill="1" applyBorder="1"/>
    <xf numFmtId="0" fontId="79" fillId="0" borderId="27" xfId="0" applyFont="1" applyBorder="1" applyAlignment="1">
      <alignment horizontal="center"/>
    </xf>
    <xf numFmtId="0" fontId="79" fillId="0" borderId="28" xfId="0" applyFont="1" applyBorder="1" applyAlignment="1">
      <alignment horizontal="center"/>
    </xf>
    <xf numFmtId="0" fontId="79" fillId="28" borderId="45" xfId="0" applyFont="1" applyFill="1" applyBorder="1" applyAlignment="1">
      <alignment horizontal="center"/>
    </xf>
    <xf numFmtId="0" fontId="79" fillId="28" borderId="61" xfId="0" applyFont="1" applyFill="1" applyBorder="1" applyAlignment="1">
      <alignment horizontal="center"/>
    </xf>
    <xf numFmtId="0" fontId="79" fillId="0" borderId="43" xfId="0" applyFont="1" applyBorder="1" applyAlignment="1">
      <alignment horizontal="center"/>
    </xf>
    <xf numFmtId="3" fontId="79" fillId="0" borderId="43" xfId="0" applyNumberFormat="1" applyFont="1" applyBorder="1" applyAlignment="1">
      <alignment horizontal="center"/>
    </xf>
    <xf numFmtId="0" fontId="102" fillId="0" borderId="40" xfId="0" applyFont="1" applyBorder="1"/>
    <xf numFmtId="3" fontId="7" fillId="0" borderId="38" xfId="77" applyNumberFormat="1" applyFont="1" applyFill="1" applyBorder="1" applyAlignment="1">
      <alignment horizontal="right"/>
    </xf>
    <xf numFmtId="3" fontId="7" fillId="0" borderId="51" xfId="77" applyNumberFormat="1" applyFont="1" applyFill="1" applyBorder="1" applyAlignment="1">
      <alignment horizontal="right"/>
    </xf>
    <xf numFmtId="3" fontId="7" fillId="0" borderId="50" xfId="77" applyNumberFormat="1" applyFont="1" applyFill="1" applyBorder="1" applyAlignment="1">
      <alignment horizontal="right"/>
    </xf>
    <xf numFmtId="3" fontId="7" fillId="0" borderId="85" xfId="77" applyNumberFormat="1" applyFont="1" applyFill="1" applyBorder="1" applyAlignment="1">
      <alignment horizontal="right"/>
    </xf>
    <xf numFmtId="0" fontId="7" fillId="0" borderId="38" xfId="77" applyFont="1" applyFill="1" applyBorder="1" applyAlignment="1">
      <alignment horizontal="right"/>
    </xf>
    <xf numFmtId="0" fontId="6" fillId="0" borderId="57" xfId="77" applyFont="1" applyFill="1" applyBorder="1" applyAlignment="1">
      <alignment horizontal="right"/>
    </xf>
    <xf numFmtId="0" fontId="6" fillId="0" borderId="104" xfId="77" applyFont="1" applyFill="1" applyBorder="1" applyAlignment="1">
      <alignment horizontal="right"/>
    </xf>
    <xf numFmtId="3" fontId="6" fillId="0" borderId="57" xfId="77" applyNumberFormat="1" applyFont="1" applyFill="1" applyBorder="1" applyAlignment="1">
      <alignment horizontal="right"/>
    </xf>
    <xf numFmtId="3" fontId="6" fillId="0" borderId="82" xfId="77" applyNumberFormat="1" applyFont="1" applyFill="1" applyBorder="1" applyAlignment="1">
      <alignment horizontal="right"/>
    </xf>
    <xf numFmtId="3" fontId="6" fillId="0" borderId="55" xfId="77" applyNumberFormat="1" applyFont="1" applyFill="1" applyBorder="1" applyAlignment="1">
      <alignment horizontal="right"/>
    </xf>
    <xf numFmtId="3" fontId="6" fillId="0" borderId="56" xfId="77" applyNumberFormat="1" applyFont="1" applyFill="1" applyBorder="1" applyAlignment="1">
      <alignment horizontal="right"/>
    </xf>
    <xf numFmtId="3" fontId="37" fillId="0" borderId="91" xfId="0" applyNumberFormat="1" applyFont="1" applyFill="1" applyBorder="1" applyAlignment="1">
      <alignment horizontal="justify"/>
    </xf>
    <xf numFmtId="3" fontId="7" fillId="0" borderId="138" xfId="77" applyNumberFormat="1" applyFont="1" applyFill="1" applyBorder="1" applyAlignment="1">
      <alignment horizontal="right"/>
    </xf>
    <xf numFmtId="3" fontId="6" fillId="0" borderId="33" xfId="77" applyNumberFormat="1" applyFont="1" applyFill="1" applyBorder="1" applyAlignment="1">
      <alignment horizontal="right"/>
    </xf>
    <xf numFmtId="3" fontId="36" fillId="0" borderId="26" xfId="0" applyNumberFormat="1" applyFont="1" applyFill="1" applyBorder="1" applyAlignment="1">
      <alignment wrapText="1"/>
    </xf>
    <xf numFmtId="3" fontId="36" fillId="0" borderId="58" xfId="77" applyNumberFormat="1" applyFont="1" applyFill="1" applyBorder="1" applyAlignment="1">
      <alignment horizontal="right"/>
    </xf>
    <xf numFmtId="0" fontId="189" fillId="0" borderId="0" xfId="106" applyFont="1"/>
    <xf numFmtId="0" fontId="189" fillId="0" borderId="0" xfId="106" applyFont="1" applyAlignment="1">
      <alignment horizontal="right"/>
    </xf>
    <xf numFmtId="3" fontId="189" fillId="0" borderId="0" xfId="106" applyNumberFormat="1" applyFont="1"/>
    <xf numFmtId="3" fontId="36" fillId="0" borderId="0" xfId="106" applyNumberFormat="1" applyFont="1"/>
    <xf numFmtId="3" fontId="36" fillId="0" borderId="0" xfId="106" applyNumberFormat="1" applyFont="1" applyAlignment="1">
      <alignment horizontal="center"/>
    </xf>
    <xf numFmtId="0" fontId="36" fillId="0" borderId="0" xfId="106" applyFont="1"/>
    <xf numFmtId="3" fontId="126" fillId="0" borderId="68" xfId="96" applyNumberFormat="1" applyFont="1" applyFill="1" applyBorder="1"/>
    <xf numFmtId="3" fontId="16" fillId="0" borderId="19" xfId="96" applyNumberFormat="1" applyFont="1" applyFill="1" applyBorder="1" applyAlignment="1">
      <alignment horizontal="center"/>
    </xf>
    <xf numFmtId="3" fontId="16" fillId="0" borderId="16" xfId="96" applyNumberFormat="1" applyFont="1" applyFill="1" applyBorder="1"/>
    <xf numFmtId="3" fontId="16" fillId="0" borderId="61" xfId="96" applyNumberFormat="1" applyFont="1" applyFill="1" applyBorder="1"/>
    <xf numFmtId="0" fontId="189" fillId="0" borderId="0" xfId="106" applyFont="1" applyAlignment="1">
      <alignment horizontal="right" vertical="center"/>
    </xf>
    <xf numFmtId="0" fontId="190" fillId="0" borderId="0" xfId="106" applyFont="1" applyAlignment="1">
      <alignment horizontal="center"/>
    </xf>
    <xf numFmtId="0" fontId="190" fillId="0" borderId="0" xfId="106" applyFont="1" applyAlignment="1"/>
    <xf numFmtId="3" fontId="16" fillId="0" borderId="36" xfId="96" applyNumberFormat="1" applyFont="1" applyFill="1" applyBorder="1"/>
    <xf numFmtId="3" fontId="16" fillId="0" borderId="67" xfId="96" applyNumberFormat="1" applyFont="1" applyFill="1" applyBorder="1"/>
    <xf numFmtId="0" fontId="59" fillId="28" borderId="45" xfId="0" applyFont="1" applyFill="1" applyBorder="1" applyAlignment="1">
      <alignment horizontal="center"/>
    </xf>
    <xf numFmtId="3" fontId="5" fillId="0" borderId="100" xfId="95" applyNumberFormat="1" applyFill="1" applyBorder="1"/>
    <xf numFmtId="0" fontId="5" fillId="0" borderId="0" xfId="95" applyFill="1"/>
    <xf numFmtId="3" fontId="5" fillId="0" borderId="88" xfId="95" applyNumberFormat="1" applyFill="1" applyBorder="1"/>
    <xf numFmtId="3" fontId="5" fillId="0" borderId="43" xfId="95" applyNumberFormat="1" applyFill="1" applyBorder="1"/>
    <xf numFmtId="3" fontId="5" fillId="0" borderId="54" xfId="95" applyNumberFormat="1" applyFill="1" applyBorder="1"/>
    <xf numFmtId="0" fontId="5" fillId="0" borderId="141" xfId="95" applyFont="1" applyFill="1" applyBorder="1" applyAlignment="1">
      <alignment horizontal="left"/>
    </xf>
    <xf numFmtId="0" fontId="5" fillId="0" borderId="124" xfId="95" applyFill="1" applyBorder="1" applyAlignment="1">
      <alignment horizontal="left"/>
    </xf>
    <xf numFmtId="3" fontId="5" fillId="0" borderId="122" xfId="95" applyNumberFormat="1" applyFill="1" applyBorder="1"/>
    <xf numFmtId="0" fontId="165" fillId="0" borderId="0" xfId="107" applyFont="1"/>
    <xf numFmtId="0" fontId="191" fillId="0" borderId="0" xfId="108" applyFont="1"/>
    <xf numFmtId="0" fontId="165" fillId="0" borderId="0" xfId="107" applyFont="1" applyBorder="1"/>
    <xf numFmtId="0" fontId="75" fillId="0" borderId="0" xfId="107" applyFont="1" applyBorder="1" applyAlignment="1">
      <alignment horizontal="center"/>
    </xf>
    <xf numFmtId="0" fontId="17" fillId="0" borderId="0" xfId="107" applyFont="1"/>
    <xf numFmtId="0" fontId="141" fillId="0" borderId="0" xfId="108"/>
    <xf numFmtId="0" fontId="193" fillId="0" borderId="0" xfId="108" applyFont="1"/>
    <xf numFmtId="4" fontId="194" fillId="0" borderId="69" xfId="107" applyNumberFormat="1" applyFont="1" applyBorder="1" applyAlignment="1">
      <alignment horizontal="center"/>
    </xf>
    <xf numFmtId="4" fontId="59" fillId="0" borderId="83" xfId="107" applyNumberFormat="1" applyFont="1" applyBorder="1" applyAlignment="1">
      <alignment horizontal="justify"/>
    </xf>
    <xf numFmtId="4" fontId="59" fillId="0" borderId="53" xfId="107" applyNumberFormat="1" applyFont="1" applyBorder="1" applyAlignment="1">
      <alignment horizontal="justify"/>
    </xf>
    <xf numFmtId="0" fontId="59" fillId="0" borderId="0" xfId="107" applyFont="1" applyAlignment="1">
      <alignment horizontal="justify"/>
    </xf>
    <xf numFmtId="0" fontId="141" fillId="0" borderId="0" xfId="108" applyAlignment="1">
      <alignment horizontal="justify"/>
    </xf>
    <xf numFmtId="3" fontId="195" fillId="0" borderId="115" xfId="0" applyNumberFormat="1" applyFont="1" applyFill="1" applyBorder="1" applyAlignment="1">
      <alignment horizontal="left"/>
    </xf>
    <xf numFmtId="4" fontId="192" fillId="0" borderId="69" xfId="107" applyNumberFormat="1" applyFont="1" applyBorder="1"/>
    <xf numFmtId="3" fontId="192" fillId="0" borderId="86" xfId="107" applyNumberFormat="1" applyFont="1" applyBorder="1"/>
    <xf numFmtId="4" fontId="192" fillId="0" borderId="86" xfId="107" applyNumberFormat="1" applyFont="1" applyBorder="1"/>
    <xf numFmtId="0" fontId="59" fillId="0" borderId="0" xfId="107" applyFont="1"/>
    <xf numFmtId="3" fontId="195" fillId="0" borderId="78" xfId="0" applyNumberFormat="1" applyFont="1" applyFill="1" applyBorder="1" applyAlignment="1">
      <alignment horizontal="left"/>
    </xf>
    <xf numFmtId="4" fontId="192" fillId="0" borderId="78" xfId="107" applyNumberFormat="1" applyFont="1" applyBorder="1"/>
    <xf numFmtId="3" fontId="192" fillId="0" borderId="88" xfId="107" applyNumberFormat="1" applyFont="1" applyBorder="1"/>
    <xf numFmtId="3" fontId="195" fillId="0" borderId="69" xfId="0" applyNumberFormat="1" applyFont="1" applyFill="1" applyBorder="1" applyAlignment="1">
      <alignment horizontal="left"/>
    </xf>
    <xf numFmtId="4" fontId="165" fillId="0" borderId="77" xfId="107" applyNumberFormat="1" applyFont="1" applyBorder="1"/>
    <xf numFmtId="4" fontId="192" fillId="0" borderId="77" xfId="107" applyNumberFormat="1" applyFont="1" applyBorder="1"/>
    <xf numFmtId="3" fontId="192" fillId="0" borderId="77" xfId="107" applyNumberFormat="1" applyFont="1" applyBorder="1"/>
    <xf numFmtId="4" fontId="165" fillId="0" borderId="77" xfId="107" applyNumberFormat="1" applyFont="1" applyFill="1" applyBorder="1"/>
    <xf numFmtId="0" fontId="59" fillId="0" borderId="0" xfId="107" applyFont="1" applyFill="1"/>
    <xf numFmtId="0" fontId="141" fillId="0" borderId="0" xfId="108" applyFill="1"/>
    <xf numFmtId="3" fontId="192" fillId="0" borderId="81" xfId="107" applyNumberFormat="1" applyFont="1" applyBorder="1"/>
    <xf numFmtId="4" fontId="194" fillId="0" borderId="83" xfId="107" applyNumberFormat="1" applyFont="1" applyBorder="1" applyAlignment="1">
      <alignment horizontal="center"/>
    </xf>
    <xf numFmtId="4" fontId="192" fillId="0" borderId="100" xfId="107" applyNumberFormat="1" applyFont="1" applyBorder="1"/>
    <xf numFmtId="3" fontId="192" fillId="0" borderId="100" xfId="107" applyNumberFormat="1" applyFont="1" applyBorder="1"/>
    <xf numFmtId="4" fontId="192" fillId="0" borderId="88" xfId="107" applyNumberFormat="1" applyFont="1" applyBorder="1"/>
    <xf numFmtId="3" fontId="195" fillId="0" borderId="76" xfId="0" applyNumberFormat="1" applyFont="1" applyFill="1" applyBorder="1" applyAlignment="1">
      <alignment horizontal="left"/>
    </xf>
    <xf numFmtId="4" fontId="192" fillId="0" borderId="81" xfId="107" applyNumberFormat="1" applyFont="1" applyBorder="1"/>
    <xf numFmtId="4" fontId="192" fillId="0" borderId="53" xfId="107" applyNumberFormat="1" applyFont="1" applyBorder="1"/>
    <xf numFmtId="3" fontId="195" fillId="0" borderId="75" xfId="0" applyNumberFormat="1" applyFont="1" applyFill="1" applyBorder="1" applyAlignment="1">
      <alignment horizontal="left" wrapText="1"/>
    </xf>
    <xf numFmtId="3" fontId="195" fillId="0" borderId="75" xfId="0" applyNumberFormat="1" applyFont="1" applyFill="1" applyBorder="1" applyAlignment="1">
      <alignment horizontal="left"/>
    </xf>
    <xf numFmtId="4" fontId="192" fillId="0" borderId="115" xfId="107" applyNumberFormat="1" applyFont="1" applyBorder="1"/>
    <xf numFmtId="0" fontId="195" fillId="0" borderId="78" xfId="0" applyFont="1" applyBorder="1" applyAlignment="1">
      <alignment horizontal="left"/>
    </xf>
    <xf numFmtId="4" fontId="192" fillId="0" borderId="84" xfId="107" applyNumberFormat="1" applyFont="1" applyBorder="1"/>
    <xf numFmtId="3" fontId="192" fillId="0" borderId="84" xfId="107" applyNumberFormat="1" applyFont="1" applyBorder="1"/>
    <xf numFmtId="4" fontId="165" fillId="0" borderId="70" xfId="107" applyNumberFormat="1" applyFont="1" applyBorder="1"/>
    <xf numFmtId="4" fontId="165" fillId="0" borderId="70" xfId="107" applyNumberFormat="1" applyFont="1" applyBorder="1" applyAlignment="1">
      <alignment horizontal="left"/>
    </xf>
    <xf numFmtId="49" fontId="196" fillId="0" borderId="0" xfId="107" applyNumberFormat="1" applyFont="1"/>
    <xf numFmtId="4" fontId="197" fillId="0" borderId="0" xfId="107" applyNumberFormat="1" applyFont="1"/>
    <xf numFmtId="3" fontId="198" fillId="0" borderId="0" xfId="107" applyNumberFormat="1" applyFont="1" applyBorder="1"/>
    <xf numFmtId="0" fontId="197" fillId="0" borderId="0" xfId="107" applyFont="1"/>
    <xf numFmtId="0" fontId="199" fillId="0" borderId="0" xfId="108" applyFont="1"/>
    <xf numFmtId="49" fontId="165" fillId="0" borderId="0" xfId="107" applyNumberFormat="1" applyFont="1"/>
    <xf numFmtId="4" fontId="197" fillId="0" borderId="0" xfId="107" applyNumberFormat="1" applyFont="1" applyFill="1"/>
    <xf numFmtId="0" fontId="72" fillId="0" borderId="0" xfId="108" applyFont="1"/>
    <xf numFmtId="0" fontId="196" fillId="0" borderId="0" xfId="107" applyFont="1"/>
    <xf numFmtId="4" fontId="200" fillId="0" borderId="0" xfId="107" applyNumberFormat="1" applyFont="1" applyBorder="1"/>
    <xf numFmtId="0" fontId="201" fillId="0" borderId="0" xfId="107" applyFont="1"/>
    <xf numFmtId="0" fontId="197" fillId="0" borderId="0" xfId="107" applyFont="1" applyFill="1"/>
    <xf numFmtId="3" fontId="197" fillId="0" borderId="0" xfId="107" applyNumberFormat="1" applyFont="1" applyFill="1"/>
    <xf numFmtId="0" fontId="167" fillId="0" borderId="0" xfId="107" applyFont="1"/>
    <xf numFmtId="0" fontId="202" fillId="0" borderId="0" xfId="107" applyFont="1"/>
    <xf numFmtId="0" fontId="196" fillId="0" borderId="0" xfId="107" applyFont="1" applyAlignment="1">
      <alignment horizontal="left"/>
    </xf>
    <xf numFmtId="49" fontId="197" fillId="0" borderId="0" xfId="107" applyNumberFormat="1" applyFont="1"/>
    <xf numFmtId="49" fontId="59" fillId="0" borderId="0" xfId="107" applyNumberFormat="1" applyFont="1" applyFill="1"/>
    <xf numFmtId="4" fontId="200" fillId="0" borderId="0" xfId="107" applyNumberFormat="1" applyFont="1" applyFill="1" applyBorder="1"/>
    <xf numFmtId="49" fontId="197" fillId="0" borderId="0" xfId="107" applyNumberFormat="1" applyFont="1" applyFill="1"/>
    <xf numFmtId="3" fontId="203" fillId="0" borderId="0" xfId="76" applyNumberFormat="1" applyFont="1" applyFill="1"/>
    <xf numFmtId="3" fontId="203" fillId="0" borderId="0" xfId="76" applyNumberFormat="1" applyFont="1" applyFill="1" applyBorder="1" applyAlignment="1">
      <alignment horizontal="right"/>
    </xf>
    <xf numFmtId="3" fontId="204" fillId="0" borderId="0" xfId="76" applyNumberFormat="1" applyFont="1" applyFill="1"/>
    <xf numFmtId="3" fontId="203" fillId="0" borderId="0" xfId="76" applyNumberFormat="1" applyFont="1" applyFill="1" applyBorder="1" applyAlignment="1">
      <alignment horizontal="center"/>
    </xf>
    <xf numFmtId="3" fontId="203" fillId="0" borderId="0" xfId="76" applyNumberFormat="1" applyFont="1" applyFill="1" applyBorder="1"/>
    <xf numFmtId="3" fontId="205" fillId="0" borderId="23" xfId="76" applyNumberFormat="1" applyFont="1" applyFill="1" applyBorder="1" applyAlignment="1">
      <alignment horizontal="center"/>
    </xf>
    <xf numFmtId="3" fontId="205" fillId="0" borderId="0" xfId="76" applyNumberFormat="1" applyFont="1" applyFill="1" applyBorder="1" applyAlignment="1">
      <alignment horizontal="center"/>
    </xf>
    <xf numFmtId="3" fontId="205" fillId="0" borderId="18" xfId="76" applyNumberFormat="1" applyFont="1" applyFill="1" applyBorder="1" applyAlignment="1">
      <alignment horizontal="center" vertical="center"/>
    </xf>
    <xf numFmtId="3" fontId="206" fillId="0" borderId="0" xfId="76" applyNumberFormat="1" applyFont="1" applyFill="1" applyBorder="1" applyAlignment="1">
      <alignment horizontal="justify"/>
    </xf>
    <xf numFmtId="3" fontId="205" fillId="0" borderId="0" xfId="76" applyNumberFormat="1" applyFont="1" applyFill="1" applyBorder="1" applyAlignment="1">
      <alignment horizontal="justify"/>
    </xf>
    <xf numFmtId="3" fontId="205" fillId="0" borderId="70" xfId="76" applyNumberFormat="1" applyFont="1" applyFill="1" applyBorder="1" applyAlignment="1">
      <alignment horizontal="center" vertical="center"/>
    </xf>
    <xf numFmtId="3" fontId="205" fillId="0" borderId="70" xfId="76" applyNumberFormat="1" applyFont="1" applyFill="1" applyBorder="1" applyAlignment="1">
      <alignment horizontal="center" vertical="center" wrapText="1"/>
    </xf>
    <xf numFmtId="3" fontId="205" fillId="0" borderId="83" xfId="76" applyNumberFormat="1" applyFont="1" applyFill="1" applyBorder="1" applyAlignment="1">
      <alignment horizontal="center" vertical="center"/>
    </xf>
    <xf numFmtId="3" fontId="205" fillId="0" borderId="83" xfId="76" applyNumberFormat="1" applyFont="1" applyFill="1" applyBorder="1" applyAlignment="1">
      <alignment horizontal="right"/>
    </xf>
    <xf numFmtId="3" fontId="205" fillId="0" borderId="83" xfId="76" applyNumberFormat="1" applyFont="1" applyFill="1" applyBorder="1" applyAlignment="1">
      <alignment horizontal="center"/>
    </xf>
    <xf numFmtId="3" fontId="205" fillId="0" borderId="0" xfId="76" applyNumberFormat="1" applyFont="1" applyFill="1" applyBorder="1"/>
    <xf numFmtId="3" fontId="203" fillId="0" borderId="115" xfId="76" applyNumberFormat="1" applyFont="1" applyFill="1" applyBorder="1" applyAlignment="1">
      <alignment horizontal="left"/>
    </xf>
    <xf numFmtId="3" fontId="203" fillId="0" borderId="115" xfId="76" applyNumberFormat="1" applyFont="1" applyFill="1" applyBorder="1" applyAlignment="1">
      <alignment horizontal="right"/>
    </xf>
    <xf numFmtId="10" fontId="203" fillId="0" borderId="115" xfId="76" applyNumberFormat="1" applyFont="1" applyFill="1" applyBorder="1" applyAlignment="1">
      <alignment horizontal="right"/>
    </xf>
    <xf numFmtId="3" fontId="203" fillId="0" borderId="70" xfId="76" applyNumberFormat="1" applyFont="1" applyBorder="1" applyAlignment="1" applyProtection="1">
      <alignment horizontal="left"/>
    </xf>
    <xf numFmtId="3" fontId="203" fillId="0" borderId="69" xfId="76" applyNumberFormat="1" applyFont="1" applyFill="1" applyBorder="1" applyAlignment="1">
      <alignment horizontal="right"/>
    </xf>
    <xf numFmtId="10" fontId="203" fillId="0" borderId="69" xfId="76" applyNumberFormat="1" applyFont="1" applyFill="1" applyBorder="1" applyAlignment="1">
      <alignment horizontal="right"/>
    </xf>
    <xf numFmtId="10" fontId="203" fillId="0" borderId="76" xfId="76" applyNumberFormat="1" applyFont="1" applyFill="1" applyBorder="1" applyAlignment="1">
      <alignment horizontal="right"/>
    </xf>
    <xf numFmtId="3" fontId="203" fillId="0" borderId="17" xfId="76" applyNumberFormat="1" applyFont="1" applyFill="1" applyBorder="1" applyAlignment="1" applyProtection="1">
      <alignment horizontal="left"/>
    </xf>
    <xf numFmtId="3" fontId="203" fillId="0" borderId="77" xfId="76" applyNumberFormat="1" applyFont="1" applyFill="1" applyBorder="1" applyAlignment="1">
      <alignment horizontal="right"/>
    </xf>
    <xf numFmtId="10" fontId="203" fillId="0" borderId="77" xfId="76" applyNumberFormat="1" applyFont="1" applyFill="1" applyBorder="1" applyAlignment="1">
      <alignment horizontal="right"/>
    </xf>
    <xf numFmtId="10" fontId="203" fillId="0" borderId="70" xfId="76" applyNumberFormat="1" applyFont="1" applyFill="1" applyBorder="1" applyAlignment="1">
      <alignment horizontal="right"/>
    </xf>
    <xf numFmtId="3" fontId="203" fillId="0" borderId="69" xfId="76" applyNumberFormat="1" applyFont="1" applyFill="1" applyBorder="1" applyAlignment="1" applyProtection="1">
      <alignment horizontal="center" vertical="center"/>
    </xf>
    <xf numFmtId="3" fontId="207" fillId="0" borderId="69" xfId="76" applyNumberFormat="1" applyFont="1" applyFill="1" applyBorder="1" applyAlignment="1" applyProtection="1">
      <alignment horizontal="center"/>
    </xf>
    <xf numFmtId="3" fontId="203" fillId="0" borderId="75" xfId="76" applyNumberFormat="1" applyFont="1" applyFill="1" applyBorder="1" applyProtection="1"/>
    <xf numFmtId="3" fontId="203" fillId="0" borderId="78" xfId="76" applyNumberFormat="1" applyFont="1" applyFill="1" applyBorder="1" applyAlignment="1">
      <alignment horizontal="left"/>
    </xf>
    <xf numFmtId="3" fontId="203" fillId="0" borderId="78" xfId="76" applyNumberFormat="1" applyFont="1" applyFill="1" applyBorder="1" applyAlignment="1">
      <alignment horizontal="right"/>
    </xf>
    <xf numFmtId="10" fontId="203" fillId="30" borderId="115" xfId="76" applyNumberFormat="1" applyFont="1" applyFill="1" applyBorder="1" applyAlignment="1">
      <alignment horizontal="right"/>
    </xf>
    <xf numFmtId="10" fontId="203" fillId="0" borderId="78" xfId="76" applyNumberFormat="1" applyFont="1" applyFill="1" applyBorder="1" applyAlignment="1">
      <alignment horizontal="right"/>
    </xf>
    <xf numFmtId="3" fontId="203" fillId="0" borderId="89" xfId="76" applyNumberFormat="1" applyFont="1" applyFill="1" applyBorder="1" applyAlignment="1">
      <alignment horizontal="left"/>
    </xf>
    <xf numFmtId="3" fontId="208" fillId="0" borderId="78" xfId="76" applyNumberFormat="1" applyFont="1" applyFill="1" applyBorder="1" applyAlignment="1">
      <alignment horizontal="right"/>
    </xf>
    <xf numFmtId="3" fontId="203" fillId="0" borderId="89" xfId="76" applyNumberFormat="1" applyFont="1" applyFill="1" applyBorder="1" applyAlignment="1">
      <alignment horizontal="right"/>
    </xf>
    <xf numFmtId="3" fontId="203" fillId="0" borderId="77" xfId="76" applyNumberFormat="1" applyFont="1" applyFill="1" applyBorder="1" applyAlignment="1" applyProtection="1">
      <alignment horizontal="left"/>
    </xf>
    <xf numFmtId="3" fontId="207" fillId="0" borderId="83" xfId="76" applyNumberFormat="1" applyFont="1" applyFill="1" applyBorder="1" applyAlignment="1" applyProtection="1">
      <alignment horizontal="center"/>
    </xf>
    <xf numFmtId="3" fontId="203" fillId="0" borderId="83" xfId="76" applyNumberFormat="1" applyFont="1" applyFill="1" applyBorder="1" applyAlignment="1">
      <alignment horizontal="right"/>
    </xf>
    <xf numFmtId="3" fontId="203" fillId="0" borderId="69" xfId="76" applyNumberFormat="1" applyFont="1" applyFill="1" applyBorder="1" applyAlignment="1" applyProtection="1">
      <alignment horizontal="justify"/>
    </xf>
    <xf numFmtId="10" fontId="203" fillId="0" borderId="70" xfId="76" applyNumberFormat="1" applyFont="1" applyFill="1" applyBorder="1" applyAlignment="1"/>
    <xf numFmtId="3" fontId="203" fillId="0" borderId="0" xfId="76" applyNumberFormat="1" applyFont="1" applyFill="1" applyBorder="1" applyAlignment="1">
      <alignment horizontal="justify"/>
    </xf>
    <xf numFmtId="3" fontId="203" fillId="0" borderId="75" xfId="76" applyNumberFormat="1" applyFont="1" applyFill="1" applyBorder="1" applyAlignment="1" applyProtection="1">
      <alignment wrapText="1"/>
    </xf>
    <xf numFmtId="3" fontId="203" fillId="0" borderId="75" xfId="76" applyNumberFormat="1" applyFont="1" applyFill="1" applyBorder="1" applyAlignment="1">
      <alignment horizontal="right"/>
    </xf>
    <xf numFmtId="3" fontId="203" fillId="0" borderId="115" xfId="76" applyNumberFormat="1" applyFont="1" applyFill="1" applyBorder="1" applyAlignment="1" applyProtection="1">
      <alignment horizontal="justify"/>
    </xf>
    <xf numFmtId="3" fontId="203" fillId="0" borderId="139" xfId="76" applyNumberFormat="1" applyFont="1" applyFill="1" applyBorder="1" applyAlignment="1">
      <alignment horizontal="right"/>
    </xf>
    <xf numFmtId="3" fontId="203" fillId="0" borderId="115" xfId="76" applyNumberFormat="1" applyFont="1" applyFill="1" applyBorder="1" applyProtection="1"/>
    <xf numFmtId="3" fontId="203" fillId="0" borderId="78" xfId="76" applyNumberFormat="1" applyFont="1" applyFill="1" applyBorder="1" applyAlignment="1" applyProtection="1">
      <alignment horizontal="justify"/>
    </xf>
    <xf numFmtId="10" fontId="203" fillId="0" borderId="78" xfId="76" applyNumberFormat="1" applyFont="1" applyFill="1" applyBorder="1" applyAlignment="1"/>
    <xf numFmtId="3" fontId="203" fillId="0" borderId="70" xfId="76" applyNumberFormat="1" applyFont="1" applyFill="1" applyBorder="1" applyAlignment="1" applyProtection="1">
      <alignment horizontal="justify"/>
    </xf>
    <xf numFmtId="3" fontId="203" fillId="0" borderId="70" xfId="76" applyNumberFormat="1" applyFont="1" applyFill="1" applyBorder="1" applyAlignment="1">
      <alignment horizontal="right"/>
    </xf>
    <xf numFmtId="3" fontId="203" fillId="0" borderId="28" xfId="76" applyNumberFormat="1" applyFont="1" applyFill="1" applyBorder="1" applyAlignment="1">
      <alignment horizontal="right"/>
    </xf>
    <xf numFmtId="3" fontId="203" fillId="0" borderId="70" xfId="76" applyNumberFormat="1" applyFont="1" applyFill="1" applyBorder="1" applyAlignment="1" applyProtection="1">
      <alignment horizontal="left"/>
    </xf>
    <xf numFmtId="3" fontId="203" fillId="0" borderId="76" xfId="76" applyNumberFormat="1" applyFont="1" applyFill="1" applyBorder="1" applyAlignment="1">
      <alignment horizontal="right"/>
    </xf>
    <xf numFmtId="3" fontId="203" fillId="0" borderId="77" xfId="76" applyNumberFormat="1" applyFont="1" applyFill="1" applyBorder="1" applyAlignment="1" applyProtection="1">
      <alignment horizontal="left" vertical="center"/>
    </xf>
    <xf numFmtId="0" fontId="203" fillId="0" borderId="0" xfId="76" applyFont="1" applyBorder="1" applyAlignment="1">
      <alignment horizontal="left"/>
    </xf>
    <xf numFmtId="3" fontId="209" fillId="0" borderId="0" xfId="76" applyNumberFormat="1" applyFont="1" applyFill="1" applyBorder="1" applyAlignment="1">
      <alignment horizontal="right"/>
    </xf>
    <xf numFmtId="0" fontId="204" fillId="0" borderId="0" xfId="76" applyFont="1" applyBorder="1" applyAlignment="1">
      <alignment horizontal="left"/>
    </xf>
    <xf numFmtId="3" fontId="209" fillId="0" borderId="0" xfId="76" applyNumberFormat="1" applyFont="1" applyFill="1" applyBorder="1" applyAlignment="1">
      <alignment horizontal="center"/>
    </xf>
    <xf numFmtId="3" fontId="209" fillId="0" borderId="0" xfId="76" applyNumberFormat="1" applyFont="1" applyFill="1" applyBorder="1"/>
    <xf numFmtId="3" fontId="210" fillId="0" borderId="0" xfId="76" applyNumberFormat="1" applyFont="1" applyFill="1" applyBorder="1"/>
    <xf numFmtId="0" fontId="210" fillId="0" borderId="0" xfId="76" applyFont="1" applyBorder="1" applyProtection="1"/>
    <xf numFmtId="0" fontId="209" fillId="0" borderId="0" xfId="76" applyFont="1" applyBorder="1" applyProtection="1"/>
    <xf numFmtId="3" fontId="209" fillId="0" borderId="0" xfId="76" applyNumberFormat="1" applyFont="1" applyBorder="1" applyProtection="1"/>
    <xf numFmtId="0" fontId="203" fillId="0" borderId="0" xfId="76" applyFont="1"/>
    <xf numFmtId="3" fontId="204" fillId="0" borderId="0" xfId="76" applyNumberFormat="1" applyFont="1" applyFill="1" applyBorder="1" applyAlignment="1">
      <alignment horizontal="right"/>
    </xf>
    <xf numFmtId="0" fontId="204" fillId="0" borderId="0" xfId="76" applyFont="1"/>
    <xf numFmtId="3" fontId="204" fillId="0" borderId="0" xfId="76" applyNumberFormat="1" applyFont="1" applyFill="1" applyBorder="1" applyAlignment="1">
      <alignment horizontal="center"/>
    </xf>
    <xf numFmtId="3" fontId="59" fillId="0" borderId="0" xfId="76" applyNumberFormat="1" applyFont="1" applyFill="1"/>
    <xf numFmtId="3" fontId="7" fillId="0" borderId="0" xfId="76" applyNumberFormat="1" applyFont="1" applyFill="1" applyBorder="1" applyAlignment="1">
      <alignment horizontal="right"/>
    </xf>
    <xf numFmtId="3" fontId="77" fillId="0" borderId="0" xfId="76" applyNumberFormat="1" applyFont="1" applyFill="1" applyAlignment="1">
      <alignment horizontal="left"/>
    </xf>
    <xf numFmtId="3" fontId="73" fillId="0" borderId="0" xfId="76" applyNumberFormat="1" applyFont="1" applyFill="1"/>
    <xf numFmtId="3" fontId="7" fillId="0" borderId="0" xfId="76" applyNumberFormat="1" applyFont="1" applyFill="1" applyBorder="1"/>
    <xf numFmtId="3" fontId="204" fillId="0" borderId="23" xfId="76" applyNumberFormat="1" applyFont="1" applyFill="1" applyBorder="1" applyAlignment="1">
      <alignment horizontal="center"/>
    </xf>
    <xf numFmtId="3" fontId="77" fillId="0" borderId="23" xfId="76" applyNumberFormat="1" applyFont="1" applyFill="1" applyBorder="1" applyAlignment="1">
      <alignment horizontal="left"/>
    </xf>
    <xf numFmtId="3" fontId="212" fillId="0" borderId="53" xfId="76" applyNumberFormat="1" applyFont="1" applyFill="1" applyBorder="1" applyAlignment="1">
      <alignment horizontal="center" vertical="center"/>
    </xf>
    <xf numFmtId="3" fontId="18" fillId="0" borderId="0" xfId="76" applyNumberFormat="1" applyFont="1" applyFill="1" applyBorder="1" applyAlignment="1">
      <alignment horizontal="center"/>
    </xf>
    <xf numFmtId="3" fontId="204" fillId="0" borderId="18" xfId="76" applyNumberFormat="1" applyFont="1" applyFill="1" applyBorder="1" applyAlignment="1">
      <alignment horizontal="center"/>
    </xf>
    <xf numFmtId="3" fontId="77" fillId="0" borderId="18" xfId="76" applyNumberFormat="1" applyFont="1" applyFill="1" applyBorder="1" applyAlignment="1">
      <alignment horizontal="left"/>
    </xf>
    <xf numFmtId="3" fontId="212" fillId="0" borderId="86" xfId="76" applyNumberFormat="1" applyFont="1" applyFill="1" applyBorder="1" applyAlignment="1">
      <alignment horizontal="center" vertical="center"/>
    </xf>
    <xf numFmtId="3" fontId="204" fillId="0" borderId="18" xfId="76" applyNumberFormat="1" applyFont="1" applyFill="1" applyBorder="1" applyAlignment="1">
      <alignment horizontal="center" vertical="center"/>
    </xf>
    <xf numFmtId="3" fontId="18" fillId="0" borderId="0" xfId="76" applyNumberFormat="1" applyFont="1" applyFill="1" applyBorder="1" applyAlignment="1">
      <alignment horizontal="justify"/>
    </xf>
    <xf numFmtId="3" fontId="204" fillId="0" borderId="19" xfId="76" applyNumberFormat="1" applyFont="1" applyFill="1" applyBorder="1" applyAlignment="1">
      <alignment horizontal="center" vertical="center"/>
    </xf>
    <xf numFmtId="3" fontId="213" fillId="0" borderId="70" xfId="76" applyNumberFormat="1" applyFont="1" applyFill="1" applyBorder="1" applyAlignment="1">
      <alignment horizontal="center" vertical="center" wrapText="1"/>
    </xf>
    <xf numFmtId="3" fontId="204" fillId="0" borderId="77" xfId="76" applyNumberFormat="1" applyFont="1" applyFill="1" applyBorder="1" applyAlignment="1">
      <alignment horizontal="center"/>
    </xf>
    <xf numFmtId="3" fontId="204" fillId="0" borderId="0" xfId="76" applyNumberFormat="1" applyFont="1" applyFill="1" applyBorder="1" applyAlignment="1">
      <alignment horizontal="justify"/>
    </xf>
    <xf numFmtId="3" fontId="204" fillId="0" borderId="83" xfId="76" applyNumberFormat="1" applyFont="1" applyFill="1" applyBorder="1" applyAlignment="1">
      <alignment horizontal="center" vertical="center"/>
    </xf>
    <xf numFmtId="3" fontId="204" fillId="0" borderId="83" xfId="76" applyNumberFormat="1" applyFont="1" applyFill="1" applyBorder="1" applyAlignment="1">
      <alignment horizontal="right"/>
    </xf>
    <xf numFmtId="3" fontId="18" fillId="0" borderId="0" xfId="76" applyNumberFormat="1" applyFont="1" applyFill="1" applyBorder="1"/>
    <xf numFmtId="3" fontId="204" fillId="0" borderId="115" xfId="76" applyNumberFormat="1" applyFont="1" applyFill="1" applyBorder="1" applyAlignment="1">
      <alignment horizontal="left"/>
    </xf>
    <xf numFmtId="3" fontId="204" fillId="0" borderId="115" xfId="76" applyNumberFormat="1" applyFont="1" applyFill="1" applyBorder="1" applyAlignment="1">
      <alignment horizontal="right"/>
    </xf>
    <xf numFmtId="10" fontId="204" fillId="0" borderId="115" xfId="76" applyNumberFormat="1" applyFont="1" applyFill="1" applyBorder="1" applyAlignment="1">
      <alignment horizontal="right"/>
    </xf>
    <xf numFmtId="3" fontId="214" fillId="0" borderId="115" xfId="76" applyNumberFormat="1" applyFont="1" applyFill="1" applyBorder="1" applyAlignment="1">
      <alignment horizontal="right"/>
    </xf>
    <xf numFmtId="3" fontId="204" fillId="0" borderId="70" xfId="76" applyNumberFormat="1" applyFont="1" applyBorder="1" applyAlignment="1" applyProtection="1">
      <alignment horizontal="left"/>
    </xf>
    <xf numFmtId="3" fontId="204" fillId="0" borderId="69" xfId="76" applyNumberFormat="1" applyFont="1" applyFill="1" applyBorder="1" applyAlignment="1">
      <alignment horizontal="right"/>
    </xf>
    <xf numFmtId="10" fontId="204" fillId="0" borderId="69" xfId="76" applyNumberFormat="1" applyFont="1" applyFill="1" applyBorder="1" applyAlignment="1">
      <alignment horizontal="right"/>
    </xf>
    <xf numFmtId="3" fontId="204" fillId="0" borderId="17" xfId="76" applyNumberFormat="1" applyFont="1" applyFill="1" applyBorder="1" applyAlignment="1" applyProtection="1">
      <alignment horizontal="left"/>
    </xf>
    <xf numFmtId="3" fontId="204" fillId="0" borderId="77" xfId="76" applyNumberFormat="1" applyFont="1" applyFill="1" applyBorder="1" applyAlignment="1">
      <alignment horizontal="right"/>
    </xf>
    <xf numFmtId="10" fontId="204" fillId="0" borderId="77" xfId="76" applyNumberFormat="1" applyFont="1" applyFill="1" applyBorder="1" applyAlignment="1">
      <alignment horizontal="right"/>
    </xf>
    <xf numFmtId="10" fontId="204" fillId="0" borderId="70" xfId="76" applyNumberFormat="1" applyFont="1" applyFill="1" applyBorder="1" applyAlignment="1">
      <alignment horizontal="right"/>
    </xf>
    <xf numFmtId="3" fontId="204" fillId="0" borderId="69" xfId="76" applyNumberFormat="1" applyFont="1" applyFill="1" applyBorder="1" applyAlignment="1" applyProtection="1">
      <alignment horizontal="center" vertical="center"/>
    </xf>
    <xf numFmtId="3" fontId="215" fillId="0" borderId="69" xfId="76" applyNumberFormat="1" applyFont="1" applyFill="1" applyBorder="1" applyAlignment="1" applyProtection="1">
      <alignment horizontal="center"/>
    </xf>
    <xf numFmtId="3" fontId="204" fillId="0" borderId="75" xfId="76" applyNumberFormat="1" applyFont="1" applyFill="1" applyBorder="1" applyProtection="1"/>
    <xf numFmtId="3" fontId="214" fillId="0" borderId="69" xfId="76" applyNumberFormat="1" applyFont="1" applyFill="1" applyBorder="1" applyAlignment="1">
      <alignment horizontal="right"/>
    </xf>
    <xf numFmtId="3" fontId="204" fillId="0" borderId="78" xfId="76" applyNumberFormat="1" applyFont="1" applyFill="1" applyBorder="1" applyAlignment="1">
      <alignment horizontal="left"/>
    </xf>
    <xf numFmtId="3" fontId="204" fillId="0" borderId="78" xfId="76" applyNumberFormat="1" applyFont="1" applyFill="1" applyBorder="1" applyAlignment="1">
      <alignment horizontal="right"/>
    </xf>
    <xf numFmtId="3" fontId="204" fillId="0" borderId="89" xfId="76" applyNumberFormat="1" applyFont="1" applyFill="1" applyBorder="1" applyAlignment="1">
      <alignment horizontal="left"/>
    </xf>
    <xf numFmtId="3" fontId="204" fillId="0" borderId="77" xfId="76" applyNumberFormat="1" applyFont="1" applyFill="1" applyBorder="1" applyAlignment="1" applyProtection="1">
      <alignment horizontal="left"/>
    </xf>
    <xf numFmtId="3" fontId="215" fillId="0" borderId="83" xfId="76" applyNumberFormat="1" applyFont="1" applyFill="1" applyBorder="1" applyAlignment="1" applyProtection="1">
      <alignment horizontal="center"/>
    </xf>
    <xf numFmtId="3" fontId="204" fillId="0" borderId="69" xfId="76" applyNumberFormat="1" applyFont="1" applyFill="1" applyBorder="1" applyAlignment="1" applyProtection="1">
      <alignment horizontal="justify"/>
    </xf>
    <xf numFmtId="3" fontId="204" fillId="0" borderId="75" xfId="76" applyNumberFormat="1" applyFont="1" applyFill="1" applyBorder="1" applyAlignment="1">
      <alignment horizontal="right"/>
    </xf>
    <xf numFmtId="3" fontId="214" fillId="0" borderId="75" xfId="76" applyNumberFormat="1" applyFont="1" applyFill="1" applyBorder="1" applyAlignment="1">
      <alignment horizontal="right"/>
    </xf>
    <xf numFmtId="3" fontId="204" fillId="0" borderId="115" xfId="76" applyNumberFormat="1" applyFont="1" applyFill="1" applyBorder="1" applyAlignment="1" applyProtection="1">
      <alignment horizontal="justify"/>
    </xf>
    <xf numFmtId="3" fontId="204" fillId="0" borderId="115" xfId="76" applyNumberFormat="1" applyFont="1" applyFill="1" applyBorder="1" applyProtection="1"/>
    <xf numFmtId="3" fontId="204" fillId="0" borderId="78" xfId="76" applyNumberFormat="1" applyFont="1" applyFill="1" applyBorder="1" applyAlignment="1" applyProtection="1">
      <alignment horizontal="justify"/>
    </xf>
    <xf numFmtId="3" fontId="204" fillId="0" borderId="78" xfId="76" applyNumberFormat="1" applyFont="1" applyFill="1" applyBorder="1" applyAlignment="1" applyProtection="1">
      <alignment horizontal="right"/>
    </xf>
    <xf numFmtId="10" fontId="204" fillId="0" borderId="78" xfId="76" applyNumberFormat="1" applyFont="1" applyFill="1" applyBorder="1" applyAlignment="1">
      <alignment horizontal="right"/>
    </xf>
    <xf numFmtId="3" fontId="204" fillId="0" borderId="76" xfId="76" applyNumberFormat="1" applyFont="1" applyFill="1" applyBorder="1" applyAlignment="1" applyProtection="1">
      <alignment horizontal="justify"/>
    </xf>
    <xf numFmtId="3" fontId="204" fillId="0" borderId="76" xfId="76" applyNumberFormat="1" applyFont="1" applyFill="1" applyBorder="1" applyAlignment="1" applyProtection="1">
      <alignment horizontal="right"/>
    </xf>
    <xf numFmtId="10" fontId="204" fillId="0" borderId="76" xfId="76" applyNumberFormat="1" applyFont="1" applyFill="1" applyBorder="1" applyAlignment="1">
      <alignment horizontal="right"/>
    </xf>
    <xf numFmtId="3" fontId="204" fillId="0" borderId="115" xfId="76" applyNumberFormat="1" applyFont="1" applyFill="1" applyBorder="1" applyAlignment="1" applyProtection="1">
      <alignment horizontal="right"/>
    </xf>
    <xf numFmtId="3" fontId="204" fillId="0" borderId="70" xfId="76" applyNumberFormat="1" applyFont="1" applyFill="1" applyBorder="1" applyAlignment="1" applyProtection="1">
      <alignment horizontal="left"/>
    </xf>
    <xf numFmtId="3" fontId="204" fillId="0" borderId="70" xfId="76" applyNumberFormat="1" applyFont="1" applyFill="1" applyBorder="1" applyAlignment="1">
      <alignment horizontal="right"/>
    </xf>
    <xf numFmtId="3" fontId="204" fillId="0" borderId="76" xfId="76" applyNumberFormat="1" applyFont="1" applyFill="1" applyBorder="1" applyAlignment="1">
      <alignment horizontal="right"/>
    </xf>
    <xf numFmtId="3" fontId="204" fillId="0" borderId="77" xfId="76" applyNumberFormat="1" applyFont="1" applyFill="1" applyBorder="1" applyAlignment="1" applyProtection="1">
      <alignment horizontal="left" vertical="center"/>
    </xf>
    <xf numFmtId="0" fontId="73" fillId="0" borderId="0" xfId="76" applyFont="1" applyBorder="1" applyAlignment="1">
      <alignment horizontal="left"/>
    </xf>
    <xf numFmtId="3" fontId="9" fillId="0" borderId="0" xfId="76" applyNumberFormat="1" applyFont="1" applyFill="1" applyBorder="1" applyAlignment="1">
      <alignment horizontal="right"/>
    </xf>
    <xf numFmtId="3" fontId="216" fillId="0" borderId="0" xfId="76" applyNumberFormat="1" applyFont="1" applyFill="1" applyBorder="1" applyAlignment="1">
      <alignment horizontal="right"/>
    </xf>
    <xf numFmtId="0" fontId="77" fillId="0" borderId="0" xfId="76" applyFont="1" applyBorder="1" applyAlignment="1">
      <alignment horizontal="left"/>
    </xf>
    <xf numFmtId="0" fontId="217" fillId="0" borderId="0" xfId="76" applyFont="1" applyBorder="1" applyAlignment="1">
      <alignment horizontal="right"/>
    </xf>
    <xf numFmtId="3" fontId="73" fillId="0" borderId="0" xfId="76" applyNumberFormat="1" applyFont="1" applyBorder="1" applyAlignment="1">
      <alignment horizontal="left"/>
    </xf>
    <xf numFmtId="3" fontId="9" fillId="0" borderId="0" xfId="76" applyNumberFormat="1" applyFont="1" applyFill="1" applyBorder="1"/>
    <xf numFmtId="0" fontId="218" fillId="0" borderId="0" xfId="76" applyFont="1" applyBorder="1" applyProtection="1"/>
    <xf numFmtId="3" fontId="218" fillId="0" borderId="0" xfId="76" applyNumberFormat="1" applyFont="1" applyFill="1" applyBorder="1" applyAlignment="1">
      <alignment horizontal="right"/>
    </xf>
    <xf numFmtId="0" fontId="218" fillId="0" borderId="0" xfId="76" applyFont="1" applyBorder="1" applyAlignment="1" applyProtection="1">
      <alignment horizontal="left"/>
    </xf>
    <xf numFmtId="3" fontId="218" fillId="0" borderId="0" xfId="76" applyNumberFormat="1" applyFont="1" applyBorder="1" applyProtection="1"/>
    <xf numFmtId="3" fontId="218" fillId="0" borderId="77" xfId="76" applyNumberFormat="1" applyFont="1" applyBorder="1" applyProtection="1"/>
    <xf numFmtId="3" fontId="218" fillId="0" borderId="0" xfId="76" applyNumberFormat="1" applyFont="1" applyFill="1" applyBorder="1"/>
    <xf numFmtId="0" fontId="218" fillId="0" borderId="0" xfId="76" applyFont="1"/>
    <xf numFmtId="0" fontId="219" fillId="0" borderId="0" xfId="76" applyFont="1"/>
    <xf numFmtId="0" fontId="220" fillId="0" borderId="0" xfId="76" applyFont="1" applyAlignment="1">
      <alignment horizontal="left"/>
    </xf>
    <xf numFmtId="3" fontId="219" fillId="0" borderId="0" xfId="76" applyNumberFormat="1" applyFont="1"/>
    <xf numFmtId="4" fontId="63" fillId="0" borderId="71" xfId="0" applyNumberFormat="1" applyFont="1" applyFill="1" applyBorder="1" applyAlignment="1">
      <alignment horizontal="right"/>
    </xf>
    <xf numFmtId="4" fontId="63" fillId="0" borderId="81" xfId="0" applyNumberFormat="1" applyFont="1" applyFill="1" applyBorder="1" applyAlignment="1">
      <alignment horizontal="right"/>
    </xf>
    <xf numFmtId="0" fontId="73" fillId="0" borderId="93" xfId="0" applyFont="1" applyFill="1" applyBorder="1"/>
    <xf numFmtId="0" fontId="59" fillId="0" borderId="93" xfId="0" applyFont="1" applyFill="1" applyBorder="1"/>
    <xf numFmtId="0" fontId="59" fillId="0" borderId="24" xfId="0" applyFont="1" applyFill="1" applyBorder="1"/>
    <xf numFmtId="0" fontId="59" fillId="28" borderId="86" xfId="0" applyFont="1" applyFill="1" applyBorder="1" applyAlignment="1">
      <alignment horizontal="center"/>
    </xf>
    <xf numFmtId="3" fontId="59" fillId="0" borderId="53" xfId="0" applyNumberFormat="1" applyFont="1" applyFill="1" applyBorder="1"/>
    <xf numFmtId="4" fontId="101" fillId="0" borderId="20" xfId="0" applyNumberFormat="1" applyFont="1" applyFill="1" applyBorder="1"/>
    <xf numFmtId="3" fontId="112" fillId="0" borderId="36" xfId="0" applyNumberFormat="1" applyFont="1" applyFill="1" applyBorder="1"/>
    <xf numFmtId="0" fontId="172" fillId="0" borderId="83" xfId="101" applyFont="1" applyFill="1" applyBorder="1" applyAlignment="1" applyProtection="1"/>
    <xf numFmtId="0" fontId="172" fillId="0" borderId="69" xfId="101" applyFont="1" applyFill="1" applyBorder="1" applyAlignment="1" applyProtection="1"/>
    <xf numFmtId="2" fontId="115" fillId="0" borderId="68" xfId="0" applyNumberFormat="1" applyFont="1" applyFill="1" applyBorder="1"/>
    <xf numFmtId="4" fontId="109" fillId="0" borderId="115" xfId="77" applyNumberFormat="1" applyFont="1" applyFill="1" applyBorder="1" applyAlignment="1">
      <alignment horizontal="right"/>
    </xf>
    <xf numFmtId="4" fontId="103" fillId="0" borderId="126" xfId="77" applyNumberFormat="1" applyFont="1" applyFill="1" applyBorder="1" applyAlignment="1">
      <alignment horizontal="right"/>
    </xf>
    <xf numFmtId="0" fontId="109" fillId="0" borderId="0" xfId="77" applyFont="1" applyFill="1" applyBorder="1" applyAlignment="1">
      <alignment horizontal="left"/>
    </xf>
    <xf numFmtId="3" fontId="106" fillId="0" borderId="69" xfId="0" applyNumberFormat="1" applyFont="1" applyFill="1" applyBorder="1" applyAlignment="1">
      <alignment horizontal="right"/>
    </xf>
    <xf numFmtId="3" fontId="105" fillId="0" borderId="69" xfId="0" applyNumberFormat="1" applyFont="1" applyFill="1" applyBorder="1" applyAlignment="1">
      <alignment horizontal="right"/>
    </xf>
    <xf numFmtId="3" fontId="105" fillId="0" borderId="75" xfId="0" applyNumberFormat="1" applyFont="1" applyFill="1" applyBorder="1" applyAlignment="1">
      <alignment horizontal="right"/>
    </xf>
    <xf numFmtId="4" fontId="102" fillId="0" borderId="115" xfId="77" applyNumberFormat="1" applyFont="1" applyFill="1" applyBorder="1" applyAlignment="1">
      <alignment horizontal="right"/>
    </xf>
    <xf numFmtId="0" fontId="109" fillId="0" borderId="112" xfId="77" applyFont="1" applyFill="1" applyBorder="1" applyAlignment="1">
      <alignment horizontal="left"/>
    </xf>
    <xf numFmtId="3" fontId="106" fillId="0" borderId="126" xfId="0" applyNumberFormat="1" applyFont="1" applyFill="1" applyBorder="1" applyAlignment="1">
      <alignment horizontal="right"/>
    </xf>
    <xf numFmtId="4" fontId="102" fillId="0" borderId="126" xfId="77" applyNumberFormat="1" applyFont="1" applyFill="1" applyBorder="1" applyAlignment="1">
      <alignment horizontal="right"/>
    </xf>
    <xf numFmtId="0" fontId="178" fillId="0" borderId="19" xfId="98" applyFont="1" applyBorder="1" applyAlignment="1">
      <alignment horizontal="center" vertical="center"/>
    </xf>
    <xf numFmtId="9" fontId="74" fillId="0" borderId="70" xfId="99" applyNumberFormat="1" applyFont="1" applyBorder="1" applyAlignment="1">
      <alignment horizontal="center"/>
    </xf>
    <xf numFmtId="3" fontId="74" fillId="0" borderId="84" xfId="99" applyNumberFormat="1" applyFont="1" applyBorder="1" applyAlignment="1">
      <alignment horizontal="center"/>
    </xf>
    <xf numFmtId="0" fontId="178" fillId="0" borderId="23" xfId="98" applyFont="1" applyBorder="1" applyAlignment="1">
      <alignment horizontal="center" vertical="center"/>
    </xf>
    <xf numFmtId="9" fontId="74" fillId="0" borderId="83" xfId="99" applyNumberFormat="1" applyFont="1" applyBorder="1" applyAlignment="1">
      <alignment horizontal="center"/>
    </xf>
    <xf numFmtId="3" fontId="74" fillId="0" borderId="83" xfId="99" applyNumberFormat="1" applyFont="1" applyBorder="1" applyAlignment="1">
      <alignment horizontal="center"/>
    </xf>
    <xf numFmtId="0" fontId="180" fillId="0" borderId="18" xfId="101" applyFont="1" applyFill="1" applyBorder="1" applyAlignment="1">
      <alignment horizontal="center" vertical="center"/>
    </xf>
    <xf numFmtId="3" fontId="163" fillId="0" borderId="69" xfId="99" applyNumberFormat="1" applyFont="1" applyBorder="1" applyAlignment="1">
      <alignment horizontal="right"/>
    </xf>
    <xf numFmtId="3" fontId="179" fillId="0" borderId="70" xfId="99" applyNumberFormat="1" applyFont="1" applyFill="1" applyBorder="1" applyAlignment="1">
      <alignment horizontal="left" wrapText="1"/>
    </xf>
    <xf numFmtId="0" fontId="123" fillId="0" borderId="115" xfId="101" applyFont="1" applyFill="1" applyBorder="1" applyAlignment="1" applyProtection="1">
      <alignment horizontal="left"/>
    </xf>
    <xf numFmtId="0" fontId="123" fillId="0" borderId="78" xfId="101" applyFont="1" applyFill="1" applyBorder="1" applyAlignment="1" applyProtection="1">
      <alignment horizontal="left" wrapText="1"/>
    </xf>
    <xf numFmtId="0" fontId="123" fillId="0" borderId="70" xfId="101" applyFont="1" applyFill="1" applyBorder="1" applyAlignment="1" applyProtection="1">
      <alignment horizontal="left" wrapText="1"/>
    </xf>
    <xf numFmtId="0" fontId="123" fillId="0" borderId="76" xfId="101" applyFont="1" applyFill="1" applyBorder="1" applyAlignment="1" applyProtection="1">
      <alignment horizontal="left" wrapText="1"/>
    </xf>
    <xf numFmtId="0" fontId="123" fillId="0" borderId="77" xfId="101" applyFont="1" applyFill="1" applyBorder="1" applyAlignment="1" applyProtection="1">
      <alignment horizontal="left" wrapText="1"/>
    </xf>
    <xf numFmtId="0" fontId="123" fillId="0" borderId="135" xfId="101" applyFont="1" applyFill="1" applyBorder="1" applyAlignment="1" applyProtection="1">
      <alignment horizontal="left" wrapText="1"/>
    </xf>
    <xf numFmtId="0" fontId="123" fillId="0" borderId="135" xfId="101" applyFont="1" applyFill="1" applyBorder="1" applyAlignment="1" applyProtection="1">
      <alignment horizontal="left"/>
    </xf>
    <xf numFmtId="0" fontId="123" fillId="0" borderId="115" xfId="101" applyFont="1" applyFill="1" applyBorder="1" applyAlignment="1" applyProtection="1">
      <alignment horizontal="left" wrapText="1"/>
    </xf>
    <xf numFmtId="0" fontId="123" fillId="0" borderId="78" xfId="101" applyFont="1" applyFill="1" applyBorder="1" applyAlignment="1" applyProtection="1">
      <alignment horizontal="left"/>
    </xf>
    <xf numFmtId="3" fontId="221" fillId="0" borderId="77" xfId="99" applyNumberFormat="1" applyFont="1" applyFill="1" applyBorder="1" applyAlignment="1">
      <alignment horizontal="left"/>
    </xf>
    <xf numFmtId="3" fontId="222" fillId="0" borderId="77" xfId="99" applyNumberFormat="1" applyFont="1" applyFill="1" applyBorder="1" applyAlignment="1">
      <alignment horizontal="left"/>
    </xf>
    <xf numFmtId="0" fontId="179" fillId="0" borderId="135" xfId="110" applyFont="1" applyFill="1" applyBorder="1" applyAlignment="1">
      <alignment horizontal="left" wrapText="1"/>
    </xf>
    <xf numFmtId="0" fontId="179" fillId="0" borderId="78" xfId="110" applyFont="1" applyFill="1" applyBorder="1" applyAlignment="1">
      <alignment horizontal="left" wrapText="1"/>
    </xf>
    <xf numFmtId="0" fontId="179" fillId="0" borderId="78" xfId="110" applyNumberFormat="1" applyFont="1" applyFill="1" applyBorder="1" applyAlignment="1">
      <alignment horizontal="left" wrapText="1"/>
    </xf>
    <xf numFmtId="3" fontId="179" fillId="0" borderId="78" xfId="99" applyNumberFormat="1" applyFont="1" applyFill="1" applyBorder="1" applyAlignment="1">
      <alignment horizontal="left" wrapText="1"/>
    </xf>
    <xf numFmtId="3" fontId="221" fillId="0" borderId="70" xfId="98" applyNumberFormat="1" applyFont="1" applyFill="1" applyBorder="1" applyAlignment="1">
      <alignment horizontal="left"/>
    </xf>
    <xf numFmtId="3" fontId="181" fillId="0" borderId="70" xfId="99" applyNumberFormat="1" applyFont="1" applyFill="1" applyBorder="1" applyAlignment="1">
      <alignment horizontal="left"/>
    </xf>
    <xf numFmtId="3" fontId="221" fillId="0" borderId="76" xfId="98" applyNumberFormat="1" applyFont="1" applyFill="1" applyBorder="1" applyAlignment="1">
      <alignment horizontal="left"/>
    </xf>
    <xf numFmtId="3" fontId="181" fillId="0" borderId="77" xfId="99" applyNumberFormat="1" applyFont="1" applyFill="1" applyBorder="1" applyAlignment="1">
      <alignment horizontal="left"/>
    </xf>
    <xf numFmtId="0" fontId="224" fillId="0" borderId="83" xfId="98" applyFont="1" applyFill="1" applyBorder="1" applyAlignment="1" applyProtection="1">
      <alignment horizontal="center" vertical="center"/>
    </xf>
    <xf numFmtId="3" fontId="181" fillId="0" borderId="83" xfId="99" applyNumberFormat="1" applyFont="1" applyFill="1" applyBorder="1" applyAlignment="1">
      <alignment horizontal="left"/>
    </xf>
    <xf numFmtId="3" fontId="181" fillId="0" borderId="69" xfId="99" applyNumberFormat="1" applyFont="1" applyFill="1" applyBorder="1" applyAlignment="1">
      <alignment horizontal="left"/>
    </xf>
    <xf numFmtId="3" fontId="179" fillId="0" borderId="115" xfId="99" applyNumberFormat="1" applyFont="1" applyFill="1" applyBorder="1" applyAlignment="1">
      <alignment horizontal="left"/>
    </xf>
    <xf numFmtId="3" fontId="179" fillId="0" borderId="78" xfId="99" applyNumberFormat="1" applyFont="1" applyFill="1" applyBorder="1" applyAlignment="1">
      <alignment horizontal="left"/>
    </xf>
    <xf numFmtId="3" fontId="179" fillId="0" borderId="89" xfId="99" applyNumberFormat="1" applyFont="1" applyFill="1" applyBorder="1" applyAlignment="1">
      <alignment horizontal="left"/>
    </xf>
    <xf numFmtId="3" fontId="179" fillId="0" borderId="89" xfId="99" applyNumberFormat="1" applyFont="1" applyFill="1" applyBorder="1" applyAlignment="1">
      <alignment horizontal="left" wrapText="1"/>
    </xf>
    <xf numFmtId="0" fontId="221" fillId="0" borderId="77" xfId="98" applyFont="1" applyFill="1" applyBorder="1" applyAlignment="1" applyProtection="1">
      <alignment horizontal="left"/>
    </xf>
    <xf numFmtId="3" fontId="179" fillId="0" borderId="20" xfId="99" applyNumberFormat="1" applyFont="1" applyFill="1" applyBorder="1" applyAlignment="1">
      <alignment horizontal="left"/>
    </xf>
    <xf numFmtId="0" fontId="225" fillId="0" borderId="77" xfId="0" applyFont="1" applyBorder="1" applyAlignment="1">
      <alignment vertical="center"/>
    </xf>
    <xf numFmtId="0" fontId="179" fillId="0" borderId="77" xfId="100" applyFont="1" applyFill="1" applyBorder="1"/>
    <xf numFmtId="3" fontId="179" fillId="0" borderId="77" xfId="99" applyNumberFormat="1" applyFont="1" applyFill="1" applyBorder="1" applyAlignment="1">
      <alignment horizontal="left"/>
    </xf>
    <xf numFmtId="0" fontId="179" fillId="0" borderId="77" xfId="0" applyFont="1" applyFill="1" applyBorder="1"/>
    <xf numFmtId="3" fontId="179" fillId="0" borderId="115" xfId="99" applyNumberFormat="1" applyFont="1" applyFill="1" applyBorder="1" applyAlignment="1">
      <alignment horizontal="left" wrapText="1"/>
    </xf>
    <xf numFmtId="3" fontId="223" fillId="0" borderId="115" xfId="99" applyNumberFormat="1" applyFont="1" applyFill="1" applyBorder="1" applyAlignment="1">
      <alignment horizontal="left"/>
    </xf>
    <xf numFmtId="3" fontId="179" fillId="0" borderId="98" xfId="99" applyNumberFormat="1" applyFont="1" applyFill="1" applyBorder="1" applyAlignment="1">
      <alignment horizontal="left"/>
    </xf>
    <xf numFmtId="3" fontId="179" fillId="0" borderId="26" xfId="99" applyNumberFormat="1" applyFont="1" applyFill="1" applyBorder="1" applyAlignment="1">
      <alignment horizontal="left"/>
    </xf>
    <xf numFmtId="3" fontId="179" fillId="0" borderId="18" xfId="99" applyNumberFormat="1" applyFont="1" applyFill="1" applyBorder="1" applyAlignment="1">
      <alignment horizontal="left"/>
    </xf>
    <xf numFmtId="3" fontId="223" fillId="0" borderId="26" xfId="99" applyNumberFormat="1" applyFont="1" applyFill="1" applyBorder="1" applyAlignment="1">
      <alignment horizontal="left"/>
    </xf>
    <xf numFmtId="3" fontId="223" fillId="0" borderId="98" xfId="99" applyNumberFormat="1" applyFont="1" applyFill="1" applyBorder="1" applyAlignment="1">
      <alignment horizontal="left"/>
    </xf>
    <xf numFmtId="3" fontId="179" fillId="0" borderId="57" xfId="99" applyNumberFormat="1" applyFont="1" applyFill="1" applyBorder="1" applyAlignment="1">
      <alignment horizontal="left"/>
    </xf>
    <xf numFmtId="0" fontId="221" fillId="0" borderId="20" xfId="98" applyFont="1" applyFill="1" applyBorder="1" applyAlignment="1" applyProtection="1">
      <alignment horizontal="left"/>
    </xf>
    <xf numFmtId="3" fontId="226" fillId="0" borderId="0" xfId="100" applyNumberFormat="1" applyFont="1" applyBorder="1"/>
    <xf numFmtId="3" fontId="179" fillId="0" borderId="76" xfId="99" applyNumberFormat="1" applyFont="1" applyFill="1" applyBorder="1" applyAlignment="1">
      <alignment horizontal="left" wrapText="1"/>
    </xf>
    <xf numFmtId="3" fontId="169" fillId="0" borderId="33" xfId="99" applyNumberFormat="1" applyFont="1" applyFill="1" applyBorder="1" applyAlignment="1">
      <alignment horizontal="left"/>
    </xf>
    <xf numFmtId="3" fontId="179" fillId="0" borderId="98" xfId="99" applyNumberFormat="1" applyFont="1" applyFill="1" applyBorder="1" applyAlignment="1">
      <alignment horizontal="left" wrapText="1"/>
    </xf>
    <xf numFmtId="3" fontId="169" fillId="0" borderId="47" xfId="99" applyNumberFormat="1" applyFont="1" applyFill="1" applyBorder="1" applyAlignment="1">
      <alignment horizontal="left"/>
    </xf>
    <xf numFmtId="3" fontId="169" fillId="0" borderId="83" xfId="99" applyNumberFormat="1" applyFont="1" applyFill="1" applyBorder="1" applyAlignment="1">
      <alignment horizontal="left"/>
    </xf>
    <xf numFmtId="0" fontId="223" fillId="0" borderId="77" xfId="98" applyFont="1" applyFill="1" applyBorder="1" applyAlignment="1" applyProtection="1">
      <alignment horizontal="center" vertical="center"/>
    </xf>
    <xf numFmtId="3" fontId="179" fillId="0" borderId="77" xfId="99" applyNumberFormat="1" applyFont="1" applyFill="1" applyBorder="1" applyAlignment="1"/>
    <xf numFmtId="0" fontId="123" fillId="0" borderId="18" xfId="101" applyFont="1" applyFill="1" applyBorder="1" applyAlignment="1" applyProtection="1">
      <alignment horizontal="left"/>
    </xf>
    <xf numFmtId="0" fontId="123" fillId="0" borderId="69" xfId="101" applyFont="1" applyFill="1" applyBorder="1" applyAlignment="1" applyProtection="1">
      <alignment horizontal="left"/>
    </xf>
    <xf numFmtId="3" fontId="227" fillId="0" borderId="0" xfId="100" applyNumberFormat="1" applyFont="1" applyBorder="1"/>
    <xf numFmtId="3" fontId="228" fillId="0" borderId="77" xfId="99" applyNumberFormat="1" applyFont="1" applyFill="1" applyBorder="1" applyAlignment="1">
      <alignment horizontal="right"/>
    </xf>
    <xf numFmtId="3" fontId="228" fillId="0" borderId="115" xfId="99" applyNumberFormat="1" applyFont="1" applyFill="1" applyBorder="1" applyAlignment="1">
      <alignment horizontal="right"/>
    </xf>
    <xf numFmtId="3" fontId="228" fillId="0" borderId="135" xfId="99" applyNumberFormat="1" applyFont="1" applyFill="1" applyBorder="1" applyAlignment="1">
      <alignment horizontal="right"/>
    </xf>
    <xf numFmtId="3" fontId="228" fillId="0" borderId="78" xfId="99" applyNumberFormat="1" applyFont="1" applyFill="1" applyBorder="1" applyAlignment="1">
      <alignment horizontal="right"/>
    </xf>
    <xf numFmtId="3" fontId="228" fillId="0" borderId="70" xfId="99" applyNumberFormat="1" applyFont="1" applyFill="1" applyBorder="1" applyAlignment="1">
      <alignment horizontal="right"/>
    </xf>
    <xf numFmtId="3" fontId="228" fillId="0" borderId="69" xfId="99" applyNumberFormat="1" applyFont="1" applyFill="1" applyBorder="1" applyAlignment="1">
      <alignment horizontal="right"/>
    </xf>
    <xf numFmtId="3" fontId="229" fillId="0" borderId="77" xfId="99" applyNumberFormat="1" applyFont="1" applyFill="1" applyBorder="1" applyAlignment="1">
      <alignment horizontal="right"/>
    </xf>
    <xf numFmtId="3" fontId="229" fillId="0" borderId="70" xfId="99" applyNumberFormat="1" applyFont="1" applyFill="1" applyBorder="1" applyAlignment="1">
      <alignment horizontal="right"/>
    </xf>
    <xf numFmtId="3" fontId="229" fillId="0" borderId="76" xfId="99" applyNumberFormat="1" applyFont="1" applyFill="1" applyBorder="1" applyAlignment="1">
      <alignment horizontal="right"/>
    </xf>
    <xf numFmtId="3" fontId="228" fillId="0" borderId="83" xfId="99" applyNumberFormat="1" applyFont="1" applyFill="1" applyBorder="1" applyAlignment="1">
      <alignment horizontal="right"/>
    </xf>
    <xf numFmtId="3" fontId="228" fillId="0" borderId="115" xfId="99" applyNumberFormat="1" applyFont="1" applyFill="1" applyBorder="1" applyAlignment="1"/>
    <xf numFmtId="3" fontId="229" fillId="0" borderId="81" xfId="99" applyNumberFormat="1" applyFont="1" applyFill="1" applyBorder="1" applyAlignment="1">
      <alignment horizontal="right"/>
    </xf>
    <xf numFmtId="3" fontId="228" fillId="0" borderId="86" xfId="99" applyNumberFormat="1" applyFont="1" applyFill="1" applyBorder="1" applyAlignment="1">
      <alignment horizontal="right"/>
    </xf>
    <xf numFmtId="3" fontId="228" fillId="0" borderId="100" xfId="99" applyNumberFormat="1" applyFont="1" applyFill="1" applyBorder="1" applyAlignment="1">
      <alignment horizontal="right"/>
    </xf>
    <xf numFmtId="3" fontId="228" fillId="0" borderId="88" xfId="99" applyNumberFormat="1" applyFont="1" applyFill="1" applyBorder="1" applyAlignment="1">
      <alignment horizontal="right"/>
    </xf>
    <xf numFmtId="3" fontId="229" fillId="0" borderId="83" xfId="99" applyNumberFormat="1" applyFont="1" applyFill="1" applyBorder="1" applyAlignment="1">
      <alignment horizontal="right"/>
    </xf>
    <xf numFmtId="3" fontId="229" fillId="0" borderId="77" xfId="99" applyNumberFormat="1" applyFont="1" applyFill="1" applyBorder="1" applyAlignment="1"/>
    <xf numFmtId="0" fontId="166" fillId="0" borderId="83" xfId="98" applyFont="1" applyBorder="1" applyAlignment="1">
      <alignment horizontal="center" vertical="center"/>
    </xf>
    <xf numFmtId="0" fontId="167" fillId="0" borderId="23" xfId="100" applyFont="1" applyBorder="1" applyAlignment="1">
      <alignment horizontal="center"/>
    </xf>
    <xf numFmtId="0" fontId="169" fillId="0" borderId="69" xfId="98" applyFont="1" applyBorder="1" applyAlignment="1">
      <alignment horizontal="center" vertical="center"/>
    </xf>
    <xf numFmtId="0" fontId="167" fillId="0" borderId="18" xfId="100" applyFont="1" applyBorder="1" applyAlignment="1">
      <alignment horizontal="center"/>
    </xf>
    <xf numFmtId="0" fontId="167" fillId="0" borderId="69" xfId="100" applyFont="1" applyBorder="1" applyAlignment="1">
      <alignment horizontal="center"/>
    </xf>
    <xf numFmtId="0" fontId="169" fillId="0" borderId="70" xfId="98" applyFont="1" applyBorder="1" applyAlignment="1">
      <alignment horizontal="center" vertical="center"/>
    </xf>
    <xf numFmtId="0" fontId="167" fillId="0" borderId="19" xfId="100" applyFont="1" applyBorder="1" applyAlignment="1">
      <alignment horizontal="center"/>
    </xf>
    <xf numFmtId="0" fontId="170" fillId="0" borderId="83" xfId="101" applyFont="1" applyFill="1" applyBorder="1" applyAlignment="1">
      <alignment horizontal="center" vertical="center"/>
    </xf>
    <xf numFmtId="3" fontId="171" fillId="0" borderId="53" xfId="99" applyNumberFormat="1" applyFont="1" applyBorder="1" applyAlignment="1">
      <alignment horizontal="left"/>
    </xf>
    <xf numFmtId="3" fontId="171" fillId="0" borderId="83" xfId="99" applyNumberFormat="1" applyFont="1" applyBorder="1" applyAlignment="1">
      <alignment horizontal="left"/>
    </xf>
    <xf numFmtId="3" fontId="173" fillId="0" borderId="100" xfId="99" applyNumberFormat="1" applyFont="1" applyFill="1" applyBorder="1" applyAlignment="1">
      <alignment horizontal="left"/>
    </xf>
    <xf numFmtId="3" fontId="230" fillId="0" borderId="70" xfId="99" applyNumberFormat="1" applyFont="1" applyFill="1" applyBorder="1" applyAlignment="1">
      <alignment horizontal="right"/>
    </xf>
    <xf numFmtId="3" fontId="230" fillId="0" borderId="115" xfId="99" applyNumberFormat="1" applyFont="1" applyFill="1" applyBorder="1" applyAlignment="1">
      <alignment horizontal="right"/>
    </xf>
    <xf numFmtId="0" fontId="172" fillId="0" borderId="19" xfId="101" applyFont="1" applyFill="1" applyBorder="1" applyAlignment="1" applyProtection="1">
      <alignment horizontal="left"/>
    </xf>
    <xf numFmtId="3" fontId="230" fillId="0" borderId="76" xfId="99" applyNumberFormat="1" applyFont="1" applyFill="1" applyBorder="1" applyAlignment="1">
      <alignment horizontal="right"/>
    </xf>
    <xf numFmtId="0" fontId="172" fillId="0" borderId="121" xfId="101" applyFont="1" applyFill="1" applyBorder="1" applyAlignment="1" applyProtection="1">
      <alignment horizontal="left"/>
    </xf>
    <xf numFmtId="3" fontId="230" fillId="0" borderId="135" xfId="99" applyNumberFormat="1" applyFont="1" applyFill="1" applyBorder="1" applyAlignment="1">
      <alignment horizontal="right"/>
    </xf>
    <xf numFmtId="0" fontId="172" fillId="0" borderId="98" xfId="101" applyFont="1" applyFill="1" applyBorder="1" applyAlignment="1" applyProtection="1">
      <alignment horizontal="left"/>
    </xf>
    <xf numFmtId="3" fontId="230" fillId="0" borderId="77" xfId="99" applyNumberFormat="1" applyFont="1" applyFill="1" applyBorder="1" applyAlignment="1">
      <alignment horizontal="right"/>
    </xf>
    <xf numFmtId="0" fontId="172" fillId="0" borderId="135" xfId="101" applyFont="1" applyFill="1" applyBorder="1" applyAlignment="1" applyProtection="1">
      <alignment horizontal="left" wrapText="1"/>
    </xf>
    <xf numFmtId="3" fontId="230" fillId="0" borderId="122" xfId="99" applyNumberFormat="1" applyFont="1" applyFill="1" applyBorder="1" applyAlignment="1">
      <alignment horizontal="right"/>
    </xf>
    <xf numFmtId="0" fontId="172" fillId="0" borderId="70" xfId="101" applyFont="1" applyFill="1" applyBorder="1" applyAlignment="1" applyProtection="1">
      <alignment horizontal="left"/>
    </xf>
    <xf numFmtId="3" fontId="230" fillId="0" borderId="86" xfId="99" applyNumberFormat="1" applyFont="1" applyFill="1" applyBorder="1" applyAlignment="1">
      <alignment horizontal="right"/>
    </xf>
    <xf numFmtId="3" fontId="230" fillId="0" borderId="84" xfId="99" applyNumberFormat="1" applyFont="1" applyFill="1" applyBorder="1" applyAlignment="1">
      <alignment horizontal="right"/>
    </xf>
    <xf numFmtId="3" fontId="230" fillId="0" borderId="69" xfId="99" applyNumberFormat="1" applyFont="1" applyFill="1" applyBorder="1" applyAlignment="1">
      <alignment horizontal="right"/>
    </xf>
    <xf numFmtId="3" fontId="175" fillId="0" borderId="70" xfId="99" applyNumberFormat="1" applyFont="1" applyFill="1" applyBorder="1" applyAlignment="1">
      <alignment horizontal="left"/>
    </xf>
    <xf numFmtId="3" fontId="231" fillId="0" borderId="70" xfId="99" applyNumberFormat="1" applyFont="1" applyFill="1" applyBorder="1" applyAlignment="1">
      <alignment horizontal="right"/>
    </xf>
    <xf numFmtId="3" fontId="230" fillId="0" borderId="78" xfId="99" applyNumberFormat="1" applyFont="1" applyFill="1" applyBorder="1" applyAlignment="1">
      <alignment horizontal="right"/>
    </xf>
    <xf numFmtId="3" fontId="174" fillId="0" borderId="19" xfId="98" applyNumberFormat="1" applyFont="1" applyFill="1" applyBorder="1" applyAlignment="1">
      <alignment horizontal="left"/>
    </xf>
    <xf numFmtId="3" fontId="174" fillId="0" borderId="23" xfId="98" applyNumberFormat="1" applyFont="1" applyFill="1" applyBorder="1" applyAlignment="1">
      <alignment horizontal="left"/>
    </xf>
    <xf numFmtId="0" fontId="173" fillId="0" borderId="83" xfId="101" applyFont="1" applyFill="1" applyBorder="1" applyAlignment="1">
      <alignment horizontal="left"/>
    </xf>
    <xf numFmtId="3" fontId="231" fillId="0" borderId="83" xfId="99" applyNumberFormat="1" applyFont="1" applyFill="1" applyBorder="1" applyAlignment="1">
      <alignment horizontal="right"/>
    </xf>
    <xf numFmtId="0" fontId="177" fillId="0" borderId="23" xfId="98" applyFont="1" applyFill="1" applyBorder="1" applyAlignment="1" applyProtection="1">
      <alignment horizontal="center" vertical="center"/>
    </xf>
    <xf numFmtId="3" fontId="230" fillId="0" borderId="83" xfId="99" applyNumberFormat="1" applyFont="1" applyFill="1" applyBorder="1" applyAlignment="1">
      <alignment horizontal="right"/>
    </xf>
    <xf numFmtId="0" fontId="174" fillId="0" borderId="23" xfId="98" applyFont="1" applyFill="1" applyBorder="1" applyProtection="1"/>
    <xf numFmtId="0" fontId="174" fillId="0" borderId="17" xfId="98" applyFont="1" applyFill="1" applyBorder="1" applyAlignment="1" applyProtection="1">
      <alignment horizontal="left"/>
    </xf>
    <xf numFmtId="0" fontId="174" fillId="0" borderId="83" xfId="98" applyFont="1" applyFill="1" applyBorder="1" applyProtection="1"/>
    <xf numFmtId="3" fontId="230" fillId="0" borderId="53" xfId="99" applyNumberFormat="1" applyFont="1" applyFill="1" applyBorder="1" applyAlignment="1">
      <alignment horizontal="right"/>
    </xf>
    <xf numFmtId="0" fontId="173" fillId="0" borderId="115" xfId="0" applyFont="1" applyFill="1" applyBorder="1" applyAlignment="1">
      <alignment horizontal="left" wrapText="1"/>
    </xf>
    <xf numFmtId="3" fontId="230" fillId="0" borderId="100" xfId="99" applyNumberFormat="1" applyFont="1" applyFill="1" applyBorder="1" applyAlignment="1">
      <alignment horizontal="right"/>
    </xf>
    <xf numFmtId="0" fontId="173" fillId="0" borderId="18" xfId="98" applyFont="1" applyFill="1" applyBorder="1" applyAlignment="1" applyProtection="1">
      <alignment horizontal="left" vertical="top" wrapText="1"/>
    </xf>
    <xf numFmtId="0" fontId="173" fillId="0" borderId="78" xfId="0" applyFont="1" applyFill="1" applyBorder="1" applyAlignment="1">
      <alignment horizontal="left" wrapText="1"/>
    </xf>
    <xf numFmtId="3" fontId="230" fillId="0" borderId="88" xfId="99" applyNumberFormat="1" applyFont="1" applyFill="1" applyBorder="1" applyAlignment="1">
      <alignment horizontal="right"/>
    </xf>
    <xf numFmtId="0" fontId="173" fillId="0" borderId="70" xfId="0" applyFont="1" applyFill="1" applyBorder="1" applyAlignment="1">
      <alignment horizontal="left"/>
    </xf>
    <xf numFmtId="0" fontId="173" fillId="0" borderId="69" xfId="0" applyFont="1" applyFill="1" applyBorder="1" applyAlignment="1">
      <alignment horizontal="left" wrapText="1"/>
    </xf>
    <xf numFmtId="3" fontId="231" fillId="0" borderId="86" xfId="99" applyNumberFormat="1" applyFont="1" applyFill="1" applyBorder="1" applyAlignment="1">
      <alignment horizontal="right"/>
    </xf>
    <xf numFmtId="3" fontId="175" fillId="0" borderId="77" xfId="99" applyNumberFormat="1" applyFont="1" applyFill="1" applyBorder="1" applyAlignment="1">
      <alignment horizontal="left"/>
    </xf>
    <xf numFmtId="3" fontId="231" fillId="0" borderId="77" xfId="99" applyNumberFormat="1" applyFont="1" applyFill="1" applyBorder="1" applyAlignment="1">
      <alignment horizontal="right"/>
    </xf>
    <xf numFmtId="3" fontId="173" fillId="0" borderId="98" xfId="99" applyNumberFormat="1" applyFont="1" applyFill="1" applyBorder="1" applyAlignment="1">
      <alignment horizontal="left" wrapText="1"/>
    </xf>
    <xf numFmtId="3" fontId="173" fillId="0" borderId="26" xfId="99" applyNumberFormat="1" applyFont="1" applyFill="1" applyBorder="1" applyAlignment="1">
      <alignment horizontal="left" wrapText="1"/>
    </xf>
    <xf numFmtId="0" fontId="173" fillId="0" borderId="19" xfId="101" applyFont="1" applyFill="1" applyBorder="1" applyAlignment="1">
      <alignment horizontal="left"/>
    </xf>
    <xf numFmtId="0" fontId="172" fillId="0" borderId="70" xfId="101" applyFont="1" applyFill="1" applyBorder="1" applyAlignment="1" applyProtection="1"/>
    <xf numFmtId="0" fontId="172" fillId="0" borderId="77" xfId="101" applyFont="1" applyFill="1" applyBorder="1" applyAlignment="1" applyProtection="1"/>
    <xf numFmtId="0" fontId="174" fillId="0" borderId="23" xfId="98" applyFont="1" applyFill="1" applyBorder="1" applyAlignment="1" applyProtection="1"/>
    <xf numFmtId="0" fontId="173" fillId="0" borderId="115" xfId="98" applyFont="1" applyFill="1" applyBorder="1" applyAlignment="1" applyProtection="1">
      <alignment horizontal="left" wrapText="1"/>
    </xf>
    <xf numFmtId="0" fontId="169" fillId="0" borderId="18" xfId="98" applyFont="1" applyBorder="1" applyAlignment="1">
      <alignment horizontal="center" vertical="center"/>
    </xf>
    <xf numFmtId="3" fontId="167" fillId="0" borderId="86" xfId="100" applyNumberFormat="1" applyFont="1" applyBorder="1" applyAlignment="1">
      <alignment horizontal="center"/>
    </xf>
    <xf numFmtId="0" fontId="123" fillId="0" borderId="83" xfId="101" applyFont="1" applyFill="1" applyBorder="1" applyAlignment="1" applyProtection="1">
      <alignment horizontal="left"/>
    </xf>
    <xf numFmtId="0" fontId="123" fillId="0" borderId="83" xfId="101" applyFont="1" applyFill="1" applyBorder="1" applyAlignment="1" applyProtection="1"/>
    <xf numFmtId="0" fontId="123" fillId="0" borderId="23" xfId="101" applyFont="1" applyFill="1" applyBorder="1" applyAlignment="1" applyProtection="1"/>
    <xf numFmtId="0" fontId="123" fillId="0" borderId="69" xfId="101" applyFont="1" applyFill="1" applyBorder="1" applyAlignment="1" applyProtection="1"/>
    <xf numFmtId="0" fontId="0" fillId="0" borderId="18" xfId="0" applyFill="1" applyBorder="1" applyAlignment="1"/>
    <xf numFmtId="0" fontId="0" fillId="0" borderId="69" xfId="0" applyFill="1" applyBorder="1" applyAlignment="1"/>
    <xf numFmtId="0" fontId="0" fillId="0" borderId="19" xfId="0" applyFill="1" applyBorder="1" applyAlignment="1"/>
    <xf numFmtId="0" fontId="123" fillId="0" borderId="23" xfId="101" applyFont="1" applyFill="1" applyBorder="1" applyAlignment="1" applyProtection="1">
      <alignment horizontal="left"/>
    </xf>
    <xf numFmtId="0" fontId="123" fillId="0" borderId="18" xfId="101" applyFont="1" applyFill="1" applyBorder="1" applyAlignment="1" applyProtection="1"/>
    <xf numFmtId="0" fontId="221" fillId="0" borderId="69" xfId="98" applyFont="1" applyFill="1" applyBorder="1" applyAlignment="1" applyProtection="1"/>
    <xf numFmtId="0" fontId="179" fillId="0" borderId="23" xfId="0" applyFont="1" applyFill="1" applyBorder="1" applyAlignment="1"/>
    <xf numFmtId="0" fontId="179" fillId="0" borderId="69" xfId="98" applyFont="1" applyFill="1" applyBorder="1" applyAlignment="1" applyProtection="1">
      <alignment horizontal="left"/>
    </xf>
    <xf numFmtId="0" fontId="179" fillId="0" borderId="18" xfId="0" applyFont="1" applyFill="1" applyBorder="1" applyAlignment="1"/>
    <xf numFmtId="0" fontId="179" fillId="0" borderId="83" xfId="0" applyFont="1" applyFill="1" applyBorder="1" applyAlignment="1"/>
    <xf numFmtId="0" fontId="179" fillId="0" borderId="69" xfId="0" applyFont="1" applyFill="1" applyBorder="1" applyAlignment="1"/>
    <xf numFmtId="0" fontId="221" fillId="0" borderId="83" xfId="98" applyFont="1" applyFill="1" applyBorder="1" applyAlignment="1" applyProtection="1"/>
    <xf numFmtId="0" fontId="179" fillId="0" borderId="69" xfId="98" applyFont="1" applyFill="1" applyBorder="1" applyAlignment="1" applyProtection="1">
      <alignment horizontal="left" wrapText="1"/>
    </xf>
    <xf numFmtId="0" fontId="221" fillId="0" borderId="23" xfId="98" applyFont="1" applyFill="1" applyBorder="1" applyAlignment="1" applyProtection="1"/>
    <xf numFmtId="0" fontId="179" fillId="0" borderId="18" xfId="98" applyFont="1" applyFill="1" applyBorder="1" applyAlignment="1" applyProtection="1">
      <alignment horizontal="left"/>
    </xf>
    <xf numFmtId="0" fontId="179" fillId="0" borderId="18" xfId="98" applyFont="1" applyFill="1" applyBorder="1" applyAlignment="1" applyProtection="1">
      <alignment horizontal="right"/>
    </xf>
    <xf numFmtId="0" fontId="179" fillId="0" borderId="18" xfId="98" applyFont="1" applyFill="1" applyBorder="1" applyAlignment="1" applyProtection="1"/>
    <xf numFmtId="0" fontId="221" fillId="0" borderId="18" xfId="98" applyFont="1" applyFill="1" applyBorder="1" applyAlignment="1" applyProtection="1"/>
    <xf numFmtId="0" fontId="182" fillId="0" borderId="18" xfId="98" applyFont="1" applyFill="1" applyBorder="1" applyAlignment="1" applyProtection="1">
      <alignment horizontal="left" wrapText="1"/>
    </xf>
    <xf numFmtId="0" fontId="179" fillId="0" borderId="23" xfId="98" applyFont="1" applyFill="1" applyBorder="1" applyAlignment="1" applyProtection="1">
      <alignment horizontal="left" wrapText="1"/>
    </xf>
    <xf numFmtId="0" fontId="179" fillId="0" borderId="18" xfId="98" applyFont="1" applyFill="1" applyBorder="1" applyAlignment="1" applyProtection="1">
      <alignment horizontal="right" wrapText="1"/>
    </xf>
    <xf numFmtId="0" fontId="163" fillId="0" borderId="18" xfId="98" applyFont="1" applyFill="1" applyBorder="1" applyAlignment="1"/>
    <xf numFmtId="3" fontId="179" fillId="0" borderId="23" xfId="99" applyNumberFormat="1" applyFont="1" applyFill="1" applyBorder="1" applyAlignment="1">
      <alignment horizontal="left"/>
    </xf>
    <xf numFmtId="3" fontId="137" fillId="0" borderId="21" xfId="97" applyNumberFormat="1" applyFont="1" applyFill="1" applyBorder="1"/>
    <xf numFmtId="3" fontId="36" fillId="0" borderId="59" xfId="96" applyNumberFormat="1" applyFont="1" applyFill="1" applyBorder="1" applyAlignment="1">
      <alignment horizontal="right"/>
    </xf>
    <xf numFmtId="3" fontId="36" fillId="0" borderId="68" xfId="96" applyNumberFormat="1" applyFont="1" applyFill="1" applyBorder="1" applyAlignment="1">
      <alignment horizontal="right"/>
    </xf>
    <xf numFmtId="3" fontId="153" fillId="0" borderId="37" xfId="96" applyNumberFormat="1" applyFont="1" applyFill="1" applyBorder="1"/>
    <xf numFmtId="10" fontId="204" fillId="0" borderId="89" xfId="76" applyNumberFormat="1" applyFont="1" applyFill="1" applyBorder="1" applyAlignment="1">
      <alignment horizontal="right"/>
    </xf>
    <xf numFmtId="0" fontId="59" fillId="28" borderId="45" xfId="0" applyFont="1" applyFill="1" applyBorder="1" applyAlignment="1">
      <alignment horizontal="center"/>
    </xf>
    <xf numFmtId="0" fontId="63" fillId="0" borderId="37" xfId="77" applyFont="1" applyFill="1" applyBorder="1" applyAlignment="1">
      <alignment horizontal="left"/>
    </xf>
    <xf numFmtId="0" fontId="74" fillId="0" borderId="0" xfId="0" applyFont="1" applyAlignment="1">
      <alignment horizontal="center"/>
    </xf>
    <xf numFmtId="0" fontId="7" fillId="0" borderId="0" xfId="112" applyFont="1" applyBorder="1"/>
    <xf numFmtId="0" fontId="7" fillId="0" borderId="0" xfId="112" applyFont="1" applyAlignment="1">
      <alignment horizontal="center"/>
    </xf>
    <xf numFmtId="0" fontId="7" fillId="0" borderId="0" xfId="112" applyFont="1" applyFill="1" applyBorder="1"/>
    <xf numFmtId="0" fontId="7" fillId="0" borderId="0" xfId="112" applyFont="1"/>
    <xf numFmtId="0" fontId="7" fillId="0" borderId="0" xfId="112" applyFont="1" applyFill="1" applyBorder="1" applyAlignment="1">
      <alignment horizontal="right"/>
    </xf>
    <xf numFmtId="3" fontId="7" fillId="0" borderId="0" xfId="112" applyNumberFormat="1" applyFont="1" applyBorder="1"/>
    <xf numFmtId="0" fontId="6" fillId="0" borderId="0" xfId="112" applyFont="1" applyBorder="1"/>
    <xf numFmtId="0" fontId="7" fillId="0" borderId="0" xfId="112" applyFont="1" applyFill="1" applyBorder="1" applyAlignment="1">
      <alignment vertical="center" wrapText="1"/>
    </xf>
    <xf numFmtId="3" fontId="7" fillId="0" borderId="0" xfId="112" applyNumberFormat="1" applyFont="1" applyFill="1" applyBorder="1"/>
    <xf numFmtId="0" fontId="7" fillId="0" borderId="91" xfId="112" applyFont="1" applyFill="1" applyBorder="1"/>
    <xf numFmtId="3" fontId="18" fillId="0" borderId="0" xfId="112" applyNumberFormat="1" applyFont="1" applyFill="1" applyBorder="1"/>
    <xf numFmtId="0" fontId="7" fillId="0" borderId="0" xfId="112" applyFont="1" applyAlignment="1">
      <alignment wrapText="1"/>
    </xf>
    <xf numFmtId="3" fontId="7" fillId="35" borderId="0" xfId="112" applyNumberFormat="1" applyFont="1" applyFill="1" applyBorder="1"/>
    <xf numFmtId="3" fontId="233" fillId="35" borderId="0" xfId="112" applyNumberFormat="1" applyFont="1" applyFill="1" applyBorder="1"/>
    <xf numFmtId="3" fontId="11" fillId="35" borderId="0" xfId="112" applyNumberFormat="1" applyFont="1" applyFill="1" applyBorder="1"/>
    <xf numFmtId="0" fontId="39" fillId="0" borderId="0" xfId="112" applyFont="1"/>
    <xf numFmtId="3" fontId="233" fillId="0" borderId="0" xfId="112" applyNumberFormat="1" applyFont="1" applyFill="1" applyBorder="1"/>
    <xf numFmtId="3" fontId="39" fillId="0" borderId="0" xfId="112" applyNumberFormat="1" applyFont="1" applyFill="1" applyBorder="1"/>
    <xf numFmtId="0" fontId="18" fillId="0" borderId="0" xfId="112" applyFont="1"/>
    <xf numFmtId="0" fontId="18" fillId="0" borderId="49" xfId="112" applyFont="1" applyBorder="1"/>
    <xf numFmtId="3" fontId="39" fillId="0" borderId="24" xfId="112" applyNumberFormat="1" applyFont="1" applyFill="1" applyBorder="1"/>
    <xf numFmtId="0" fontId="80" fillId="0" borderId="0" xfId="112" applyFont="1" applyBorder="1"/>
    <xf numFmtId="0" fontId="80" fillId="0" borderId="18" xfId="112" applyFont="1" applyBorder="1"/>
    <xf numFmtId="3" fontId="79" fillId="0" borderId="69" xfId="113" applyNumberFormat="1" applyFont="1" applyBorder="1" applyAlignment="1">
      <alignment horizontal="center"/>
    </xf>
    <xf numFmtId="0" fontId="80" fillId="0" borderId="19" xfId="112" applyFont="1" applyBorder="1"/>
    <xf numFmtId="14" fontId="79" fillId="0" borderId="70" xfId="113" applyNumberFormat="1" applyFont="1" applyBorder="1" applyAlignment="1">
      <alignment horizontal="center"/>
    </xf>
    <xf numFmtId="0" fontId="69" fillId="0" borderId="0" xfId="112" applyFont="1" applyFill="1" applyBorder="1" applyAlignment="1">
      <alignment horizontal="right"/>
    </xf>
    <xf numFmtId="0" fontId="84" fillId="0" borderId="23" xfId="112" applyFont="1" applyBorder="1" applyAlignment="1">
      <alignment horizontal="center"/>
    </xf>
    <xf numFmtId="3" fontId="79" fillId="0" borderId="83" xfId="113" applyNumberFormat="1" applyFont="1" applyBorder="1" applyAlignment="1">
      <alignment horizontal="center"/>
    </xf>
    <xf numFmtId="3" fontId="69" fillId="0" borderId="83" xfId="113" applyNumberFormat="1" applyFont="1" applyFill="1" applyBorder="1" applyAlignment="1">
      <alignment horizontal="right"/>
    </xf>
    <xf numFmtId="3" fontId="69" fillId="0" borderId="83" xfId="113" applyNumberFormat="1" applyFont="1" applyBorder="1" applyAlignment="1">
      <alignment horizontal="right"/>
    </xf>
    <xf numFmtId="0" fontId="69" fillId="32" borderId="18" xfId="112" applyFont="1" applyFill="1" applyBorder="1" applyAlignment="1">
      <alignment horizontal="justify"/>
    </xf>
    <xf numFmtId="3" fontId="69" fillId="32" borderId="69" xfId="112" applyNumberFormat="1" applyFont="1" applyFill="1" applyBorder="1" applyAlignment="1">
      <alignment horizontal="right"/>
    </xf>
    <xf numFmtId="3" fontId="69" fillId="32" borderId="115" xfId="112" applyNumberFormat="1" applyFont="1" applyFill="1" applyBorder="1" applyAlignment="1">
      <alignment horizontal="right"/>
    </xf>
    <xf numFmtId="0" fontId="69" fillId="32" borderId="17" xfId="112" applyFont="1" applyFill="1" applyBorder="1" applyAlignment="1">
      <alignment horizontal="justify"/>
    </xf>
    <xf numFmtId="3" fontId="69" fillId="32" borderId="76" xfId="112" applyNumberFormat="1" applyFont="1" applyFill="1" applyBorder="1" applyAlignment="1">
      <alignment horizontal="right"/>
    </xf>
    <xf numFmtId="3" fontId="69" fillId="0" borderId="83" xfId="112" applyNumberFormat="1" applyFont="1" applyFill="1" applyBorder="1" applyAlignment="1">
      <alignment horizontal="right"/>
    </xf>
    <xf numFmtId="0" fontId="234" fillId="0" borderId="18" xfId="112" applyFont="1" applyBorder="1" applyAlignment="1">
      <alignment horizontal="justify"/>
    </xf>
    <xf numFmtId="3" fontId="69" fillId="0" borderId="69" xfId="112" applyNumberFormat="1" applyFont="1" applyFill="1" applyBorder="1" applyAlignment="1">
      <alignment horizontal="right"/>
    </xf>
    <xf numFmtId="0" fontId="69" fillId="0" borderId="98" xfId="112" applyFont="1" applyFill="1" applyBorder="1" applyAlignment="1">
      <alignment horizontal="justify"/>
    </xf>
    <xf numFmtId="3" fontId="69" fillId="0" borderId="115" xfId="112" applyNumberFormat="1" applyFont="1" applyFill="1" applyBorder="1" applyAlignment="1">
      <alignment horizontal="right"/>
    </xf>
    <xf numFmtId="0" fontId="234" fillId="0" borderId="98" xfId="112" applyFont="1" applyFill="1" applyBorder="1" applyAlignment="1">
      <alignment horizontal="justify"/>
    </xf>
    <xf numFmtId="0" fontId="234" fillId="0" borderId="98" xfId="112" applyFont="1" applyFill="1" applyBorder="1" applyAlignment="1">
      <alignment wrapText="1"/>
    </xf>
    <xf numFmtId="0" fontId="234" fillId="0" borderId="18" xfId="112" applyFont="1" applyFill="1" applyBorder="1" applyAlignment="1">
      <alignment wrapText="1"/>
    </xf>
    <xf numFmtId="3" fontId="70" fillId="0" borderId="69" xfId="112" applyNumberFormat="1" applyFont="1" applyFill="1" applyBorder="1" applyAlignment="1">
      <alignment horizontal="right"/>
    </xf>
    <xf numFmtId="0" fontId="69" fillId="0" borderId="115" xfId="112" applyFont="1" applyFill="1" applyBorder="1" applyAlignment="1">
      <alignment horizontal="justify"/>
    </xf>
    <xf numFmtId="0" fontId="69" fillId="0" borderId="26" xfId="112" applyFont="1" applyFill="1" applyBorder="1" applyAlignment="1">
      <alignment horizontal="justify"/>
    </xf>
    <xf numFmtId="0" fontId="69" fillId="0" borderId="18" xfId="112" applyFont="1" applyFill="1" applyBorder="1" applyAlignment="1">
      <alignment horizontal="justify"/>
    </xf>
    <xf numFmtId="3" fontId="69" fillId="0" borderId="78" xfId="112" applyNumberFormat="1" applyFont="1" applyFill="1" applyBorder="1" applyAlignment="1">
      <alignment horizontal="right"/>
    </xf>
    <xf numFmtId="0" fontId="70" fillId="0" borderId="69" xfId="112" applyFont="1" applyFill="1" applyBorder="1" applyAlignment="1">
      <alignment horizontal="left" wrapText="1"/>
    </xf>
    <xf numFmtId="0" fontId="70" fillId="0" borderId="115" xfId="112" applyFont="1" applyFill="1" applyBorder="1" applyAlignment="1">
      <alignment horizontal="left" wrapText="1"/>
    </xf>
    <xf numFmtId="0" fontId="82" fillId="0" borderId="18" xfId="112" applyFont="1" applyBorder="1"/>
    <xf numFmtId="0" fontId="79" fillId="0" borderId="20" xfId="112" applyFont="1" applyFill="1" applyBorder="1" applyAlignment="1">
      <alignment horizontal="justify"/>
    </xf>
    <xf numFmtId="0" fontId="82" fillId="0" borderId="23" xfId="112" applyFont="1" applyBorder="1" applyAlignment="1">
      <alignment horizontal="justify"/>
    </xf>
    <xf numFmtId="0" fontId="79" fillId="32" borderId="20" xfId="112" applyFont="1" applyFill="1" applyBorder="1" applyAlignment="1">
      <alignment horizontal="justify"/>
    </xf>
    <xf numFmtId="3" fontId="79" fillId="32" borderId="77" xfId="112" applyNumberFormat="1" applyFont="1" applyFill="1" applyBorder="1" applyAlignment="1">
      <alignment horizontal="right"/>
    </xf>
    <xf numFmtId="0" fontId="82" fillId="0" borderId="83" xfId="112" applyFont="1" applyBorder="1" applyAlignment="1">
      <alignment horizontal="justify"/>
    </xf>
    <xf numFmtId="3" fontId="79" fillId="0" borderId="83" xfId="112" applyNumberFormat="1" applyFont="1" applyFill="1" applyBorder="1" applyAlignment="1">
      <alignment horizontal="right"/>
    </xf>
    <xf numFmtId="0" fontId="82" fillId="32" borderId="69" xfId="112" applyFont="1" applyFill="1" applyBorder="1" applyAlignment="1">
      <alignment horizontal="justify"/>
    </xf>
    <xf numFmtId="3" fontId="79" fillId="32" borderId="69" xfId="112" applyNumberFormat="1" applyFont="1" applyFill="1" applyBorder="1" applyAlignment="1">
      <alignment horizontal="right"/>
    </xf>
    <xf numFmtId="0" fontId="82" fillId="0" borderId="69" xfId="112" applyFont="1" applyFill="1" applyBorder="1" applyAlignment="1">
      <alignment horizontal="justify"/>
    </xf>
    <xf numFmtId="3" fontId="79" fillId="0" borderId="69" xfId="112" applyNumberFormat="1" applyFont="1" applyFill="1" applyBorder="1" applyAlignment="1">
      <alignment horizontal="right"/>
    </xf>
    <xf numFmtId="3" fontId="79" fillId="0" borderId="77" xfId="112" applyNumberFormat="1" applyFont="1" applyFill="1" applyBorder="1" applyAlignment="1">
      <alignment horizontal="right"/>
    </xf>
    <xf numFmtId="0" fontId="79" fillId="32" borderId="78" xfId="112" applyFont="1" applyFill="1" applyBorder="1" applyAlignment="1">
      <alignment horizontal="justify"/>
    </xf>
    <xf numFmtId="3" fontId="79" fillId="32" borderId="115" xfId="112" applyNumberFormat="1" applyFont="1" applyFill="1" applyBorder="1" applyAlignment="1">
      <alignment horizontal="right"/>
    </xf>
    <xf numFmtId="0" fontId="82" fillId="0" borderId="57" xfId="112" applyFont="1" applyFill="1" applyBorder="1" applyAlignment="1">
      <alignment horizontal="justify"/>
    </xf>
    <xf numFmtId="3" fontId="80" fillId="0" borderId="69" xfId="112" applyNumberFormat="1" applyFont="1" applyFill="1" applyBorder="1" applyAlignment="1">
      <alignment horizontal="right"/>
    </xf>
    <xf numFmtId="0" fontId="79" fillId="32" borderId="18" xfId="112" applyFont="1" applyFill="1" applyBorder="1" applyAlignment="1">
      <alignment horizontal="justify"/>
    </xf>
    <xf numFmtId="0" fontId="79" fillId="0" borderId="57" xfId="112" applyFont="1" applyFill="1" applyBorder="1" applyAlignment="1">
      <alignment horizontal="justify"/>
    </xf>
    <xf numFmtId="0" fontId="79" fillId="0" borderId="83" xfId="112" applyFont="1" applyFill="1" applyBorder="1" applyAlignment="1">
      <alignment horizontal="left" wrapText="1"/>
    </xf>
    <xf numFmtId="0" fontId="79" fillId="32" borderId="18" xfId="112" applyFont="1" applyFill="1" applyBorder="1" applyAlignment="1">
      <alignment horizontal="left" wrapText="1"/>
    </xf>
    <xf numFmtId="3" fontId="79" fillId="32" borderId="70" xfId="112" applyNumberFormat="1" applyFont="1" applyFill="1" applyBorder="1" applyAlignment="1">
      <alignment horizontal="right"/>
    </xf>
    <xf numFmtId="3" fontId="79" fillId="32" borderId="78" xfId="112" applyNumberFormat="1" applyFont="1" applyFill="1" applyBorder="1" applyAlignment="1">
      <alignment horizontal="right"/>
    </xf>
    <xf numFmtId="0" fontId="80" fillId="0" borderId="0" xfId="112" applyFont="1" applyFill="1" applyBorder="1"/>
    <xf numFmtId="0" fontId="82" fillId="33" borderId="20" xfId="112" applyFont="1" applyFill="1" applyBorder="1" applyAlignment="1">
      <alignment horizontal="justify"/>
    </xf>
    <xf numFmtId="3" fontId="82" fillId="34" borderId="77" xfId="112" applyNumberFormat="1" applyFont="1" applyFill="1" applyBorder="1" applyAlignment="1">
      <alignment horizontal="right"/>
    </xf>
    <xf numFmtId="3" fontId="80" fillId="0" borderId="0" xfId="112" applyNumberFormat="1" applyFont="1" applyBorder="1"/>
    <xf numFmtId="0" fontId="82" fillId="33" borderId="19" xfId="112" applyFont="1" applyFill="1" applyBorder="1" applyAlignment="1">
      <alignment horizontal="justify"/>
    </xf>
    <xf numFmtId="0" fontId="79" fillId="33" borderId="19" xfId="112" applyFont="1" applyFill="1" applyBorder="1" applyAlignment="1">
      <alignment horizontal="justify"/>
    </xf>
    <xf numFmtId="3" fontId="82" fillId="33" borderId="77" xfId="112" applyNumberFormat="1" applyFont="1" applyFill="1" applyBorder="1" applyAlignment="1">
      <alignment horizontal="right"/>
    </xf>
    <xf numFmtId="0" fontId="79" fillId="0" borderId="0" xfId="112" applyFont="1" applyBorder="1"/>
    <xf numFmtId="0" fontId="84" fillId="0" borderId="26" xfId="112" applyFont="1" applyFill="1" applyBorder="1" applyAlignment="1">
      <alignment horizontal="left" wrapText="1"/>
    </xf>
    <xf numFmtId="3" fontId="84" fillId="0" borderId="78" xfId="112" applyNumberFormat="1" applyFont="1" applyFill="1" applyBorder="1" applyAlignment="1">
      <alignment horizontal="right"/>
    </xf>
    <xf numFmtId="3" fontId="84" fillId="0" borderId="115" xfId="112" applyNumberFormat="1" applyFont="1" applyFill="1" applyBorder="1" applyAlignment="1">
      <alignment horizontal="right"/>
    </xf>
    <xf numFmtId="0" fontId="84" fillId="0" borderId="0" xfId="112" applyFont="1" applyFill="1" applyBorder="1"/>
    <xf numFmtId="3" fontId="235" fillId="0" borderId="115" xfId="112" applyNumberFormat="1" applyFont="1" applyFill="1" applyBorder="1" applyAlignment="1">
      <alignment horizontal="right"/>
    </xf>
    <xf numFmtId="3" fontId="235" fillId="0" borderId="69" xfId="112" applyNumberFormat="1" applyFont="1" applyFill="1" applyBorder="1" applyAlignment="1">
      <alignment horizontal="right"/>
    </xf>
    <xf numFmtId="2" fontId="63" fillId="0" borderId="71" xfId="0" applyNumberFormat="1" applyFont="1" applyFill="1" applyBorder="1"/>
    <xf numFmtId="0" fontId="77" fillId="0" borderId="23" xfId="0" applyFont="1" applyFill="1" applyBorder="1" applyAlignment="1" applyProtection="1"/>
    <xf numFmtId="3" fontId="78" fillId="0" borderId="46" xfId="0" applyNumberFormat="1" applyFont="1" applyFill="1" applyBorder="1"/>
    <xf numFmtId="3" fontId="63" fillId="0" borderId="45" xfId="0" applyNumberFormat="1" applyFont="1" applyFill="1" applyBorder="1"/>
    <xf numFmtId="3" fontId="59" fillId="0" borderId="46" xfId="0" applyNumberFormat="1" applyFont="1" applyFill="1" applyBorder="1" applyAlignment="1" applyProtection="1">
      <alignment horizontal="right"/>
    </xf>
    <xf numFmtId="3" fontId="63" fillId="0" borderId="45" xfId="0" applyNumberFormat="1" applyFont="1" applyFill="1" applyBorder="1" applyAlignment="1">
      <alignment horizontal="right"/>
    </xf>
    <xf numFmtId="0" fontId="69" fillId="0" borderId="115" xfId="112" applyFont="1" applyFill="1" applyBorder="1" applyAlignment="1">
      <alignment horizontal="left" wrapText="1"/>
    </xf>
    <xf numFmtId="3" fontId="237" fillId="0" borderId="0" xfId="76" applyNumberFormat="1" applyFont="1" applyFill="1" applyBorder="1" applyAlignment="1">
      <alignment horizontal="center"/>
    </xf>
    <xf numFmtId="3" fontId="238" fillId="0" borderId="0" xfId="76" applyNumberFormat="1" applyFont="1" applyFill="1" applyBorder="1"/>
    <xf numFmtId="3" fontId="236" fillId="0" borderId="0" xfId="76" applyNumberFormat="1" applyFont="1" applyFill="1" applyBorder="1"/>
    <xf numFmtId="0" fontId="192" fillId="0" borderId="83" xfId="107" applyFont="1" applyBorder="1"/>
    <xf numFmtId="3" fontId="192" fillId="0" borderId="69" xfId="109" applyNumberFormat="1" applyFont="1" applyBorder="1" applyAlignment="1">
      <alignment horizontal="center"/>
    </xf>
    <xf numFmtId="4" fontId="192" fillId="0" borderId="86" xfId="107" applyNumberFormat="1" applyFont="1" applyBorder="1" applyAlignment="1">
      <alignment horizontal="center"/>
    </xf>
    <xf numFmtId="3" fontId="192" fillId="0" borderId="70" xfId="109" applyNumberFormat="1" applyFont="1" applyBorder="1" applyAlignment="1">
      <alignment horizontal="left"/>
    </xf>
    <xf numFmtId="4" fontId="192" fillId="0" borderId="70" xfId="107" applyNumberFormat="1" applyFont="1" applyBorder="1" applyAlignment="1">
      <alignment horizontal="center"/>
    </xf>
    <xf numFmtId="3" fontId="192" fillId="0" borderId="70" xfId="107" applyNumberFormat="1" applyFont="1" applyBorder="1" applyAlignment="1">
      <alignment horizontal="center"/>
    </xf>
    <xf numFmtId="0" fontId="211" fillId="0" borderId="0" xfId="107" applyFont="1" applyAlignment="1">
      <alignment horizontal="center"/>
    </xf>
    <xf numFmtId="0" fontId="101" fillId="0" borderId="17" xfId="0" applyFont="1" applyBorder="1"/>
    <xf numFmtId="2" fontId="61" fillId="0" borderId="59" xfId="77" applyNumberFormat="1" applyFont="1" applyBorder="1"/>
    <xf numFmtId="2" fontId="61" fillId="0" borderId="79" xfId="77" applyNumberFormat="1" applyFont="1" applyFill="1" applyBorder="1"/>
    <xf numFmtId="2" fontId="61" fillId="0" borderId="85" xfId="77" applyNumberFormat="1" applyFont="1" applyFill="1" applyBorder="1"/>
    <xf numFmtId="2" fontId="38" fillId="0" borderId="88" xfId="77" applyNumberFormat="1" applyFont="1" applyFill="1" applyBorder="1"/>
    <xf numFmtId="2" fontId="38" fillId="0" borderId="114" xfId="77" applyNumberFormat="1" applyFont="1" applyBorder="1"/>
    <xf numFmtId="2" fontId="61" fillId="0" borderId="68" xfId="77" applyNumberFormat="1" applyFont="1" applyBorder="1"/>
    <xf numFmtId="3" fontId="38" fillId="0" borderId="58" xfId="77" applyNumberFormat="1" applyFont="1" applyFill="1" applyBorder="1"/>
    <xf numFmtId="2" fontId="61" fillId="0" borderId="114" xfId="77" applyNumberFormat="1" applyFont="1" applyBorder="1"/>
    <xf numFmtId="2" fontId="38" fillId="0" borderId="58" xfId="77" applyNumberFormat="1" applyFont="1" applyFill="1" applyBorder="1"/>
    <xf numFmtId="2" fontId="61" fillId="0" borderId="59" xfId="77" applyNumberFormat="1" applyFont="1" applyFill="1" applyBorder="1"/>
    <xf numFmtId="2" fontId="61" fillId="0" borderId="68" xfId="77" applyNumberFormat="1" applyFont="1" applyFill="1" applyBorder="1"/>
    <xf numFmtId="2" fontId="61" fillId="0" borderId="67" xfId="77" applyNumberFormat="1" applyFont="1" applyFill="1" applyBorder="1"/>
    <xf numFmtId="2" fontId="90" fillId="0" borderId="68" xfId="77" applyNumberFormat="1" applyFont="1" applyFill="1" applyBorder="1"/>
    <xf numFmtId="2" fontId="61" fillId="0" borderId="67" xfId="77" applyNumberFormat="1" applyFont="1" applyBorder="1"/>
    <xf numFmtId="2" fontId="38" fillId="0" borderId="58" xfId="77" applyNumberFormat="1" applyFont="1" applyBorder="1"/>
    <xf numFmtId="2" fontId="61" fillId="0" borderId="109" xfId="77" applyNumberFormat="1" applyFont="1" applyBorder="1"/>
    <xf numFmtId="2" fontId="38" fillId="0" borderId="28" xfId="77" applyNumberFormat="1" applyFont="1" applyBorder="1"/>
    <xf numFmtId="0" fontId="151" fillId="0" borderId="0" xfId="94" applyFont="1" applyAlignment="1">
      <alignment horizontal="right"/>
    </xf>
    <xf numFmtId="0" fontId="240" fillId="0" borderId="94" xfId="106" applyFont="1" applyBorder="1" applyAlignment="1">
      <alignment horizontal="center" vertical="center"/>
    </xf>
    <xf numFmtId="0" fontId="240" fillId="0" borderId="61" xfId="106" applyFont="1" applyBorder="1" applyAlignment="1">
      <alignment horizontal="center" vertical="center"/>
    </xf>
    <xf numFmtId="0" fontId="240" fillId="0" borderId="28" xfId="106" applyFont="1" applyBorder="1" applyAlignment="1">
      <alignment horizontal="center" vertical="center"/>
    </xf>
    <xf numFmtId="0" fontId="240" fillId="0" borderId="115" xfId="106" applyFont="1" applyBorder="1"/>
    <xf numFmtId="3" fontId="241" fillId="0" borderId="144" xfId="106" applyNumberFormat="1" applyFont="1" applyBorder="1"/>
    <xf numFmtId="3" fontId="241" fillId="0" borderId="101" xfId="106" applyNumberFormat="1" applyFont="1" applyBorder="1"/>
    <xf numFmtId="3" fontId="241" fillId="0" borderId="139" xfId="106" applyNumberFormat="1" applyFont="1" applyBorder="1"/>
    <xf numFmtId="0" fontId="240" fillId="0" borderId="78" xfId="106" applyFont="1" applyBorder="1"/>
    <xf numFmtId="3" fontId="241" fillId="0" borderId="131" xfId="106" applyNumberFormat="1" applyFont="1" applyBorder="1"/>
    <xf numFmtId="3" fontId="241" fillId="0" borderId="32" xfId="106" applyNumberFormat="1" applyFont="1" applyBorder="1"/>
    <xf numFmtId="3" fontId="241" fillId="0" borderId="58" xfId="106" applyNumberFormat="1" applyFont="1" applyBorder="1"/>
    <xf numFmtId="0" fontId="240" fillId="0" borderId="89" xfId="106" applyFont="1" applyBorder="1"/>
    <xf numFmtId="3" fontId="241" fillId="0" borderId="145" xfId="106" applyNumberFormat="1" applyFont="1" applyBorder="1"/>
    <xf numFmtId="3" fontId="241" fillId="0" borderId="55" xfId="106" applyNumberFormat="1" applyFont="1" applyBorder="1"/>
    <xf numFmtId="3" fontId="241" fillId="0" borderId="56" xfId="106" applyNumberFormat="1" applyFont="1" applyBorder="1"/>
    <xf numFmtId="0" fontId="240" fillId="0" borderId="77" xfId="106" applyFont="1" applyBorder="1" applyAlignment="1">
      <alignment horizontal="left" vertical="center" wrapText="1"/>
    </xf>
    <xf numFmtId="3" fontId="240" fillId="0" borderId="103" xfId="106" applyNumberFormat="1" applyFont="1" applyBorder="1" applyAlignment="1">
      <alignment horizontal="right" vertical="center"/>
    </xf>
    <xf numFmtId="3" fontId="240" fillId="0" borderId="21" xfId="106" applyNumberFormat="1" applyFont="1" applyBorder="1" applyAlignment="1">
      <alignment horizontal="right" vertical="center"/>
    </xf>
    <xf numFmtId="3" fontId="240" fillId="0" borderId="60" xfId="106" applyNumberFormat="1" applyFont="1" applyBorder="1" applyAlignment="1">
      <alignment horizontal="right" vertical="center"/>
    </xf>
    <xf numFmtId="0" fontId="6" fillId="0" borderId="54" xfId="103" applyFont="1" applyBorder="1" applyAlignment="1">
      <alignment horizontal="center" vertical="center" wrapText="1"/>
    </xf>
    <xf numFmtId="3" fontId="7" fillId="0" borderId="58" xfId="103" applyNumberFormat="1" applyFont="1" applyFill="1" applyBorder="1"/>
    <xf numFmtId="3" fontId="6" fillId="0" borderId="58" xfId="103" applyNumberFormat="1" applyFont="1" applyFill="1" applyBorder="1"/>
    <xf numFmtId="3" fontId="6" fillId="0" borderId="18" xfId="103" applyNumberFormat="1" applyFont="1" applyBorder="1"/>
    <xf numFmtId="3" fontId="6" fillId="0" borderId="24" xfId="103" applyNumberFormat="1" applyFont="1" applyFill="1" applyBorder="1"/>
    <xf numFmtId="3" fontId="6" fillId="0" borderId="44" xfId="103" applyNumberFormat="1" applyFont="1" applyBorder="1"/>
    <xf numFmtId="3" fontId="7" fillId="0" borderId="135" xfId="103" applyNumberFormat="1" applyFont="1" applyFill="1" applyBorder="1"/>
    <xf numFmtId="3" fontId="6" fillId="0" borderId="76" xfId="103" applyNumberFormat="1" applyFont="1" applyBorder="1"/>
    <xf numFmtId="3" fontId="7" fillId="0" borderId="88" xfId="103" applyNumberFormat="1" applyFont="1" applyBorder="1"/>
    <xf numFmtId="3" fontId="7" fillId="0" borderId="100" xfId="103" applyNumberFormat="1" applyFont="1" applyBorder="1"/>
    <xf numFmtId="3" fontId="6" fillId="0" borderId="80" xfId="103" applyNumberFormat="1" applyFont="1" applyBorder="1"/>
    <xf numFmtId="3" fontId="36" fillId="0" borderId="0" xfId="0" applyNumberFormat="1" applyFont="1"/>
    <xf numFmtId="0" fontId="64" fillId="0" borderId="0" xfId="0" applyFont="1" applyAlignment="1">
      <alignment horizontal="center"/>
    </xf>
    <xf numFmtId="0" fontId="91" fillId="0" borderId="0" xfId="88" applyFont="1" applyAlignment="1">
      <alignment horizontal="left" vertical="top" wrapText="1"/>
    </xf>
    <xf numFmtId="0" fontId="89" fillId="0" borderId="0" xfId="88" applyFont="1" applyAlignment="1">
      <alignment horizontal="left" vertical="top" wrapText="1"/>
    </xf>
    <xf numFmtId="3" fontId="59" fillId="0" borderId="0" xfId="0" applyNumberFormat="1" applyFont="1" applyFill="1" applyAlignment="1">
      <alignment horizontal="center"/>
    </xf>
    <xf numFmtId="0" fontId="59" fillId="28" borderId="45" xfId="0" applyFont="1" applyFill="1" applyBorder="1" applyAlignment="1">
      <alignment horizontal="center"/>
    </xf>
    <xf numFmtId="3" fontId="59" fillId="0" borderId="17" xfId="0" applyNumberFormat="1" applyFont="1" applyFill="1" applyBorder="1" applyAlignment="1">
      <alignment horizontal="left"/>
    </xf>
    <xf numFmtId="3" fontId="59" fillId="0" borderId="22" xfId="0" applyNumberFormat="1" applyFont="1" applyFill="1" applyBorder="1" applyAlignment="1">
      <alignment horizontal="left"/>
    </xf>
    <xf numFmtId="3" fontId="59" fillId="0" borderId="132" xfId="0" applyNumberFormat="1" applyFont="1" applyFill="1" applyBorder="1" applyAlignment="1">
      <alignment horizontal="left"/>
    </xf>
    <xf numFmtId="3" fontId="59" fillId="0" borderId="93" xfId="0" applyNumberFormat="1" applyFont="1" applyFill="1" applyBorder="1" applyAlignment="1">
      <alignment horizontal="left"/>
    </xf>
    <xf numFmtId="3" fontId="59" fillId="0" borderId="129" xfId="0" applyNumberFormat="1" applyFont="1" applyFill="1" applyBorder="1" applyAlignment="1">
      <alignment horizontal="left"/>
    </xf>
    <xf numFmtId="3" fontId="59" fillId="0" borderId="20" xfId="0" applyNumberFormat="1" applyFont="1" applyFill="1" applyBorder="1" applyAlignment="1">
      <alignment horizontal="left"/>
    </xf>
    <xf numFmtId="3" fontId="78" fillId="0" borderId="93" xfId="0" applyNumberFormat="1" applyFont="1" applyFill="1" applyBorder="1" applyAlignment="1">
      <alignment horizontal="left"/>
    </xf>
    <xf numFmtId="3" fontId="78" fillId="0" borderId="129" xfId="0" applyNumberFormat="1" applyFont="1" applyFill="1" applyBorder="1" applyAlignment="1">
      <alignment horizontal="left"/>
    </xf>
    <xf numFmtId="0" fontId="78" fillId="0" borderId="20" xfId="0" applyFont="1" applyFill="1" applyBorder="1" applyAlignment="1" applyProtection="1">
      <alignment horizontal="left"/>
    </xf>
    <xf numFmtId="0" fontId="78" fillId="0" borderId="93" xfId="0" applyFont="1" applyFill="1" applyBorder="1" applyAlignment="1" applyProtection="1">
      <alignment horizontal="left"/>
    </xf>
    <xf numFmtId="0" fontId="78" fillId="0" borderId="129" xfId="0" applyFont="1" applyFill="1" applyBorder="1" applyAlignment="1" applyProtection="1">
      <alignment horizontal="left"/>
    </xf>
    <xf numFmtId="0" fontId="71" fillId="0" borderId="0" xfId="0" applyFont="1" applyFill="1" applyBorder="1" applyAlignment="1" applyProtection="1">
      <alignment horizontal="left" wrapText="1"/>
    </xf>
    <xf numFmtId="0" fontId="71" fillId="0" borderId="86" xfId="0" applyFont="1" applyFill="1" applyBorder="1" applyAlignment="1" applyProtection="1">
      <alignment horizontal="left" wrapText="1"/>
    </xf>
    <xf numFmtId="0" fontId="63" fillId="0" borderId="37" xfId="77" applyFont="1" applyFill="1" applyBorder="1" applyAlignment="1">
      <alignment horizontal="left" wrapText="1"/>
    </xf>
    <xf numFmtId="0" fontId="72" fillId="0" borderId="37" xfId="0" applyFont="1" applyBorder="1" applyAlignment="1">
      <alignment wrapText="1"/>
    </xf>
    <xf numFmtId="0" fontId="72" fillId="0" borderId="79" xfId="0" applyFont="1" applyBorder="1" applyAlignment="1">
      <alignment wrapText="1"/>
    </xf>
    <xf numFmtId="0" fontId="17" fillId="0" borderId="0" xfId="0" applyFont="1" applyFill="1" applyAlignment="1">
      <alignment horizontal="center"/>
    </xf>
    <xf numFmtId="0" fontId="71" fillId="0" borderId="0" xfId="0" applyFont="1" applyFill="1" applyBorder="1" applyAlignment="1" applyProtection="1">
      <alignment wrapText="1"/>
    </xf>
    <xf numFmtId="0" fontId="83" fillId="0" borderId="0" xfId="0" applyFont="1" applyBorder="1" applyAlignment="1"/>
    <xf numFmtId="0" fontId="83" fillId="0" borderId="86" xfId="0" applyFont="1" applyBorder="1" applyAlignment="1"/>
    <xf numFmtId="0" fontId="59" fillId="28" borderId="121" xfId="0" applyFont="1" applyFill="1" applyBorder="1" applyAlignment="1">
      <alignment horizontal="center"/>
    </xf>
    <xf numFmtId="0" fontId="59" fillId="28" borderId="122" xfId="0" applyFont="1" applyFill="1" applyBorder="1" applyAlignment="1">
      <alignment horizontal="center"/>
    </xf>
    <xf numFmtId="0" fontId="63" fillId="0" borderId="37" xfId="0" applyFont="1" applyFill="1" applyBorder="1" applyAlignment="1" applyProtection="1">
      <alignment horizontal="left" wrapText="1"/>
    </xf>
    <xf numFmtId="0" fontId="63" fillId="0" borderId="79" xfId="0" applyFont="1" applyFill="1" applyBorder="1" applyAlignment="1" applyProtection="1">
      <alignment horizontal="left" wrapText="1"/>
    </xf>
    <xf numFmtId="0" fontId="75" fillId="0" borderId="0" xfId="0" applyFont="1" applyFill="1" applyAlignment="1">
      <alignment horizontal="center"/>
    </xf>
    <xf numFmtId="0" fontId="63" fillId="0" borderId="79" xfId="77" applyFont="1" applyFill="1" applyBorder="1" applyAlignment="1">
      <alignment horizontal="left" wrapText="1"/>
    </xf>
    <xf numFmtId="0" fontId="63" fillId="0" borderId="37" xfId="0" applyFont="1" applyBorder="1" applyAlignment="1">
      <alignment horizontal="left" wrapText="1"/>
    </xf>
    <xf numFmtId="0" fontId="63" fillId="0" borderId="79" xfId="0" applyFont="1" applyBorder="1" applyAlignment="1">
      <alignment horizontal="left" wrapText="1"/>
    </xf>
    <xf numFmtId="0" fontId="63" fillId="0" borderId="37" xfId="0" applyFont="1" applyFill="1" applyBorder="1" applyAlignment="1" applyProtection="1"/>
    <xf numFmtId="0" fontId="72" fillId="0" borderId="37" xfId="0" applyFont="1" applyBorder="1" applyAlignment="1"/>
    <xf numFmtId="0" fontId="72" fillId="0" borderId="79" xfId="0" applyFont="1" applyBorder="1" applyAlignment="1"/>
    <xf numFmtId="0" fontId="63" fillId="0" borderId="37" xfId="77" applyFont="1" applyFill="1" applyBorder="1" applyAlignment="1">
      <alignment horizontal="left"/>
    </xf>
    <xf numFmtId="0" fontId="63" fillId="0" borderId="37" xfId="0" applyFont="1" applyFill="1" applyBorder="1" applyAlignment="1">
      <alignment horizontal="left"/>
    </xf>
    <xf numFmtId="0" fontId="63" fillId="0" borderId="37" xfId="0" applyFont="1" applyFill="1" applyBorder="1" applyAlignment="1">
      <alignment horizontal="left" wrapText="1"/>
    </xf>
    <xf numFmtId="0" fontId="59" fillId="0" borderId="0" xfId="77" applyFont="1" applyFill="1" applyBorder="1" applyAlignment="1">
      <alignment horizontal="left" wrapText="1"/>
    </xf>
    <xf numFmtId="0" fontId="59" fillId="0" borderId="86" xfId="77" applyFont="1" applyFill="1" applyBorder="1" applyAlignment="1">
      <alignment horizontal="left" wrapText="1"/>
    </xf>
    <xf numFmtId="3" fontId="205" fillId="0" borderId="23" xfId="76" applyNumberFormat="1" applyFont="1" applyFill="1" applyBorder="1" applyAlignment="1">
      <alignment horizontal="center" vertical="center"/>
    </xf>
    <xf numFmtId="3" fontId="205" fillId="0" borderId="46" xfId="76" applyNumberFormat="1" applyFont="1" applyFill="1" applyBorder="1" applyAlignment="1">
      <alignment horizontal="center" vertical="center"/>
    </xf>
    <xf numFmtId="3" fontId="205" fillId="0" borderId="53" xfId="76" applyNumberFormat="1" applyFont="1" applyFill="1" applyBorder="1" applyAlignment="1">
      <alignment horizontal="center" vertical="center"/>
    </xf>
    <xf numFmtId="3" fontId="205" fillId="0" borderId="19" xfId="76" applyNumberFormat="1" applyFont="1" applyFill="1" applyBorder="1" applyAlignment="1">
      <alignment horizontal="center" vertical="center"/>
    </xf>
    <xf numFmtId="3" fontId="205" fillId="0" borderId="16" xfId="76" applyNumberFormat="1" applyFont="1" applyFill="1" applyBorder="1" applyAlignment="1">
      <alignment horizontal="center" vertical="center"/>
    </xf>
    <xf numFmtId="3" fontId="205" fillId="0" borderId="84" xfId="76" applyNumberFormat="1" applyFont="1" applyFill="1" applyBorder="1" applyAlignment="1">
      <alignment horizontal="center" vertical="center"/>
    </xf>
    <xf numFmtId="0" fontId="236" fillId="0" borderId="0" xfId="76" applyFont="1" applyAlignment="1">
      <alignment horizontal="center"/>
    </xf>
    <xf numFmtId="3" fontId="236" fillId="0" borderId="0" xfId="76" applyNumberFormat="1" applyFont="1" applyFill="1" applyAlignment="1">
      <alignment horizontal="center"/>
    </xf>
    <xf numFmtId="3" fontId="236" fillId="0" borderId="0" xfId="76" applyNumberFormat="1" applyFont="1" applyFill="1" applyBorder="1" applyAlignment="1">
      <alignment horizontal="center"/>
    </xf>
    <xf numFmtId="3" fontId="205" fillId="0" borderId="23" xfId="76" applyNumberFormat="1" applyFont="1" applyFill="1" applyBorder="1" applyAlignment="1">
      <alignment horizontal="center" vertical="center" wrapText="1"/>
    </xf>
    <xf numFmtId="3" fontId="205" fillId="0" borderId="46" xfId="76" applyNumberFormat="1" applyFont="1" applyFill="1" applyBorder="1" applyAlignment="1">
      <alignment horizontal="center" vertical="center" wrapText="1"/>
    </xf>
    <xf numFmtId="3" fontId="205" fillId="0" borderId="53" xfId="76" applyNumberFormat="1" applyFont="1" applyFill="1" applyBorder="1" applyAlignment="1">
      <alignment horizontal="center" vertical="center" wrapText="1"/>
    </xf>
    <xf numFmtId="3" fontId="205" fillId="0" borderId="19" xfId="76" applyNumberFormat="1" applyFont="1" applyFill="1" applyBorder="1" applyAlignment="1">
      <alignment horizontal="center" vertical="center" wrapText="1"/>
    </xf>
    <xf numFmtId="3" fontId="205" fillId="0" borderId="16" xfId="76" applyNumberFormat="1" applyFont="1" applyFill="1" applyBorder="1" applyAlignment="1">
      <alignment horizontal="center" vertical="center" wrapText="1"/>
    </xf>
    <xf numFmtId="3" fontId="205" fillId="0" borderId="84" xfId="76" applyNumberFormat="1" applyFont="1" applyFill="1" applyBorder="1" applyAlignment="1">
      <alignment horizontal="center" vertical="center" wrapText="1"/>
    </xf>
    <xf numFmtId="3" fontId="205" fillId="0" borderId="20" xfId="76" applyNumberFormat="1" applyFont="1" applyFill="1" applyBorder="1" applyAlignment="1">
      <alignment horizontal="center" vertical="center"/>
    </xf>
    <xf numFmtId="3" fontId="205" fillId="0" borderId="93" xfId="76" applyNumberFormat="1" applyFont="1" applyFill="1" applyBorder="1" applyAlignment="1">
      <alignment horizontal="center" vertical="center"/>
    </xf>
    <xf numFmtId="3" fontId="205" fillId="0" borderId="81" xfId="76" applyNumberFormat="1" applyFont="1" applyFill="1" applyBorder="1" applyAlignment="1">
      <alignment horizontal="center" vertical="center"/>
    </xf>
    <xf numFmtId="3" fontId="203" fillId="0" borderId="23" xfId="76" applyNumberFormat="1" applyFont="1" applyFill="1" applyBorder="1" applyAlignment="1">
      <alignment horizontal="center" wrapText="1"/>
    </xf>
    <xf numFmtId="3" fontId="203" fillId="0" borderId="46" xfId="76" applyNumberFormat="1" applyFont="1" applyFill="1" applyBorder="1" applyAlignment="1">
      <alignment horizontal="center" wrapText="1"/>
    </xf>
    <xf numFmtId="3" fontId="203" fillId="0" borderId="53" xfId="76" applyNumberFormat="1" applyFont="1" applyFill="1" applyBorder="1" applyAlignment="1">
      <alignment horizontal="center" wrapText="1"/>
    </xf>
    <xf numFmtId="3" fontId="203" fillId="0" borderId="19" xfId="76" applyNumberFormat="1" applyFont="1" applyFill="1" applyBorder="1" applyAlignment="1">
      <alignment horizontal="center" wrapText="1"/>
    </xf>
    <xf numFmtId="3" fontId="203" fillId="0" borderId="16" xfId="76" applyNumberFormat="1" applyFont="1" applyFill="1" applyBorder="1" applyAlignment="1">
      <alignment horizontal="center" wrapText="1"/>
    </xf>
    <xf numFmtId="3" fontId="203" fillId="0" borderId="84" xfId="76" applyNumberFormat="1" applyFont="1" applyFill="1" applyBorder="1" applyAlignment="1">
      <alignment horizontal="center" wrapText="1"/>
    </xf>
    <xf numFmtId="0" fontId="7" fillId="0" borderId="0" xfId="112" applyFont="1" applyAlignment="1">
      <alignment wrapText="1"/>
    </xf>
    <xf numFmtId="0" fontId="1" fillId="0" borderId="0" xfId="114" applyAlignment="1">
      <alignment wrapText="1"/>
    </xf>
    <xf numFmtId="0" fontId="79" fillId="0" borderId="0" xfId="112" applyFont="1" applyAlignment="1">
      <alignment horizontal="center"/>
    </xf>
    <xf numFmtId="3" fontId="204" fillId="0" borderId="23" xfId="76" applyNumberFormat="1" applyFont="1" applyFill="1" applyBorder="1" applyAlignment="1">
      <alignment horizontal="center" vertical="center"/>
    </xf>
    <xf numFmtId="3" fontId="204" fillId="0" borderId="46" xfId="76" applyNumberFormat="1" applyFont="1" applyFill="1" applyBorder="1" applyAlignment="1">
      <alignment horizontal="center" vertical="center"/>
    </xf>
    <xf numFmtId="3" fontId="204" fillId="0" borderId="53" xfId="76" applyNumberFormat="1" applyFont="1" applyFill="1" applyBorder="1" applyAlignment="1">
      <alignment horizontal="center" vertical="center"/>
    </xf>
    <xf numFmtId="3" fontId="204" fillId="0" borderId="18" xfId="76" applyNumberFormat="1" applyFont="1" applyFill="1" applyBorder="1" applyAlignment="1">
      <alignment horizontal="center" vertical="center"/>
    </xf>
    <xf numFmtId="3" fontId="204" fillId="0" borderId="0" xfId="76" applyNumberFormat="1" applyFont="1" applyFill="1" applyBorder="1" applyAlignment="1">
      <alignment horizontal="center" vertical="center"/>
    </xf>
    <xf numFmtId="3" fontId="204" fillId="0" borderId="86" xfId="76" applyNumberFormat="1" applyFont="1" applyFill="1" applyBorder="1" applyAlignment="1">
      <alignment horizontal="center" vertical="center"/>
    </xf>
    <xf numFmtId="3" fontId="204" fillId="0" borderId="19" xfId="76" applyNumberFormat="1" applyFont="1" applyFill="1" applyBorder="1" applyAlignment="1">
      <alignment horizontal="center" vertical="center"/>
    </xf>
    <xf numFmtId="3" fontId="204" fillId="0" borderId="16" xfId="76" applyNumberFormat="1" applyFont="1" applyFill="1" applyBorder="1" applyAlignment="1">
      <alignment horizontal="center" vertical="center"/>
    </xf>
    <xf numFmtId="3" fontId="204" fillId="0" borderId="84" xfId="76" applyNumberFormat="1" applyFont="1" applyFill="1" applyBorder="1" applyAlignment="1">
      <alignment horizontal="center" vertical="center"/>
    </xf>
    <xf numFmtId="3" fontId="237" fillId="0" borderId="0" xfId="76" applyNumberFormat="1" applyFont="1" applyFill="1" applyBorder="1" applyAlignment="1">
      <alignment horizontal="center"/>
    </xf>
    <xf numFmtId="3" fontId="204" fillId="0" borderId="23" xfId="76" applyNumberFormat="1" applyFont="1" applyFill="1" applyBorder="1" applyAlignment="1">
      <alignment horizontal="center" vertical="center" wrapText="1"/>
    </xf>
    <xf numFmtId="3" fontId="204" fillId="0" borderId="46" xfId="76" applyNumberFormat="1" applyFont="1" applyFill="1" applyBorder="1" applyAlignment="1">
      <alignment horizontal="center" vertical="center" wrapText="1"/>
    </xf>
    <xf numFmtId="3" fontId="204" fillId="0" borderId="53" xfId="76" applyNumberFormat="1" applyFont="1" applyFill="1" applyBorder="1" applyAlignment="1">
      <alignment horizontal="center" vertical="center" wrapText="1"/>
    </xf>
    <xf numFmtId="3" fontId="204" fillId="0" borderId="18" xfId="76" applyNumberFormat="1" applyFont="1" applyFill="1" applyBorder="1" applyAlignment="1">
      <alignment horizontal="center" vertical="center" wrapText="1"/>
    </xf>
    <xf numFmtId="3" fontId="204" fillId="0" borderId="0" xfId="76" applyNumberFormat="1" applyFont="1" applyFill="1" applyBorder="1" applyAlignment="1">
      <alignment horizontal="center" vertical="center" wrapText="1"/>
    </xf>
    <xf numFmtId="3" fontId="204" fillId="0" borderId="86" xfId="76" applyNumberFormat="1" applyFont="1" applyFill="1" applyBorder="1" applyAlignment="1">
      <alignment horizontal="center" vertical="center" wrapText="1"/>
    </xf>
    <xf numFmtId="3" fontId="204" fillId="0" borderId="19" xfId="76" applyNumberFormat="1" applyFont="1" applyFill="1" applyBorder="1" applyAlignment="1">
      <alignment horizontal="center" vertical="center" wrapText="1"/>
    </xf>
    <xf numFmtId="3" fontId="204" fillId="0" borderId="16" xfId="76" applyNumberFormat="1" applyFont="1" applyFill="1" applyBorder="1" applyAlignment="1">
      <alignment horizontal="center" vertical="center" wrapText="1"/>
    </xf>
    <xf numFmtId="3" fontId="204" fillId="0" borderId="84" xfId="76" applyNumberFormat="1" applyFont="1" applyFill="1" applyBorder="1" applyAlignment="1">
      <alignment horizontal="center" vertical="center" wrapText="1"/>
    </xf>
    <xf numFmtId="4" fontId="192" fillId="0" borderId="20" xfId="107" applyNumberFormat="1" applyFont="1" applyBorder="1" applyAlignment="1">
      <alignment horizontal="center"/>
    </xf>
    <xf numFmtId="4" fontId="192" fillId="0" borderId="81" xfId="107" applyNumberFormat="1" applyFont="1" applyBorder="1" applyAlignment="1">
      <alignment horizontal="center"/>
    </xf>
    <xf numFmtId="0" fontId="211" fillId="0" borderId="0" xfId="107" applyFont="1" applyAlignment="1">
      <alignment horizontal="center"/>
    </xf>
    <xf numFmtId="0" fontId="75" fillId="0" borderId="16" xfId="107" applyFont="1" applyBorder="1" applyAlignment="1">
      <alignment horizontal="center"/>
    </xf>
    <xf numFmtId="0" fontId="192" fillId="28" borderId="20" xfId="107" applyFont="1" applyFill="1" applyBorder="1" applyAlignment="1">
      <alignment horizontal="center" vertical="center"/>
    </xf>
    <xf numFmtId="0" fontId="192" fillId="28" borderId="93" xfId="107" applyFont="1" applyFill="1" applyBorder="1" applyAlignment="1">
      <alignment horizontal="center" vertical="center"/>
    </xf>
    <xf numFmtId="0" fontId="192" fillId="28" borderId="81" xfId="107" applyFont="1" applyFill="1" applyBorder="1" applyAlignment="1">
      <alignment horizontal="center" vertical="center"/>
    </xf>
    <xf numFmtId="0" fontId="192" fillId="0" borderId="23" xfId="107" applyFont="1" applyBorder="1" applyAlignment="1">
      <alignment horizontal="center" vertical="center" wrapText="1"/>
    </xf>
    <xf numFmtId="0" fontId="192" fillId="0" borderId="53" xfId="107" applyFont="1" applyBorder="1" applyAlignment="1">
      <alignment horizontal="center" vertical="center" wrapText="1"/>
    </xf>
    <xf numFmtId="0" fontId="192" fillId="0" borderId="19" xfId="107" applyFont="1" applyBorder="1" applyAlignment="1">
      <alignment horizontal="center" vertical="center" wrapText="1"/>
    </xf>
    <xf numFmtId="0" fontId="192" fillId="0" borderId="84" xfId="107" applyFont="1" applyBorder="1" applyAlignment="1">
      <alignment horizontal="center" vertical="center" wrapText="1"/>
    </xf>
    <xf numFmtId="4" fontId="192" fillId="0" borderId="19" xfId="107" applyNumberFormat="1" applyFont="1" applyBorder="1" applyAlignment="1">
      <alignment horizontal="center"/>
    </xf>
    <xf numFmtId="4" fontId="192" fillId="0" borderId="16" xfId="107" applyNumberFormat="1" applyFont="1" applyBorder="1" applyAlignment="1">
      <alignment horizontal="center"/>
    </xf>
    <xf numFmtId="4" fontId="192" fillId="0" borderId="93" xfId="107" applyNumberFormat="1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38" fillId="28" borderId="123" xfId="0" applyFont="1" applyFill="1" applyBorder="1" applyAlignment="1">
      <alignment horizontal="center"/>
    </xf>
    <xf numFmtId="0" fontId="38" fillId="28" borderId="124" xfId="0" applyFont="1" applyFill="1" applyBorder="1" applyAlignment="1">
      <alignment horizontal="center"/>
    </xf>
    <xf numFmtId="0" fontId="74" fillId="0" borderId="0" xfId="0" applyFont="1" applyFill="1" applyAlignment="1">
      <alignment horizontal="center"/>
    </xf>
    <xf numFmtId="0" fontId="92" fillId="28" borderId="46" xfId="0" applyFont="1" applyFill="1" applyBorder="1" applyAlignment="1">
      <alignment horizontal="center"/>
    </xf>
    <xf numFmtId="0" fontId="101" fillId="28" borderId="46" xfId="0" applyFont="1" applyFill="1" applyBorder="1" applyAlignment="1">
      <alignment horizontal="center"/>
    </xf>
    <xf numFmtId="3" fontId="6" fillId="0" borderId="0" xfId="0" applyNumberFormat="1" applyFont="1" applyFill="1" applyAlignment="1">
      <alignment horizontal="center"/>
    </xf>
    <xf numFmtId="3" fontId="74" fillId="0" borderId="0" xfId="0" applyNumberFormat="1" applyFont="1" applyAlignment="1">
      <alignment horizontal="center"/>
    </xf>
    <xf numFmtId="0" fontId="101" fillId="28" borderId="47" xfId="0" applyFont="1" applyFill="1" applyBorder="1" applyAlignment="1">
      <alignment horizontal="center"/>
    </xf>
    <xf numFmtId="0" fontId="101" fillId="28" borderId="63" xfId="0" applyFont="1" applyFill="1" applyBorder="1" applyAlignment="1">
      <alignment horizontal="center"/>
    </xf>
    <xf numFmtId="0" fontId="74" fillId="0" borderId="0" xfId="0" applyFont="1" applyAlignment="1">
      <alignment horizontal="center"/>
    </xf>
    <xf numFmtId="0" fontId="79" fillId="28" borderId="47" xfId="0" applyFont="1" applyFill="1" applyBorder="1" applyAlignment="1">
      <alignment horizontal="center"/>
    </xf>
    <xf numFmtId="0" fontId="79" fillId="28" borderId="63" xfId="0" applyFont="1" applyFill="1" applyBorder="1" applyAlignment="1">
      <alignment horizontal="center"/>
    </xf>
    <xf numFmtId="0" fontId="79" fillId="28" borderId="121" xfId="0" applyFont="1" applyFill="1" applyBorder="1" applyAlignment="1">
      <alignment horizontal="center"/>
    </xf>
    <xf numFmtId="0" fontId="79" fillId="28" borderId="122" xfId="0" applyFont="1" applyFill="1" applyBorder="1" applyAlignment="1">
      <alignment horizontal="center"/>
    </xf>
    <xf numFmtId="0" fontId="75" fillId="0" borderId="0" xfId="0" applyFont="1" applyAlignment="1">
      <alignment horizontal="center"/>
    </xf>
    <xf numFmtId="0" fontId="101" fillId="0" borderId="20" xfId="0" applyFont="1" applyFill="1" applyBorder="1" applyAlignment="1" applyProtection="1">
      <alignment horizontal="left" wrapText="1"/>
    </xf>
    <xf numFmtId="0" fontId="101" fillId="0" borderId="93" xfId="0" applyFont="1" applyFill="1" applyBorder="1" applyAlignment="1" applyProtection="1">
      <alignment horizontal="left" wrapText="1"/>
    </xf>
    <xf numFmtId="0" fontId="101" fillId="0" borderId="129" xfId="0" applyFont="1" applyFill="1" applyBorder="1" applyAlignment="1" applyProtection="1">
      <alignment horizontal="left" wrapText="1"/>
    </xf>
    <xf numFmtId="0" fontId="101" fillId="0" borderId="20" xfId="0" applyFont="1" applyFill="1" applyBorder="1" applyAlignment="1" applyProtection="1">
      <alignment horizontal="left"/>
    </xf>
    <xf numFmtId="0" fontId="101" fillId="0" borderId="93" xfId="0" applyFont="1" applyFill="1" applyBorder="1" applyAlignment="1" applyProtection="1">
      <alignment horizontal="left"/>
    </xf>
    <xf numFmtId="0" fontId="101" fillId="0" borderId="129" xfId="0" applyFont="1" applyFill="1" applyBorder="1" applyAlignment="1" applyProtection="1">
      <alignment horizontal="left"/>
    </xf>
    <xf numFmtId="0" fontId="101" fillId="0" borderId="23" xfId="0" applyFont="1" applyFill="1" applyBorder="1" applyAlignment="1">
      <alignment horizontal="center"/>
    </xf>
    <xf numFmtId="0" fontId="101" fillId="0" borderId="46" xfId="0" applyFont="1" applyFill="1" applyBorder="1" applyAlignment="1">
      <alignment horizontal="center"/>
    </xf>
    <xf numFmtId="0" fontId="101" fillId="28" borderId="123" xfId="0" applyFont="1" applyFill="1" applyBorder="1" applyAlignment="1">
      <alignment horizontal="center"/>
    </xf>
    <xf numFmtId="0" fontId="101" fillId="28" borderId="124" xfId="0" applyFont="1" applyFill="1" applyBorder="1" applyAlignment="1">
      <alignment horizontal="center"/>
    </xf>
    <xf numFmtId="0" fontId="102" fillId="0" borderId="127" xfId="0" applyFont="1" applyBorder="1" applyAlignment="1">
      <alignment horizontal="left" wrapText="1"/>
    </xf>
    <xf numFmtId="0" fontId="102" fillId="0" borderId="119" xfId="0" applyFont="1" applyBorder="1" applyAlignment="1">
      <alignment horizontal="left" wrapText="1"/>
    </xf>
    <xf numFmtId="0" fontId="102" fillId="0" borderId="128" xfId="0" applyFont="1" applyBorder="1" applyAlignment="1">
      <alignment horizontal="left" wrapText="1"/>
    </xf>
    <xf numFmtId="0" fontId="16" fillId="0" borderId="0" xfId="0" applyFont="1" applyFill="1" applyAlignment="1">
      <alignment horizontal="center"/>
    </xf>
    <xf numFmtId="0" fontId="74" fillId="0" borderId="0" xfId="0" applyFont="1" applyAlignment="1" applyProtection="1">
      <alignment horizontal="center"/>
    </xf>
    <xf numFmtId="0" fontId="59" fillId="0" borderId="0" xfId="77" applyFont="1" applyFill="1" applyAlignment="1">
      <alignment horizontal="center"/>
    </xf>
    <xf numFmtId="0" fontId="101" fillId="0" borderId="26" xfId="77" applyFont="1" applyFill="1" applyBorder="1" applyAlignment="1">
      <alignment horizontal="left"/>
    </xf>
    <xf numFmtId="0" fontId="101" fillId="0" borderId="88" xfId="77" applyFont="1" applyFill="1" applyBorder="1" applyAlignment="1">
      <alignment horizontal="left"/>
    </xf>
    <xf numFmtId="0" fontId="101" fillId="28" borderId="121" xfId="0" applyFont="1" applyFill="1" applyBorder="1" applyAlignment="1">
      <alignment horizontal="center"/>
    </xf>
    <xf numFmtId="0" fontId="101" fillId="28" borderId="122" xfId="0" applyFont="1" applyFill="1" applyBorder="1" applyAlignment="1">
      <alignment horizontal="center"/>
    </xf>
    <xf numFmtId="0" fontId="6" fillId="0" borderId="0" xfId="77" applyFont="1" applyFill="1" applyBorder="1" applyAlignment="1">
      <alignment horizontal="center"/>
    </xf>
    <xf numFmtId="0" fontId="6" fillId="28" borderId="0" xfId="0" applyFont="1" applyFill="1" applyBorder="1" applyAlignment="1">
      <alignment horizontal="center"/>
    </xf>
    <xf numFmtId="0" fontId="101" fillId="0" borderId="17" xfId="77" applyFont="1" applyFill="1" applyBorder="1" applyAlignment="1">
      <alignment horizontal="left"/>
    </xf>
    <xf numFmtId="0" fontId="101" fillId="0" borderId="80" xfId="77" applyFont="1" applyFill="1" applyBorder="1" applyAlignment="1">
      <alignment horizontal="left"/>
    </xf>
    <xf numFmtId="0" fontId="17" fillId="0" borderId="0" xfId="77" applyFont="1" applyAlignment="1">
      <alignment horizontal="center"/>
    </xf>
    <xf numFmtId="0" fontId="38" fillId="0" borderId="23" xfId="77" applyFont="1" applyBorder="1" applyAlignment="1">
      <alignment horizontal="center"/>
    </xf>
    <xf numFmtId="0" fontId="38" fillId="0" borderId="46" xfId="77" applyFont="1" applyBorder="1" applyAlignment="1">
      <alignment horizontal="center"/>
    </xf>
    <xf numFmtId="0" fontId="38" fillId="28" borderId="47" xfId="0" applyFont="1" applyFill="1" applyBorder="1" applyAlignment="1">
      <alignment horizontal="center"/>
    </xf>
    <xf numFmtId="0" fontId="38" fillId="28" borderId="63" xfId="0" applyFont="1" applyFill="1" applyBorder="1" applyAlignment="1">
      <alignment horizontal="center"/>
    </xf>
    <xf numFmtId="0" fontId="74" fillId="0" borderId="0" xfId="77" applyFont="1" applyAlignment="1">
      <alignment horizontal="center"/>
    </xf>
    <xf numFmtId="0" fontId="126" fillId="0" borderId="0" xfId="0" applyFont="1" applyAlignment="1">
      <alignment horizontal="center"/>
    </xf>
    <xf numFmtId="0" fontId="12" fillId="0" borderId="0" xfId="78" applyFont="1" applyAlignment="1">
      <alignment horizontal="center"/>
    </xf>
    <xf numFmtId="0" fontId="73" fillId="0" borderId="0" xfId="77" applyFont="1" applyFill="1" applyAlignment="1">
      <alignment horizontal="center"/>
    </xf>
    <xf numFmtId="0" fontId="129" fillId="0" borderId="0" xfId="77" applyFont="1" applyFill="1" applyAlignment="1">
      <alignment horizontal="center"/>
    </xf>
    <xf numFmtId="0" fontId="137" fillId="0" borderId="0" xfId="91" applyFont="1" applyAlignment="1">
      <alignment horizontal="center"/>
    </xf>
    <xf numFmtId="0" fontId="126" fillId="0" borderId="0" xfId="91" applyFont="1" applyAlignment="1">
      <alignment horizontal="center"/>
    </xf>
    <xf numFmtId="0" fontId="137" fillId="0" borderId="0" xfId="91" applyFont="1" applyBorder="1" applyAlignment="1">
      <alignment horizontal="center"/>
    </xf>
    <xf numFmtId="0" fontId="6" fillId="0" borderId="23" xfId="77" applyFont="1" applyFill="1" applyBorder="1" applyAlignment="1">
      <alignment horizontal="center"/>
    </xf>
    <xf numFmtId="0" fontId="6" fillId="0" borderId="46" xfId="77" applyFont="1" applyFill="1" applyBorder="1" applyAlignment="1">
      <alignment horizontal="center"/>
    </xf>
    <xf numFmtId="0" fontId="10" fillId="0" borderId="18" xfId="92" applyFont="1" applyBorder="1" applyAlignment="1">
      <alignment wrapText="1"/>
    </xf>
    <xf numFmtId="0" fontId="0" fillId="0" borderId="86" xfId="0" applyBorder="1" applyAlignment="1">
      <alignment wrapText="1"/>
    </xf>
    <xf numFmtId="0" fontId="16" fillId="0" borderId="26" xfId="92" applyFont="1" applyBorder="1" applyAlignment="1">
      <alignment wrapText="1"/>
    </xf>
    <xf numFmtId="0" fontId="141" fillId="0" borderId="88" xfId="0" applyFont="1" applyBorder="1" applyAlignment="1"/>
    <xf numFmtId="0" fontId="0" fillId="0" borderId="88" xfId="0" applyBorder="1" applyAlignment="1">
      <alignment wrapText="1"/>
    </xf>
    <xf numFmtId="0" fontId="143" fillId="0" borderId="20" xfId="92" applyFont="1" applyBorder="1" applyAlignment="1">
      <alignment wrapText="1"/>
    </xf>
    <xf numFmtId="0" fontId="141" fillId="0" borderId="81" xfId="0" applyFont="1" applyBorder="1" applyAlignment="1">
      <alignment wrapText="1"/>
    </xf>
    <xf numFmtId="0" fontId="137" fillId="0" borderId="0" xfId="0" applyFont="1" applyAlignment="1">
      <alignment horizontal="center"/>
    </xf>
    <xf numFmtId="0" fontId="126" fillId="0" borderId="0" xfId="92" applyFont="1" applyBorder="1" applyAlignment="1">
      <alignment horizontal="center"/>
    </xf>
    <xf numFmtId="0" fontId="140" fillId="0" borderId="0" xfId="0" applyFont="1" applyAlignment="1"/>
    <xf numFmtId="0" fontId="136" fillId="0" borderId="23" xfId="92" applyFont="1" applyBorder="1" applyAlignment="1">
      <alignment horizontal="center"/>
    </xf>
    <xf numFmtId="0" fontId="141" fillId="0" borderId="53" xfId="0" applyFont="1" applyBorder="1" applyAlignment="1">
      <alignment horizontal="center"/>
    </xf>
    <xf numFmtId="0" fontId="136" fillId="0" borderId="17" xfId="92" applyFont="1" applyBorder="1" applyAlignment="1">
      <alignment wrapText="1"/>
    </xf>
    <xf numFmtId="0" fontId="141" fillId="0" borderId="80" xfId="0" applyFont="1" applyBorder="1" applyAlignment="1"/>
    <xf numFmtId="0" fontId="141" fillId="0" borderId="86" xfId="0" applyFont="1" applyBorder="1" applyAlignment="1">
      <alignment wrapText="1"/>
    </xf>
    <xf numFmtId="0" fontId="143" fillId="0" borderId="18" xfId="92" applyFont="1" applyBorder="1" applyAlignment="1">
      <alignment wrapText="1"/>
    </xf>
    <xf numFmtId="0" fontId="0" fillId="0" borderId="88" xfId="0" applyBorder="1" applyAlignment="1"/>
    <xf numFmtId="0" fontId="147" fillId="0" borderId="26" xfId="92" applyFont="1" applyBorder="1" applyAlignment="1">
      <alignment wrapText="1"/>
    </xf>
    <xf numFmtId="0" fontId="146" fillId="0" borderId="88" xfId="0" applyFont="1" applyBorder="1" applyAlignment="1"/>
    <xf numFmtId="0" fontId="148" fillId="0" borderId="20" xfId="92" applyFont="1" applyBorder="1" applyAlignment="1">
      <alignment wrapText="1"/>
    </xf>
    <xf numFmtId="0" fontId="146" fillId="0" borderId="81" xfId="0" applyFont="1" applyBorder="1" applyAlignment="1">
      <alignment wrapText="1"/>
    </xf>
    <xf numFmtId="0" fontId="137" fillId="0" borderId="0" xfId="92" applyFont="1" applyBorder="1" applyAlignment="1">
      <alignment horizontal="center"/>
    </xf>
    <xf numFmtId="0" fontId="145" fillId="0" borderId="23" xfId="92" applyFont="1" applyBorder="1" applyAlignment="1">
      <alignment horizontal="center"/>
    </xf>
    <xf numFmtId="0" fontId="146" fillId="0" borderId="53" xfId="0" applyFont="1" applyBorder="1" applyAlignment="1">
      <alignment horizontal="center"/>
    </xf>
    <xf numFmtId="0" fontId="103" fillId="0" borderId="16" xfId="93" applyFont="1" applyBorder="1" applyAlignment="1">
      <alignment horizontal="center"/>
    </xf>
    <xf numFmtId="0" fontId="59" fillId="0" borderId="0" xfId="93" applyFont="1" applyAlignment="1">
      <alignment horizontal="center"/>
    </xf>
    <xf numFmtId="0" fontId="102" fillId="0" borderId="0" xfId="93" applyFont="1" applyAlignment="1">
      <alignment horizontal="center"/>
    </xf>
    <xf numFmtId="0" fontId="103" fillId="0" borderId="0" xfId="93" applyFont="1" applyAlignment="1">
      <alignment horizontal="center"/>
    </xf>
    <xf numFmtId="0" fontId="151" fillId="0" borderId="24" xfId="94" applyFont="1" applyFill="1" applyBorder="1" applyAlignment="1">
      <alignment wrapText="1"/>
    </xf>
    <xf numFmtId="0" fontId="140" fillId="0" borderId="24" xfId="0" applyFont="1" applyFill="1" applyBorder="1" applyAlignment="1"/>
    <xf numFmtId="0" fontId="140" fillId="0" borderId="140" xfId="0" applyFont="1" applyFill="1" applyBorder="1" applyAlignment="1"/>
    <xf numFmtId="0" fontId="239" fillId="0" borderId="0" xfId="94" applyFont="1" applyAlignment="1">
      <alignment horizontal="center"/>
    </xf>
    <xf numFmtId="0" fontId="137" fillId="0" borderId="18" xfId="94" applyFont="1" applyBorder="1" applyAlignment="1">
      <alignment horizontal="center"/>
    </xf>
    <xf numFmtId="0" fontId="137" fillId="0" borderId="0" xfId="94" applyFont="1" applyBorder="1" applyAlignment="1">
      <alignment horizontal="center"/>
    </xf>
    <xf numFmtId="0" fontId="17" fillId="0" borderId="138" xfId="0" applyFont="1" applyBorder="1" applyAlignment="1">
      <alignment horizontal="center"/>
    </xf>
    <xf numFmtId="0" fontId="17" fillId="0" borderId="100" xfId="0" applyFont="1" applyBorder="1" applyAlignment="1">
      <alignment horizontal="center"/>
    </xf>
    <xf numFmtId="49" fontId="5" fillId="0" borderId="57" xfId="95" applyNumberFormat="1" applyFont="1" applyBorder="1" applyAlignment="1">
      <alignment horizontal="center"/>
    </xf>
    <xf numFmtId="49" fontId="5" fillId="0" borderId="104" xfId="95" applyNumberFormat="1" applyBorder="1" applyAlignment="1">
      <alignment horizontal="center"/>
    </xf>
    <xf numFmtId="49" fontId="5" fillId="0" borderId="26" xfId="95" applyNumberFormat="1" applyFont="1" applyBorder="1" applyAlignment="1">
      <alignment horizontal="center"/>
    </xf>
    <xf numFmtId="49" fontId="5" fillId="0" borderId="140" xfId="95" applyNumberFormat="1" applyBorder="1" applyAlignment="1">
      <alignment horizontal="center"/>
    </xf>
    <xf numFmtId="0" fontId="5" fillId="0" borderId="19" xfId="95" applyBorder="1" applyAlignment="1">
      <alignment horizontal="center"/>
    </xf>
    <xf numFmtId="0" fontId="5" fillId="0" borderId="16" xfId="95" applyBorder="1" applyAlignment="1">
      <alignment horizontal="center"/>
    </xf>
    <xf numFmtId="0" fontId="5" fillId="0" borderId="24" xfId="95" applyBorder="1" applyAlignment="1">
      <alignment horizontal="left"/>
    </xf>
    <xf numFmtId="0" fontId="5" fillId="0" borderId="140" xfId="95" applyBorder="1" applyAlignment="1">
      <alignment horizontal="left"/>
    </xf>
    <xf numFmtId="49" fontId="5" fillId="0" borderId="98" xfId="95" applyNumberFormat="1" applyFont="1" applyBorder="1" applyAlignment="1">
      <alignment horizontal="center"/>
    </xf>
    <xf numFmtId="49" fontId="5" fillId="0" borderId="91" xfId="95" applyNumberFormat="1" applyBorder="1" applyAlignment="1">
      <alignment horizontal="center"/>
    </xf>
    <xf numFmtId="49" fontId="5" fillId="0" borderId="26" xfId="95" applyNumberFormat="1" applyFill="1" applyBorder="1" applyAlignment="1">
      <alignment horizontal="center"/>
    </xf>
    <xf numFmtId="49" fontId="5" fillId="0" borderId="140" xfId="95" applyNumberFormat="1" applyFill="1" applyBorder="1" applyAlignment="1">
      <alignment horizontal="center"/>
    </xf>
    <xf numFmtId="0" fontId="5" fillId="0" borderId="24" xfId="95" applyFill="1" applyBorder="1" applyAlignment="1">
      <alignment horizontal="left"/>
    </xf>
    <xf numFmtId="0" fontId="5" fillId="0" borderId="140" xfId="95" applyFill="1" applyBorder="1" applyAlignment="1">
      <alignment horizontal="left"/>
    </xf>
    <xf numFmtId="49" fontId="5" fillId="0" borderId="17" xfId="95" applyNumberFormat="1" applyFill="1" applyBorder="1" applyAlignment="1">
      <alignment horizontal="center"/>
    </xf>
    <xf numFmtId="49" fontId="5" fillId="0" borderId="132" xfId="95" applyNumberFormat="1" applyFill="1" applyBorder="1" applyAlignment="1">
      <alignment horizontal="center"/>
    </xf>
    <xf numFmtId="0" fontId="5" fillId="0" borderId="22" xfId="95" applyFont="1" applyFill="1" applyBorder="1" applyAlignment="1">
      <alignment horizontal="left"/>
    </xf>
    <xf numFmtId="0" fontId="5" fillId="0" borderId="132" xfId="95" applyFill="1" applyBorder="1" applyAlignment="1">
      <alignment horizontal="left"/>
    </xf>
    <xf numFmtId="49" fontId="5" fillId="0" borderId="121" xfId="95" applyNumberFormat="1" applyFont="1" applyFill="1" applyBorder="1" applyAlignment="1">
      <alignment horizontal="center"/>
    </xf>
    <xf numFmtId="49" fontId="5" fillId="0" borderId="124" xfId="95" applyNumberFormat="1" applyFill="1" applyBorder="1" applyAlignment="1">
      <alignment horizontal="center"/>
    </xf>
    <xf numFmtId="49" fontId="5" fillId="0" borderId="143" xfId="95" applyNumberFormat="1" applyBorder="1" applyAlignment="1">
      <alignment horizontal="center"/>
    </xf>
    <xf numFmtId="0" fontId="5" fillId="0" borderId="91" xfId="95" applyBorder="1" applyAlignment="1">
      <alignment horizontal="left"/>
    </xf>
    <xf numFmtId="0" fontId="5" fillId="0" borderId="143" xfId="95" applyBorder="1" applyAlignment="1">
      <alignment horizontal="left"/>
    </xf>
    <xf numFmtId="49" fontId="5" fillId="0" borderId="142" xfId="95" applyNumberFormat="1" applyBorder="1" applyAlignment="1">
      <alignment horizontal="center"/>
    </xf>
    <xf numFmtId="49" fontId="5" fillId="0" borderId="98" xfId="95" applyNumberFormat="1" applyFill="1" applyBorder="1" applyAlignment="1">
      <alignment horizontal="center"/>
    </xf>
    <xf numFmtId="49" fontId="5" fillId="0" borderId="143" xfId="95" applyNumberFormat="1" applyFill="1" applyBorder="1" applyAlignment="1">
      <alignment horizontal="center"/>
    </xf>
    <xf numFmtId="0" fontId="5" fillId="0" borderId="91" xfId="95" applyFill="1" applyBorder="1" applyAlignment="1">
      <alignment horizontal="left"/>
    </xf>
    <xf numFmtId="0" fontId="5" fillId="0" borderId="143" xfId="95" applyFill="1" applyBorder="1" applyAlignment="1">
      <alignment horizontal="left"/>
    </xf>
    <xf numFmtId="0" fontId="6" fillId="0" borderId="0" xfId="95" applyFont="1" applyBorder="1" applyAlignment="1">
      <alignment horizontal="center"/>
    </xf>
    <xf numFmtId="0" fontId="12" fillId="0" borderId="0" xfId="95" applyFont="1" applyBorder="1" applyAlignment="1">
      <alignment horizontal="left"/>
    </xf>
    <xf numFmtId="0" fontId="5" fillId="0" borderId="23" xfId="95" applyBorder="1" applyAlignment="1">
      <alignment horizontal="center" vertical="center"/>
    </xf>
    <xf numFmtId="0" fontId="5" fillId="0" borderId="63" xfId="95" applyBorder="1" applyAlignment="1">
      <alignment horizontal="center" vertical="center"/>
    </xf>
    <xf numFmtId="0" fontId="5" fillId="0" borderId="18" xfId="95" applyBorder="1" applyAlignment="1">
      <alignment horizontal="center" vertical="center"/>
    </xf>
    <xf numFmtId="0" fontId="5" fillId="0" borderId="31" xfId="95" applyBorder="1" applyAlignment="1">
      <alignment horizontal="center" vertical="center"/>
    </xf>
    <xf numFmtId="0" fontId="5" fillId="0" borderId="19" xfId="95" applyBorder="1" applyAlignment="1">
      <alignment horizontal="center" vertical="center"/>
    </xf>
    <xf numFmtId="0" fontId="5" fillId="0" borderId="99" xfId="95" applyBorder="1" applyAlignment="1">
      <alignment horizontal="center" vertical="center"/>
    </xf>
    <xf numFmtId="0" fontId="5" fillId="0" borderId="47" xfId="95" applyBorder="1" applyAlignment="1">
      <alignment horizontal="center" vertical="center"/>
    </xf>
    <xf numFmtId="0" fontId="5" fillId="0" borderId="29" xfId="95" applyBorder="1" applyAlignment="1">
      <alignment horizontal="center" vertical="center"/>
    </xf>
    <xf numFmtId="0" fontId="5" fillId="0" borderId="33" xfId="95" applyBorder="1" applyAlignment="1">
      <alignment horizontal="center" vertical="center"/>
    </xf>
    <xf numFmtId="0" fontId="5" fillId="0" borderId="123" xfId="95" applyBorder="1" applyAlignment="1">
      <alignment horizontal="center"/>
    </xf>
    <xf numFmtId="0" fontId="5" fillId="0" borderId="141" xfId="95" applyBorder="1" applyAlignment="1">
      <alignment horizontal="center"/>
    </xf>
    <xf numFmtId="0" fontId="5" fillId="0" borderId="122" xfId="95" applyBorder="1" applyAlignment="1">
      <alignment horizontal="center"/>
    </xf>
    <xf numFmtId="0" fontId="5" fillId="0" borderId="49" xfId="95" applyBorder="1" applyAlignment="1">
      <alignment horizontal="center"/>
    </xf>
    <xf numFmtId="0" fontId="5" fillId="0" borderId="24" xfId="95" applyBorder="1" applyAlignment="1">
      <alignment horizontal="center"/>
    </xf>
    <xf numFmtId="0" fontId="5" fillId="0" borderId="140" xfId="95" applyBorder="1" applyAlignment="1">
      <alignment horizontal="center"/>
    </xf>
    <xf numFmtId="0" fontId="5" fillId="0" borderId="88" xfId="95" applyBorder="1" applyAlignment="1">
      <alignment horizontal="center"/>
    </xf>
    <xf numFmtId="0" fontId="5" fillId="0" borderId="55" xfId="95" applyBorder="1" applyAlignment="1">
      <alignment horizontal="center" vertical="center"/>
    </xf>
    <xf numFmtId="0" fontId="5" fillId="0" borderId="101" xfId="95" applyBorder="1" applyAlignment="1">
      <alignment horizontal="center" vertical="center"/>
    </xf>
    <xf numFmtId="0" fontId="5" fillId="0" borderId="82" xfId="95" applyBorder="1" applyAlignment="1">
      <alignment horizontal="center" vertical="center"/>
    </xf>
    <xf numFmtId="0" fontId="5" fillId="0" borderId="142" xfId="95" applyBorder="1" applyAlignment="1">
      <alignment horizontal="center" vertical="center"/>
    </xf>
    <xf numFmtId="0" fontId="5" fillId="0" borderId="138" xfId="95" applyBorder="1" applyAlignment="1">
      <alignment horizontal="center" vertical="center"/>
    </xf>
    <xf numFmtId="0" fontId="5" fillId="0" borderId="143" xfId="95" applyBorder="1" applyAlignment="1">
      <alignment horizontal="center" vertical="center"/>
    </xf>
    <xf numFmtId="0" fontId="5" fillId="0" borderId="82" xfId="95" applyBorder="1" applyAlignment="1">
      <alignment horizontal="center"/>
    </xf>
    <xf numFmtId="0" fontId="5" fillId="0" borderId="142" xfId="95" applyBorder="1" applyAlignment="1">
      <alignment horizontal="center"/>
    </xf>
    <xf numFmtId="0" fontId="5" fillId="0" borderId="136" xfId="95" applyBorder="1" applyAlignment="1">
      <alignment horizontal="center" vertical="center"/>
    </xf>
    <xf numFmtId="0" fontId="5" fillId="0" borderId="100" xfId="95" applyBorder="1" applyAlignment="1">
      <alignment horizontal="center" vertical="center"/>
    </xf>
    <xf numFmtId="0" fontId="5" fillId="0" borderId="138" xfId="95" applyBorder="1" applyAlignment="1">
      <alignment horizontal="center"/>
    </xf>
    <xf numFmtId="0" fontId="5" fillId="0" borderId="143" xfId="95" applyBorder="1" applyAlignment="1">
      <alignment horizontal="center"/>
    </xf>
    <xf numFmtId="0" fontId="36" fillId="0" borderId="37" xfId="0" applyFont="1" applyBorder="1" applyAlignment="1">
      <alignment wrapText="1"/>
    </xf>
    <xf numFmtId="0" fontId="0" fillId="0" borderId="39" xfId="0" applyBorder="1" applyAlignment="1"/>
    <xf numFmtId="3" fontId="239" fillId="0" borderId="0" xfId="96" applyNumberFormat="1" applyFont="1" applyAlignment="1">
      <alignment horizontal="center"/>
    </xf>
    <xf numFmtId="3" fontId="137" fillId="0" borderId="20" xfId="96" applyNumberFormat="1" applyFont="1" applyBorder="1" applyAlignment="1">
      <alignment horizontal="center"/>
    </xf>
    <xf numFmtId="3" fontId="137" fillId="0" borderId="93" xfId="96" applyNumberFormat="1" applyFont="1" applyBorder="1" applyAlignment="1">
      <alignment horizontal="center"/>
    </xf>
    <xf numFmtId="3" fontId="137" fillId="0" borderId="81" xfId="96" applyNumberFormat="1" applyFont="1" applyBorder="1" applyAlignment="1">
      <alignment horizontal="center"/>
    </xf>
    <xf numFmtId="0" fontId="128" fillId="0" borderId="37" xfId="0" applyFont="1" applyFill="1" applyBorder="1" applyAlignment="1">
      <alignment wrapText="1"/>
    </xf>
    <xf numFmtId="0" fontId="161" fillId="0" borderId="39" xfId="0" applyFont="1" applyFill="1" applyBorder="1" applyAlignment="1"/>
    <xf numFmtId="3" fontId="36" fillId="0" borderId="0" xfId="96" applyNumberFormat="1" applyFont="1" applyFill="1" applyBorder="1" applyAlignment="1">
      <alignment wrapText="1"/>
    </xf>
    <xf numFmtId="0" fontId="0" fillId="0" borderId="31" xfId="0" applyBorder="1" applyAlignment="1"/>
    <xf numFmtId="3" fontId="36" fillId="0" borderId="37" xfId="96" applyNumberFormat="1" applyFont="1" applyFill="1" applyBorder="1" applyAlignment="1">
      <alignment horizontal="left" wrapText="1"/>
    </xf>
    <xf numFmtId="3" fontId="36" fillId="0" borderId="39" xfId="96" applyNumberFormat="1" applyFont="1" applyFill="1" applyBorder="1" applyAlignment="1">
      <alignment horizontal="left" wrapText="1"/>
    </xf>
    <xf numFmtId="0" fontId="165" fillId="0" borderId="0" xfId="98" applyFont="1" applyFill="1" applyAlignment="1">
      <alignment horizontal="center"/>
    </xf>
    <xf numFmtId="0" fontId="123" fillId="0" borderId="83" xfId="101" applyFont="1" applyFill="1" applyBorder="1" applyAlignment="1" applyProtection="1"/>
    <xf numFmtId="0" fontId="123" fillId="0" borderId="69" xfId="101" applyFont="1" applyFill="1" applyBorder="1" applyAlignment="1" applyProtection="1"/>
    <xf numFmtId="0" fontId="0" fillId="0" borderId="69" xfId="0" applyFill="1" applyBorder="1" applyAlignment="1"/>
    <xf numFmtId="0" fontId="97" fillId="0" borderId="26" xfId="103" applyFont="1" applyFill="1" applyBorder="1" applyAlignment="1">
      <alignment horizontal="left" wrapText="1"/>
    </xf>
    <xf numFmtId="0" fontId="97" fillId="0" borderId="24" xfId="103" applyFont="1" applyFill="1" applyBorder="1" applyAlignment="1">
      <alignment horizontal="left" wrapText="1"/>
    </xf>
    <xf numFmtId="0" fontId="97" fillId="0" borderId="140" xfId="103" applyFont="1" applyFill="1" applyBorder="1" applyAlignment="1">
      <alignment horizontal="left" wrapText="1"/>
    </xf>
    <xf numFmtId="0" fontId="7" fillId="0" borderId="26" xfId="103" applyFont="1" applyFill="1" applyBorder="1" applyAlignment="1">
      <alignment horizontal="left" wrapText="1"/>
    </xf>
    <xf numFmtId="0" fontId="7" fillId="0" borderId="24" xfId="103" applyFont="1" applyFill="1" applyBorder="1" applyAlignment="1">
      <alignment horizontal="left" wrapText="1"/>
    </xf>
    <xf numFmtId="0" fontId="7" fillId="0" borderId="140" xfId="103" applyFont="1" applyFill="1" applyBorder="1" applyAlignment="1">
      <alignment horizontal="left" wrapText="1"/>
    </xf>
    <xf numFmtId="0" fontId="17" fillId="0" borderId="0" xfId="104" applyFont="1" applyAlignment="1">
      <alignment horizontal="center"/>
    </xf>
    <xf numFmtId="0" fontId="17" fillId="0" borderId="0" xfId="105" applyFont="1" applyAlignment="1">
      <alignment horizontal="center"/>
    </xf>
    <xf numFmtId="0" fontId="89" fillId="0" borderId="26" xfId="103" applyFont="1" applyFill="1" applyBorder="1" applyAlignment="1">
      <alignment wrapText="1"/>
    </xf>
    <xf numFmtId="0" fontId="187" fillId="0" borderId="24" xfId="0" applyFont="1" applyBorder="1" applyAlignment="1">
      <alignment wrapText="1"/>
    </xf>
    <xf numFmtId="0" fontId="187" fillId="0" borderId="140" xfId="0" applyFont="1" applyBorder="1" applyAlignment="1">
      <alignment wrapText="1"/>
    </xf>
    <xf numFmtId="3" fontId="6" fillId="0" borderId="45" xfId="103" applyNumberFormat="1" applyFont="1" applyBorder="1" applyAlignment="1">
      <alignment horizontal="center" vertical="center" wrapText="1"/>
    </xf>
    <xf numFmtId="3" fontId="6" fillId="0" borderId="15" xfId="103" applyNumberFormat="1" applyFont="1" applyBorder="1" applyAlignment="1">
      <alignment horizontal="center" vertical="center" wrapText="1"/>
    </xf>
    <xf numFmtId="3" fontId="6" fillId="0" borderId="61" xfId="103" applyNumberFormat="1" applyFont="1" applyBorder="1" applyAlignment="1">
      <alignment horizontal="center" vertical="center" wrapText="1"/>
    </xf>
    <xf numFmtId="0" fontId="6" fillId="0" borderId="23" xfId="103" applyFont="1" applyBorder="1" applyAlignment="1">
      <alignment horizontal="center" vertical="center"/>
    </xf>
    <xf numFmtId="0" fontId="6" fillId="0" borderId="46" xfId="103" applyFont="1" applyBorder="1" applyAlignment="1">
      <alignment horizontal="center" vertical="center"/>
    </xf>
    <xf numFmtId="0" fontId="6" fillId="0" borderId="63" xfId="103" applyFont="1" applyBorder="1" applyAlignment="1">
      <alignment horizontal="center" vertical="center"/>
    </xf>
    <xf numFmtId="0" fontId="6" fillId="0" borderId="18" xfId="103" applyFont="1" applyBorder="1" applyAlignment="1">
      <alignment horizontal="center" vertical="center"/>
    </xf>
    <xf numFmtId="0" fontId="6" fillId="0" borderId="0" xfId="103" applyFont="1" applyBorder="1" applyAlignment="1">
      <alignment horizontal="center" vertical="center"/>
    </xf>
    <xf numFmtId="0" fontId="6" fillId="0" borderId="31" xfId="103" applyFont="1" applyBorder="1" applyAlignment="1">
      <alignment horizontal="center" vertical="center"/>
    </xf>
    <xf numFmtId="0" fontId="6" fillId="0" borderId="19" xfId="103" applyFont="1" applyBorder="1" applyAlignment="1">
      <alignment horizontal="center" vertical="center"/>
    </xf>
    <xf numFmtId="0" fontId="6" fillId="0" borderId="16" xfId="103" applyFont="1" applyBorder="1" applyAlignment="1">
      <alignment horizontal="center" vertical="center"/>
    </xf>
    <xf numFmtId="0" fontId="6" fillId="0" borderId="99" xfId="103" applyFont="1" applyBorder="1" applyAlignment="1">
      <alignment horizontal="center" vertical="center"/>
    </xf>
    <xf numFmtId="0" fontId="6" fillId="0" borderId="47" xfId="103" applyFont="1" applyBorder="1" applyAlignment="1">
      <alignment horizontal="center" vertical="center"/>
    </xf>
    <xf numFmtId="0" fontId="6" fillId="0" borderId="53" xfId="103" applyFont="1" applyBorder="1" applyAlignment="1">
      <alignment horizontal="center" vertical="center"/>
    </xf>
    <xf numFmtId="0" fontId="6" fillId="0" borderId="138" xfId="103" applyFont="1" applyBorder="1" applyAlignment="1">
      <alignment horizontal="center" vertical="center"/>
    </xf>
    <xf numFmtId="0" fontId="6" fillId="0" borderId="100" xfId="103" applyFont="1" applyBorder="1" applyAlignment="1">
      <alignment horizontal="center" vertical="center"/>
    </xf>
    <xf numFmtId="0" fontId="6" fillId="0" borderId="83" xfId="103" applyFont="1" applyBorder="1" applyAlignment="1">
      <alignment horizontal="center" vertical="center" wrapText="1"/>
    </xf>
    <xf numFmtId="0" fontId="6" fillId="0" borderId="69" xfId="103" applyFont="1" applyBorder="1" applyAlignment="1">
      <alignment horizontal="center" vertical="center"/>
    </xf>
    <xf numFmtId="0" fontId="6" fillId="0" borderId="70" xfId="103" applyFont="1" applyBorder="1" applyAlignment="1">
      <alignment horizontal="center" vertical="center"/>
    </xf>
    <xf numFmtId="0" fontId="240" fillId="0" borderId="121" xfId="106" applyFont="1" applyBorder="1" applyAlignment="1">
      <alignment horizontal="center" vertical="center"/>
    </xf>
    <xf numFmtId="0" fontId="240" fillId="0" borderId="141" xfId="106" applyFont="1" applyBorder="1" applyAlignment="1">
      <alignment horizontal="center" vertical="center"/>
    </xf>
    <xf numFmtId="0" fontId="240" fillId="0" borderId="122" xfId="106" applyFont="1" applyBorder="1" applyAlignment="1">
      <alignment horizontal="center" vertical="center"/>
    </xf>
    <xf numFmtId="0" fontId="240" fillId="0" borderId="83" xfId="106" applyFont="1" applyBorder="1" applyAlignment="1">
      <alignment horizontal="center" vertical="center" wrapText="1"/>
    </xf>
    <xf numFmtId="0" fontId="240" fillId="0" borderId="70" xfId="106" applyFont="1" applyBorder="1" applyAlignment="1">
      <alignment horizontal="center" vertical="center" wrapText="1"/>
    </xf>
    <xf numFmtId="0" fontId="190" fillId="0" borderId="0" xfId="106" applyFont="1" applyAlignment="1">
      <alignment horizontal="center" wrapText="1"/>
    </xf>
    <xf numFmtId="0" fontId="190" fillId="0" borderId="0" xfId="106" applyFont="1" applyAlignment="1">
      <alignment horizontal="center"/>
    </xf>
    <xf numFmtId="3" fontId="61" fillId="0" borderId="78" xfId="99" applyNumberFormat="1" applyFont="1" applyFill="1" applyBorder="1" applyAlignment="1">
      <alignment horizontal="right"/>
    </xf>
    <xf numFmtId="3" fontId="38" fillId="0" borderId="0" xfId="96" applyNumberFormat="1" applyFont="1" applyFill="1" applyBorder="1"/>
    <xf numFmtId="0" fontId="61" fillId="0" borderId="32" xfId="95" applyFont="1" applyBorder="1"/>
    <xf numFmtId="0" fontId="61" fillId="0" borderId="24" xfId="94" applyFont="1" applyBorder="1"/>
    <xf numFmtId="0" fontId="38" fillId="0" borderId="0" xfId="93" applyFont="1" applyBorder="1"/>
    <xf numFmtId="0" fontId="61" fillId="0" borderId="86" xfId="92" applyFont="1" applyBorder="1"/>
    <xf numFmtId="0" fontId="38" fillId="0" borderId="86" xfId="92" applyFont="1" applyBorder="1"/>
    <xf numFmtId="3" fontId="61" fillId="0" borderId="18" xfId="77" applyNumberFormat="1" applyFont="1" applyFill="1" applyBorder="1" applyAlignment="1">
      <alignment horizontal="right"/>
    </xf>
    <xf numFmtId="3" fontId="61" fillId="0" borderId="136" xfId="0" applyNumberFormat="1" applyFont="1" applyFill="1" applyBorder="1"/>
    <xf numFmtId="0" fontId="61" fillId="0" borderId="0" xfId="78" applyFont="1"/>
    <xf numFmtId="3" fontId="61" fillId="0" borderId="73" xfId="77" applyNumberFormat="1" applyFont="1" applyFill="1" applyBorder="1" applyAlignment="1">
      <alignment horizontal="right"/>
    </xf>
    <xf numFmtId="3" fontId="61" fillId="29" borderId="34" xfId="0" applyNumberFormat="1" applyFont="1" applyFill="1" applyBorder="1" applyProtection="1">
      <protection locked="0"/>
    </xf>
    <xf numFmtId="0" fontId="61" fillId="29" borderId="37" xfId="0" applyFont="1" applyFill="1" applyBorder="1" applyAlignment="1"/>
    <xf numFmtId="3" fontId="38" fillId="0" borderId="49" xfId="0" applyNumberFormat="1" applyFont="1" applyFill="1" applyBorder="1"/>
    <xf numFmtId="3" fontId="38" fillId="0" borderId="0" xfId="0" applyNumberFormat="1" applyFont="1" applyBorder="1"/>
    <xf numFmtId="3" fontId="61" fillId="29" borderId="15" xfId="0" applyNumberFormat="1" applyFont="1" applyFill="1" applyBorder="1"/>
    <xf numFmtId="3" fontId="38" fillId="0" borderId="77" xfId="0" applyNumberFormat="1" applyFont="1" applyFill="1" applyBorder="1"/>
    <xf numFmtId="3" fontId="38" fillId="0" borderId="88" xfId="107" applyNumberFormat="1" applyFont="1" applyBorder="1"/>
    <xf numFmtId="3" fontId="38" fillId="0" borderId="115" xfId="76" applyNumberFormat="1" applyFont="1" applyFill="1" applyBorder="1" applyAlignment="1">
      <alignment horizontal="right"/>
    </xf>
    <xf numFmtId="3" fontId="61" fillId="0" borderId="115" xfId="112" applyNumberFormat="1" applyFont="1" applyFill="1" applyBorder="1" applyAlignment="1">
      <alignment horizontal="right"/>
    </xf>
    <xf numFmtId="0" fontId="61" fillId="0" borderId="50" xfId="0" applyFont="1" applyFill="1" applyBorder="1" applyProtection="1"/>
    <xf numFmtId="3" fontId="61" fillId="0" borderId="15" xfId="0" applyNumberFormat="1" applyFont="1" applyFill="1" applyBorder="1"/>
  </cellXfs>
  <cellStyles count="115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 xr:uid="{00000000-0005-0000-0000-00001E000000}"/>
    <cellStyle name="60% - Accent2" xfId="32" xr:uid="{00000000-0005-0000-0000-00001F000000}"/>
    <cellStyle name="60% - Accent3" xfId="33" xr:uid="{00000000-0005-0000-0000-000020000000}"/>
    <cellStyle name="60% - Accent4" xfId="34" xr:uid="{00000000-0005-0000-0000-000021000000}"/>
    <cellStyle name="60% - Accent5" xfId="35" xr:uid="{00000000-0005-0000-0000-000022000000}"/>
    <cellStyle name="60% - Accent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evitel" xfId="44" builtinId="20" customBuiltin="1"/>
    <cellStyle name="Calculation" xfId="45" xr:uid="{00000000-0005-0000-0000-00002C000000}"/>
    <cellStyle name="Check Cell" xfId="46" xr:uid="{00000000-0005-0000-0000-00002D000000}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cel Built-in Normal" xfId="111" xr:uid="{00000000-0005-0000-0000-000034000000}"/>
    <cellStyle name="Explanatory Text" xfId="53" xr:uid="{00000000-0005-0000-0000-000035000000}"/>
    <cellStyle name="Figyelmeztetés" xfId="54" builtinId="11" customBuiltin="1"/>
    <cellStyle name="Good" xfId="55" xr:uid="{00000000-0005-0000-0000-000037000000}"/>
    <cellStyle name="Heading 1" xfId="56" xr:uid="{00000000-0005-0000-0000-000038000000}"/>
    <cellStyle name="Heading 2" xfId="57" xr:uid="{00000000-0005-0000-0000-000039000000}"/>
    <cellStyle name="Heading 3" xfId="58" xr:uid="{00000000-0005-0000-0000-00003A000000}"/>
    <cellStyle name="Heading 4" xfId="59" xr:uid="{00000000-0005-0000-0000-00003B000000}"/>
    <cellStyle name="Hivatkozott cella" xfId="60" builtinId="24" customBuiltin="1"/>
    <cellStyle name="Input" xfId="61" xr:uid="{00000000-0005-0000-0000-00003D000000}"/>
    <cellStyle name="Jegyzet" xfId="62" builtinId="10" customBuiltin="1"/>
    <cellStyle name="Jelölőszín (1)" xfId="63" xr:uid="{00000000-0005-0000-0000-00003F000000}"/>
    <cellStyle name="Jelölőszín (2)" xfId="64" xr:uid="{00000000-0005-0000-0000-000040000000}"/>
    <cellStyle name="Jelölőszín (3)" xfId="65" xr:uid="{00000000-0005-0000-0000-000041000000}"/>
    <cellStyle name="Jelölőszín (4)" xfId="66" xr:uid="{00000000-0005-0000-0000-000042000000}"/>
    <cellStyle name="Jelölőszín (5)" xfId="67" xr:uid="{00000000-0005-0000-0000-000043000000}"/>
    <cellStyle name="Jelölőszín (6)" xfId="68" xr:uid="{00000000-0005-0000-0000-000044000000}"/>
    <cellStyle name="Jó" xfId="69" builtinId="26" customBuiltin="1"/>
    <cellStyle name="Kimenet" xfId="70" builtinId="21" customBuiltin="1"/>
    <cellStyle name="Linked Cell" xfId="71" xr:uid="{00000000-0005-0000-0000-000047000000}"/>
    <cellStyle name="Magyarázó szöveg" xfId="72" builtinId="53" customBuiltin="1"/>
    <cellStyle name="Neutral" xfId="73" xr:uid="{00000000-0005-0000-0000-000049000000}"/>
    <cellStyle name="Normál" xfId="0" builtinId="0"/>
    <cellStyle name="Normal 2" xfId="74" xr:uid="{00000000-0005-0000-0000-00004B000000}"/>
    <cellStyle name="Normál 2" xfId="75" xr:uid="{00000000-0005-0000-0000-00004C000000}"/>
    <cellStyle name="Normál 3" xfId="76" xr:uid="{00000000-0005-0000-0000-00004D000000}"/>
    <cellStyle name="Normál 4" xfId="102" xr:uid="{00000000-0005-0000-0000-00004E000000}"/>
    <cellStyle name="Normál 4 2" xfId="110" xr:uid="{00000000-0005-0000-0000-00004F000000}"/>
    <cellStyle name="Normál 5" xfId="106" xr:uid="{00000000-0005-0000-0000-000050000000}"/>
    <cellStyle name="Normál 6" xfId="114" xr:uid="{00000000-0005-0000-0000-000051000000}"/>
    <cellStyle name="Normál_99LETSZ_LETSZ02" xfId="107" xr:uid="{00000000-0005-0000-0000-000052000000}"/>
    <cellStyle name="Normál_BESZAM10" xfId="101" xr:uid="{00000000-0005-0000-0000-000053000000}"/>
    <cellStyle name="Normál_ESZKFOR" xfId="92" xr:uid="{00000000-0005-0000-0000-000054000000}"/>
    <cellStyle name="Normál_GAZDTÁRS11" xfId="105" xr:uid="{00000000-0005-0000-0000-000055000000}"/>
    <cellStyle name="Normál_GAZDTÁRS13" xfId="104" xr:uid="{00000000-0005-0000-0000-000056000000}"/>
    <cellStyle name="Normál_GAZDTÁRS15" xfId="103" xr:uid="{00000000-0005-0000-0000-000057000000}"/>
    <cellStyle name="Normál_GUCIFEJL" xfId="77" xr:uid="{00000000-0005-0000-0000-000058000000}"/>
    <cellStyle name="Normál_IKÖZI" xfId="112" xr:uid="{00000000-0005-0000-0000-000059000000}"/>
    <cellStyle name="Normál_kiadások kerekített_2000INT" xfId="100" xr:uid="{00000000-0005-0000-0000-00005A000000}"/>
    <cellStyle name="Normál_kiadások kerekített_20INTKTG" xfId="98" xr:uid="{00000000-0005-0000-0000-00005B000000}"/>
    <cellStyle name="Normál_kiemelt eik 2013" xfId="89" xr:uid="{00000000-0005-0000-0000-00005C000000}"/>
    <cellStyle name="Normál_kozvetetttam" xfId="90" xr:uid="{00000000-0005-0000-0000-00005D000000}"/>
    <cellStyle name="Normál_LAKAS" xfId="93" xr:uid="{00000000-0005-0000-0000-00005E000000}"/>
    <cellStyle name="Normál_LETSZ06" xfId="109" xr:uid="{00000000-0005-0000-0000-00005F000000}"/>
    <cellStyle name="Normál_letsz2011" xfId="108" xr:uid="{00000000-0005-0000-0000-000060000000}"/>
    <cellStyle name="Normál_módIV12önk" xfId="88" xr:uid="{00000000-0005-0000-0000-000061000000}"/>
    <cellStyle name="Normál_Munkafüzet1" xfId="95" xr:uid="{00000000-0005-0000-0000-000062000000}"/>
    <cellStyle name="Normál_Munkafüzet2" xfId="78" xr:uid="{00000000-0005-0000-0000-000063000000}"/>
    <cellStyle name="Normál_össz 97 norma kerekítés_1_98 évi norma tény (2)" xfId="113" xr:uid="{00000000-0005-0000-0000-000064000000}"/>
    <cellStyle name="Normál_SEGÉLY98" xfId="94" xr:uid="{00000000-0005-0000-0000-000065000000}"/>
    <cellStyle name="Normál_szem jutt kerekített_2000INT" xfId="99" xr:uid="{00000000-0005-0000-0000-000066000000}"/>
    <cellStyle name="Normál_TÖBBEV" xfId="91" xr:uid="{00000000-0005-0000-0000-000067000000}"/>
    <cellStyle name="Normál_VAGYONRE" xfId="96" xr:uid="{00000000-0005-0000-0000-000068000000}"/>
    <cellStyle name="Normál_VAGYONZ" xfId="97" xr:uid="{00000000-0005-0000-0000-000069000000}"/>
    <cellStyle name="Note" xfId="79" xr:uid="{00000000-0005-0000-0000-00006A000000}"/>
    <cellStyle name="Output" xfId="80" xr:uid="{00000000-0005-0000-0000-00006B000000}"/>
    <cellStyle name="Összesen" xfId="81" builtinId="25" customBuiltin="1"/>
    <cellStyle name="Rossz" xfId="82" builtinId="27" customBuiltin="1"/>
    <cellStyle name="Semleges" xfId="83" builtinId="28" customBuiltin="1"/>
    <cellStyle name="Számítás" xfId="84" builtinId="22" customBuiltin="1"/>
    <cellStyle name="Title" xfId="85" xr:uid="{00000000-0005-0000-0000-000070000000}"/>
    <cellStyle name="Total" xfId="86" xr:uid="{00000000-0005-0000-0000-000071000000}"/>
    <cellStyle name="Warning Text" xfId="87" xr:uid="{00000000-0005-0000-0000-00007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7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iliana/Local%20Settings/Temporary%20Internet%20Files/OLK4D/norma_2008/0_eredeti/igeny_kieg_tablak/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9/K&#246;lts&#233;gvet&#233;s/Int&#233;zm&#233;nyi%20k&#246;lts&#233;gvet&#233;s/Int&#233;zm&#233;nyi%20Kgy%20t&#225;bl&#225;k/INTkvet&#233;s%20kgy%20t&#225;bla%20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9/Rendeletm&#243;dos&#237;t&#225;s/INTrend.m&#243;d.20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9/Besz&#225;mol&#243;%202019/INT%20besz&#225;mol&#243;%2020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9/Rendeletm&#243;dos&#237;t&#225;s/Int.l&#233;tsz&#225;m20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9/Besz&#225;mol&#243;%202019/Felhalmoz&#225;s-fel&#250;j&#237;t&#225;s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2019"/>
      <sheetName val="int.kiadások2019"/>
    </sheetNames>
    <sheetDataSet>
      <sheetData sheetId="0">
        <row r="9">
          <cell r="B9">
            <v>968</v>
          </cell>
          <cell r="L9">
            <v>152738</v>
          </cell>
        </row>
        <row r="10">
          <cell r="B10">
            <v>1009</v>
          </cell>
          <cell r="L10">
            <v>104489</v>
          </cell>
        </row>
        <row r="11">
          <cell r="B11">
            <v>1373</v>
          </cell>
          <cell r="L11">
            <v>96207</v>
          </cell>
        </row>
        <row r="12">
          <cell r="B12">
            <v>958</v>
          </cell>
          <cell r="L12">
            <v>135940</v>
          </cell>
        </row>
        <row r="13">
          <cell r="B13">
            <v>1338</v>
          </cell>
          <cell r="L13">
            <v>111846</v>
          </cell>
        </row>
        <row r="14">
          <cell r="B14">
            <v>1269</v>
          </cell>
          <cell r="L14">
            <v>94157</v>
          </cell>
        </row>
        <row r="15">
          <cell r="B15">
            <v>790</v>
          </cell>
          <cell r="L15">
            <v>79183</v>
          </cell>
        </row>
        <row r="16">
          <cell r="B16">
            <v>958</v>
          </cell>
          <cell r="L16">
            <v>83693</v>
          </cell>
        </row>
        <row r="17">
          <cell r="B17">
            <v>805</v>
          </cell>
          <cell r="L17">
            <v>120840</v>
          </cell>
        </row>
        <row r="18">
          <cell r="B18">
            <v>1220</v>
          </cell>
          <cell r="L18">
            <v>134319</v>
          </cell>
        </row>
        <row r="19">
          <cell r="B19">
            <v>532</v>
          </cell>
          <cell r="L19">
            <v>71269</v>
          </cell>
        </row>
        <row r="20">
          <cell r="B20">
            <v>782</v>
          </cell>
          <cell r="L20">
            <v>52243</v>
          </cell>
        </row>
        <row r="21">
          <cell r="B21">
            <v>460</v>
          </cell>
          <cell r="L21">
            <v>72099</v>
          </cell>
        </row>
        <row r="22">
          <cell r="B22">
            <v>524</v>
          </cell>
          <cell r="L22">
            <v>96501</v>
          </cell>
        </row>
        <row r="23">
          <cell r="B23">
            <v>1360</v>
          </cell>
          <cell r="L23">
            <v>120096</v>
          </cell>
        </row>
        <row r="24">
          <cell r="B24">
            <v>1007</v>
          </cell>
          <cell r="L24">
            <v>112094</v>
          </cell>
        </row>
        <row r="25">
          <cell r="B25">
            <v>647</v>
          </cell>
          <cell r="L25">
            <v>75908</v>
          </cell>
        </row>
        <row r="26">
          <cell r="B26">
            <v>689</v>
          </cell>
          <cell r="L26">
            <v>54174</v>
          </cell>
        </row>
        <row r="28">
          <cell r="B28">
            <v>425332</v>
          </cell>
          <cell r="L28">
            <v>1083791</v>
          </cell>
          <cell r="M28">
            <v>45000</v>
          </cell>
        </row>
        <row r="32">
          <cell r="B32">
            <v>287126</v>
          </cell>
          <cell r="L32">
            <v>100091</v>
          </cell>
        </row>
        <row r="33">
          <cell r="B33">
            <v>33830</v>
          </cell>
          <cell r="L33">
            <v>93972</v>
          </cell>
        </row>
        <row r="34">
          <cell r="B34">
            <v>87000</v>
          </cell>
          <cell r="L34">
            <v>375107</v>
          </cell>
        </row>
        <row r="35">
          <cell r="B35">
            <v>24000</v>
          </cell>
          <cell r="L35">
            <v>222365</v>
          </cell>
        </row>
        <row r="36">
          <cell r="B36">
            <v>178083</v>
          </cell>
          <cell r="L36">
            <v>332600</v>
          </cell>
        </row>
        <row r="39">
          <cell r="B39">
            <v>94499</v>
          </cell>
          <cell r="L39">
            <v>729273</v>
          </cell>
        </row>
        <row r="41">
          <cell r="B41">
            <v>27393</v>
          </cell>
          <cell r="C41">
            <v>312186</v>
          </cell>
          <cell r="I41">
            <v>1990</v>
          </cell>
          <cell r="L41">
            <v>307391</v>
          </cell>
          <cell r="M41">
            <v>12736</v>
          </cell>
        </row>
        <row r="43">
          <cell r="B43">
            <v>53475</v>
          </cell>
          <cell r="L43">
            <v>733382</v>
          </cell>
          <cell r="M43">
            <v>22470</v>
          </cell>
        </row>
        <row r="45">
          <cell r="B45">
            <v>139534</v>
          </cell>
        </row>
        <row r="46">
          <cell r="B46">
            <v>14550</v>
          </cell>
          <cell r="E46">
            <v>1300</v>
          </cell>
          <cell r="L46">
            <v>1743335</v>
          </cell>
          <cell r="M46">
            <v>32500</v>
          </cell>
        </row>
        <row r="47">
          <cell r="L47">
            <v>198287</v>
          </cell>
          <cell r="M47">
            <v>526</v>
          </cell>
        </row>
        <row r="50">
          <cell r="B50">
            <v>1381511</v>
          </cell>
          <cell r="C50">
            <v>312186</v>
          </cell>
          <cell r="D50">
            <v>0</v>
          </cell>
          <cell r="E50">
            <v>1300</v>
          </cell>
          <cell r="F50">
            <v>1694997</v>
          </cell>
          <cell r="H50">
            <v>0</v>
          </cell>
          <cell r="I50">
            <v>1990</v>
          </cell>
          <cell r="J50">
            <v>0</v>
          </cell>
          <cell r="K50">
            <v>1990</v>
          </cell>
          <cell r="L50">
            <v>7687390</v>
          </cell>
          <cell r="M50">
            <v>113232</v>
          </cell>
          <cell r="N50">
            <v>7800622</v>
          </cell>
          <cell r="O50">
            <v>9497609</v>
          </cell>
        </row>
      </sheetData>
      <sheetData sheetId="1">
        <row r="9">
          <cell r="B9">
            <v>123452</v>
          </cell>
          <cell r="C9">
            <v>26390</v>
          </cell>
          <cell r="D9">
            <v>3864</v>
          </cell>
        </row>
        <row r="10">
          <cell r="B10">
            <v>85521</v>
          </cell>
          <cell r="C10">
            <v>16895</v>
          </cell>
          <cell r="D10">
            <v>3082</v>
          </cell>
        </row>
        <row r="11">
          <cell r="B11">
            <v>78786</v>
          </cell>
          <cell r="C11">
            <v>15372</v>
          </cell>
          <cell r="D11">
            <v>3422</v>
          </cell>
        </row>
        <row r="12">
          <cell r="B12">
            <v>109538</v>
          </cell>
          <cell r="C12">
            <v>23597</v>
          </cell>
          <cell r="D12">
            <v>3763</v>
          </cell>
        </row>
        <row r="13">
          <cell r="B13">
            <v>90146</v>
          </cell>
          <cell r="C13">
            <v>19493</v>
          </cell>
          <cell r="D13">
            <v>3545</v>
          </cell>
        </row>
        <row r="14">
          <cell r="B14">
            <v>76766</v>
          </cell>
          <cell r="C14">
            <v>15578</v>
          </cell>
          <cell r="D14">
            <v>3082</v>
          </cell>
        </row>
        <row r="15">
          <cell r="B15">
            <v>64409</v>
          </cell>
          <cell r="C15">
            <v>12688</v>
          </cell>
          <cell r="D15">
            <v>2876</v>
          </cell>
        </row>
        <row r="16">
          <cell r="B16">
            <v>68362</v>
          </cell>
          <cell r="C16">
            <v>13549</v>
          </cell>
          <cell r="D16">
            <v>2740</v>
          </cell>
        </row>
        <row r="17">
          <cell r="B17">
            <v>97032</v>
          </cell>
          <cell r="C17">
            <v>20830</v>
          </cell>
          <cell r="D17">
            <v>3783</v>
          </cell>
        </row>
        <row r="18">
          <cell r="B18">
            <v>107931</v>
          </cell>
          <cell r="C18">
            <v>23183</v>
          </cell>
          <cell r="D18">
            <v>4425</v>
          </cell>
        </row>
        <row r="19">
          <cell r="B19">
            <v>58215</v>
          </cell>
          <cell r="C19">
            <v>11290</v>
          </cell>
          <cell r="D19">
            <v>2296</v>
          </cell>
        </row>
        <row r="20">
          <cell r="B20">
            <v>42539</v>
          </cell>
          <cell r="C20">
            <v>8351</v>
          </cell>
          <cell r="D20">
            <v>2135</v>
          </cell>
        </row>
        <row r="21">
          <cell r="B21">
            <v>58503</v>
          </cell>
          <cell r="C21">
            <v>11701</v>
          </cell>
          <cell r="D21">
            <v>2355</v>
          </cell>
        </row>
        <row r="22">
          <cell r="B22">
            <v>78873</v>
          </cell>
          <cell r="C22">
            <v>15495</v>
          </cell>
          <cell r="D22">
            <v>2657</v>
          </cell>
        </row>
        <row r="23">
          <cell r="B23">
            <v>96031</v>
          </cell>
          <cell r="C23">
            <v>20898</v>
          </cell>
          <cell r="D23">
            <v>4527</v>
          </cell>
        </row>
        <row r="24">
          <cell r="B24">
            <v>91952</v>
          </cell>
          <cell r="C24">
            <v>18048</v>
          </cell>
          <cell r="D24">
            <v>3101</v>
          </cell>
        </row>
        <row r="25">
          <cell r="B25">
            <v>61861</v>
          </cell>
          <cell r="C25">
            <v>12139</v>
          </cell>
          <cell r="D25">
            <v>2555</v>
          </cell>
        </row>
        <row r="26">
          <cell r="B26">
            <v>44353</v>
          </cell>
          <cell r="C26">
            <v>8578</v>
          </cell>
          <cell r="D26">
            <v>1932</v>
          </cell>
        </row>
        <row r="28">
          <cell r="B28">
            <v>207153</v>
          </cell>
          <cell r="C28">
            <v>45161</v>
          </cell>
          <cell r="D28">
            <v>1256809</v>
          </cell>
          <cell r="I28">
            <v>45000</v>
          </cell>
        </row>
        <row r="32">
          <cell r="B32">
            <v>112358</v>
          </cell>
          <cell r="C32">
            <v>24482</v>
          </cell>
          <cell r="D32">
            <v>250377</v>
          </cell>
        </row>
        <row r="33">
          <cell r="B33">
            <v>75938</v>
          </cell>
          <cell r="C33">
            <v>14268</v>
          </cell>
          <cell r="D33">
            <v>37596</v>
          </cell>
        </row>
        <row r="34">
          <cell r="B34">
            <v>297232</v>
          </cell>
          <cell r="C34">
            <v>55537</v>
          </cell>
          <cell r="D34">
            <v>109338</v>
          </cell>
        </row>
        <row r="35">
          <cell r="B35">
            <v>143226</v>
          </cell>
          <cell r="C35">
            <v>28610</v>
          </cell>
          <cell r="D35">
            <v>74529</v>
          </cell>
        </row>
        <row r="36">
          <cell r="B36">
            <v>303423</v>
          </cell>
          <cell r="C36">
            <v>58270</v>
          </cell>
          <cell r="D36">
            <v>148990</v>
          </cell>
        </row>
        <row r="39">
          <cell r="B39">
            <v>484073</v>
          </cell>
          <cell r="C39">
            <v>107350</v>
          </cell>
          <cell r="D39">
            <v>232349</v>
          </cell>
        </row>
        <row r="41">
          <cell r="B41">
            <v>377695</v>
          </cell>
          <cell r="C41">
            <v>77455</v>
          </cell>
          <cell r="D41">
            <v>191820</v>
          </cell>
          <cell r="I41">
            <v>13226</v>
          </cell>
          <cell r="J41">
            <v>1500</v>
          </cell>
        </row>
        <row r="43">
          <cell r="B43">
            <v>517955</v>
          </cell>
          <cell r="C43">
            <v>115935</v>
          </cell>
          <cell r="D43">
            <v>152967</v>
          </cell>
          <cell r="I43">
            <v>22470</v>
          </cell>
        </row>
        <row r="45">
          <cell r="B45">
            <v>50143</v>
          </cell>
          <cell r="C45">
            <v>9858</v>
          </cell>
          <cell r="D45">
            <v>48919</v>
          </cell>
          <cell r="F45">
            <v>30000</v>
          </cell>
          <cell r="I45">
            <v>614</v>
          </cell>
        </row>
        <row r="46">
          <cell r="B46">
            <v>1165575</v>
          </cell>
          <cell r="C46">
            <v>250750</v>
          </cell>
          <cell r="D46">
            <v>340110</v>
          </cell>
          <cell r="F46">
            <v>2750</v>
          </cell>
          <cell r="I46">
            <v>26500</v>
          </cell>
          <cell r="J46">
            <v>6000</v>
          </cell>
        </row>
        <row r="47">
          <cell r="B47">
            <v>139467</v>
          </cell>
          <cell r="C47">
            <v>28800</v>
          </cell>
          <cell r="D47">
            <v>30020</v>
          </cell>
          <cell r="I47">
            <v>526</v>
          </cell>
        </row>
        <row r="50">
          <cell r="B50">
            <v>5308508</v>
          </cell>
          <cell r="C50">
            <v>1110551</v>
          </cell>
          <cell r="D50">
            <v>2929964</v>
          </cell>
          <cell r="E50">
            <v>0</v>
          </cell>
          <cell r="F50">
            <v>32750</v>
          </cell>
          <cell r="G50">
            <v>9381773</v>
          </cell>
          <cell r="I50">
            <v>108336</v>
          </cell>
          <cell r="J50">
            <v>7500</v>
          </cell>
          <cell r="K50">
            <v>0</v>
          </cell>
          <cell r="L50">
            <v>115836</v>
          </cell>
          <cell r="M50">
            <v>9497609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 RM I maradvány"/>
      <sheetName val="int.kiadások RM I maradvány"/>
      <sheetName val="int.bevételek RM I"/>
      <sheetName val="int.kiadások RM I"/>
      <sheetName val="int.bevételek RM II"/>
      <sheetName val="int.kiadások RM II"/>
      <sheetName val="int.bevételek RM III"/>
      <sheetName val="int.kiadások RM III"/>
      <sheetName val="int.bevételek RM IV"/>
      <sheetName val="int.kiadások RM IV"/>
      <sheetName val="int.bevételek RM V"/>
      <sheetName val="int.kiadások RM 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D10">
            <v>2065</v>
          </cell>
          <cell r="G10">
            <v>0</v>
          </cell>
          <cell r="J10">
            <v>0</v>
          </cell>
          <cell r="M10">
            <v>0</v>
          </cell>
          <cell r="T10">
            <v>0</v>
          </cell>
          <cell r="W10">
            <v>0</v>
          </cell>
          <cell r="Z10">
            <v>0</v>
          </cell>
          <cell r="AJ10">
            <v>512</v>
          </cell>
          <cell r="AM10">
            <v>154833</v>
          </cell>
          <cell r="AP10">
            <v>11699</v>
          </cell>
        </row>
        <row r="11">
          <cell r="D11">
            <v>1717</v>
          </cell>
          <cell r="G11">
            <v>0</v>
          </cell>
          <cell r="J11">
            <v>0</v>
          </cell>
          <cell r="M11">
            <v>0</v>
          </cell>
          <cell r="T11">
            <v>0</v>
          </cell>
          <cell r="W11">
            <v>0</v>
          </cell>
          <cell r="Z11">
            <v>0</v>
          </cell>
          <cell r="AJ11">
            <v>467</v>
          </cell>
          <cell r="AM11">
            <v>104654</v>
          </cell>
          <cell r="AP11">
            <v>5258</v>
          </cell>
        </row>
        <row r="12">
          <cell r="D12">
            <v>1846</v>
          </cell>
          <cell r="G12">
            <v>244</v>
          </cell>
          <cell r="J12">
            <v>0</v>
          </cell>
          <cell r="M12">
            <v>0</v>
          </cell>
          <cell r="T12">
            <v>0</v>
          </cell>
          <cell r="W12">
            <v>0</v>
          </cell>
          <cell r="Z12">
            <v>0</v>
          </cell>
          <cell r="AJ12">
            <v>422</v>
          </cell>
          <cell r="AM12">
            <v>97170</v>
          </cell>
          <cell r="AP12">
            <v>5091</v>
          </cell>
        </row>
        <row r="13">
          <cell r="D13">
            <v>1356</v>
          </cell>
          <cell r="G13">
            <v>0</v>
          </cell>
          <cell r="J13">
            <v>0</v>
          </cell>
          <cell r="M13">
            <v>0</v>
          </cell>
          <cell r="T13">
            <v>0</v>
          </cell>
          <cell r="W13">
            <v>0</v>
          </cell>
          <cell r="Z13">
            <v>0</v>
          </cell>
          <cell r="AJ13">
            <v>623</v>
          </cell>
          <cell r="AM13">
            <v>139301</v>
          </cell>
          <cell r="AP13">
            <v>6150</v>
          </cell>
        </row>
        <row r="14">
          <cell r="D14">
            <v>1712</v>
          </cell>
          <cell r="G14">
            <v>135</v>
          </cell>
          <cell r="J14">
            <v>983</v>
          </cell>
          <cell r="M14">
            <v>0</v>
          </cell>
          <cell r="T14">
            <v>0</v>
          </cell>
          <cell r="W14">
            <v>0</v>
          </cell>
          <cell r="Z14">
            <v>0</v>
          </cell>
          <cell r="AJ14">
            <v>382</v>
          </cell>
          <cell r="AM14">
            <v>115314</v>
          </cell>
          <cell r="AP14">
            <v>6088</v>
          </cell>
        </row>
        <row r="15">
          <cell r="D15">
            <v>1952</v>
          </cell>
          <cell r="G15">
            <v>0</v>
          </cell>
          <cell r="J15">
            <v>1156</v>
          </cell>
          <cell r="M15">
            <v>0</v>
          </cell>
          <cell r="T15">
            <v>0</v>
          </cell>
          <cell r="W15">
            <v>0</v>
          </cell>
          <cell r="Z15">
            <v>0</v>
          </cell>
          <cell r="AJ15">
            <v>1654</v>
          </cell>
          <cell r="AM15">
            <v>97475</v>
          </cell>
          <cell r="AP15">
            <v>9578</v>
          </cell>
        </row>
        <row r="16">
          <cell r="D16">
            <v>1521</v>
          </cell>
          <cell r="G16">
            <v>23</v>
          </cell>
          <cell r="J16">
            <v>22</v>
          </cell>
          <cell r="M16">
            <v>0</v>
          </cell>
          <cell r="T16">
            <v>0</v>
          </cell>
          <cell r="W16">
            <v>0</v>
          </cell>
          <cell r="Z16">
            <v>0</v>
          </cell>
          <cell r="AJ16">
            <v>452</v>
          </cell>
          <cell r="AM16">
            <v>80477</v>
          </cell>
          <cell r="AP16">
            <v>3581</v>
          </cell>
        </row>
        <row r="17">
          <cell r="D17">
            <v>1371</v>
          </cell>
          <cell r="G17">
            <v>0</v>
          </cell>
          <cell r="J17">
            <v>0</v>
          </cell>
          <cell r="M17">
            <v>0</v>
          </cell>
          <cell r="T17">
            <v>0</v>
          </cell>
          <cell r="W17">
            <v>0</v>
          </cell>
          <cell r="Z17">
            <v>0</v>
          </cell>
          <cell r="AJ17">
            <v>58</v>
          </cell>
          <cell r="AM17">
            <v>87156</v>
          </cell>
          <cell r="AP17">
            <v>16098</v>
          </cell>
        </row>
        <row r="18">
          <cell r="D18">
            <v>1107</v>
          </cell>
          <cell r="G18">
            <v>15</v>
          </cell>
          <cell r="J18">
            <v>0</v>
          </cell>
          <cell r="M18">
            <v>0</v>
          </cell>
          <cell r="T18">
            <v>0</v>
          </cell>
          <cell r="W18">
            <v>0</v>
          </cell>
          <cell r="Z18">
            <v>0</v>
          </cell>
          <cell r="AJ18">
            <v>245</v>
          </cell>
          <cell r="AM18">
            <v>125912</v>
          </cell>
          <cell r="AP18">
            <v>5199</v>
          </cell>
        </row>
        <row r="19">
          <cell r="D19">
            <v>2441</v>
          </cell>
          <cell r="G19">
            <v>0</v>
          </cell>
          <cell r="J19">
            <v>0</v>
          </cell>
          <cell r="M19">
            <v>0</v>
          </cell>
          <cell r="T19">
            <v>0</v>
          </cell>
          <cell r="W19">
            <v>0</v>
          </cell>
          <cell r="Z19">
            <v>0</v>
          </cell>
          <cell r="AJ19">
            <v>708</v>
          </cell>
          <cell r="AM19">
            <v>135070</v>
          </cell>
          <cell r="AP19">
            <v>22934</v>
          </cell>
        </row>
        <row r="20">
          <cell r="D20">
            <v>848</v>
          </cell>
          <cell r="G20">
            <v>0</v>
          </cell>
          <cell r="J20">
            <v>180</v>
          </cell>
          <cell r="M20">
            <v>0</v>
          </cell>
          <cell r="T20">
            <v>0</v>
          </cell>
          <cell r="W20">
            <v>0</v>
          </cell>
          <cell r="Z20">
            <v>0</v>
          </cell>
          <cell r="AJ20">
            <v>63</v>
          </cell>
          <cell r="AM20">
            <v>72422</v>
          </cell>
          <cell r="AP20">
            <v>1167</v>
          </cell>
        </row>
        <row r="21">
          <cell r="D21">
            <v>1590</v>
          </cell>
          <cell r="G21">
            <v>0</v>
          </cell>
          <cell r="J21">
            <v>0</v>
          </cell>
          <cell r="M21">
            <v>0</v>
          </cell>
          <cell r="T21">
            <v>0</v>
          </cell>
          <cell r="W21">
            <v>0</v>
          </cell>
          <cell r="Z21">
            <v>0</v>
          </cell>
          <cell r="AJ21">
            <v>144</v>
          </cell>
          <cell r="AM21">
            <v>57905</v>
          </cell>
          <cell r="AP21">
            <v>13179</v>
          </cell>
        </row>
        <row r="22">
          <cell r="D22">
            <v>1073</v>
          </cell>
          <cell r="G22">
            <v>0</v>
          </cell>
          <cell r="J22">
            <v>0</v>
          </cell>
          <cell r="M22">
            <v>0</v>
          </cell>
          <cell r="T22">
            <v>0</v>
          </cell>
          <cell r="W22">
            <v>0</v>
          </cell>
          <cell r="Z22">
            <v>0</v>
          </cell>
          <cell r="AJ22">
            <v>112</v>
          </cell>
          <cell r="AM22">
            <v>78848</v>
          </cell>
          <cell r="AP22">
            <v>19438</v>
          </cell>
        </row>
        <row r="23">
          <cell r="D23">
            <v>1818</v>
          </cell>
          <cell r="G23">
            <v>200</v>
          </cell>
          <cell r="J23">
            <v>0</v>
          </cell>
          <cell r="M23">
            <v>0</v>
          </cell>
          <cell r="T23">
            <v>0</v>
          </cell>
          <cell r="W23">
            <v>0</v>
          </cell>
          <cell r="Z23">
            <v>0</v>
          </cell>
          <cell r="AJ23">
            <v>203</v>
          </cell>
          <cell r="AM23">
            <v>99107</v>
          </cell>
          <cell r="AP23">
            <v>762</v>
          </cell>
        </row>
        <row r="24">
          <cell r="D24">
            <v>1804</v>
          </cell>
          <cell r="G24">
            <v>0</v>
          </cell>
          <cell r="J24">
            <v>60</v>
          </cell>
          <cell r="M24">
            <v>0</v>
          </cell>
          <cell r="T24">
            <v>0</v>
          </cell>
          <cell r="W24">
            <v>0</v>
          </cell>
          <cell r="Z24">
            <v>0</v>
          </cell>
          <cell r="AJ24">
            <v>417</v>
          </cell>
          <cell r="AM24">
            <v>122795</v>
          </cell>
          <cell r="AP24">
            <v>1480</v>
          </cell>
        </row>
        <row r="25">
          <cell r="D25">
            <v>1343</v>
          </cell>
          <cell r="G25">
            <v>0</v>
          </cell>
          <cell r="J25">
            <v>0</v>
          </cell>
          <cell r="M25">
            <v>0</v>
          </cell>
          <cell r="T25">
            <v>0</v>
          </cell>
          <cell r="W25">
            <v>0</v>
          </cell>
          <cell r="Z25">
            <v>0</v>
          </cell>
          <cell r="AJ25">
            <v>289</v>
          </cell>
          <cell r="AM25">
            <v>117696</v>
          </cell>
          <cell r="AP25">
            <v>5648</v>
          </cell>
        </row>
        <row r="26">
          <cell r="D26">
            <v>1260</v>
          </cell>
          <cell r="G26">
            <v>707</v>
          </cell>
          <cell r="J26">
            <v>0</v>
          </cell>
          <cell r="M26">
            <v>0</v>
          </cell>
          <cell r="T26">
            <v>0</v>
          </cell>
          <cell r="W26">
            <v>628</v>
          </cell>
          <cell r="Z26">
            <v>0</v>
          </cell>
          <cell r="AJ26">
            <v>155</v>
          </cell>
          <cell r="AM26">
            <v>78331</v>
          </cell>
          <cell r="AP26">
            <v>16469</v>
          </cell>
        </row>
        <row r="27">
          <cell r="D27">
            <v>1218</v>
          </cell>
          <cell r="G27">
            <v>17</v>
          </cell>
          <cell r="J27">
            <v>0</v>
          </cell>
          <cell r="M27">
            <v>0</v>
          </cell>
          <cell r="T27">
            <v>0</v>
          </cell>
          <cell r="W27">
            <v>0</v>
          </cell>
          <cell r="Z27">
            <v>0</v>
          </cell>
          <cell r="AJ27">
            <v>97</v>
          </cell>
          <cell r="AM27">
            <v>57554</v>
          </cell>
          <cell r="AP27">
            <v>2106</v>
          </cell>
        </row>
        <row r="29">
          <cell r="D29">
            <v>372329</v>
          </cell>
          <cell r="G29">
            <v>6589</v>
          </cell>
          <cell r="J29">
            <v>0</v>
          </cell>
          <cell r="M29">
            <v>0</v>
          </cell>
          <cell r="T29">
            <v>90</v>
          </cell>
          <cell r="W29">
            <v>0</v>
          </cell>
          <cell r="Z29">
            <v>0</v>
          </cell>
          <cell r="AJ29">
            <v>9225</v>
          </cell>
          <cell r="AM29">
            <v>1101885</v>
          </cell>
          <cell r="AP29">
            <v>129449</v>
          </cell>
        </row>
        <row r="33">
          <cell r="D33">
            <v>356231</v>
          </cell>
          <cell r="G33">
            <v>118016</v>
          </cell>
          <cell r="J33">
            <v>300</v>
          </cell>
          <cell r="M33">
            <v>0</v>
          </cell>
          <cell r="T33">
            <v>0</v>
          </cell>
          <cell r="W33">
            <v>20858</v>
          </cell>
          <cell r="Z33">
            <v>0</v>
          </cell>
          <cell r="AJ33">
            <v>1040</v>
          </cell>
          <cell r="AM33">
            <v>166346</v>
          </cell>
          <cell r="AP33">
            <v>700</v>
          </cell>
        </row>
        <row r="34">
          <cell r="D34">
            <v>33830</v>
          </cell>
          <cell r="G34">
            <v>26834</v>
          </cell>
          <cell r="J34">
            <v>0</v>
          </cell>
          <cell r="M34">
            <v>0</v>
          </cell>
          <cell r="T34">
            <v>0</v>
          </cell>
          <cell r="W34">
            <v>2000</v>
          </cell>
          <cell r="Z34">
            <v>0</v>
          </cell>
          <cell r="AJ34">
            <v>9666</v>
          </cell>
          <cell r="AM34">
            <v>108253</v>
          </cell>
          <cell r="AP34">
            <v>1305</v>
          </cell>
        </row>
        <row r="35">
          <cell r="D35">
            <v>104177</v>
          </cell>
          <cell r="G35">
            <v>46303</v>
          </cell>
          <cell r="J35">
            <v>0</v>
          </cell>
          <cell r="M35">
            <v>0</v>
          </cell>
          <cell r="T35">
            <v>0</v>
          </cell>
          <cell r="W35">
            <v>29387</v>
          </cell>
          <cell r="Z35">
            <v>0</v>
          </cell>
          <cell r="AJ35">
            <v>12675</v>
          </cell>
          <cell r="AM35">
            <v>474755</v>
          </cell>
          <cell r="AP35">
            <v>37504</v>
          </cell>
        </row>
        <row r="36">
          <cell r="D36">
            <v>27953</v>
          </cell>
          <cell r="G36">
            <v>18941</v>
          </cell>
          <cell r="J36">
            <v>0</v>
          </cell>
          <cell r="M36">
            <v>0</v>
          </cell>
          <cell r="T36">
            <v>0</v>
          </cell>
          <cell r="W36">
            <v>9995</v>
          </cell>
          <cell r="Z36">
            <v>0</v>
          </cell>
          <cell r="AJ36">
            <v>38946</v>
          </cell>
          <cell r="AM36">
            <v>361422</v>
          </cell>
          <cell r="AP36">
            <v>24686</v>
          </cell>
        </row>
        <row r="37">
          <cell r="D37">
            <v>178083</v>
          </cell>
          <cell r="G37">
            <v>67734</v>
          </cell>
          <cell r="J37">
            <v>0</v>
          </cell>
          <cell r="M37">
            <v>0</v>
          </cell>
          <cell r="T37">
            <v>0</v>
          </cell>
          <cell r="W37">
            <v>6600</v>
          </cell>
          <cell r="Z37">
            <v>0</v>
          </cell>
          <cell r="AJ37">
            <v>28106</v>
          </cell>
          <cell r="AM37">
            <v>385123</v>
          </cell>
          <cell r="AP37">
            <v>18785</v>
          </cell>
        </row>
        <row r="40">
          <cell r="D40">
            <v>123840</v>
          </cell>
          <cell r="G40">
            <v>460</v>
          </cell>
          <cell r="J40">
            <v>310</v>
          </cell>
          <cell r="M40">
            <v>0</v>
          </cell>
          <cell r="T40">
            <v>4</v>
          </cell>
          <cell r="W40">
            <v>0</v>
          </cell>
          <cell r="Z40">
            <v>0</v>
          </cell>
          <cell r="AJ40">
            <v>10384</v>
          </cell>
          <cell r="AM40">
            <v>820106</v>
          </cell>
          <cell r="AP40">
            <v>74937</v>
          </cell>
        </row>
        <row r="42">
          <cell r="D42">
            <v>27677</v>
          </cell>
          <cell r="G42">
            <v>340118</v>
          </cell>
          <cell r="J42">
            <v>0</v>
          </cell>
          <cell r="M42">
            <v>0</v>
          </cell>
          <cell r="T42">
            <v>92</v>
          </cell>
          <cell r="W42">
            <v>10830</v>
          </cell>
          <cell r="AJ42">
            <v>38212</v>
          </cell>
          <cell r="AM42">
            <v>325247</v>
          </cell>
          <cell r="AP42">
            <v>41699</v>
          </cell>
        </row>
        <row r="44">
          <cell r="D44">
            <v>53909</v>
          </cell>
          <cell r="G44">
            <v>6625</v>
          </cell>
          <cell r="J44">
            <v>0</v>
          </cell>
          <cell r="M44">
            <v>0</v>
          </cell>
          <cell r="T44">
            <v>489</v>
          </cell>
          <cell r="W44">
            <v>0</v>
          </cell>
          <cell r="Z44">
            <v>0</v>
          </cell>
          <cell r="AJ44">
            <v>803</v>
          </cell>
          <cell r="AM44">
            <v>757441</v>
          </cell>
          <cell r="AP44">
            <v>42247</v>
          </cell>
        </row>
        <row r="46">
          <cell r="D46">
            <v>143430</v>
          </cell>
          <cell r="G46">
            <v>0</v>
          </cell>
          <cell r="J46">
            <v>0</v>
          </cell>
          <cell r="M46">
            <v>0</v>
          </cell>
          <cell r="T46">
            <v>125</v>
          </cell>
          <cell r="W46">
            <v>0</v>
          </cell>
          <cell r="Z46">
            <v>0</v>
          </cell>
          <cell r="AJ46">
            <v>12380</v>
          </cell>
          <cell r="AM46">
            <v>3040</v>
          </cell>
          <cell r="AP46">
            <v>0</v>
          </cell>
        </row>
        <row r="47">
          <cell r="D47">
            <v>16335</v>
          </cell>
          <cell r="G47">
            <v>37223</v>
          </cell>
          <cell r="J47">
            <v>0</v>
          </cell>
          <cell r="M47">
            <v>2333</v>
          </cell>
          <cell r="T47">
            <v>1939</v>
          </cell>
          <cell r="W47">
            <v>0</v>
          </cell>
          <cell r="Z47">
            <v>0</v>
          </cell>
          <cell r="AJ47">
            <v>5492</v>
          </cell>
          <cell r="AM47">
            <v>2022656</v>
          </cell>
          <cell r="AP47">
            <v>70457</v>
          </cell>
        </row>
        <row r="48">
          <cell r="D48">
            <v>0</v>
          </cell>
          <cell r="G48">
            <v>0</v>
          </cell>
          <cell r="J48">
            <v>0</v>
          </cell>
          <cell r="M48">
            <v>0</v>
          </cell>
          <cell r="T48">
            <v>0</v>
          </cell>
          <cell r="W48">
            <v>0</v>
          </cell>
          <cell r="Z48">
            <v>0</v>
          </cell>
          <cell r="AJ48">
            <v>366</v>
          </cell>
          <cell r="AM48">
            <v>202088</v>
          </cell>
          <cell r="AP48">
            <v>1282</v>
          </cell>
        </row>
        <row r="54">
          <cell r="D54">
            <v>1465836</v>
          </cell>
          <cell r="G54">
            <v>670184</v>
          </cell>
          <cell r="J54">
            <v>3011</v>
          </cell>
          <cell r="M54">
            <v>2333</v>
          </cell>
          <cell r="P54">
            <v>2141364</v>
          </cell>
          <cell r="T54">
            <v>2739</v>
          </cell>
          <cell r="W54">
            <v>80298</v>
          </cell>
          <cell r="Z54">
            <v>0</v>
          </cell>
          <cell r="AC54">
            <v>83037</v>
          </cell>
          <cell r="AJ54">
            <v>174298</v>
          </cell>
          <cell r="AM54">
            <v>8550382</v>
          </cell>
          <cell r="AP54">
            <v>594976</v>
          </cell>
          <cell r="AS54">
            <v>9145358</v>
          </cell>
          <cell r="AV54">
            <v>11544057</v>
          </cell>
        </row>
      </sheetData>
      <sheetData sheetId="9">
        <row r="10">
          <cell r="D10">
            <v>125835</v>
          </cell>
          <cell r="G10">
            <v>25941</v>
          </cell>
          <cell r="J10">
            <v>5634</v>
          </cell>
          <cell r="N10">
            <v>0</v>
          </cell>
          <cell r="Q10">
            <v>0</v>
          </cell>
          <cell r="X10">
            <v>11699</v>
          </cell>
          <cell r="AA10">
            <v>0</v>
          </cell>
          <cell r="AD10">
            <v>0</v>
          </cell>
        </row>
        <row r="11">
          <cell r="D11">
            <v>85659</v>
          </cell>
          <cell r="G11">
            <v>16298</v>
          </cell>
          <cell r="J11">
            <v>4881</v>
          </cell>
          <cell r="N11">
            <v>0</v>
          </cell>
          <cell r="Q11">
            <v>0</v>
          </cell>
          <cell r="X11">
            <v>1729</v>
          </cell>
          <cell r="AA11">
            <v>3529</v>
          </cell>
          <cell r="AD11">
            <v>0</v>
          </cell>
        </row>
        <row r="12">
          <cell r="D12">
            <v>77765</v>
          </cell>
          <cell r="G12">
            <v>15293</v>
          </cell>
          <cell r="J12">
            <v>6624</v>
          </cell>
          <cell r="N12">
            <v>0</v>
          </cell>
          <cell r="Q12">
            <v>0</v>
          </cell>
          <cell r="X12">
            <v>2121</v>
          </cell>
          <cell r="AA12">
            <v>2970</v>
          </cell>
          <cell r="AD12">
            <v>0</v>
          </cell>
        </row>
        <row r="13">
          <cell r="D13">
            <v>108121</v>
          </cell>
          <cell r="G13">
            <v>22560</v>
          </cell>
          <cell r="J13">
            <v>10599</v>
          </cell>
          <cell r="N13">
            <v>0</v>
          </cell>
          <cell r="Q13">
            <v>0</v>
          </cell>
          <cell r="X13">
            <v>2171</v>
          </cell>
          <cell r="AA13">
            <v>3979</v>
          </cell>
          <cell r="AD13">
            <v>0</v>
          </cell>
        </row>
        <row r="14">
          <cell r="D14">
            <v>91425</v>
          </cell>
          <cell r="G14">
            <v>19013</v>
          </cell>
          <cell r="J14">
            <v>8088</v>
          </cell>
          <cell r="N14">
            <v>0</v>
          </cell>
          <cell r="Q14">
            <v>0</v>
          </cell>
          <cell r="X14">
            <v>4501</v>
          </cell>
          <cell r="AA14">
            <v>1587</v>
          </cell>
          <cell r="AD14">
            <v>0</v>
          </cell>
        </row>
        <row r="15">
          <cell r="D15">
            <v>79898</v>
          </cell>
          <cell r="G15">
            <v>15618</v>
          </cell>
          <cell r="J15">
            <v>6721</v>
          </cell>
          <cell r="N15">
            <v>0</v>
          </cell>
          <cell r="Q15">
            <v>0</v>
          </cell>
          <cell r="X15">
            <v>625</v>
          </cell>
          <cell r="AA15">
            <v>8953</v>
          </cell>
          <cell r="AD15">
            <v>0</v>
          </cell>
        </row>
        <row r="16">
          <cell r="D16">
            <v>65940</v>
          </cell>
          <cell r="G16">
            <v>12594</v>
          </cell>
          <cell r="J16">
            <v>3961</v>
          </cell>
          <cell r="N16">
            <v>0</v>
          </cell>
          <cell r="Q16">
            <v>0</v>
          </cell>
          <cell r="X16">
            <v>2894</v>
          </cell>
          <cell r="AA16">
            <v>687</v>
          </cell>
          <cell r="AD16">
            <v>0</v>
          </cell>
        </row>
        <row r="17">
          <cell r="D17">
            <v>68878</v>
          </cell>
          <cell r="G17">
            <v>13258</v>
          </cell>
          <cell r="J17">
            <v>6449</v>
          </cell>
          <cell r="N17">
            <v>0</v>
          </cell>
          <cell r="Q17">
            <v>0</v>
          </cell>
          <cell r="X17">
            <v>7150</v>
          </cell>
          <cell r="AA17">
            <v>8948</v>
          </cell>
          <cell r="AD17">
            <v>0</v>
          </cell>
        </row>
        <row r="18">
          <cell r="D18">
            <v>99130</v>
          </cell>
          <cell r="G18">
            <v>20556</v>
          </cell>
          <cell r="J18">
            <v>7593</v>
          </cell>
          <cell r="N18">
            <v>0</v>
          </cell>
          <cell r="Q18">
            <v>0</v>
          </cell>
          <cell r="X18">
            <v>1224</v>
          </cell>
          <cell r="AA18">
            <v>3975</v>
          </cell>
          <cell r="AD18">
            <v>0</v>
          </cell>
        </row>
        <row r="19">
          <cell r="D19">
            <v>108950</v>
          </cell>
          <cell r="G19">
            <v>22753</v>
          </cell>
          <cell r="J19">
            <v>6516</v>
          </cell>
          <cell r="N19">
            <v>0</v>
          </cell>
          <cell r="Q19">
            <v>0</v>
          </cell>
          <cell r="X19">
            <v>1143</v>
          </cell>
          <cell r="AA19">
            <v>21791</v>
          </cell>
          <cell r="AD19">
            <v>0</v>
          </cell>
        </row>
        <row r="20">
          <cell r="D20">
            <v>59171</v>
          </cell>
          <cell r="G20">
            <v>11211</v>
          </cell>
          <cell r="J20">
            <v>3131</v>
          </cell>
          <cell r="N20">
            <v>0</v>
          </cell>
          <cell r="Q20">
            <v>0</v>
          </cell>
          <cell r="X20">
            <v>1167</v>
          </cell>
          <cell r="AA20">
            <v>0</v>
          </cell>
          <cell r="AD20">
            <v>0</v>
          </cell>
        </row>
        <row r="21">
          <cell r="D21">
            <v>41615</v>
          </cell>
          <cell r="G21">
            <v>8120</v>
          </cell>
          <cell r="J21">
            <v>9904</v>
          </cell>
          <cell r="N21">
            <v>0</v>
          </cell>
          <cell r="Q21">
            <v>0</v>
          </cell>
          <cell r="X21">
            <v>7239</v>
          </cell>
          <cell r="AA21">
            <v>5940</v>
          </cell>
          <cell r="AD21">
            <v>0</v>
          </cell>
        </row>
        <row r="22">
          <cell r="D22">
            <v>61533</v>
          </cell>
          <cell r="G22">
            <v>12413</v>
          </cell>
          <cell r="J22">
            <v>6087</v>
          </cell>
          <cell r="N22">
            <v>0</v>
          </cell>
          <cell r="Q22">
            <v>0</v>
          </cell>
          <cell r="X22">
            <v>4195</v>
          </cell>
          <cell r="AA22">
            <v>15243</v>
          </cell>
          <cell r="AD22">
            <v>0</v>
          </cell>
        </row>
        <row r="23">
          <cell r="D23">
            <v>80913</v>
          </cell>
          <cell r="G23">
            <v>15312</v>
          </cell>
          <cell r="J23">
            <v>5103</v>
          </cell>
          <cell r="N23">
            <v>0</v>
          </cell>
          <cell r="Q23">
            <v>0</v>
          </cell>
          <cell r="X23">
            <v>762</v>
          </cell>
          <cell r="AA23">
            <v>0</v>
          </cell>
          <cell r="AD23">
            <v>0</v>
          </cell>
        </row>
        <row r="24">
          <cell r="D24">
            <v>98301</v>
          </cell>
          <cell r="G24">
            <v>20605</v>
          </cell>
          <cell r="J24">
            <v>6170</v>
          </cell>
          <cell r="N24">
            <v>0</v>
          </cell>
          <cell r="Q24">
            <v>0</v>
          </cell>
          <cell r="X24">
            <v>1480</v>
          </cell>
          <cell r="AA24">
            <v>0</v>
          </cell>
          <cell r="AD24">
            <v>0</v>
          </cell>
        </row>
        <row r="25">
          <cell r="D25">
            <v>94096</v>
          </cell>
          <cell r="G25">
            <v>17860</v>
          </cell>
          <cell r="J25">
            <v>7372</v>
          </cell>
          <cell r="N25">
            <v>0</v>
          </cell>
          <cell r="Q25">
            <v>0</v>
          </cell>
          <cell r="X25">
            <v>2262</v>
          </cell>
          <cell r="AA25">
            <v>3386</v>
          </cell>
          <cell r="AD25">
            <v>0</v>
          </cell>
        </row>
        <row r="26">
          <cell r="D26">
            <v>63362</v>
          </cell>
          <cell r="G26">
            <v>11979</v>
          </cell>
          <cell r="J26">
            <v>5112</v>
          </cell>
          <cell r="N26">
            <v>0</v>
          </cell>
          <cell r="Q26">
            <v>0</v>
          </cell>
          <cell r="X26">
            <v>1996</v>
          </cell>
          <cell r="AA26">
            <v>15101</v>
          </cell>
          <cell r="AD26">
            <v>0</v>
          </cell>
        </row>
        <row r="27">
          <cell r="D27">
            <v>46501</v>
          </cell>
          <cell r="G27">
            <v>8650</v>
          </cell>
          <cell r="J27">
            <v>3735</v>
          </cell>
          <cell r="N27">
            <v>0</v>
          </cell>
          <cell r="Q27">
            <v>0</v>
          </cell>
          <cell r="X27">
            <v>2106</v>
          </cell>
          <cell r="AA27">
            <v>0</v>
          </cell>
          <cell r="AD27">
            <v>0</v>
          </cell>
        </row>
        <row r="29">
          <cell r="D29">
            <v>208366</v>
          </cell>
          <cell r="G29">
            <v>43650</v>
          </cell>
          <cell r="J29">
            <v>1238012</v>
          </cell>
          <cell r="N29">
            <v>0</v>
          </cell>
          <cell r="Q29">
            <v>0</v>
          </cell>
          <cell r="X29">
            <v>111578</v>
          </cell>
          <cell r="AA29">
            <v>17961</v>
          </cell>
          <cell r="AD29">
            <v>0</v>
          </cell>
        </row>
        <row r="33">
          <cell r="D33">
            <v>217395</v>
          </cell>
          <cell r="G33">
            <v>43719</v>
          </cell>
          <cell r="J33">
            <v>380819</v>
          </cell>
          <cell r="N33">
            <v>0</v>
          </cell>
          <cell r="Q33">
            <v>0</v>
          </cell>
          <cell r="X33">
            <v>21558</v>
          </cell>
          <cell r="AA33">
            <v>0</v>
          </cell>
          <cell r="AD33">
            <v>0</v>
          </cell>
        </row>
        <row r="34">
          <cell r="D34">
            <v>89740</v>
          </cell>
          <cell r="G34">
            <v>17153</v>
          </cell>
          <cell r="J34">
            <v>71690</v>
          </cell>
          <cell r="N34">
            <v>0</v>
          </cell>
          <cell r="Q34">
            <v>0</v>
          </cell>
          <cell r="X34">
            <v>3305</v>
          </cell>
          <cell r="AA34">
            <v>0</v>
          </cell>
          <cell r="AD34">
            <v>0</v>
          </cell>
        </row>
        <row r="35">
          <cell r="D35">
            <v>369308</v>
          </cell>
          <cell r="G35">
            <v>66715</v>
          </cell>
          <cell r="J35">
            <v>201887</v>
          </cell>
          <cell r="N35">
            <v>0</v>
          </cell>
          <cell r="Q35">
            <v>0</v>
          </cell>
          <cell r="X35">
            <v>66891</v>
          </cell>
          <cell r="AA35">
            <v>0</v>
          </cell>
          <cell r="AD35">
            <v>0</v>
          </cell>
        </row>
        <row r="36">
          <cell r="D36">
            <v>209019</v>
          </cell>
          <cell r="G36">
            <v>38132</v>
          </cell>
          <cell r="J36">
            <v>199509</v>
          </cell>
          <cell r="N36">
            <v>0</v>
          </cell>
          <cell r="Q36">
            <v>0</v>
          </cell>
          <cell r="X36">
            <v>35283</v>
          </cell>
          <cell r="AA36">
            <v>0</v>
          </cell>
          <cell r="AD36">
            <v>0</v>
          </cell>
        </row>
        <row r="37">
          <cell r="D37">
            <v>366694</v>
          </cell>
          <cell r="G37">
            <v>63680</v>
          </cell>
          <cell r="J37">
            <v>228672</v>
          </cell>
          <cell r="N37">
            <v>0</v>
          </cell>
          <cell r="Q37">
            <v>0</v>
          </cell>
          <cell r="X37">
            <v>25385</v>
          </cell>
          <cell r="AA37">
            <v>0</v>
          </cell>
          <cell r="AD37">
            <v>0</v>
          </cell>
        </row>
        <row r="40">
          <cell r="D40">
            <v>572361</v>
          </cell>
          <cell r="G40">
            <v>118100</v>
          </cell>
          <cell r="J40">
            <v>264639</v>
          </cell>
          <cell r="N40">
            <v>0</v>
          </cell>
          <cell r="Q40">
            <v>0</v>
          </cell>
          <cell r="X40">
            <v>21301</v>
          </cell>
          <cell r="AA40">
            <v>53640</v>
          </cell>
          <cell r="AD40">
            <v>0</v>
          </cell>
        </row>
        <row r="42">
          <cell r="D42">
            <v>408071</v>
          </cell>
          <cell r="G42">
            <v>79846</v>
          </cell>
          <cell r="J42">
            <v>242005</v>
          </cell>
          <cell r="N42">
            <v>0</v>
          </cell>
          <cell r="Q42">
            <v>0</v>
          </cell>
          <cell r="X42">
            <v>42906</v>
          </cell>
          <cell r="AA42">
            <v>11047</v>
          </cell>
          <cell r="AD42">
            <v>0</v>
          </cell>
        </row>
        <row r="44">
          <cell r="D44">
            <v>546401</v>
          </cell>
          <cell r="G44">
            <v>117332</v>
          </cell>
          <cell r="J44">
            <v>155045</v>
          </cell>
          <cell r="N44">
            <v>0</v>
          </cell>
          <cell r="Q44">
            <v>0</v>
          </cell>
          <cell r="X44">
            <v>39107</v>
          </cell>
          <cell r="AA44">
            <v>3629</v>
          </cell>
          <cell r="AD44">
            <v>0</v>
          </cell>
        </row>
        <row r="46">
          <cell r="D46">
            <v>51016</v>
          </cell>
          <cell r="G46">
            <v>9763</v>
          </cell>
          <cell r="J46">
            <v>52586</v>
          </cell>
          <cell r="N46">
            <v>0</v>
          </cell>
          <cell r="Q46">
            <v>30000</v>
          </cell>
          <cell r="X46">
            <v>14784</v>
          </cell>
          <cell r="AA46">
            <v>826</v>
          </cell>
          <cell r="AD46">
            <v>0</v>
          </cell>
        </row>
        <row r="47">
          <cell r="D47">
            <v>1402578</v>
          </cell>
          <cell r="G47">
            <v>289633</v>
          </cell>
          <cell r="J47">
            <v>381319</v>
          </cell>
          <cell r="N47">
            <v>0</v>
          </cell>
          <cell r="Q47">
            <v>10509</v>
          </cell>
          <cell r="X47">
            <v>66777</v>
          </cell>
          <cell r="AA47">
            <v>5619</v>
          </cell>
          <cell r="AD47">
            <v>0</v>
          </cell>
        </row>
        <row r="48">
          <cell r="D48">
            <v>141814</v>
          </cell>
          <cell r="G48">
            <v>29394</v>
          </cell>
          <cell r="J48">
            <v>31246</v>
          </cell>
          <cell r="N48">
            <v>0</v>
          </cell>
          <cell r="Q48">
            <v>0</v>
          </cell>
          <cell r="X48">
            <v>1282</v>
          </cell>
          <cell r="AA48">
            <v>0</v>
          </cell>
          <cell r="AD48">
            <v>0</v>
          </cell>
        </row>
        <row r="54">
          <cell r="D54">
            <v>6039856</v>
          </cell>
          <cell r="G54">
            <v>1207151</v>
          </cell>
          <cell r="J54">
            <v>3561109</v>
          </cell>
          <cell r="N54">
            <v>0</v>
          </cell>
          <cell r="Q54">
            <v>40509</v>
          </cell>
          <cell r="T54">
            <v>10848625</v>
          </cell>
          <cell r="X54">
            <v>506621</v>
          </cell>
          <cell r="AA54">
            <v>188811</v>
          </cell>
          <cell r="AD54">
            <v>0</v>
          </cell>
          <cell r="AG54">
            <v>695432</v>
          </cell>
          <cell r="AJ54">
            <v>11544057</v>
          </cell>
        </row>
      </sheetData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éves besz.bevételei2019"/>
      <sheetName val="éves besz.kiadásai2019"/>
    </sheetNames>
    <sheetDataSet>
      <sheetData sheetId="0">
        <row r="10">
          <cell r="BD10">
            <v>153706</v>
          </cell>
          <cell r="BE10">
            <v>169109</v>
          </cell>
          <cell r="BF10">
            <v>145877</v>
          </cell>
        </row>
        <row r="11">
          <cell r="BD11">
            <v>105498</v>
          </cell>
          <cell r="BE11">
            <v>112096</v>
          </cell>
          <cell r="BF11">
            <v>108278</v>
          </cell>
        </row>
        <row r="12">
          <cell r="BD12">
            <v>97580</v>
          </cell>
          <cell r="BE12">
            <v>104773</v>
          </cell>
          <cell r="BF12">
            <v>101000</v>
          </cell>
        </row>
        <row r="13">
          <cell r="BD13">
            <v>136898</v>
          </cell>
          <cell r="BE13">
            <v>147430</v>
          </cell>
          <cell r="BF13">
            <v>138343</v>
          </cell>
        </row>
        <row r="14">
          <cell r="BD14">
            <v>113184</v>
          </cell>
          <cell r="BE14">
            <v>124614</v>
          </cell>
          <cell r="BF14">
            <v>120004</v>
          </cell>
        </row>
        <row r="15">
          <cell r="BD15">
            <v>95426</v>
          </cell>
          <cell r="BE15">
            <v>111815</v>
          </cell>
          <cell r="BF15">
            <v>107691</v>
          </cell>
        </row>
        <row r="16">
          <cell r="BD16">
            <v>79973</v>
          </cell>
          <cell r="BE16">
            <v>86076</v>
          </cell>
          <cell r="BF16">
            <v>83437</v>
          </cell>
        </row>
        <row r="17">
          <cell r="BD17">
            <v>84651</v>
          </cell>
          <cell r="BE17">
            <v>104683</v>
          </cell>
          <cell r="BF17">
            <v>95180</v>
          </cell>
        </row>
        <row r="18">
          <cell r="BD18">
            <v>121645</v>
          </cell>
          <cell r="BE18">
            <v>132478</v>
          </cell>
          <cell r="BF18">
            <v>127278</v>
          </cell>
        </row>
        <row r="19">
          <cell r="BD19">
            <v>135539</v>
          </cell>
          <cell r="BE19">
            <v>161153</v>
          </cell>
          <cell r="BF19">
            <v>135890</v>
          </cell>
        </row>
        <row r="20">
          <cell r="BD20">
            <v>71801</v>
          </cell>
          <cell r="BE20">
            <v>74680</v>
          </cell>
          <cell r="BF20">
            <v>71869</v>
          </cell>
        </row>
        <row r="21">
          <cell r="BD21">
            <v>53025</v>
          </cell>
          <cell r="BE21">
            <v>72818</v>
          </cell>
          <cell r="BF21">
            <v>66915</v>
          </cell>
        </row>
        <row r="22">
          <cell r="BD22">
            <v>72559</v>
          </cell>
          <cell r="BE22">
            <v>99471</v>
          </cell>
          <cell r="BF22">
            <v>94313</v>
          </cell>
        </row>
        <row r="23">
          <cell r="BD23">
            <v>97025</v>
          </cell>
          <cell r="BE23">
            <v>102090</v>
          </cell>
          <cell r="BF23">
            <v>97650</v>
          </cell>
        </row>
        <row r="24">
          <cell r="BD24">
            <v>121456</v>
          </cell>
          <cell r="BE24">
            <v>126556</v>
          </cell>
          <cell r="BF24">
            <v>122625</v>
          </cell>
        </row>
        <row r="25">
          <cell r="BD25">
            <v>113101</v>
          </cell>
          <cell r="BE25">
            <v>124976</v>
          </cell>
          <cell r="BF25">
            <v>111342</v>
          </cell>
        </row>
        <row r="26">
          <cell r="BD26">
            <v>76555</v>
          </cell>
          <cell r="BE26">
            <v>97550</v>
          </cell>
          <cell r="BF26">
            <v>91052</v>
          </cell>
        </row>
        <row r="27">
          <cell r="BD27">
            <v>54863</v>
          </cell>
          <cell r="BE27">
            <v>60992</v>
          </cell>
          <cell r="BF27">
            <v>58803</v>
          </cell>
        </row>
        <row r="28">
          <cell r="BD28">
            <v>1784485</v>
          </cell>
          <cell r="BE28">
            <v>2013360</v>
          </cell>
          <cell r="BF28">
            <v>1877547</v>
          </cell>
        </row>
        <row r="29">
          <cell r="BD29">
            <v>1554123</v>
          </cell>
          <cell r="BE29">
            <v>1619567</v>
          </cell>
          <cell r="BF29">
            <v>1461954</v>
          </cell>
        </row>
        <row r="30">
          <cell r="BD30">
            <v>3338608</v>
          </cell>
          <cell r="BE30">
            <v>3632927</v>
          </cell>
          <cell r="BF30">
            <v>3339501</v>
          </cell>
        </row>
        <row r="33">
          <cell r="BD33">
            <v>387217</v>
          </cell>
          <cell r="BE33">
            <v>663491</v>
          </cell>
          <cell r="BF33">
            <v>652985</v>
          </cell>
        </row>
        <row r="34">
          <cell r="BD34">
            <v>127802</v>
          </cell>
          <cell r="BE34">
            <v>181888</v>
          </cell>
          <cell r="BF34">
            <v>169171</v>
          </cell>
        </row>
        <row r="35">
          <cell r="BD35">
            <v>462107</v>
          </cell>
          <cell r="BE35">
            <v>704801</v>
          </cell>
          <cell r="BF35">
            <v>634543</v>
          </cell>
        </row>
        <row r="36">
          <cell r="BD36">
            <v>246365</v>
          </cell>
          <cell r="BE36">
            <v>481943</v>
          </cell>
          <cell r="BF36">
            <v>446067</v>
          </cell>
        </row>
        <row r="37">
          <cell r="BD37">
            <v>510683</v>
          </cell>
          <cell r="BE37">
            <v>684431</v>
          </cell>
          <cell r="BF37">
            <v>640500</v>
          </cell>
        </row>
        <row r="38">
          <cell r="BD38">
            <v>1734174</v>
          </cell>
          <cell r="BE38">
            <v>2716554</v>
          </cell>
          <cell r="BF38">
            <v>2543266</v>
          </cell>
        </row>
        <row r="40">
          <cell r="BD40">
            <v>823772</v>
          </cell>
          <cell r="BE40">
            <v>1030041</v>
          </cell>
          <cell r="BF40">
            <v>974013</v>
          </cell>
        </row>
        <row r="42">
          <cell r="BD42">
            <v>661696</v>
          </cell>
          <cell r="BE42">
            <v>783875</v>
          </cell>
          <cell r="BF42">
            <v>734290</v>
          </cell>
        </row>
        <row r="44">
          <cell r="BD44">
            <v>809327</v>
          </cell>
          <cell r="BE44">
            <v>861514</v>
          </cell>
          <cell r="BF44">
            <v>825210</v>
          </cell>
        </row>
        <row r="46">
          <cell r="BD46">
            <v>139534</v>
          </cell>
          <cell r="BE46">
            <v>158975</v>
          </cell>
          <cell r="BF46">
            <v>157387</v>
          </cell>
        </row>
        <row r="47">
          <cell r="BD47">
            <v>1791685</v>
          </cell>
          <cell r="BE47">
            <v>2156435</v>
          </cell>
          <cell r="BF47">
            <v>1884713</v>
          </cell>
        </row>
        <row r="48">
          <cell r="BD48">
            <v>198813</v>
          </cell>
          <cell r="BE48">
            <v>203736</v>
          </cell>
          <cell r="BF48">
            <v>198592</v>
          </cell>
        </row>
        <row r="49">
          <cell r="BD49">
            <v>2130032</v>
          </cell>
          <cell r="BE49">
            <v>2519146</v>
          </cell>
          <cell r="BF49">
            <v>2240692</v>
          </cell>
        </row>
        <row r="50">
          <cell r="BD50">
            <v>6159001</v>
          </cell>
          <cell r="BE50">
            <v>7911130</v>
          </cell>
          <cell r="BF50">
            <v>7317471</v>
          </cell>
        </row>
        <row r="51">
          <cell r="BD51">
            <v>9497609</v>
          </cell>
          <cell r="BE51">
            <v>11544057</v>
          </cell>
          <cell r="BF51">
            <v>10656972</v>
          </cell>
        </row>
      </sheetData>
      <sheetData sheetId="1">
        <row r="10">
          <cell r="AP10">
            <v>11699</v>
          </cell>
          <cell r="AQ10">
            <v>786</v>
          </cell>
        </row>
        <row r="11">
          <cell r="AP11">
            <v>5258</v>
          </cell>
          <cell r="AQ11">
            <v>4787</v>
          </cell>
        </row>
        <row r="12">
          <cell r="AP12">
            <v>5091</v>
          </cell>
          <cell r="AQ12">
            <v>5089</v>
          </cell>
        </row>
        <row r="13">
          <cell r="AP13">
            <v>6150</v>
          </cell>
          <cell r="AQ13">
            <v>4174</v>
          </cell>
        </row>
        <row r="14">
          <cell r="AP14">
            <v>6088</v>
          </cell>
          <cell r="AQ14">
            <v>6085</v>
          </cell>
        </row>
        <row r="15">
          <cell r="AP15">
            <v>9578</v>
          </cell>
          <cell r="AQ15">
            <v>9577</v>
          </cell>
        </row>
        <row r="16">
          <cell r="AP16">
            <v>3581</v>
          </cell>
          <cell r="AQ16">
            <v>3581</v>
          </cell>
        </row>
        <row r="17">
          <cell r="AP17">
            <v>16098</v>
          </cell>
          <cell r="AQ17">
            <v>9746</v>
          </cell>
        </row>
        <row r="18">
          <cell r="AP18">
            <v>5199</v>
          </cell>
          <cell r="AQ18">
            <v>5198</v>
          </cell>
        </row>
        <row r="19">
          <cell r="AP19">
            <v>22934</v>
          </cell>
          <cell r="AQ19">
            <v>1141</v>
          </cell>
        </row>
        <row r="20">
          <cell r="AP20">
            <v>1167</v>
          </cell>
          <cell r="AQ20">
            <v>292</v>
          </cell>
        </row>
        <row r="21">
          <cell r="AP21">
            <v>13179</v>
          </cell>
          <cell r="AQ21">
            <v>9664</v>
          </cell>
        </row>
        <row r="22">
          <cell r="AP22">
            <v>19438</v>
          </cell>
          <cell r="AQ22">
            <v>19438</v>
          </cell>
        </row>
        <row r="23">
          <cell r="AP23">
            <v>762</v>
          </cell>
          <cell r="AQ23">
            <v>761</v>
          </cell>
        </row>
        <row r="24">
          <cell r="AP24">
            <v>1480</v>
          </cell>
          <cell r="AQ24">
            <v>1479</v>
          </cell>
        </row>
        <row r="25">
          <cell r="AP25">
            <v>5648</v>
          </cell>
          <cell r="AQ25">
            <v>2578</v>
          </cell>
        </row>
        <row r="26">
          <cell r="AP26">
            <v>17097</v>
          </cell>
          <cell r="AQ26">
            <v>15729</v>
          </cell>
        </row>
        <row r="27">
          <cell r="AP27">
            <v>2106</v>
          </cell>
          <cell r="AQ27">
            <v>2005</v>
          </cell>
        </row>
        <row r="28">
          <cell r="AQ28">
            <v>102110</v>
          </cell>
        </row>
        <row r="29">
          <cell r="AP29">
            <v>129539</v>
          </cell>
          <cell r="AQ29">
            <v>40376</v>
          </cell>
        </row>
        <row r="30">
          <cell r="AQ30">
            <v>142486</v>
          </cell>
        </row>
        <row r="33">
          <cell r="AP33">
            <v>21558</v>
          </cell>
          <cell r="AQ33">
            <v>19594</v>
          </cell>
        </row>
        <row r="34">
          <cell r="AP34">
            <v>3305</v>
          </cell>
          <cell r="AQ34">
            <v>3125</v>
          </cell>
        </row>
        <row r="35">
          <cell r="AP35">
            <v>66891</v>
          </cell>
          <cell r="AQ35">
            <v>30158</v>
          </cell>
        </row>
        <row r="36">
          <cell r="AP36">
            <v>35283</v>
          </cell>
          <cell r="AQ36">
            <v>9703</v>
          </cell>
        </row>
        <row r="37">
          <cell r="AP37">
            <v>25385</v>
          </cell>
          <cell r="AQ37">
            <v>20007</v>
          </cell>
        </row>
        <row r="38">
          <cell r="AQ38">
            <v>82587</v>
          </cell>
        </row>
        <row r="40">
          <cell r="AP40">
            <v>74941</v>
          </cell>
          <cell r="AQ40">
            <v>28524</v>
          </cell>
        </row>
        <row r="42">
          <cell r="AP42">
            <v>53953</v>
          </cell>
          <cell r="AQ42">
            <v>24847</v>
          </cell>
        </row>
        <row r="44">
          <cell r="AP44">
            <v>42736</v>
          </cell>
          <cell r="AQ44">
            <v>29278</v>
          </cell>
        </row>
        <row r="46">
          <cell r="AP46">
            <v>15610</v>
          </cell>
          <cell r="AQ46">
            <v>8024</v>
          </cell>
        </row>
        <row r="47">
          <cell r="AP47">
            <v>72396</v>
          </cell>
          <cell r="AQ47">
            <v>52115</v>
          </cell>
        </row>
        <row r="48">
          <cell r="AP48">
            <v>1282</v>
          </cell>
          <cell r="AQ48">
            <v>1282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étszám ei mód 2018-2019eltérés"/>
      <sheetName val="2019 évi nyitó létszám"/>
      <sheetName val="létszám ei mód RM I."/>
      <sheetName val="létszám ei mód RM II."/>
      <sheetName val="létszám ei mód RM III."/>
      <sheetName val="létszám ei mód RM IV."/>
    </sheetNames>
    <sheetDataSet>
      <sheetData sheetId="0"/>
      <sheetData sheetId="1"/>
      <sheetData sheetId="2"/>
      <sheetData sheetId="3"/>
      <sheetData sheetId="4"/>
      <sheetData sheetId="5">
        <row r="9">
          <cell r="H9">
            <v>33</v>
          </cell>
          <cell r="I9">
            <v>33</v>
          </cell>
          <cell r="N9">
            <v>1</v>
          </cell>
          <cell r="O9">
            <v>1</v>
          </cell>
        </row>
        <row r="10">
          <cell r="H10">
            <v>22</v>
          </cell>
          <cell r="I10">
            <v>22</v>
          </cell>
          <cell r="N10">
            <v>1</v>
          </cell>
          <cell r="O10">
            <v>1</v>
          </cell>
        </row>
        <row r="11">
          <cell r="H11">
            <v>22</v>
          </cell>
          <cell r="I11">
            <v>22</v>
          </cell>
          <cell r="N11">
            <v>1</v>
          </cell>
          <cell r="O11">
            <v>1</v>
          </cell>
        </row>
        <row r="12">
          <cell r="H12">
            <v>27</v>
          </cell>
          <cell r="I12">
            <v>27</v>
          </cell>
          <cell r="N12">
            <v>1</v>
          </cell>
          <cell r="O12">
            <v>1</v>
          </cell>
        </row>
        <row r="13">
          <cell r="H13">
            <v>25</v>
          </cell>
          <cell r="I13">
            <v>25</v>
          </cell>
          <cell r="N13">
            <v>1</v>
          </cell>
          <cell r="O13">
            <v>1</v>
          </cell>
        </row>
        <row r="14">
          <cell r="H14">
            <v>22</v>
          </cell>
          <cell r="I14">
            <v>22</v>
          </cell>
          <cell r="N14">
            <v>1</v>
          </cell>
          <cell r="O14">
            <v>1</v>
          </cell>
        </row>
        <row r="15">
          <cell r="H15">
            <v>18</v>
          </cell>
          <cell r="I15">
            <v>18</v>
          </cell>
          <cell r="N15">
            <v>1</v>
          </cell>
          <cell r="O15">
            <v>1</v>
          </cell>
        </row>
        <row r="16">
          <cell r="H16">
            <v>18</v>
          </cell>
          <cell r="I16">
            <v>18</v>
          </cell>
          <cell r="N16">
            <v>1</v>
          </cell>
          <cell r="O16">
            <v>1</v>
          </cell>
        </row>
        <row r="17">
          <cell r="H17">
            <v>25</v>
          </cell>
          <cell r="I17">
            <v>25</v>
          </cell>
          <cell r="N17">
            <v>1</v>
          </cell>
          <cell r="O17">
            <v>1</v>
          </cell>
        </row>
        <row r="18">
          <cell r="H18">
            <v>28</v>
          </cell>
          <cell r="I18">
            <v>28</v>
          </cell>
          <cell r="N18">
            <v>1</v>
          </cell>
          <cell r="O18">
            <v>1</v>
          </cell>
        </row>
        <row r="19">
          <cell r="H19">
            <v>15</v>
          </cell>
          <cell r="I19">
            <v>15</v>
          </cell>
          <cell r="N19">
            <v>1</v>
          </cell>
          <cell r="O19">
            <v>1</v>
          </cell>
        </row>
        <row r="20">
          <cell r="H20">
            <v>11.5</v>
          </cell>
          <cell r="I20">
            <v>11</v>
          </cell>
          <cell r="N20">
            <v>1</v>
          </cell>
          <cell r="O20">
            <v>1</v>
          </cell>
        </row>
        <row r="21">
          <cell r="H21">
            <v>18</v>
          </cell>
          <cell r="I21">
            <v>18</v>
          </cell>
          <cell r="N21">
            <v>1</v>
          </cell>
          <cell r="O21">
            <v>1</v>
          </cell>
        </row>
        <row r="22">
          <cell r="H22">
            <v>20</v>
          </cell>
          <cell r="I22">
            <v>20</v>
          </cell>
          <cell r="N22">
            <v>1</v>
          </cell>
          <cell r="O22">
            <v>1</v>
          </cell>
        </row>
        <row r="23">
          <cell r="H23">
            <v>28</v>
          </cell>
          <cell r="I23">
            <v>28</v>
          </cell>
          <cell r="N23">
            <v>1</v>
          </cell>
          <cell r="O23">
            <v>1</v>
          </cell>
        </row>
        <row r="24">
          <cell r="H24">
            <v>22</v>
          </cell>
          <cell r="I24">
            <v>22</v>
          </cell>
          <cell r="N24">
            <v>1</v>
          </cell>
          <cell r="O24">
            <v>1</v>
          </cell>
        </row>
        <row r="25">
          <cell r="H25">
            <v>16</v>
          </cell>
          <cell r="I25">
            <v>16</v>
          </cell>
          <cell r="N25">
            <v>1</v>
          </cell>
          <cell r="O25">
            <v>1</v>
          </cell>
        </row>
        <row r="26">
          <cell r="H26">
            <v>11.5</v>
          </cell>
          <cell r="I26">
            <v>12</v>
          </cell>
          <cell r="N26">
            <v>1.5</v>
          </cell>
          <cell r="O26">
            <v>1</v>
          </cell>
        </row>
        <row r="28">
          <cell r="H28">
            <v>0</v>
          </cell>
          <cell r="I28">
            <v>0</v>
          </cell>
          <cell r="N28">
            <v>44</v>
          </cell>
          <cell r="O28">
            <v>44</v>
          </cell>
        </row>
        <row r="32">
          <cell r="H32">
            <v>24.5</v>
          </cell>
          <cell r="I32">
            <v>24</v>
          </cell>
          <cell r="N32">
            <v>15.5</v>
          </cell>
          <cell r="O32">
            <v>16</v>
          </cell>
        </row>
        <row r="33">
          <cell r="H33">
            <v>18</v>
          </cell>
          <cell r="I33">
            <v>18</v>
          </cell>
          <cell r="N33">
            <v>1</v>
          </cell>
          <cell r="O33">
            <v>1</v>
          </cell>
        </row>
        <row r="34">
          <cell r="H34">
            <v>77</v>
          </cell>
          <cell r="I34">
            <v>77</v>
          </cell>
          <cell r="N34">
            <v>7.5</v>
          </cell>
          <cell r="O34">
            <v>7</v>
          </cell>
        </row>
        <row r="35">
          <cell r="H35">
            <v>35</v>
          </cell>
          <cell r="I35">
            <v>35</v>
          </cell>
          <cell r="N35">
            <v>11</v>
          </cell>
          <cell r="O35">
            <v>11</v>
          </cell>
        </row>
        <row r="36">
          <cell r="H36">
            <v>64.5</v>
          </cell>
          <cell r="I36">
            <v>65</v>
          </cell>
          <cell r="N36">
            <v>30.25</v>
          </cell>
          <cell r="O36">
            <v>30</v>
          </cell>
        </row>
        <row r="39">
          <cell r="H39">
            <v>166.25</v>
          </cell>
          <cell r="I39">
            <v>166</v>
          </cell>
          <cell r="N39">
            <v>19</v>
          </cell>
          <cell r="O39">
            <v>19</v>
          </cell>
        </row>
        <row r="41">
          <cell r="H41">
            <v>65</v>
          </cell>
          <cell r="I41">
            <v>65</v>
          </cell>
          <cell r="N41">
            <v>34</v>
          </cell>
          <cell r="O41">
            <v>34</v>
          </cell>
        </row>
        <row r="43">
          <cell r="H43">
            <v>132.76</v>
          </cell>
          <cell r="I43">
            <v>133</v>
          </cell>
          <cell r="N43">
            <v>40.99499999999999</v>
          </cell>
          <cell r="O43">
            <v>41</v>
          </cell>
        </row>
        <row r="45">
          <cell r="H45">
            <v>1</v>
          </cell>
          <cell r="I45">
            <v>1</v>
          </cell>
          <cell r="N45">
            <v>15</v>
          </cell>
          <cell r="O45">
            <v>15</v>
          </cell>
        </row>
        <row r="46">
          <cell r="H46">
            <v>248.5</v>
          </cell>
          <cell r="I46">
            <v>249</v>
          </cell>
          <cell r="N46">
            <v>0</v>
          </cell>
          <cell r="O46">
            <v>0</v>
          </cell>
        </row>
        <row r="47">
          <cell r="H47">
            <v>30</v>
          </cell>
          <cell r="I47">
            <v>30</v>
          </cell>
          <cell r="N47">
            <v>0</v>
          </cell>
          <cell r="O47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lhalmozás"/>
      <sheetName val="felhalmozás ezer forintban"/>
      <sheetName val="felújítás"/>
      <sheetName val="felújítás ezer forintban"/>
    </sheetNames>
    <sheetDataSet>
      <sheetData sheetId="0">
        <row r="12">
          <cell r="D12">
            <v>786</v>
          </cell>
        </row>
        <row r="13">
          <cell r="D13">
            <v>173</v>
          </cell>
        </row>
        <row r="14">
          <cell r="D14">
            <v>775</v>
          </cell>
        </row>
        <row r="15">
          <cell r="D15">
            <v>311</v>
          </cell>
        </row>
        <row r="16">
          <cell r="D16">
            <v>2120</v>
          </cell>
        </row>
        <row r="17">
          <cell r="D17">
            <v>1185</v>
          </cell>
        </row>
        <row r="18">
          <cell r="D18">
            <v>505</v>
          </cell>
        </row>
        <row r="19">
          <cell r="D19">
            <v>3777</v>
          </cell>
        </row>
        <row r="20">
          <cell r="D20">
            <v>217</v>
          </cell>
        </row>
        <row r="21">
          <cell r="D21">
            <v>292</v>
          </cell>
        </row>
        <row r="22">
          <cell r="D22">
            <v>332</v>
          </cell>
        </row>
        <row r="23">
          <cell r="D23">
            <v>2145</v>
          </cell>
        </row>
        <row r="24">
          <cell r="D24">
            <v>491</v>
          </cell>
        </row>
        <row r="25">
          <cell r="D25">
            <v>258</v>
          </cell>
        </row>
        <row r="26">
          <cell r="D26">
            <v>799</v>
          </cell>
        </row>
        <row r="27">
          <cell r="D27">
            <v>721</v>
          </cell>
        </row>
        <row r="28">
          <cell r="D28">
            <v>16</v>
          </cell>
        </row>
        <row r="29">
          <cell r="D29">
            <v>487</v>
          </cell>
        </row>
        <row r="30">
          <cell r="D30">
            <v>41</v>
          </cell>
        </row>
        <row r="31">
          <cell r="D31">
            <v>1100</v>
          </cell>
        </row>
        <row r="32">
          <cell r="D32">
            <v>292</v>
          </cell>
        </row>
        <row r="33">
          <cell r="D33">
            <v>419</v>
          </cell>
        </row>
        <row r="34">
          <cell r="D34">
            <v>267</v>
          </cell>
        </row>
        <row r="35">
          <cell r="D35">
            <v>811</v>
          </cell>
        </row>
        <row r="36">
          <cell r="D36">
            <v>318</v>
          </cell>
        </row>
        <row r="37">
          <cell r="D37">
            <v>24</v>
          </cell>
        </row>
        <row r="38">
          <cell r="D38">
            <v>3001</v>
          </cell>
        </row>
        <row r="39">
          <cell r="D39">
            <v>518</v>
          </cell>
        </row>
        <row r="40">
          <cell r="D40">
            <v>4195</v>
          </cell>
        </row>
        <row r="41">
          <cell r="D41">
            <v>761</v>
          </cell>
        </row>
        <row r="42">
          <cell r="D42">
            <v>530</v>
          </cell>
        </row>
        <row r="43">
          <cell r="D43">
            <v>949</v>
          </cell>
        </row>
        <row r="44">
          <cell r="D44">
            <v>182</v>
          </cell>
        </row>
        <row r="45">
          <cell r="D45">
            <v>1392</v>
          </cell>
        </row>
        <row r="46">
          <cell r="D46">
            <v>629</v>
          </cell>
        </row>
        <row r="47">
          <cell r="D47">
            <v>787</v>
          </cell>
        </row>
        <row r="48">
          <cell r="D48">
            <v>496</v>
          </cell>
        </row>
        <row r="49">
          <cell r="D49">
            <v>292</v>
          </cell>
        </row>
        <row r="50">
          <cell r="D50">
            <v>21</v>
          </cell>
        </row>
        <row r="51">
          <cell r="D51">
            <v>409</v>
          </cell>
        </row>
        <row r="53">
          <cell r="D53">
            <v>908</v>
          </cell>
        </row>
        <row r="54">
          <cell r="D54">
            <v>425</v>
          </cell>
        </row>
        <row r="55">
          <cell r="D55">
            <v>2561</v>
          </cell>
        </row>
        <row r="56">
          <cell r="D56">
            <v>508</v>
          </cell>
        </row>
        <row r="57">
          <cell r="D57">
            <v>1777</v>
          </cell>
        </row>
        <row r="58">
          <cell r="D58">
            <v>382</v>
          </cell>
        </row>
        <row r="59">
          <cell r="D59">
            <v>3000</v>
          </cell>
        </row>
        <row r="60">
          <cell r="D60">
            <v>348</v>
          </cell>
        </row>
        <row r="61">
          <cell r="D61">
            <v>69</v>
          </cell>
        </row>
        <row r="62">
          <cell r="D62">
            <v>5642</v>
          </cell>
        </row>
        <row r="63">
          <cell r="D63">
            <v>838</v>
          </cell>
        </row>
        <row r="64">
          <cell r="D64">
            <v>327</v>
          </cell>
        </row>
        <row r="65">
          <cell r="D65">
            <v>191</v>
          </cell>
        </row>
        <row r="66">
          <cell r="D66">
            <v>273</v>
          </cell>
        </row>
        <row r="67">
          <cell r="D67">
            <v>418</v>
          </cell>
        </row>
        <row r="68">
          <cell r="D68">
            <v>349</v>
          </cell>
        </row>
        <row r="69">
          <cell r="D69">
            <v>166</v>
          </cell>
        </row>
        <row r="70">
          <cell r="D70">
            <v>174</v>
          </cell>
        </row>
        <row r="71">
          <cell r="D71">
            <v>154</v>
          </cell>
        </row>
        <row r="72">
          <cell r="D72">
            <v>1545</v>
          </cell>
        </row>
        <row r="73">
          <cell r="D73">
            <v>842</v>
          </cell>
        </row>
        <row r="74">
          <cell r="D74">
            <v>5555</v>
          </cell>
        </row>
        <row r="75">
          <cell r="D75">
            <v>2768</v>
          </cell>
        </row>
        <row r="76">
          <cell r="D76">
            <v>272</v>
          </cell>
        </row>
        <row r="77">
          <cell r="D77">
            <v>484</v>
          </cell>
        </row>
        <row r="78">
          <cell r="D78">
            <v>43</v>
          </cell>
        </row>
        <row r="79">
          <cell r="D79">
            <v>126</v>
          </cell>
        </row>
        <row r="80">
          <cell r="D80">
            <v>184</v>
          </cell>
        </row>
        <row r="81">
          <cell r="D81">
            <v>1000</v>
          </cell>
        </row>
        <row r="82">
          <cell r="D82">
            <v>1062</v>
          </cell>
        </row>
        <row r="83">
          <cell r="D83">
            <v>224</v>
          </cell>
        </row>
        <row r="84">
          <cell r="D84">
            <v>2157</v>
          </cell>
        </row>
        <row r="89">
          <cell r="D89">
            <v>99</v>
          </cell>
        </row>
        <row r="90">
          <cell r="D90">
            <v>720</v>
          </cell>
        </row>
        <row r="91">
          <cell r="D91">
            <v>1995</v>
          </cell>
        </row>
        <row r="92">
          <cell r="D92">
            <v>194</v>
          </cell>
        </row>
        <row r="93">
          <cell r="D93">
            <v>480</v>
          </cell>
        </row>
        <row r="94">
          <cell r="D94">
            <v>763</v>
          </cell>
        </row>
        <row r="95">
          <cell r="D95">
            <v>1603</v>
          </cell>
        </row>
        <row r="96">
          <cell r="D96">
            <v>1154</v>
          </cell>
        </row>
        <row r="97">
          <cell r="D97">
            <v>3280</v>
          </cell>
        </row>
        <row r="98">
          <cell r="D98">
            <v>179</v>
          </cell>
        </row>
        <row r="99">
          <cell r="D99">
            <v>187</v>
          </cell>
        </row>
        <row r="100">
          <cell r="D100">
            <v>556</v>
          </cell>
        </row>
        <row r="101">
          <cell r="D101">
            <v>1021</v>
          </cell>
        </row>
        <row r="102">
          <cell r="D102">
            <v>1888</v>
          </cell>
        </row>
        <row r="103">
          <cell r="D103">
            <v>391</v>
          </cell>
        </row>
        <row r="104">
          <cell r="D104">
            <v>267</v>
          </cell>
        </row>
        <row r="105">
          <cell r="D105">
            <v>513</v>
          </cell>
        </row>
        <row r="106">
          <cell r="D106">
            <v>3288</v>
          </cell>
        </row>
        <row r="107">
          <cell r="D107">
            <v>1016</v>
          </cell>
        </row>
        <row r="109">
          <cell r="D109">
            <v>126</v>
          </cell>
        </row>
        <row r="110">
          <cell r="D110">
            <v>403</v>
          </cell>
        </row>
        <row r="111">
          <cell r="D111">
            <v>2596</v>
          </cell>
        </row>
        <row r="113">
          <cell r="D113">
            <v>47</v>
          </cell>
        </row>
        <row r="114">
          <cell r="D114">
            <v>184</v>
          </cell>
        </row>
        <row r="115">
          <cell r="D115">
            <v>2004</v>
          </cell>
        </row>
        <row r="116">
          <cell r="D116">
            <v>941</v>
          </cell>
        </row>
        <row r="117">
          <cell r="D117">
            <v>10143</v>
          </cell>
        </row>
        <row r="118">
          <cell r="D118">
            <v>2775</v>
          </cell>
        </row>
        <row r="119">
          <cell r="D119">
            <v>1799</v>
          </cell>
        </row>
        <row r="120">
          <cell r="D120">
            <v>3960</v>
          </cell>
        </row>
        <row r="121">
          <cell r="D121">
            <v>8305</v>
          </cell>
        </row>
        <row r="123">
          <cell r="D123">
            <v>937</v>
          </cell>
        </row>
        <row r="124">
          <cell r="D124">
            <v>706</v>
          </cell>
        </row>
        <row r="125">
          <cell r="D125">
            <v>38</v>
          </cell>
        </row>
        <row r="126">
          <cell r="D126">
            <v>3400</v>
          </cell>
        </row>
        <row r="127">
          <cell r="D127">
            <v>643</v>
          </cell>
        </row>
        <row r="128">
          <cell r="D128">
            <v>2179</v>
          </cell>
        </row>
        <row r="129">
          <cell r="D129">
            <v>785</v>
          </cell>
        </row>
        <row r="130">
          <cell r="D130">
            <v>1015</v>
          </cell>
        </row>
        <row r="132">
          <cell r="D132">
            <v>94</v>
          </cell>
        </row>
        <row r="133">
          <cell r="D133">
            <v>1086</v>
          </cell>
        </row>
        <row r="134">
          <cell r="D134">
            <v>1452</v>
          </cell>
        </row>
        <row r="135">
          <cell r="D135">
            <v>6904</v>
          </cell>
        </row>
        <row r="136">
          <cell r="D136">
            <v>826</v>
          </cell>
        </row>
        <row r="137">
          <cell r="D137">
            <v>2003</v>
          </cell>
        </row>
        <row r="138">
          <cell r="D138">
            <v>1642</v>
          </cell>
        </row>
        <row r="139">
          <cell r="D139">
            <v>5000</v>
          </cell>
        </row>
        <row r="140">
          <cell r="D140">
            <v>1000</v>
          </cell>
        </row>
        <row r="144">
          <cell r="D144">
            <v>546.1</v>
          </cell>
        </row>
        <row r="145">
          <cell r="D145">
            <v>1778</v>
          </cell>
        </row>
        <row r="146">
          <cell r="D146">
            <v>269.24</v>
          </cell>
        </row>
        <row r="147">
          <cell r="D147">
            <v>3483.4160000000002</v>
          </cell>
        </row>
        <row r="148">
          <cell r="D148">
            <v>438.774</v>
          </cell>
        </row>
        <row r="149">
          <cell r="D149">
            <v>986.76499999999999</v>
          </cell>
        </row>
        <row r="150">
          <cell r="D150">
            <v>2757.1509999999998</v>
          </cell>
        </row>
        <row r="151">
          <cell r="D151">
            <v>1059.4100000000001</v>
          </cell>
        </row>
        <row r="152">
          <cell r="D152">
            <v>544.1</v>
          </cell>
        </row>
        <row r="153">
          <cell r="D153">
            <v>778.69799999999998</v>
          </cell>
        </row>
        <row r="154">
          <cell r="D154">
            <v>839.4</v>
          </cell>
        </row>
        <row r="155">
          <cell r="D155">
            <v>887.74699999999996</v>
          </cell>
        </row>
        <row r="156">
          <cell r="D156">
            <v>931.2</v>
          </cell>
        </row>
        <row r="157">
          <cell r="D157">
            <v>1143.6859999999999</v>
          </cell>
        </row>
        <row r="158">
          <cell r="D158">
            <v>998.37599999999998</v>
          </cell>
        </row>
        <row r="161">
          <cell r="D161">
            <v>179.99700000000001</v>
          </cell>
        </row>
        <row r="162">
          <cell r="D162">
            <v>6695.7190000000001</v>
          </cell>
        </row>
        <row r="163">
          <cell r="D163">
            <v>1423.1</v>
          </cell>
        </row>
        <row r="164">
          <cell r="D164">
            <v>554.4</v>
          </cell>
        </row>
        <row r="165">
          <cell r="D165">
            <v>2322</v>
          </cell>
        </row>
        <row r="166">
          <cell r="D166">
            <v>24.384</v>
          </cell>
        </row>
        <row r="167">
          <cell r="D167">
            <v>216.09100000000001</v>
          </cell>
        </row>
        <row r="168">
          <cell r="D168">
            <v>641.47699999999998</v>
          </cell>
        </row>
        <row r="169">
          <cell r="D169">
            <v>939.8</v>
          </cell>
        </row>
        <row r="170">
          <cell r="D170">
            <v>1520</v>
          </cell>
        </row>
        <row r="171">
          <cell r="D171">
            <v>334.99</v>
          </cell>
        </row>
        <row r="172">
          <cell r="D172">
            <v>500.47300000000001</v>
          </cell>
        </row>
        <row r="173">
          <cell r="D173">
            <v>1978.8019999999999</v>
          </cell>
        </row>
        <row r="177">
          <cell r="D177">
            <v>406.4</v>
          </cell>
        </row>
        <row r="179">
          <cell r="D179">
            <v>1086.9549999999999</v>
          </cell>
        </row>
        <row r="180">
          <cell r="D180">
            <v>2667.924</v>
          </cell>
        </row>
        <row r="181">
          <cell r="D181">
            <v>1546.624</v>
          </cell>
        </row>
        <row r="182">
          <cell r="D182">
            <v>1407.665</v>
          </cell>
        </row>
        <row r="183">
          <cell r="D183">
            <v>2988.8</v>
          </cell>
        </row>
        <row r="184">
          <cell r="D184">
            <v>502.41199999999998</v>
          </cell>
        </row>
        <row r="186">
          <cell r="D186">
            <v>211.9</v>
          </cell>
        </row>
        <row r="187">
          <cell r="D187">
            <v>85.7</v>
          </cell>
        </row>
        <row r="188">
          <cell r="D188">
            <v>112.71299999999999</v>
          </cell>
        </row>
        <row r="190">
          <cell r="D190">
            <v>99.332999999999998</v>
          </cell>
        </row>
        <row r="191">
          <cell r="D191">
            <v>355.09199999999998</v>
          </cell>
        </row>
        <row r="192">
          <cell r="D192">
            <v>108.999</v>
          </cell>
        </row>
        <row r="193">
          <cell r="D193">
            <v>145.63</v>
          </cell>
        </row>
        <row r="194">
          <cell r="D194">
            <v>317.83</v>
          </cell>
        </row>
        <row r="195">
          <cell r="D195">
            <v>195.44800000000001</v>
          </cell>
        </row>
        <row r="196">
          <cell r="D196">
            <v>154.023</v>
          </cell>
        </row>
        <row r="197">
          <cell r="D197">
            <v>331.47</v>
          </cell>
        </row>
        <row r="198">
          <cell r="D198">
            <v>181.41200000000001</v>
          </cell>
        </row>
        <row r="199">
          <cell r="D199">
            <v>181.85400000000001</v>
          </cell>
        </row>
        <row r="200">
          <cell r="D200">
            <v>1138.97</v>
          </cell>
        </row>
        <row r="201">
          <cell r="D201">
            <v>105.861</v>
          </cell>
        </row>
        <row r="202">
          <cell r="D202">
            <v>8304.9680000000008</v>
          </cell>
        </row>
        <row r="203">
          <cell r="D203">
            <v>78.872</v>
          </cell>
        </row>
        <row r="204">
          <cell r="D204">
            <v>109.988</v>
          </cell>
        </row>
        <row r="205">
          <cell r="D205">
            <v>144.58600000000001</v>
          </cell>
        </row>
        <row r="206">
          <cell r="D206">
            <v>800.83</v>
          </cell>
        </row>
        <row r="207">
          <cell r="D207">
            <v>274.74099999999999</v>
          </cell>
        </row>
        <row r="208">
          <cell r="D208">
            <v>65.542000000000002</v>
          </cell>
        </row>
        <row r="209">
          <cell r="D209">
            <v>30.988</v>
          </cell>
        </row>
        <row r="210">
          <cell r="D210">
            <v>92.840999999999994</v>
          </cell>
        </row>
        <row r="211">
          <cell r="D211">
            <v>80</v>
          </cell>
        </row>
        <row r="212">
          <cell r="D212">
            <v>42.087000000000003</v>
          </cell>
        </row>
        <row r="213">
          <cell r="D213">
            <v>319.89999999999998</v>
          </cell>
        </row>
        <row r="214">
          <cell r="D214">
            <v>170.97300000000001</v>
          </cell>
        </row>
        <row r="215">
          <cell r="D215">
            <v>127.569</v>
          </cell>
        </row>
        <row r="216">
          <cell r="D216">
            <v>152.99</v>
          </cell>
        </row>
        <row r="217">
          <cell r="D217">
            <v>71.980999999999995</v>
          </cell>
        </row>
        <row r="218">
          <cell r="D218">
            <v>106.9</v>
          </cell>
        </row>
        <row r="219">
          <cell r="D219">
            <v>341.24099999999999</v>
          </cell>
        </row>
        <row r="222">
          <cell r="D222">
            <v>117</v>
          </cell>
        </row>
        <row r="223">
          <cell r="D223">
            <v>6354.8209999999999</v>
          </cell>
        </row>
        <row r="224">
          <cell r="D224">
            <v>1071.8800000000001</v>
          </cell>
        </row>
        <row r="225">
          <cell r="D225">
            <v>44.07</v>
          </cell>
        </row>
        <row r="226">
          <cell r="D226">
            <v>435.86700000000002</v>
          </cell>
        </row>
        <row r="228">
          <cell r="D228">
            <v>4495</v>
          </cell>
        </row>
        <row r="229">
          <cell r="D229">
            <v>1524</v>
          </cell>
        </row>
        <row r="230">
          <cell r="D230">
            <v>8516</v>
          </cell>
        </row>
        <row r="231">
          <cell r="D231">
            <v>7348</v>
          </cell>
        </row>
        <row r="232">
          <cell r="D232">
            <v>1522</v>
          </cell>
        </row>
        <row r="233">
          <cell r="D233">
            <v>728</v>
          </cell>
        </row>
        <row r="234">
          <cell r="D234">
            <v>10048</v>
          </cell>
        </row>
        <row r="235">
          <cell r="D235">
            <v>2476</v>
          </cell>
        </row>
        <row r="236">
          <cell r="D236">
            <v>2306</v>
          </cell>
        </row>
        <row r="237">
          <cell r="D237">
            <v>1159</v>
          </cell>
        </row>
        <row r="238">
          <cell r="D238">
            <v>2161</v>
          </cell>
        </row>
        <row r="239">
          <cell r="D239">
            <v>4213</v>
          </cell>
        </row>
        <row r="242">
          <cell r="D242">
            <v>83.058000000000007</v>
          </cell>
        </row>
        <row r="243">
          <cell r="D243">
            <v>175.45</v>
          </cell>
        </row>
        <row r="244">
          <cell r="D244">
            <v>1023.254</v>
          </cell>
        </row>
      </sheetData>
      <sheetData sheetId="1"/>
      <sheetData sheetId="2">
        <row r="10">
          <cell r="D10">
            <v>3528</v>
          </cell>
        </row>
        <row r="11">
          <cell r="D11">
            <v>2835</v>
          </cell>
        </row>
        <row r="12">
          <cell r="D12">
            <v>134</v>
          </cell>
        </row>
        <row r="13">
          <cell r="D13">
            <v>2989</v>
          </cell>
        </row>
        <row r="14">
          <cell r="D14">
            <v>446</v>
          </cell>
        </row>
        <row r="15">
          <cell r="D15">
            <v>1140</v>
          </cell>
        </row>
        <row r="16">
          <cell r="D16">
            <v>7059</v>
          </cell>
        </row>
        <row r="17">
          <cell r="D17">
            <v>1894</v>
          </cell>
        </row>
        <row r="18">
          <cell r="D18">
            <v>687</v>
          </cell>
        </row>
        <row r="19">
          <cell r="D19">
            <v>8947</v>
          </cell>
        </row>
        <row r="20">
          <cell r="D20">
            <v>3974</v>
          </cell>
        </row>
        <row r="21">
          <cell r="D21">
            <v>3662</v>
          </cell>
        </row>
        <row r="22">
          <cell r="D22">
            <v>644</v>
          </cell>
        </row>
        <row r="23">
          <cell r="D23">
            <v>12605</v>
          </cell>
        </row>
        <row r="24">
          <cell r="D24">
            <v>2638</v>
          </cell>
        </row>
        <row r="25">
          <cell r="D25">
            <v>1004</v>
          </cell>
        </row>
        <row r="26">
          <cell r="D26">
            <v>13236</v>
          </cell>
        </row>
        <row r="27">
          <cell r="D27">
            <v>1864</v>
          </cell>
        </row>
        <row r="29">
          <cell r="D29">
            <v>3125</v>
          </cell>
        </row>
        <row r="30">
          <cell r="D30">
            <v>895</v>
          </cell>
        </row>
        <row r="31">
          <cell r="D31">
            <v>1584</v>
          </cell>
        </row>
        <row r="32">
          <cell r="D32">
            <v>5604</v>
          </cell>
        </row>
        <row r="36">
          <cell r="D36">
            <v>5594.8689999999997</v>
          </cell>
        </row>
        <row r="37">
          <cell r="D37">
            <v>539.23099999999999</v>
          </cell>
        </row>
        <row r="38">
          <cell r="D38">
            <v>762</v>
          </cell>
        </row>
        <row r="39">
          <cell r="D39">
            <v>4186.1120000000001</v>
          </cell>
        </row>
        <row r="42">
          <cell r="D42">
            <v>880</v>
          </cell>
        </row>
        <row r="43">
          <cell r="D43">
            <v>4730</v>
          </cell>
        </row>
        <row r="44">
          <cell r="D44">
            <v>1906</v>
          </cell>
        </row>
        <row r="47">
          <cell r="D47">
            <v>2605.4580000000001</v>
          </cell>
        </row>
        <row r="48">
          <cell r="D48">
            <v>1022.39</v>
          </cell>
        </row>
        <row r="51">
          <cell r="D51">
            <v>5619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9"/>
  <sheetViews>
    <sheetView tabSelected="1" zoomScale="75" zoomScaleNormal="75" workbookViewId="0">
      <selection activeCell="J20" sqref="J20"/>
    </sheetView>
  </sheetViews>
  <sheetFormatPr defaultRowHeight="15.75" x14ac:dyDescent="0.25"/>
  <cols>
    <col min="1" max="1" width="14.33203125" style="1225" customWidth="1"/>
    <col min="2" max="2" width="121" style="1225" customWidth="1"/>
    <col min="3" max="3" width="37.6640625" style="1225" customWidth="1"/>
    <col min="4" max="4" width="35.83203125" style="1225" customWidth="1"/>
    <col min="5" max="5" width="35.83203125" style="1226" customWidth="1"/>
    <col min="6" max="6" width="14.33203125" style="1226" customWidth="1"/>
    <col min="7" max="7" width="121" style="1225" customWidth="1"/>
    <col min="8" max="8" width="37.1640625" style="1225" customWidth="1"/>
    <col min="9" max="9" width="35.83203125" style="1225" customWidth="1"/>
    <col min="10" max="10" width="35.83203125" style="1226" customWidth="1"/>
    <col min="11" max="11" width="5.83203125" style="1228" customWidth="1"/>
    <col min="12" max="12" width="18.1640625" style="1228" customWidth="1"/>
    <col min="13" max="13" width="15" style="1228" customWidth="1"/>
    <col min="14" max="14" width="17.5" style="1228" customWidth="1"/>
    <col min="15" max="15" width="12.6640625" style="1228" customWidth="1"/>
    <col min="16" max="16" width="9.33203125" style="1228"/>
    <col min="17" max="17" width="15.6640625" style="1228" bestFit="1" customWidth="1"/>
    <col min="18" max="36" width="9.33203125" style="1228"/>
    <col min="37" max="256" width="9.33203125" style="1225"/>
    <col min="257" max="257" width="14.33203125" style="1225" customWidth="1"/>
    <col min="258" max="258" width="121" style="1225" customWidth="1"/>
    <col min="259" max="259" width="37.6640625" style="1225" customWidth="1"/>
    <col min="260" max="261" width="35.83203125" style="1225" customWidth="1"/>
    <col min="262" max="262" width="14.33203125" style="1225" customWidth="1"/>
    <col min="263" max="263" width="121" style="1225" customWidth="1"/>
    <col min="264" max="264" width="37.1640625" style="1225" customWidth="1"/>
    <col min="265" max="266" width="35.83203125" style="1225" customWidth="1"/>
    <col min="267" max="268" width="18.1640625" style="1225" customWidth="1"/>
    <col min="269" max="269" width="15" style="1225" bestFit="1" customWidth="1"/>
    <col min="270" max="270" width="17.5" style="1225" customWidth="1"/>
    <col min="271" max="512" width="9.33203125" style="1225"/>
    <col min="513" max="513" width="14.33203125" style="1225" customWidth="1"/>
    <col min="514" max="514" width="121" style="1225" customWidth="1"/>
    <col min="515" max="515" width="37.6640625" style="1225" customWidth="1"/>
    <col min="516" max="517" width="35.83203125" style="1225" customWidth="1"/>
    <col min="518" max="518" width="14.33203125" style="1225" customWidth="1"/>
    <col min="519" max="519" width="121" style="1225" customWidth="1"/>
    <col min="520" max="520" width="37.1640625" style="1225" customWidth="1"/>
    <col min="521" max="522" width="35.83203125" style="1225" customWidth="1"/>
    <col min="523" max="524" width="18.1640625" style="1225" customWidth="1"/>
    <col min="525" max="525" width="15" style="1225" bestFit="1" customWidth="1"/>
    <col min="526" max="526" width="17.5" style="1225" customWidth="1"/>
    <col min="527" max="768" width="9.33203125" style="1225"/>
    <col min="769" max="769" width="14.33203125" style="1225" customWidth="1"/>
    <col min="770" max="770" width="121" style="1225" customWidth="1"/>
    <col min="771" max="771" width="37.6640625" style="1225" customWidth="1"/>
    <col min="772" max="773" width="35.83203125" style="1225" customWidth="1"/>
    <col min="774" max="774" width="14.33203125" style="1225" customWidth="1"/>
    <col min="775" max="775" width="121" style="1225" customWidth="1"/>
    <col min="776" max="776" width="37.1640625" style="1225" customWidth="1"/>
    <col min="777" max="778" width="35.83203125" style="1225" customWidth="1"/>
    <col min="779" max="780" width="18.1640625" style="1225" customWidth="1"/>
    <col min="781" max="781" width="15" style="1225" bestFit="1" customWidth="1"/>
    <col min="782" max="782" width="17.5" style="1225" customWidth="1"/>
    <col min="783" max="1024" width="9.33203125" style="1225"/>
    <col min="1025" max="1025" width="14.33203125" style="1225" customWidth="1"/>
    <col min="1026" max="1026" width="121" style="1225" customWidth="1"/>
    <col min="1027" max="1027" width="37.6640625" style="1225" customWidth="1"/>
    <col min="1028" max="1029" width="35.83203125" style="1225" customWidth="1"/>
    <col min="1030" max="1030" width="14.33203125" style="1225" customWidth="1"/>
    <col min="1031" max="1031" width="121" style="1225" customWidth="1"/>
    <col min="1032" max="1032" width="37.1640625" style="1225" customWidth="1"/>
    <col min="1033" max="1034" width="35.83203125" style="1225" customWidth="1"/>
    <col min="1035" max="1036" width="18.1640625" style="1225" customWidth="1"/>
    <col min="1037" max="1037" width="15" style="1225" bestFit="1" customWidth="1"/>
    <col min="1038" max="1038" width="17.5" style="1225" customWidth="1"/>
    <col min="1039" max="1280" width="9.33203125" style="1225"/>
    <col min="1281" max="1281" width="14.33203125" style="1225" customWidth="1"/>
    <col min="1282" max="1282" width="121" style="1225" customWidth="1"/>
    <col min="1283" max="1283" width="37.6640625" style="1225" customWidth="1"/>
    <col min="1284" max="1285" width="35.83203125" style="1225" customWidth="1"/>
    <col min="1286" max="1286" width="14.33203125" style="1225" customWidth="1"/>
    <col min="1287" max="1287" width="121" style="1225" customWidth="1"/>
    <col min="1288" max="1288" width="37.1640625" style="1225" customWidth="1"/>
    <col min="1289" max="1290" width="35.83203125" style="1225" customWidth="1"/>
    <col min="1291" max="1292" width="18.1640625" style="1225" customWidth="1"/>
    <col min="1293" max="1293" width="15" style="1225" bestFit="1" customWidth="1"/>
    <col min="1294" max="1294" width="17.5" style="1225" customWidth="1"/>
    <col min="1295" max="1536" width="9.33203125" style="1225"/>
    <col min="1537" max="1537" width="14.33203125" style="1225" customWidth="1"/>
    <col min="1538" max="1538" width="121" style="1225" customWidth="1"/>
    <col min="1539" max="1539" width="37.6640625" style="1225" customWidth="1"/>
    <col min="1540" max="1541" width="35.83203125" style="1225" customWidth="1"/>
    <col min="1542" max="1542" width="14.33203125" style="1225" customWidth="1"/>
    <col min="1543" max="1543" width="121" style="1225" customWidth="1"/>
    <col min="1544" max="1544" width="37.1640625" style="1225" customWidth="1"/>
    <col min="1545" max="1546" width="35.83203125" style="1225" customWidth="1"/>
    <col min="1547" max="1548" width="18.1640625" style="1225" customWidth="1"/>
    <col min="1549" max="1549" width="15" style="1225" bestFit="1" customWidth="1"/>
    <col min="1550" max="1550" width="17.5" style="1225" customWidth="1"/>
    <col min="1551" max="1792" width="9.33203125" style="1225"/>
    <col min="1793" max="1793" width="14.33203125" style="1225" customWidth="1"/>
    <col min="1794" max="1794" width="121" style="1225" customWidth="1"/>
    <col min="1795" max="1795" width="37.6640625" style="1225" customWidth="1"/>
    <col min="1796" max="1797" width="35.83203125" style="1225" customWidth="1"/>
    <col min="1798" max="1798" width="14.33203125" style="1225" customWidth="1"/>
    <col min="1799" max="1799" width="121" style="1225" customWidth="1"/>
    <col min="1800" max="1800" width="37.1640625" style="1225" customWidth="1"/>
    <col min="1801" max="1802" width="35.83203125" style="1225" customWidth="1"/>
    <col min="1803" max="1804" width="18.1640625" style="1225" customWidth="1"/>
    <col min="1805" max="1805" width="15" style="1225" bestFit="1" customWidth="1"/>
    <col min="1806" max="1806" width="17.5" style="1225" customWidth="1"/>
    <col min="1807" max="2048" width="9.33203125" style="1225"/>
    <col min="2049" max="2049" width="14.33203125" style="1225" customWidth="1"/>
    <col min="2050" max="2050" width="121" style="1225" customWidth="1"/>
    <col min="2051" max="2051" width="37.6640625" style="1225" customWidth="1"/>
    <col min="2052" max="2053" width="35.83203125" style="1225" customWidth="1"/>
    <col min="2054" max="2054" width="14.33203125" style="1225" customWidth="1"/>
    <col min="2055" max="2055" width="121" style="1225" customWidth="1"/>
    <col min="2056" max="2056" width="37.1640625" style="1225" customWidth="1"/>
    <col min="2057" max="2058" width="35.83203125" style="1225" customWidth="1"/>
    <col min="2059" max="2060" width="18.1640625" style="1225" customWidth="1"/>
    <col min="2061" max="2061" width="15" style="1225" bestFit="1" customWidth="1"/>
    <col min="2062" max="2062" width="17.5" style="1225" customWidth="1"/>
    <col min="2063" max="2304" width="9.33203125" style="1225"/>
    <col min="2305" max="2305" width="14.33203125" style="1225" customWidth="1"/>
    <col min="2306" max="2306" width="121" style="1225" customWidth="1"/>
    <col min="2307" max="2307" width="37.6640625" style="1225" customWidth="1"/>
    <col min="2308" max="2309" width="35.83203125" style="1225" customWidth="1"/>
    <col min="2310" max="2310" width="14.33203125" style="1225" customWidth="1"/>
    <col min="2311" max="2311" width="121" style="1225" customWidth="1"/>
    <col min="2312" max="2312" width="37.1640625" style="1225" customWidth="1"/>
    <col min="2313" max="2314" width="35.83203125" style="1225" customWidth="1"/>
    <col min="2315" max="2316" width="18.1640625" style="1225" customWidth="1"/>
    <col min="2317" max="2317" width="15" style="1225" bestFit="1" customWidth="1"/>
    <col min="2318" max="2318" width="17.5" style="1225" customWidth="1"/>
    <col min="2319" max="2560" width="9.33203125" style="1225"/>
    <col min="2561" max="2561" width="14.33203125" style="1225" customWidth="1"/>
    <col min="2562" max="2562" width="121" style="1225" customWidth="1"/>
    <col min="2563" max="2563" width="37.6640625" style="1225" customWidth="1"/>
    <col min="2564" max="2565" width="35.83203125" style="1225" customWidth="1"/>
    <col min="2566" max="2566" width="14.33203125" style="1225" customWidth="1"/>
    <col min="2567" max="2567" width="121" style="1225" customWidth="1"/>
    <col min="2568" max="2568" width="37.1640625" style="1225" customWidth="1"/>
    <col min="2569" max="2570" width="35.83203125" style="1225" customWidth="1"/>
    <col min="2571" max="2572" width="18.1640625" style="1225" customWidth="1"/>
    <col min="2573" max="2573" width="15" style="1225" bestFit="1" customWidth="1"/>
    <col min="2574" max="2574" width="17.5" style="1225" customWidth="1"/>
    <col min="2575" max="2816" width="9.33203125" style="1225"/>
    <col min="2817" max="2817" width="14.33203125" style="1225" customWidth="1"/>
    <col min="2818" max="2818" width="121" style="1225" customWidth="1"/>
    <col min="2819" max="2819" width="37.6640625" style="1225" customWidth="1"/>
    <col min="2820" max="2821" width="35.83203125" style="1225" customWidth="1"/>
    <col min="2822" max="2822" width="14.33203125" style="1225" customWidth="1"/>
    <col min="2823" max="2823" width="121" style="1225" customWidth="1"/>
    <col min="2824" max="2824" width="37.1640625" style="1225" customWidth="1"/>
    <col min="2825" max="2826" width="35.83203125" style="1225" customWidth="1"/>
    <col min="2827" max="2828" width="18.1640625" style="1225" customWidth="1"/>
    <col min="2829" max="2829" width="15" style="1225" bestFit="1" customWidth="1"/>
    <col min="2830" max="2830" width="17.5" style="1225" customWidth="1"/>
    <col min="2831" max="3072" width="9.33203125" style="1225"/>
    <col min="3073" max="3073" width="14.33203125" style="1225" customWidth="1"/>
    <col min="3074" max="3074" width="121" style="1225" customWidth="1"/>
    <col min="3075" max="3075" width="37.6640625" style="1225" customWidth="1"/>
    <col min="3076" max="3077" width="35.83203125" style="1225" customWidth="1"/>
    <col min="3078" max="3078" width="14.33203125" style="1225" customWidth="1"/>
    <col min="3079" max="3079" width="121" style="1225" customWidth="1"/>
    <col min="3080" max="3080" width="37.1640625" style="1225" customWidth="1"/>
    <col min="3081" max="3082" width="35.83203125" style="1225" customWidth="1"/>
    <col min="3083" max="3084" width="18.1640625" style="1225" customWidth="1"/>
    <col min="3085" max="3085" width="15" style="1225" bestFit="1" customWidth="1"/>
    <col min="3086" max="3086" width="17.5" style="1225" customWidth="1"/>
    <col min="3087" max="3328" width="9.33203125" style="1225"/>
    <col min="3329" max="3329" width="14.33203125" style="1225" customWidth="1"/>
    <col min="3330" max="3330" width="121" style="1225" customWidth="1"/>
    <col min="3331" max="3331" width="37.6640625" style="1225" customWidth="1"/>
    <col min="3332" max="3333" width="35.83203125" style="1225" customWidth="1"/>
    <col min="3334" max="3334" width="14.33203125" style="1225" customWidth="1"/>
    <col min="3335" max="3335" width="121" style="1225" customWidth="1"/>
    <col min="3336" max="3336" width="37.1640625" style="1225" customWidth="1"/>
    <col min="3337" max="3338" width="35.83203125" style="1225" customWidth="1"/>
    <col min="3339" max="3340" width="18.1640625" style="1225" customWidth="1"/>
    <col min="3341" max="3341" width="15" style="1225" bestFit="1" customWidth="1"/>
    <col min="3342" max="3342" width="17.5" style="1225" customWidth="1"/>
    <col min="3343" max="3584" width="9.33203125" style="1225"/>
    <col min="3585" max="3585" width="14.33203125" style="1225" customWidth="1"/>
    <col min="3586" max="3586" width="121" style="1225" customWidth="1"/>
    <col min="3587" max="3587" width="37.6640625" style="1225" customWidth="1"/>
    <col min="3588" max="3589" width="35.83203125" style="1225" customWidth="1"/>
    <col min="3590" max="3590" width="14.33203125" style="1225" customWidth="1"/>
    <col min="3591" max="3591" width="121" style="1225" customWidth="1"/>
    <col min="3592" max="3592" width="37.1640625" style="1225" customWidth="1"/>
    <col min="3593" max="3594" width="35.83203125" style="1225" customWidth="1"/>
    <col min="3595" max="3596" width="18.1640625" style="1225" customWidth="1"/>
    <col min="3597" max="3597" width="15" style="1225" bestFit="1" customWidth="1"/>
    <col min="3598" max="3598" width="17.5" style="1225" customWidth="1"/>
    <col min="3599" max="3840" width="9.33203125" style="1225"/>
    <col min="3841" max="3841" width="14.33203125" style="1225" customWidth="1"/>
    <col min="3842" max="3842" width="121" style="1225" customWidth="1"/>
    <col min="3843" max="3843" width="37.6640625" style="1225" customWidth="1"/>
    <col min="3844" max="3845" width="35.83203125" style="1225" customWidth="1"/>
    <col min="3846" max="3846" width="14.33203125" style="1225" customWidth="1"/>
    <col min="3847" max="3847" width="121" style="1225" customWidth="1"/>
    <col min="3848" max="3848" width="37.1640625" style="1225" customWidth="1"/>
    <col min="3849" max="3850" width="35.83203125" style="1225" customWidth="1"/>
    <col min="3851" max="3852" width="18.1640625" style="1225" customWidth="1"/>
    <col min="3853" max="3853" width="15" style="1225" bestFit="1" customWidth="1"/>
    <col min="3854" max="3854" width="17.5" style="1225" customWidth="1"/>
    <col min="3855" max="4096" width="9.33203125" style="1225"/>
    <col min="4097" max="4097" width="14.33203125" style="1225" customWidth="1"/>
    <col min="4098" max="4098" width="121" style="1225" customWidth="1"/>
    <col min="4099" max="4099" width="37.6640625" style="1225" customWidth="1"/>
    <col min="4100" max="4101" width="35.83203125" style="1225" customWidth="1"/>
    <col min="4102" max="4102" width="14.33203125" style="1225" customWidth="1"/>
    <col min="4103" max="4103" width="121" style="1225" customWidth="1"/>
    <col min="4104" max="4104" width="37.1640625" style="1225" customWidth="1"/>
    <col min="4105" max="4106" width="35.83203125" style="1225" customWidth="1"/>
    <col min="4107" max="4108" width="18.1640625" style="1225" customWidth="1"/>
    <col min="4109" max="4109" width="15" style="1225" bestFit="1" customWidth="1"/>
    <col min="4110" max="4110" width="17.5" style="1225" customWidth="1"/>
    <col min="4111" max="4352" width="9.33203125" style="1225"/>
    <col min="4353" max="4353" width="14.33203125" style="1225" customWidth="1"/>
    <col min="4354" max="4354" width="121" style="1225" customWidth="1"/>
    <col min="4355" max="4355" width="37.6640625" style="1225" customWidth="1"/>
    <col min="4356" max="4357" width="35.83203125" style="1225" customWidth="1"/>
    <col min="4358" max="4358" width="14.33203125" style="1225" customWidth="1"/>
    <col min="4359" max="4359" width="121" style="1225" customWidth="1"/>
    <col min="4360" max="4360" width="37.1640625" style="1225" customWidth="1"/>
    <col min="4361" max="4362" width="35.83203125" style="1225" customWidth="1"/>
    <col min="4363" max="4364" width="18.1640625" style="1225" customWidth="1"/>
    <col min="4365" max="4365" width="15" style="1225" bestFit="1" customWidth="1"/>
    <col min="4366" max="4366" width="17.5" style="1225" customWidth="1"/>
    <col min="4367" max="4608" width="9.33203125" style="1225"/>
    <col min="4609" max="4609" width="14.33203125" style="1225" customWidth="1"/>
    <col min="4610" max="4610" width="121" style="1225" customWidth="1"/>
    <col min="4611" max="4611" width="37.6640625" style="1225" customWidth="1"/>
    <col min="4612" max="4613" width="35.83203125" style="1225" customWidth="1"/>
    <col min="4614" max="4614" width="14.33203125" style="1225" customWidth="1"/>
    <col min="4615" max="4615" width="121" style="1225" customWidth="1"/>
    <col min="4616" max="4616" width="37.1640625" style="1225" customWidth="1"/>
    <col min="4617" max="4618" width="35.83203125" style="1225" customWidth="1"/>
    <col min="4619" max="4620" width="18.1640625" style="1225" customWidth="1"/>
    <col min="4621" max="4621" width="15" style="1225" bestFit="1" customWidth="1"/>
    <col min="4622" max="4622" width="17.5" style="1225" customWidth="1"/>
    <col min="4623" max="4864" width="9.33203125" style="1225"/>
    <col min="4865" max="4865" width="14.33203125" style="1225" customWidth="1"/>
    <col min="4866" max="4866" width="121" style="1225" customWidth="1"/>
    <col min="4867" max="4867" width="37.6640625" style="1225" customWidth="1"/>
    <col min="4868" max="4869" width="35.83203125" style="1225" customWidth="1"/>
    <col min="4870" max="4870" width="14.33203125" style="1225" customWidth="1"/>
    <col min="4871" max="4871" width="121" style="1225" customWidth="1"/>
    <col min="4872" max="4872" width="37.1640625" style="1225" customWidth="1"/>
    <col min="4873" max="4874" width="35.83203125" style="1225" customWidth="1"/>
    <col min="4875" max="4876" width="18.1640625" style="1225" customWidth="1"/>
    <col min="4877" max="4877" width="15" style="1225" bestFit="1" customWidth="1"/>
    <col min="4878" max="4878" width="17.5" style="1225" customWidth="1"/>
    <col min="4879" max="5120" width="9.33203125" style="1225"/>
    <col min="5121" max="5121" width="14.33203125" style="1225" customWidth="1"/>
    <col min="5122" max="5122" width="121" style="1225" customWidth="1"/>
    <col min="5123" max="5123" width="37.6640625" style="1225" customWidth="1"/>
    <col min="5124" max="5125" width="35.83203125" style="1225" customWidth="1"/>
    <col min="5126" max="5126" width="14.33203125" style="1225" customWidth="1"/>
    <col min="5127" max="5127" width="121" style="1225" customWidth="1"/>
    <col min="5128" max="5128" width="37.1640625" style="1225" customWidth="1"/>
    <col min="5129" max="5130" width="35.83203125" style="1225" customWidth="1"/>
    <col min="5131" max="5132" width="18.1640625" style="1225" customWidth="1"/>
    <col min="5133" max="5133" width="15" style="1225" bestFit="1" customWidth="1"/>
    <col min="5134" max="5134" width="17.5" style="1225" customWidth="1"/>
    <col min="5135" max="5376" width="9.33203125" style="1225"/>
    <col min="5377" max="5377" width="14.33203125" style="1225" customWidth="1"/>
    <col min="5378" max="5378" width="121" style="1225" customWidth="1"/>
    <col min="5379" max="5379" width="37.6640625" style="1225" customWidth="1"/>
    <col min="5380" max="5381" width="35.83203125" style="1225" customWidth="1"/>
    <col min="5382" max="5382" width="14.33203125" style="1225" customWidth="1"/>
    <col min="5383" max="5383" width="121" style="1225" customWidth="1"/>
    <col min="5384" max="5384" width="37.1640625" style="1225" customWidth="1"/>
    <col min="5385" max="5386" width="35.83203125" style="1225" customWidth="1"/>
    <col min="5387" max="5388" width="18.1640625" style="1225" customWidth="1"/>
    <col min="5389" max="5389" width="15" style="1225" bestFit="1" customWidth="1"/>
    <col min="5390" max="5390" width="17.5" style="1225" customWidth="1"/>
    <col min="5391" max="5632" width="9.33203125" style="1225"/>
    <col min="5633" max="5633" width="14.33203125" style="1225" customWidth="1"/>
    <col min="5634" max="5634" width="121" style="1225" customWidth="1"/>
    <col min="5635" max="5635" width="37.6640625" style="1225" customWidth="1"/>
    <col min="5636" max="5637" width="35.83203125" style="1225" customWidth="1"/>
    <col min="5638" max="5638" width="14.33203125" style="1225" customWidth="1"/>
    <col min="5639" max="5639" width="121" style="1225" customWidth="1"/>
    <col min="5640" max="5640" width="37.1640625" style="1225" customWidth="1"/>
    <col min="5641" max="5642" width="35.83203125" style="1225" customWidth="1"/>
    <col min="5643" max="5644" width="18.1640625" style="1225" customWidth="1"/>
    <col min="5645" max="5645" width="15" style="1225" bestFit="1" customWidth="1"/>
    <col min="5646" max="5646" width="17.5" style="1225" customWidth="1"/>
    <col min="5647" max="5888" width="9.33203125" style="1225"/>
    <col min="5889" max="5889" width="14.33203125" style="1225" customWidth="1"/>
    <col min="5890" max="5890" width="121" style="1225" customWidth="1"/>
    <col min="5891" max="5891" width="37.6640625" style="1225" customWidth="1"/>
    <col min="5892" max="5893" width="35.83203125" style="1225" customWidth="1"/>
    <col min="5894" max="5894" width="14.33203125" style="1225" customWidth="1"/>
    <col min="5895" max="5895" width="121" style="1225" customWidth="1"/>
    <col min="5896" max="5896" width="37.1640625" style="1225" customWidth="1"/>
    <col min="5897" max="5898" width="35.83203125" style="1225" customWidth="1"/>
    <col min="5899" max="5900" width="18.1640625" style="1225" customWidth="1"/>
    <col min="5901" max="5901" width="15" style="1225" bestFit="1" customWidth="1"/>
    <col min="5902" max="5902" width="17.5" style="1225" customWidth="1"/>
    <col min="5903" max="6144" width="9.33203125" style="1225"/>
    <col min="6145" max="6145" width="14.33203125" style="1225" customWidth="1"/>
    <col min="6146" max="6146" width="121" style="1225" customWidth="1"/>
    <col min="6147" max="6147" width="37.6640625" style="1225" customWidth="1"/>
    <col min="6148" max="6149" width="35.83203125" style="1225" customWidth="1"/>
    <col min="6150" max="6150" width="14.33203125" style="1225" customWidth="1"/>
    <col min="6151" max="6151" width="121" style="1225" customWidth="1"/>
    <col min="6152" max="6152" width="37.1640625" style="1225" customWidth="1"/>
    <col min="6153" max="6154" width="35.83203125" style="1225" customWidth="1"/>
    <col min="6155" max="6156" width="18.1640625" style="1225" customWidth="1"/>
    <col min="6157" max="6157" width="15" style="1225" bestFit="1" customWidth="1"/>
    <col min="6158" max="6158" width="17.5" style="1225" customWidth="1"/>
    <col min="6159" max="6400" width="9.33203125" style="1225"/>
    <col min="6401" max="6401" width="14.33203125" style="1225" customWidth="1"/>
    <col min="6402" max="6402" width="121" style="1225" customWidth="1"/>
    <col min="6403" max="6403" width="37.6640625" style="1225" customWidth="1"/>
    <col min="6404" max="6405" width="35.83203125" style="1225" customWidth="1"/>
    <col min="6406" max="6406" width="14.33203125" style="1225" customWidth="1"/>
    <col min="6407" max="6407" width="121" style="1225" customWidth="1"/>
    <col min="6408" max="6408" width="37.1640625" style="1225" customWidth="1"/>
    <col min="6409" max="6410" width="35.83203125" style="1225" customWidth="1"/>
    <col min="6411" max="6412" width="18.1640625" style="1225" customWidth="1"/>
    <col min="6413" max="6413" width="15" style="1225" bestFit="1" customWidth="1"/>
    <col min="6414" max="6414" width="17.5" style="1225" customWidth="1"/>
    <col min="6415" max="6656" width="9.33203125" style="1225"/>
    <col min="6657" max="6657" width="14.33203125" style="1225" customWidth="1"/>
    <col min="6658" max="6658" width="121" style="1225" customWidth="1"/>
    <col min="6659" max="6659" width="37.6640625" style="1225" customWidth="1"/>
    <col min="6660" max="6661" width="35.83203125" style="1225" customWidth="1"/>
    <col min="6662" max="6662" width="14.33203125" style="1225" customWidth="1"/>
    <col min="6663" max="6663" width="121" style="1225" customWidth="1"/>
    <col min="6664" max="6664" width="37.1640625" style="1225" customWidth="1"/>
    <col min="6665" max="6666" width="35.83203125" style="1225" customWidth="1"/>
    <col min="6667" max="6668" width="18.1640625" style="1225" customWidth="1"/>
    <col min="6669" max="6669" width="15" style="1225" bestFit="1" customWidth="1"/>
    <col min="6670" max="6670" width="17.5" style="1225" customWidth="1"/>
    <col min="6671" max="6912" width="9.33203125" style="1225"/>
    <col min="6913" max="6913" width="14.33203125" style="1225" customWidth="1"/>
    <col min="6914" max="6914" width="121" style="1225" customWidth="1"/>
    <col min="6915" max="6915" width="37.6640625" style="1225" customWidth="1"/>
    <col min="6916" max="6917" width="35.83203125" style="1225" customWidth="1"/>
    <col min="6918" max="6918" width="14.33203125" style="1225" customWidth="1"/>
    <col min="6919" max="6919" width="121" style="1225" customWidth="1"/>
    <col min="6920" max="6920" width="37.1640625" style="1225" customWidth="1"/>
    <col min="6921" max="6922" width="35.83203125" style="1225" customWidth="1"/>
    <col min="6923" max="6924" width="18.1640625" style="1225" customWidth="1"/>
    <col min="6925" max="6925" width="15" style="1225" bestFit="1" customWidth="1"/>
    <col min="6926" max="6926" width="17.5" style="1225" customWidth="1"/>
    <col min="6927" max="7168" width="9.33203125" style="1225"/>
    <col min="7169" max="7169" width="14.33203125" style="1225" customWidth="1"/>
    <col min="7170" max="7170" width="121" style="1225" customWidth="1"/>
    <col min="7171" max="7171" width="37.6640625" style="1225" customWidth="1"/>
    <col min="7172" max="7173" width="35.83203125" style="1225" customWidth="1"/>
    <col min="7174" max="7174" width="14.33203125" style="1225" customWidth="1"/>
    <col min="7175" max="7175" width="121" style="1225" customWidth="1"/>
    <col min="7176" max="7176" width="37.1640625" style="1225" customWidth="1"/>
    <col min="7177" max="7178" width="35.83203125" style="1225" customWidth="1"/>
    <col min="7179" max="7180" width="18.1640625" style="1225" customWidth="1"/>
    <col min="7181" max="7181" width="15" style="1225" bestFit="1" customWidth="1"/>
    <col min="7182" max="7182" width="17.5" style="1225" customWidth="1"/>
    <col min="7183" max="7424" width="9.33203125" style="1225"/>
    <col min="7425" max="7425" width="14.33203125" style="1225" customWidth="1"/>
    <col min="7426" max="7426" width="121" style="1225" customWidth="1"/>
    <col min="7427" max="7427" width="37.6640625" style="1225" customWidth="1"/>
    <col min="7428" max="7429" width="35.83203125" style="1225" customWidth="1"/>
    <col min="7430" max="7430" width="14.33203125" style="1225" customWidth="1"/>
    <col min="7431" max="7431" width="121" style="1225" customWidth="1"/>
    <col min="7432" max="7432" width="37.1640625" style="1225" customWidth="1"/>
    <col min="7433" max="7434" width="35.83203125" style="1225" customWidth="1"/>
    <col min="7435" max="7436" width="18.1640625" style="1225" customWidth="1"/>
    <col min="7437" max="7437" width="15" style="1225" bestFit="1" customWidth="1"/>
    <col min="7438" max="7438" width="17.5" style="1225" customWidth="1"/>
    <col min="7439" max="7680" width="9.33203125" style="1225"/>
    <col min="7681" max="7681" width="14.33203125" style="1225" customWidth="1"/>
    <col min="7682" max="7682" width="121" style="1225" customWidth="1"/>
    <col min="7683" max="7683" width="37.6640625" style="1225" customWidth="1"/>
    <col min="7684" max="7685" width="35.83203125" style="1225" customWidth="1"/>
    <col min="7686" max="7686" width="14.33203125" style="1225" customWidth="1"/>
    <col min="7687" max="7687" width="121" style="1225" customWidth="1"/>
    <col min="7688" max="7688" width="37.1640625" style="1225" customWidth="1"/>
    <col min="7689" max="7690" width="35.83203125" style="1225" customWidth="1"/>
    <col min="7691" max="7692" width="18.1640625" style="1225" customWidth="1"/>
    <col min="7693" max="7693" width="15" style="1225" bestFit="1" customWidth="1"/>
    <col min="7694" max="7694" width="17.5" style="1225" customWidth="1"/>
    <col min="7695" max="7936" width="9.33203125" style="1225"/>
    <col min="7937" max="7937" width="14.33203125" style="1225" customWidth="1"/>
    <col min="7938" max="7938" width="121" style="1225" customWidth="1"/>
    <col min="7939" max="7939" width="37.6640625" style="1225" customWidth="1"/>
    <col min="7940" max="7941" width="35.83203125" style="1225" customWidth="1"/>
    <col min="7942" max="7942" width="14.33203125" style="1225" customWidth="1"/>
    <col min="7943" max="7943" width="121" style="1225" customWidth="1"/>
    <col min="7944" max="7944" width="37.1640625" style="1225" customWidth="1"/>
    <col min="7945" max="7946" width="35.83203125" style="1225" customWidth="1"/>
    <col min="7947" max="7948" width="18.1640625" style="1225" customWidth="1"/>
    <col min="7949" max="7949" width="15" style="1225" bestFit="1" customWidth="1"/>
    <col min="7950" max="7950" width="17.5" style="1225" customWidth="1"/>
    <col min="7951" max="8192" width="9.33203125" style="1225"/>
    <col min="8193" max="8193" width="14.33203125" style="1225" customWidth="1"/>
    <col min="8194" max="8194" width="121" style="1225" customWidth="1"/>
    <col min="8195" max="8195" width="37.6640625" style="1225" customWidth="1"/>
    <col min="8196" max="8197" width="35.83203125" style="1225" customWidth="1"/>
    <col min="8198" max="8198" width="14.33203125" style="1225" customWidth="1"/>
    <col min="8199" max="8199" width="121" style="1225" customWidth="1"/>
    <col min="8200" max="8200" width="37.1640625" style="1225" customWidth="1"/>
    <col min="8201" max="8202" width="35.83203125" style="1225" customWidth="1"/>
    <col min="8203" max="8204" width="18.1640625" style="1225" customWidth="1"/>
    <col min="8205" max="8205" width="15" style="1225" bestFit="1" customWidth="1"/>
    <col min="8206" max="8206" width="17.5" style="1225" customWidth="1"/>
    <col min="8207" max="8448" width="9.33203125" style="1225"/>
    <col min="8449" max="8449" width="14.33203125" style="1225" customWidth="1"/>
    <col min="8450" max="8450" width="121" style="1225" customWidth="1"/>
    <col min="8451" max="8451" width="37.6640625" style="1225" customWidth="1"/>
    <col min="8452" max="8453" width="35.83203125" style="1225" customWidth="1"/>
    <col min="8454" max="8454" width="14.33203125" style="1225" customWidth="1"/>
    <col min="8455" max="8455" width="121" style="1225" customWidth="1"/>
    <col min="8456" max="8456" width="37.1640625" style="1225" customWidth="1"/>
    <col min="8457" max="8458" width="35.83203125" style="1225" customWidth="1"/>
    <col min="8459" max="8460" width="18.1640625" style="1225" customWidth="1"/>
    <col min="8461" max="8461" width="15" style="1225" bestFit="1" customWidth="1"/>
    <col min="8462" max="8462" width="17.5" style="1225" customWidth="1"/>
    <col min="8463" max="8704" width="9.33203125" style="1225"/>
    <col min="8705" max="8705" width="14.33203125" style="1225" customWidth="1"/>
    <col min="8706" max="8706" width="121" style="1225" customWidth="1"/>
    <col min="8707" max="8707" width="37.6640625" style="1225" customWidth="1"/>
    <col min="8708" max="8709" width="35.83203125" style="1225" customWidth="1"/>
    <col min="8710" max="8710" width="14.33203125" style="1225" customWidth="1"/>
    <col min="8711" max="8711" width="121" style="1225" customWidth="1"/>
    <col min="8712" max="8712" width="37.1640625" style="1225" customWidth="1"/>
    <col min="8713" max="8714" width="35.83203125" style="1225" customWidth="1"/>
    <col min="8715" max="8716" width="18.1640625" style="1225" customWidth="1"/>
    <col min="8717" max="8717" width="15" style="1225" bestFit="1" customWidth="1"/>
    <col min="8718" max="8718" width="17.5" style="1225" customWidth="1"/>
    <col min="8719" max="8960" width="9.33203125" style="1225"/>
    <col min="8961" max="8961" width="14.33203125" style="1225" customWidth="1"/>
    <col min="8962" max="8962" width="121" style="1225" customWidth="1"/>
    <col min="8963" max="8963" width="37.6640625" style="1225" customWidth="1"/>
    <col min="8964" max="8965" width="35.83203125" style="1225" customWidth="1"/>
    <col min="8966" max="8966" width="14.33203125" style="1225" customWidth="1"/>
    <col min="8967" max="8967" width="121" style="1225" customWidth="1"/>
    <col min="8968" max="8968" width="37.1640625" style="1225" customWidth="1"/>
    <col min="8969" max="8970" width="35.83203125" style="1225" customWidth="1"/>
    <col min="8971" max="8972" width="18.1640625" style="1225" customWidth="1"/>
    <col min="8973" max="8973" width="15" style="1225" bestFit="1" customWidth="1"/>
    <col min="8974" max="8974" width="17.5" style="1225" customWidth="1"/>
    <col min="8975" max="9216" width="9.33203125" style="1225"/>
    <col min="9217" max="9217" width="14.33203125" style="1225" customWidth="1"/>
    <col min="9218" max="9218" width="121" style="1225" customWidth="1"/>
    <col min="9219" max="9219" width="37.6640625" style="1225" customWidth="1"/>
    <col min="9220" max="9221" width="35.83203125" style="1225" customWidth="1"/>
    <col min="9222" max="9222" width="14.33203125" style="1225" customWidth="1"/>
    <col min="9223" max="9223" width="121" style="1225" customWidth="1"/>
    <col min="9224" max="9224" width="37.1640625" style="1225" customWidth="1"/>
    <col min="9225" max="9226" width="35.83203125" style="1225" customWidth="1"/>
    <col min="9227" max="9228" width="18.1640625" style="1225" customWidth="1"/>
    <col min="9229" max="9229" width="15" style="1225" bestFit="1" customWidth="1"/>
    <col min="9230" max="9230" width="17.5" style="1225" customWidth="1"/>
    <col min="9231" max="9472" width="9.33203125" style="1225"/>
    <col min="9473" max="9473" width="14.33203125" style="1225" customWidth="1"/>
    <col min="9474" max="9474" width="121" style="1225" customWidth="1"/>
    <col min="9475" max="9475" width="37.6640625" style="1225" customWidth="1"/>
    <col min="9476" max="9477" width="35.83203125" style="1225" customWidth="1"/>
    <col min="9478" max="9478" width="14.33203125" style="1225" customWidth="1"/>
    <col min="9479" max="9479" width="121" style="1225" customWidth="1"/>
    <col min="9480" max="9480" width="37.1640625" style="1225" customWidth="1"/>
    <col min="9481" max="9482" width="35.83203125" style="1225" customWidth="1"/>
    <col min="9483" max="9484" width="18.1640625" style="1225" customWidth="1"/>
    <col min="9485" max="9485" width="15" style="1225" bestFit="1" customWidth="1"/>
    <col min="9486" max="9486" width="17.5" style="1225" customWidth="1"/>
    <col min="9487" max="9728" width="9.33203125" style="1225"/>
    <col min="9729" max="9729" width="14.33203125" style="1225" customWidth="1"/>
    <col min="9730" max="9730" width="121" style="1225" customWidth="1"/>
    <col min="9731" max="9731" width="37.6640625" style="1225" customWidth="1"/>
    <col min="9732" max="9733" width="35.83203125" style="1225" customWidth="1"/>
    <col min="9734" max="9734" width="14.33203125" style="1225" customWidth="1"/>
    <col min="9735" max="9735" width="121" style="1225" customWidth="1"/>
    <col min="9736" max="9736" width="37.1640625" style="1225" customWidth="1"/>
    <col min="9737" max="9738" width="35.83203125" style="1225" customWidth="1"/>
    <col min="9739" max="9740" width="18.1640625" style="1225" customWidth="1"/>
    <col min="9741" max="9741" width="15" style="1225" bestFit="1" customWidth="1"/>
    <col min="9742" max="9742" width="17.5" style="1225" customWidth="1"/>
    <col min="9743" max="9984" width="9.33203125" style="1225"/>
    <col min="9985" max="9985" width="14.33203125" style="1225" customWidth="1"/>
    <col min="9986" max="9986" width="121" style="1225" customWidth="1"/>
    <col min="9987" max="9987" width="37.6640625" style="1225" customWidth="1"/>
    <col min="9988" max="9989" width="35.83203125" style="1225" customWidth="1"/>
    <col min="9990" max="9990" width="14.33203125" style="1225" customWidth="1"/>
    <col min="9991" max="9991" width="121" style="1225" customWidth="1"/>
    <col min="9992" max="9992" width="37.1640625" style="1225" customWidth="1"/>
    <col min="9993" max="9994" width="35.83203125" style="1225" customWidth="1"/>
    <col min="9995" max="9996" width="18.1640625" style="1225" customWidth="1"/>
    <col min="9997" max="9997" width="15" style="1225" bestFit="1" customWidth="1"/>
    <col min="9998" max="9998" width="17.5" style="1225" customWidth="1"/>
    <col min="9999" max="10240" width="9.33203125" style="1225"/>
    <col min="10241" max="10241" width="14.33203125" style="1225" customWidth="1"/>
    <col min="10242" max="10242" width="121" style="1225" customWidth="1"/>
    <col min="10243" max="10243" width="37.6640625" style="1225" customWidth="1"/>
    <col min="10244" max="10245" width="35.83203125" style="1225" customWidth="1"/>
    <col min="10246" max="10246" width="14.33203125" style="1225" customWidth="1"/>
    <col min="10247" max="10247" width="121" style="1225" customWidth="1"/>
    <col min="10248" max="10248" width="37.1640625" style="1225" customWidth="1"/>
    <col min="10249" max="10250" width="35.83203125" style="1225" customWidth="1"/>
    <col min="10251" max="10252" width="18.1640625" style="1225" customWidth="1"/>
    <col min="10253" max="10253" width="15" style="1225" bestFit="1" customWidth="1"/>
    <col min="10254" max="10254" width="17.5" style="1225" customWidth="1"/>
    <col min="10255" max="10496" width="9.33203125" style="1225"/>
    <col min="10497" max="10497" width="14.33203125" style="1225" customWidth="1"/>
    <col min="10498" max="10498" width="121" style="1225" customWidth="1"/>
    <col min="10499" max="10499" width="37.6640625" style="1225" customWidth="1"/>
    <col min="10500" max="10501" width="35.83203125" style="1225" customWidth="1"/>
    <col min="10502" max="10502" width="14.33203125" style="1225" customWidth="1"/>
    <col min="10503" max="10503" width="121" style="1225" customWidth="1"/>
    <col min="10504" max="10504" width="37.1640625" style="1225" customWidth="1"/>
    <col min="10505" max="10506" width="35.83203125" style="1225" customWidth="1"/>
    <col min="10507" max="10508" width="18.1640625" style="1225" customWidth="1"/>
    <col min="10509" max="10509" width="15" style="1225" bestFit="1" customWidth="1"/>
    <col min="10510" max="10510" width="17.5" style="1225" customWidth="1"/>
    <col min="10511" max="10752" width="9.33203125" style="1225"/>
    <col min="10753" max="10753" width="14.33203125" style="1225" customWidth="1"/>
    <col min="10754" max="10754" width="121" style="1225" customWidth="1"/>
    <col min="10755" max="10755" width="37.6640625" style="1225" customWidth="1"/>
    <col min="10756" max="10757" width="35.83203125" style="1225" customWidth="1"/>
    <col min="10758" max="10758" width="14.33203125" style="1225" customWidth="1"/>
    <col min="10759" max="10759" width="121" style="1225" customWidth="1"/>
    <col min="10760" max="10760" width="37.1640625" style="1225" customWidth="1"/>
    <col min="10761" max="10762" width="35.83203125" style="1225" customWidth="1"/>
    <col min="10763" max="10764" width="18.1640625" style="1225" customWidth="1"/>
    <col min="10765" max="10765" width="15" style="1225" bestFit="1" customWidth="1"/>
    <col min="10766" max="10766" width="17.5" style="1225" customWidth="1"/>
    <col min="10767" max="11008" width="9.33203125" style="1225"/>
    <col min="11009" max="11009" width="14.33203125" style="1225" customWidth="1"/>
    <col min="11010" max="11010" width="121" style="1225" customWidth="1"/>
    <col min="11011" max="11011" width="37.6640625" style="1225" customWidth="1"/>
    <col min="11012" max="11013" width="35.83203125" style="1225" customWidth="1"/>
    <col min="11014" max="11014" width="14.33203125" style="1225" customWidth="1"/>
    <col min="11015" max="11015" width="121" style="1225" customWidth="1"/>
    <col min="11016" max="11016" width="37.1640625" style="1225" customWidth="1"/>
    <col min="11017" max="11018" width="35.83203125" style="1225" customWidth="1"/>
    <col min="11019" max="11020" width="18.1640625" style="1225" customWidth="1"/>
    <col min="11021" max="11021" width="15" style="1225" bestFit="1" customWidth="1"/>
    <col min="11022" max="11022" width="17.5" style="1225" customWidth="1"/>
    <col min="11023" max="11264" width="9.33203125" style="1225"/>
    <col min="11265" max="11265" width="14.33203125" style="1225" customWidth="1"/>
    <col min="11266" max="11266" width="121" style="1225" customWidth="1"/>
    <col min="11267" max="11267" width="37.6640625" style="1225" customWidth="1"/>
    <col min="11268" max="11269" width="35.83203125" style="1225" customWidth="1"/>
    <col min="11270" max="11270" width="14.33203125" style="1225" customWidth="1"/>
    <col min="11271" max="11271" width="121" style="1225" customWidth="1"/>
    <col min="11272" max="11272" width="37.1640625" style="1225" customWidth="1"/>
    <col min="11273" max="11274" width="35.83203125" style="1225" customWidth="1"/>
    <col min="11275" max="11276" width="18.1640625" style="1225" customWidth="1"/>
    <col min="11277" max="11277" width="15" style="1225" bestFit="1" customWidth="1"/>
    <col min="11278" max="11278" width="17.5" style="1225" customWidth="1"/>
    <col min="11279" max="11520" width="9.33203125" style="1225"/>
    <col min="11521" max="11521" width="14.33203125" style="1225" customWidth="1"/>
    <col min="11522" max="11522" width="121" style="1225" customWidth="1"/>
    <col min="11523" max="11523" width="37.6640625" style="1225" customWidth="1"/>
    <col min="11524" max="11525" width="35.83203125" style="1225" customWidth="1"/>
    <col min="11526" max="11526" width="14.33203125" style="1225" customWidth="1"/>
    <col min="11527" max="11527" width="121" style="1225" customWidth="1"/>
    <col min="11528" max="11528" width="37.1640625" style="1225" customWidth="1"/>
    <col min="11529" max="11530" width="35.83203125" style="1225" customWidth="1"/>
    <col min="11531" max="11532" width="18.1640625" style="1225" customWidth="1"/>
    <col min="11533" max="11533" width="15" style="1225" bestFit="1" customWidth="1"/>
    <col min="11534" max="11534" width="17.5" style="1225" customWidth="1"/>
    <col min="11535" max="11776" width="9.33203125" style="1225"/>
    <col min="11777" max="11777" width="14.33203125" style="1225" customWidth="1"/>
    <col min="11778" max="11778" width="121" style="1225" customWidth="1"/>
    <col min="11779" max="11779" width="37.6640625" style="1225" customWidth="1"/>
    <col min="11780" max="11781" width="35.83203125" style="1225" customWidth="1"/>
    <col min="11782" max="11782" width="14.33203125" style="1225" customWidth="1"/>
    <col min="11783" max="11783" width="121" style="1225" customWidth="1"/>
    <col min="11784" max="11784" width="37.1640625" style="1225" customWidth="1"/>
    <col min="11785" max="11786" width="35.83203125" style="1225" customWidth="1"/>
    <col min="11787" max="11788" width="18.1640625" style="1225" customWidth="1"/>
    <col min="11789" max="11789" width="15" style="1225" bestFit="1" customWidth="1"/>
    <col min="11790" max="11790" width="17.5" style="1225" customWidth="1"/>
    <col min="11791" max="12032" width="9.33203125" style="1225"/>
    <col min="12033" max="12033" width="14.33203125" style="1225" customWidth="1"/>
    <col min="12034" max="12034" width="121" style="1225" customWidth="1"/>
    <col min="12035" max="12035" width="37.6640625" style="1225" customWidth="1"/>
    <col min="12036" max="12037" width="35.83203125" style="1225" customWidth="1"/>
    <col min="12038" max="12038" width="14.33203125" style="1225" customWidth="1"/>
    <col min="12039" max="12039" width="121" style="1225" customWidth="1"/>
    <col min="12040" max="12040" width="37.1640625" style="1225" customWidth="1"/>
    <col min="12041" max="12042" width="35.83203125" style="1225" customWidth="1"/>
    <col min="12043" max="12044" width="18.1640625" style="1225" customWidth="1"/>
    <col min="12045" max="12045" width="15" style="1225" bestFit="1" customWidth="1"/>
    <col min="12046" max="12046" width="17.5" style="1225" customWidth="1"/>
    <col min="12047" max="12288" width="9.33203125" style="1225"/>
    <col min="12289" max="12289" width="14.33203125" style="1225" customWidth="1"/>
    <col min="12290" max="12290" width="121" style="1225" customWidth="1"/>
    <col min="12291" max="12291" width="37.6640625" style="1225" customWidth="1"/>
    <col min="12292" max="12293" width="35.83203125" style="1225" customWidth="1"/>
    <col min="12294" max="12294" width="14.33203125" style="1225" customWidth="1"/>
    <col min="12295" max="12295" width="121" style="1225" customWidth="1"/>
    <col min="12296" max="12296" width="37.1640625" style="1225" customWidth="1"/>
    <col min="12297" max="12298" width="35.83203125" style="1225" customWidth="1"/>
    <col min="12299" max="12300" width="18.1640625" style="1225" customWidth="1"/>
    <col min="12301" max="12301" width="15" style="1225" bestFit="1" customWidth="1"/>
    <col min="12302" max="12302" width="17.5" style="1225" customWidth="1"/>
    <col min="12303" max="12544" width="9.33203125" style="1225"/>
    <col min="12545" max="12545" width="14.33203125" style="1225" customWidth="1"/>
    <col min="12546" max="12546" width="121" style="1225" customWidth="1"/>
    <col min="12547" max="12547" width="37.6640625" style="1225" customWidth="1"/>
    <col min="12548" max="12549" width="35.83203125" style="1225" customWidth="1"/>
    <col min="12550" max="12550" width="14.33203125" style="1225" customWidth="1"/>
    <col min="12551" max="12551" width="121" style="1225" customWidth="1"/>
    <col min="12552" max="12552" width="37.1640625" style="1225" customWidth="1"/>
    <col min="12553" max="12554" width="35.83203125" style="1225" customWidth="1"/>
    <col min="12555" max="12556" width="18.1640625" style="1225" customWidth="1"/>
    <col min="12557" max="12557" width="15" style="1225" bestFit="1" customWidth="1"/>
    <col min="12558" max="12558" width="17.5" style="1225" customWidth="1"/>
    <col min="12559" max="12800" width="9.33203125" style="1225"/>
    <col min="12801" max="12801" width="14.33203125" style="1225" customWidth="1"/>
    <col min="12802" max="12802" width="121" style="1225" customWidth="1"/>
    <col min="12803" max="12803" width="37.6640625" style="1225" customWidth="1"/>
    <col min="12804" max="12805" width="35.83203125" style="1225" customWidth="1"/>
    <col min="12806" max="12806" width="14.33203125" style="1225" customWidth="1"/>
    <col min="12807" max="12807" width="121" style="1225" customWidth="1"/>
    <col min="12808" max="12808" width="37.1640625" style="1225" customWidth="1"/>
    <col min="12809" max="12810" width="35.83203125" style="1225" customWidth="1"/>
    <col min="12811" max="12812" width="18.1640625" style="1225" customWidth="1"/>
    <col min="12813" max="12813" width="15" style="1225" bestFit="1" customWidth="1"/>
    <col min="12814" max="12814" width="17.5" style="1225" customWidth="1"/>
    <col min="12815" max="13056" width="9.33203125" style="1225"/>
    <col min="13057" max="13057" width="14.33203125" style="1225" customWidth="1"/>
    <col min="13058" max="13058" width="121" style="1225" customWidth="1"/>
    <col min="13059" max="13059" width="37.6640625" style="1225" customWidth="1"/>
    <col min="13060" max="13061" width="35.83203125" style="1225" customWidth="1"/>
    <col min="13062" max="13062" width="14.33203125" style="1225" customWidth="1"/>
    <col min="13063" max="13063" width="121" style="1225" customWidth="1"/>
    <col min="13064" max="13064" width="37.1640625" style="1225" customWidth="1"/>
    <col min="13065" max="13066" width="35.83203125" style="1225" customWidth="1"/>
    <col min="13067" max="13068" width="18.1640625" style="1225" customWidth="1"/>
    <col min="13069" max="13069" width="15" style="1225" bestFit="1" customWidth="1"/>
    <col min="13070" max="13070" width="17.5" style="1225" customWidth="1"/>
    <col min="13071" max="13312" width="9.33203125" style="1225"/>
    <col min="13313" max="13313" width="14.33203125" style="1225" customWidth="1"/>
    <col min="13314" max="13314" width="121" style="1225" customWidth="1"/>
    <col min="13315" max="13315" width="37.6640625" style="1225" customWidth="1"/>
    <col min="13316" max="13317" width="35.83203125" style="1225" customWidth="1"/>
    <col min="13318" max="13318" width="14.33203125" style="1225" customWidth="1"/>
    <col min="13319" max="13319" width="121" style="1225" customWidth="1"/>
    <col min="13320" max="13320" width="37.1640625" style="1225" customWidth="1"/>
    <col min="13321" max="13322" width="35.83203125" style="1225" customWidth="1"/>
    <col min="13323" max="13324" width="18.1640625" style="1225" customWidth="1"/>
    <col min="13325" max="13325" width="15" style="1225" bestFit="1" customWidth="1"/>
    <col min="13326" max="13326" width="17.5" style="1225" customWidth="1"/>
    <col min="13327" max="13568" width="9.33203125" style="1225"/>
    <col min="13569" max="13569" width="14.33203125" style="1225" customWidth="1"/>
    <col min="13570" max="13570" width="121" style="1225" customWidth="1"/>
    <col min="13571" max="13571" width="37.6640625" style="1225" customWidth="1"/>
    <col min="13572" max="13573" width="35.83203125" style="1225" customWidth="1"/>
    <col min="13574" max="13574" width="14.33203125" style="1225" customWidth="1"/>
    <col min="13575" max="13575" width="121" style="1225" customWidth="1"/>
    <col min="13576" max="13576" width="37.1640625" style="1225" customWidth="1"/>
    <col min="13577" max="13578" width="35.83203125" style="1225" customWidth="1"/>
    <col min="13579" max="13580" width="18.1640625" style="1225" customWidth="1"/>
    <col min="13581" max="13581" width="15" style="1225" bestFit="1" customWidth="1"/>
    <col min="13582" max="13582" width="17.5" style="1225" customWidth="1"/>
    <col min="13583" max="13824" width="9.33203125" style="1225"/>
    <col min="13825" max="13825" width="14.33203125" style="1225" customWidth="1"/>
    <col min="13826" max="13826" width="121" style="1225" customWidth="1"/>
    <col min="13827" max="13827" width="37.6640625" style="1225" customWidth="1"/>
    <col min="13828" max="13829" width="35.83203125" style="1225" customWidth="1"/>
    <col min="13830" max="13830" width="14.33203125" style="1225" customWidth="1"/>
    <col min="13831" max="13831" width="121" style="1225" customWidth="1"/>
    <col min="13832" max="13832" width="37.1640625" style="1225" customWidth="1"/>
    <col min="13833" max="13834" width="35.83203125" style="1225" customWidth="1"/>
    <col min="13835" max="13836" width="18.1640625" style="1225" customWidth="1"/>
    <col min="13837" max="13837" width="15" style="1225" bestFit="1" customWidth="1"/>
    <col min="13838" max="13838" width="17.5" style="1225" customWidth="1"/>
    <col min="13839" max="14080" width="9.33203125" style="1225"/>
    <col min="14081" max="14081" width="14.33203125" style="1225" customWidth="1"/>
    <col min="14082" max="14082" width="121" style="1225" customWidth="1"/>
    <col min="14083" max="14083" width="37.6640625" style="1225" customWidth="1"/>
    <col min="14084" max="14085" width="35.83203125" style="1225" customWidth="1"/>
    <col min="14086" max="14086" width="14.33203125" style="1225" customWidth="1"/>
    <col min="14087" max="14087" width="121" style="1225" customWidth="1"/>
    <col min="14088" max="14088" width="37.1640625" style="1225" customWidth="1"/>
    <col min="14089" max="14090" width="35.83203125" style="1225" customWidth="1"/>
    <col min="14091" max="14092" width="18.1640625" style="1225" customWidth="1"/>
    <col min="14093" max="14093" width="15" style="1225" bestFit="1" customWidth="1"/>
    <col min="14094" max="14094" width="17.5" style="1225" customWidth="1"/>
    <col min="14095" max="14336" width="9.33203125" style="1225"/>
    <col min="14337" max="14337" width="14.33203125" style="1225" customWidth="1"/>
    <col min="14338" max="14338" width="121" style="1225" customWidth="1"/>
    <col min="14339" max="14339" width="37.6640625" style="1225" customWidth="1"/>
    <col min="14340" max="14341" width="35.83203125" style="1225" customWidth="1"/>
    <col min="14342" max="14342" width="14.33203125" style="1225" customWidth="1"/>
    <col min="14343" max="14343" width="121" style="1225" customWidth="1"/>
    <col min="14344" max="14344" width="37.1640625" style="1225" customWidth="1"/>
    <col min="14345" max="14346" width="35.83203125" style="1225" customWidth="1"/>
    <col min="14347" max="14348" width="18.1640625" style="1225" customWidth="1"/>
    <col min="14349" max="14349" width="15" style="1225" bestFit="1" customWidth="1"/>
    <col min="14350" max="14350" width="17.5" style="1225" customWidth="1"/>
    <col min="14351" max="14592" width="9.33203125" style="1225"/>
    <col min="14593" max="14593" width="14.33203125" style="1225" customWidth="1"/>
    <col min="14594" max="14594" width="121" style="1225" customWidth="1"/>
    <col min="14595" max="14595" width="37.6640625" style="1225" customWidth="1"/>
    <col min="14596" max="14597" width="35.83203125" style="1225" customWidth="1"/>
    <col min="14598" max="14598" width="14.33203125" style="1225" customWidth="1"/>
    <col min="14599" max="14599" width="121" style="1225" customWidth="1"/>
    <col min="14600" max="14600" width="37.1640625" style="1225" customWidth="1"/>
    <col min="14601" max="14602" width="35.83203125" style="1225" customWidth="1"/>
    <col min="14603" max="14604" width="18.1640625" style="1225" customWidth="1"/>
    <col min="14605" max="14605" width="15" style="1225" bestFit="1" customWidth="1"/>
    <col min="14606" max="14606" width="17.5" style="1225" customWidth="1"/>
    <col min="14607" max="14848" width="9.33203125" style="1225"/>
    <col min="14849" max="14849" width="14.33203125" style="1225" customWidth="1"/>
    <col min="14850" max="14850" width="121" style="1225" customWidth="1"/>
    <col min="14851" max="14851" width="37.6640625" style="1225" customWidth="1"/>
    <col min="14852" max="14853" width="35.83203125" style="1225" customWidth="1"/>
    <col min="14854" max="14854" width="14.33203125" style="1225" customWidth="1"/>
    <col min="14855" max="14855" width="121" style="1225" customWidth="1"/>
    <col min="14856" max="14856" width="37.1640625" style="1225" customWidth="1"/>
    <col min="14857" max="14858" width="35.83203125" style="1225" customWidth="1"/>
    <col min="14859" max="14860" width="18.1640625" style="1225" customWidth="1"/>
    <col min="14861" max="14861" width="15" style="1225" bestFit="1" customWidth="1"/>
    <col min="14862" max="14862" width="17.5" style="1225" customWidth="1"/>
    <col min="14863" max="15104" width="9.33203125" style="1225"/>
    <col min="15105" max="15105" width="14.33203125" style="1225" customWidth="1"/>
    <col min="15106" max="15106" width="121" style="1225" customWidth="1"/>
    <col min="15107" max="15107" width="37.6640625" style="1225" customWidth="1"/>
    <col min="15108" max="15109" width="35.83203125" style="1225" customWidth="1"/>
    <col min="15110" max="15110" width="14.33203125" style="1225" customWidth="1"/>
    <col min="15111" max="15111" width="121" style="1225" customWidth="1"/>
    <col min="15112" max="15112" width="37.1640625" style="1225" customWidth="1"/>
    <col min="15113" max="15114" width="35.83203125" style="1225" customWidth="1"/>
    <col min="15115" max="15116" width="18.1640625" style="1225" customWidth="1"/>
    <col min="15117" max="15117" width="15" style="1225" bestFit="1" customWidth="1"/>
    <col min="15118" max="15118" width="17.5" style="1225" customWidth="1"/>
    <col min="15119" max="15360" width="9.33203125" style="1225"/>
    <col min="15361" max="15361" width="14.33203125" style="1225" customWidth="1"/>
    <col min="15362" max="15362" width="121" style="1225" customWidth="1"/>
    <col min="15363" max="15363" width="37.6640625" style="1225" customWidth="1"/>
    <col min="15364" max="15365" width="35.83203125" style="1225" customWidth="1"/>
    <col min="15366" max="15366" width="14.33203125" style="1225" customWidth="1"/>
    <col min="15367" max="15367" width="121" style="1225" customWidth="1"/>
    <col min="15368" max="15368" width="37.1640625" style="1225" customWidth="1"/>
    <col min="15369" max="15370" width="35.83203125" style="1225" customWidth="1"/>
    <col min="15371" max="15372" width="18.1640625" style="1225" customWidth="1"/>
    <col min="15373" max="15373" width="15" style="1225" bestFit="1" customWidth="1"/>
    <col min="15374" max="15374" width="17.5" style="1225" customWidth="1"/>
    <col min="15375" max="15616" width="9.33203125" style="1225"/>
    <col min="15617" max="15617" width="14.33203125" style="1225" customWidth="1"/>
    <col min="15618" max="15618" width="121" style="1225" customWidth="1"/>
    <col min="15619" max="15619" width="37.6640625" style="1225" customWidth="1"/>
    <col min="15620" max="15621" width="35.83203125" style="1225" customWidth="1"/>
    <col min="15622" max="15622" width="14.33203125" style="1225" customWidth="1"/>
    <col min="15623" max="15623" width="121" style="1225" customWidth="1"/>
    <col min="15624" max="15624" width="37.1640625" style="1225" customWidth="1"/>
    <col min="15625" max="15626" width="35.83203125" style="1225" customWidth="1"/>
    <col min="15627" max="15628" width="18.1640625" style="1225" customWidth="1"/>
    <col min="15629" max="15629" width="15" style="1225" bestFit="1" customWidth="1"/>
    <col min="15630" max="15630" width="17.5" style="1225" customWidth="1"/>
    <col min="15631" max="15872" width="9.33203125" style="1225"/>
    <col min="15873" max="15873" width="14.33203125" style="1225" customWidth="1"/>
    <col min="15874" max="15874" width="121" style="1225" customWidth="1"/>
    <col min="15875" max="15875" width="37.6640625" style="1225" customWidth="1"/>
    <col min="15876" max="15877" width="35.83203125" style="1225" customWidth="1"/>
    <col min="15878" max="15878" width="14.33203125" style="1225" customWidth="1"/>
    <col min="15879" max="15879" width="121" style="1225" customWidth="1"/>
    <col min="15880" max="15880" width="37.1640625" style="1225" customWidth="1"/>
    <col min="15881" max="15882" width="35.83203125" style="1225" customWidth="1"/>
    <col min="15883" max="15884" width="18.1640625" style="1225" customWidth="1"/>
    <col min="15885" max="15885" width="15" style="1225" bestFit="1" customWidth="1"/>
    <col min="15886" max="15886" width="17.5" style="1225" customWidth="1"/>
    <col min="15887" max="16128" width="9.33203125" style="1225"/>
    <col min="16129" max="16129" width="14.33203125" style="1225" customWidth="1"/>
    <col min="16130" max="16130" width="121" style="1225" customWidth="1"/>
    <col min="16131" max="16131" width="37.6640625" style="1225" customWidth="1"/>
    <col min="16132" max="16133" width="35.83203125" style="1225" customWidth="1"/>
    <col min="16134" max="16134" width="14.33203125" style="1225" customWidth="1"/>
    <col min="16135" max="16135" width="121" style="1225" customWidth="1"/>
    <col min="16136" max="16136" width="37.1640625" style="1225" customWidth="1"/>
    <col min="16137" max="16138" width="35.83203125" style="1225" customWidth="1"/>
    <col min="16139" max="16140" width="18.1640625" style="1225" customWidth="1"/>
    <col min="16141" max="16141" width="15" style="1225" bestFit="1" customWidth="1"/>
    <col min="16142" max="16142" width="17.5" style="1225" customWidth="1"/>
    <col min="16143" max="16384" width="9.33203125" style="1225"/>
  </cols>
  <sheetData>
    <row r="1" spans="1:36" s="1221" customFormat="1" ht="29.25" customHeight="1" x14ac:dyDescent="0.3">
      <c r="B1" s="2612" t="s">
        <v>820</v>
      </c>
      <c r="C1" s="2612"/>
      <c r="D1" s="2612"/>
      <c r="E1" s="2612"/>
      <c r="F1" s="160"/>
      <c r="G1" s="2612" t="s">
        <v>820</v>
      </c>
      <c r="H1" s="2612"/>
      <c r="I1" s="2612"/>
      <c r="J1" s="2612"/>
      <c r="K1" s="1222"/>
      <c r="L1" s="1222"/>
      <c r="M1" s="1222"/>
      <c r="N1" s="1222"/>
      <c r="O1" s="1222"/>
      <c r="P1" s="1223"/>
      <c r="Q1" s="1222"/>
      <c r="R1" s="1222"/>
      <c r="S1" s="1222"/>
      <c r="T1" s="1222"/>
      <c r="U1" s="1222"/>
      <c r="V1" s="1222"/>
      <c r="W1" s="1222"/>
      <c r="X1" s="1222"/>
      <c r="Y1" s="1222"/>
      <c r="Z1" s="1222"/>
      <c r="AA1" s="1222"/>
      <c r="AB1" s="1222"/>
      <c r="AC1" s="1222"/>
      <c r="AD1" s="1222"/>
      <c r="AE1" s="1222"/>
      <c r="AF1" s="1222"/>
      <c r="AG1" s="1222"/>
      <c r="AH1" s="1222"/>
      <c r="AI1" s="1222"/>
      <c r="AJ1" s="1222"/>
    </row>
    <row r="2" spans="1:36" s="1221" customFormat="1" ht="36" customHeight="1" x14ac:dyDescent="0.3">
      <c r="B2" s="2612" t="s">
        <v>1789</v>
      </c>
      <c r="C2" s="2612"/>
      <c r="D2" s="2612"/>
      <c r="E2" s="2612"/>
      <c r="F2" s="160"/>
      <c r="G2" s="2612" t="s">
        <v>1790</v>
      </c>
      <c r="H2" s="2612"/>
      <c r="I2" s="2612"/>
      <c r="J2" s="2612"/>
      <c r="K2" s="1222"/>
      <c r="L2" s="1222"/>
      <c r="M2" s="1222"/>
      <c r="N2" s="1222"/>
      <c r="O2" s="1222"/>
      <c r="P2" s="1223"/>
      <c r="Q2" s="1222"/>
      <c r="R2" s="1222"/>
      <c r="S2" s="1222"/>
      <c r="T2" s="1222"/>
      <c r="U2" s="1222"/>
      <c r="V2" s="1222"/>
      <c r="W2" s="1222"/>
      <c r="X2" s="1222"/>
      <c r="Y2" s="1222"/>
      <c r="Z2" s="1222"/>
      <c r="AA2" s="1222"/>
      <c r="AB2" s="1222"/>
      <c r="AC2" s="1222"/>
      <c r="AD2" s="1222"/>
      <c r="AE2" s="1222"/>
      <c r="AF2" s="1222"/>
      <c r="AG2" s="1222"/>
      <c r="AH2" s="1222"/>
      <c r="AI2" s="1222"/>
      <c r="AJ2" s="1222"/>
    </row>
    <row r="3" spans="1:36" ht="16.5" thickBot="1" x14ac:dyDescent="0.3">
      <c r="A3" s="1224"/>
      <c r="J3" s="1227" t="s">
        <v>26</v>
      </c>
    </row>
    <row r="4" spans="1:36" s="1233" customFormat="1" ht="33.75" customHeight="1" x14ac:dyDescent="0.25">
      <c r="A4" s="1229"/>
      <c r="B4" s="1230" t="s">
        <v>821</v>
      </c>
      <c r="C4" s="1229" t="s">
        <v>822</v>
      </c>
      <c r="D4" s="1231" t="s">
        <v>823</v>
      </c>
      <c r="E4" s="1231" t="s">
        <v>824</v>
      </c>
      <c r="F4" s="1229"/>
      <c r="G4" s="1230" t="s">
        <v>825</v>
      </c>
      <c r="H4" s="1229" t="s">
        <v>822</v>
      </c>
      <c r="I4" s="1231" t="s">
        <v>823</v>
      </c>
      <c r="J4" s="1231" t="s">
        <v>824</v>
      </c>
      <c r="K4" s="1232"/>
      <c r="L4" s="1232"/>
      <c r="M4" s="1232"/>
      <c r="N4" s="1232"/>
      <c r="O4" s="1232"/>
      <c r="P4" s="1232"/>
      <c r="Q4" s="1232"/>
      <c r="R4" s="1232"/>
      <c r="S4" s="1232"/>
      <c r="T4" s="1232"/>
      <c r="U4" s="1232"/>
      <c r="V4" s="1232"/>
      <c r="W4" s="1232"/>
      <c r="X4" s="1232"/>
      <c r="Y4" s="1232"/>
      <c r="Z4" s="1232"/>
      <c r="AA4" s="1232"/>
      <c r="AB4" s="1232"/>
      <c r="AC4" s="1232"/>
      <c r="AD4" s="1232"/>
      <c r="AE4" s="1232"/>
      <c r="AF4" s="1232"/>
      <c r="AG4" s="1232"/>
      <c r="AH4" s="1232"/>
      <c r="AI4" s="1232"/>
      <c r="AJ4" s="1232"/>
    </row>
    <row r="5" spans="1:36" s="1233" customFormat="1" ht="25.5" customHeight="1" x14ac:dyDescent="0.25">
      <c r="A5" s="1234"/>
      <c r="B5" s="1235"/>
      <c r="C5" s="1234" t="s">
        <v>826</v>
      </c>
      <c r="D5" s="1236"/>
      <c r="E5" s="1236" t="s">
        <v>827</v>
      </c>
      <c r="F5" s="1234"/>
      <c r="G5" s="1235"/>
      <c r="H5" s="1234" t="s">
        <v>828</v>
      </c>
      <c r="I5" s="1236"/>
      <c r="J5" s="1236" t="s">
        <v>829</v>
      </c>
      <c r="K5" s="1232"/>
      <c r="L5" s="1232"/>
      <c r="M5" s="1232"/>
      <c r="N5" s="1232"/>
      <c r="O5" s="1232"/>
      <c r="P5" s="1232"/>
      <c r="Q5" s="1232"/>
      <c r="R5" s="1232"/>
      <c r="S5" s="1232"/>
      <c r="T5" s="1232"/>
      <c r="U5" s="1232"/>
      <c r="V5" s="1232"/>
      <c r="W5" s="1232"/>
      <c r="X5" s="1232"/>
      <c r="Y5" s="1232"/>
      <c r="Z5" s="1232"/>
      <c r="AA5" s="1232"/>
      <c r="AB5" s="1232"/>
      <c r="AC5" s="1232"/>
      <c r="AD5" s="1232"/>
      <c r="AE5" s="1232"/>
      <c r="AF5" s="1232"/>
      <c r="AG5" s="1232"/>
      <c r="AH5" s="1232"/>
      <c r="AI5" s="1232"/>
      <c r="AJ5" s="1232"/>
    </row>
    <row r="6" spans="1:36" s="1233" customFormat="1" ht="88.5" customHeight="1" thickBot="1" x14ac:dyDescent="0.3">
      <c r="A6" s="1237"/>
      <c r="B6" s="1238"/>
      <c r="C6" s="1239" t="s">
        <v>118</v>
      </c>
      <c r="D6" s="1240" t="s">
        <v>830</v>
      </c>
      <c r="E6" s="1241"/>
      <c r="F6" s="1237"/>
      <c r="G6" s="1238"/>
      <c r="H6" s="1239" t="s">
        <v>118</v>
      </c>
      <c r="I6" s="1240" t="s">
        <v>831</v>
      </c>
      <c r="J6" s="1241"/>
      <c r="K6" s="1242"/>
      <c r="L6" s="1242" t="s">
        <v>1740</v>
      </c>
      <c r="M6" s="1232" t="s">
        <v>1741</v>
      </c>
      <c r="N6" s="1232" t="s">
        <v>1742</v>
      </c>
      <c r="O6" s="1232" t="s">
        <v>1741</v>
      </c>
      <c r="P6" s="1232"/>
      <c r="Q6" s="1232"/>
      <c r="R6" s="1232"/>
      <c r="S6" s="1232"/>
      <c r="T6" s="1232"/>
      <c r="U6" s="1232"/>
      <c r="V6" s="1232"/>
      <c r="W6" s="1232"/>
      <c r="X6" s="1232"/>
      <c r="Y6" s="1232"/>
      <c r="Z6" s="1232"/>
      <c r="AA6" s="1232"/>
      <c r="AB6" s="1232"/>
      <c r="AC6" s="1232"/>
      <c r="AD6" s="1232"/>
      <c r="AE6" s="1232"/>
      <c r="AF6" s="1232"/>
      <c r="AG6" s="1232"/>
      <c r="AH6" s="1232"/>
      <c r="AI6" s="1232"/>
      <c r="AJ6" s="1232"/>
    </row>
    <row r="7" spans="1:36" ht="24" customHeight="1" x14ac:dyDescent="0.25">
      <c r="A7" s="1243"/>
      <c r="B7" s="1244" t="s">
        <v>832</v>
      </c>
      <c r="C7" s="1245"/>
      <c r="D7" s="1246"/>
      <c r="E7" s="1247"/>
      <c r="F7" s="1248"/>
      <c r="G7" s="1249" t="s">
        <v>833</v>
      </c>
      <c r="H7" s="1245"/>
      <c r="I7" s="1246"/>
      <c r="J7" s="1247"/>
      <c r="K7" s="1250"/>
      <c r="L7" s="1250"/>
    </row>
    <row r="8" spans="1:36" ht="27" customHeight="1" x14ac:dyDescent="0.25">
      <c r="A8" s="1251" t="s">
        <v>834</v>
      </c>
      <c r="B8" s="1252" t="s">
        <v>835</v>
      </c>
      <c r="C8" s="1253">
        <v>669749</v>
      </c>
      <c r="D8" s="1253">
        <v>4462203</v>
      </c>
      <c r="E8" s="1254">
        <f>SUM(C8:D8)</f>
        <v>5131952</v>
      </c>
      <c r="F8" s="1255" t="s">
        <v>836</v>
      </c>
      <c r="G8" s="1252" t="s">
        <v>837</v>
      </c>
      <c r="H8" s="1256">
        <v>5581231</v>
      </c>
      <c r="I8" s="1256">
        <v>219001</v>
      </c>
      <c r="J8" s="1257">
        <f>SUM(H8:I8)</f>
        <v>5800232</v>
      </c>
      <c r="K8" s="1258"/>
      <c r="L8" s="1258">
        <v>5800232</v>
      </c>
      <c r="M8" s="1258">
        <f>+L8-J8</f>
        <v>0</v>
      </c>
      <c r="N8" s="1258">
        <v>5131952</v>
      </c>
      <c r="O8" s="1258">
        <f>+N8-E8</f>
        <v>0</v>
      </c>
    </row>
    <row r="9" spans="1:36" ht="27" customHeight="1" x14ac:dyDescent="0.25">
      <c r="A9" s="1251" t="s">
        <v>838</v>
      </c>
      <c r="B9" s="1252" t="s">
        <v>124</v>
      </c>
      <c r="C9" s="1253">
        <v>2333</v>
      </c>
      <c r="D9" s="1253">
        <v>11558481</v>
      </c>
      <c r="E9" s="1254">
        <f>SUM(C9:D9)</f>
        <v>11560814</v>
      </c>
      <c r="F9" s="1261" t="s">
        <v>839</v>
      </c>
      <c r="G9" s="1260" t="s">
        <v>840</v>
      </c>
      <c r="H9" s="1262">
        <v>1106729</v>
      </c>
      <c r="I9" s="1262">
        <v>41805</v>
      </c>
      <c r="J9" s="1257">
        <f>SUM(H9:I9)</f>
        <v>1148534</v>
      </c>
      <c r="K9" s="1258"/>
      <c r="L9" s="1258">
        <v>1148534</v>
      </c>
      <c r="M9" s="1258">
        <f t="shared" ref="M9:M20" si="0">+L9-J9</f>
        <v>0</v>
      </c>
      <c r="N9" s="1258">
        <v>11560814</v>
      </c>
      <c r="O9" s="1258">
        <f t="shared" ref="O9:O20" si="1">+N9-E9</f>
        <v>0</v>
      </c>
    </row>
    <row r="10" spans="1:36" ht="27" customHeight="1" x14ac:dyDescent="0.25">
      <c r="A10" s="1251" t="s">
        <v>841</v>
      </c>
      <c r="B10" s="1252" t="s">
        <v>842</v>
      </c>
      <c r="C10" s="1253">
        <v>1465130</v>
      </c>
      <c r="D10" s="1253">
        <v>2611844</v>
      </c>
      <c r="E10" s="1254">
        <f>SUM(C10:D10)</f>
        <v>4076974</v>
      </c>
      <c r="F10" s="1261" t="s">
        <v>843</v>
      </c>
      <c r="G10" s="1260" t="s">
        <v>844</v>
      </c>
      <c r="H10" s="1262">
        <v>3172919</v>
      </c>
      <c r="I10" s="1262">
        <v>3820049</v>
      </c>
      <c r="J10" s="1257">
        <f>SUM(H10:I10)</f>
        <v>6992968</v>
      </c>
      <c r="K10" s="1258"/>
      <c r="L10" s="1258">
        <v>6992968</v>
      </c>
      <c r="M10" s="1258">
        <f t="shared" si="0"/>
        <v>0</v>
      </c>
      <c r="N10" s="1258">
        <v>4076974</v>
      </c>
      <c r="O10" s="1258">
        <f t="shared" si="1"/>
        <v>0</v>
      </c>
    </row>
    <row r="11" spans="1:36" ht="27" customHeight="1" x14ac:dyDescent="0.25">
      <c r="A11" s="1259" t="s">
        <v>845</v>
      </c>
      <c r="B11" s="1260" t="s">
        <v>223</v>
      </c>
      <c r="C11" s="1253">
        <v>3115</v>
      </c>
      <c r="D11" s="1253">
        <v>57916</v>
      </c>
      <c r="E11" s="1254">
        <f>SUM(C11:D11)</f>
        <v>61031</v>
      </c>
      <c r="F11" s="1263" t="s">
        <v>846</v>
      </c>
      <c r="G11" s="1264" t="s">
        <v>847</v>
      </c>
      <c r="H11" s="1262">
        <v>0</v>
      </c>
      <c r="I11" s="1262">
        <v>142334</v>
      </c>
      <c r="J11" s="1257">
        <f>SUM(H11:I11)</f>
        <v>142334</v>
      </c>
      <c r="K11" s="1258"/>
      <c r="L11" s="1258">
        <v>142334</v>
      </c>
      <c r="M11" s="1258">
        <f t="shared" si="0"/>
        <v>0</v>
      </c>
      <c r="N11" s="1258">
        <v>61031</v>
      </c>
      <c r="O11" s="1258">
        <f t="shared" si="1"/>
        <v>0</v>
      </c>
    </row>
    <row r="12" spans="1:36" ht="24" customHeight="1" thickBot="1" x14ac:dyDescent="0.4">
      <c r="A12" s="1251"/>
      <c r="B12" s="1252"/>
      <c r="C12" s="1265"/>
      <c r="D12" s="1253"/>
      <c r="E12" s="1254"/>
      <c r="F12" s="1261" t="s">
        <v>848</v>
      </c>
      <c r="G12" s="1260" t="s">
        <v>849</v>
      </c>
      <c r="H12" s="1257">
        <f>40707</f>
        <v>40707</v>
      </c>
      <c r="I12" s="1257">
        <f>4901720</f>
        <v>4901720</v>
      </c>
      <c r="J12" s="1257">
        <f>SUM(H12:I12)</f>
        <v>4942427</v>
      </c>
      <c r="K12" s="1266"/>
      <c r="L12" s="1258">
        <v>4942427</v>
      </c>
      <c r="M12" s="1258">
        <f t="shared" si="0"/>
        <v>0</v>
      </c>
      <c r="N12" s="1258"/>
      <c r="O12" s="1258">
        <f t="shared" si="1"/>
        <v>0</v>
      </c>
      <c r="Q12" s="1228">
        <f>40508269+0</f>
        <v>40508269</v>
      </c>
    </row>
    <row r="13" spans="1:36" ht="27" customHeight="1" thickBot="1" x14ac:dyDescent="0.4">
      <c r="A13" s="1267"/>
      <c r="B13" s="1268" t="s">
        <v>850</v>
      </c>
      <c r="C13" s="1269">
        <f>SUM(C8:C12)</f>
        <v>2140327</v>
      </c>
      <c r="D13" s="1269">
        <f>SUM(D8:D12)</f>
        <v>18690444</v>
      </c>
      <c r="E13" s="1269">
        <f>SUM(C13:D13)</f>
        <v>20830771</v>
      </c>
      <c r="F13" s="1270"/>
      <c r="G13" s="1268" t="s">
        <v>851</v>
      </c>
      <c r="H13" s="1271">
        <f>SUM(H8:H12)</f>
        <v>9901586</v>
      </c>
      <c r="I13" s="1271">
        <f>SUM(I8:I12)</f>
        <v>9124909</v>
      </c>
      <c r="J13" s="1271">
        <f>SUM(J8:J12)</f>
        <v>19026495</v>
      </c>
      <c r="K13" s="1266" t="s">
        <v>852</v>
      </c>
      <c r="L13" s="1258">
        <f>SUM(L8:L12)</f>
        <v>19026495</v>
      </c>
      <c r="M13" s="1258">
        <f t="shared" si="0"/>
        <v>0</v>
      </c>
      <c r="N13" s="1258">
        <f>SUM(N8:N11)</f>
        <v>20830771</v>
      </c>
      <c r="O13" s="1258">
        <f t="shared" si="1"/>
        <v>0</v>
      </c>
    </row>
    <row r="14" spans="1:36" s="1276" customFormat="1" ht="27" customHeight="1" x14ac:dyDescent="0.35">
      <c r="A14" s="1251" t="s">
        <v>853</v>
      </c>
      <c r="B14" s="1260" t="s">
        <v>229</v>
      </c>
      <c r="C14" s="1253">
        <v>80297</v>
      </c>
      <c r="D14" s="1253">
        <v>4504559</v>
      </c>
      <c r="E14" s="1254">
        <f>SUM(C14:D14)</f>
        <v>4584856</v>
      </c>
      <c r="F14" s="1272" t="s">
        <v>854</v>
      </c>
      <c r="G14" s="1273" t="s">
        <v>251</v>
      </c>
      <c r="H14" s="1274">
        <v>266408</v>
      </c>
      <c r="I14" s="1274">
        <f>2470339+1</f>
        <v>2470340</v>
      </c>
      <c r="J14" s="1257">
        <f>SUM(H14:I14)</f>
        <v>2736748</v>
      </c>
      <c r="K14" s="1266"/>
      <c r="L14" s="1258">
        <v>2736748</v>
      </c>
      <c r="M14" s="1258">
        <f t="shared" si="0"/>
        <v>0</v>
      </c>
      <c r="N14" s="1258">
        <v>4584856</v>
      </c>
      <c r="O14" s="1258">
        <f t="shared" si="1"/>
        <v>0</v>
      </c>
      <c r="P14" s="1275"/>
      <c r="Q14" s="1275">
        <f>266408361+0</f>
        <v>266408361</v>
      </c>
      <c r="R14" s="1275"/>
      <c r="S14" s="1275"/>
      <c r="T14" s="1275"/>
      <c r="U14" s="1275"/>
      <c r="V14" s="1275"/>
      <c r="W14" s="1275"/>
      <c r="X14" s="1275"/>
      <c r="Y14" s="1275"/>
      <c r="Z14" s="1275"/>
      <c r="AA14" s="1275"/>
      <c r="AB14" s="1275"/>
      <c r="AC14" s="1275"/>
      <c r="AD14" s="1275"/>
      <c r="AE14" s="1275"/>
      <c r="AF14" s="1275"/>
      <c r="AG14" s="1275"/>
      <c r="AH14" s="1275"/>
      <c r="AI14" s="1275"/>
      <c r="AJ14" s="1275"/>
    </row>
    <row r="15" spans="1:36" ht="27" customHeight="1" x14ac:dyDescent="0.35">
      <c r="A15" s="1251" t="s">
        <v>855</v>
      </c>
      <c r="B15" s="1260" t="s">
        <v>234</v>
      </c>
      <c r="C15" s="1253">
        <v>2835</v>
      </c>
      <c r="D15" s="1253">
        <v>2204849</v>
      </c>
      <c r="E15" s="1254">
        <f>SUM(C15:D15)</f>
        <v>2207684</v>
      </c>
      <c r="F15" s="1277" t="s">
        <v>856</v>
      </c>
      <c r="G15" s="1260" t="s">
        <v>857</v>
      </c>
      <c r="H15" s="1262">
        <v>102735</v>
      </c>
      <c r="I15" s="1262">
        <f>2910486-1</f>
        <v>2910485</v>
      </c>
      <c r="J15" s="1257">
        <f>SUM(H15:I15)</f>
        <v>3013220</v>
      </c>
      <c r="K15" s="1266"/>
      <c r="L15" s="1258">
        <v>3013220</v>
      </c>
      <c r="M15" s="1258">
        <f t="shared" si="0"/>
        <v>0</v>
      </c>
      <c r="N15" s="1258">
        <v>2207684</v>
      </c>
      <c r="O15" s="1258">
        <f t="shared" si="1"/>
        <v>0</v>
      </c>
      <c r="Q15" s="1228">
        <f>102734902+0</f>
        <v>102734902</v>
      </c>
    </row>
    <row r="16" spans="1:36" ht="27" customHeight="1" thickBot="1" x14ac:dyDescent="0.4">
      <c r="A16" s="1251" t="s">
        <v>858</v>
      </c>
      <c r="B16" s="1260" t="s">
        <v>859</v>
      </c>
      <c r="C16" s="1253">
        <v>0</v>
      </c>
      <c r="D16" s="1253">
        <v>26359</v>
      </c>
      <c r="E16" s="1254">
        <f>SUM(C16:D16)</f>
        <v>26359</v>
      </c>
      <c r="F16" s="1263" t="s">
        <v>860</v>
      </c>
      <c r="G16" s="1278" t="s">
        <v>861</v>
      </c>
      <c r="H16" s="1256">
        <v>0</v>
      </c>
      <c r="I16" s="1256">
        <v>267790</v>
      </c>
      <c r="J16" s="1257">
        <f>SUM(H16:I16)</f>
        <v>267790</v>
      </c>
      <c r="K16" s="1266"/>
      <c r="L16" s="1258">
        <v>267790</v>
      </c>
      <c r="M16" s="1258">
        <f t="shared" si="0"/>
        <v>0</v>
      </c>
      <c r="N16" s="1258">
        <v>26359</v>
      </c>
      <c r="O16" s="1258">
        <f t="shared" si="1"/>
        <v>0</v>
      </c>
    </row>
    <row r="17" spans="1:36" ht="27" customHeight="1" thickBot="1" x14ac:dyDescent="0.4">
      <c r="A17" s="1279"/>
      <c r="B17" s="1268" t="s">
        <v>862</v>
      </c>
      <c r="C17" s="1269">
        <f>SUM(C14:C16)</f>
        <v>83132</v>
      </c>
      <c r="D17" s="1269">
        <f>SUM(D14:D16)</f>
        <v>6735767</v>
      </c>
      <c r="E17" s="1269">
        <f>SUM(E14:E16)</f>
        <v>6818899</v>
      </c>
      <c r="F17" s="1279"/>
      <c r="G17" s="1280" t="s">
        <v>863</v>
      </c>
      <c r="H17" s="1271">
        <f>SUM(H14:H16)</f>
        <v>369143</v>
      </c>
      <c r="I17" s="1271">
        <f>SUM(I14:I16)</f>
        <v>5648615</v>
      </c>
      <c r="J17" s="1271">
        <f>SUM(J14:J16)</f>
        <v>6017758</v>
      </c>
      <c r="K17" s="1266" t="s">
        <v>852</v>
      </c>
      <c r="L17" s="1258">
        <f>SUM(L14:L16)</f>
        <v>6017758</v>
      </c>
      <c r="M17" s="1258">
        <f t="shared" si="0"/>
        <v>0</v>
      </c>
      <c r="N17" s="1258">
        <f>SUM(N14:N16)</f>
        <v>6818899</v>
      </c>
      <c r="O17" s="1258">
        <f t="shared" si="1"/>
        <v>0</v>
      </c>
    </row>
    <row r="18" spans="1:36" ht="27" customHeight="1" thickBot="1" x14ac:dyDescent="0.3">
      <c r="A18" s="1281"/>
      <c r="B18" s="1280" t="s">
        <v>864</v>
      </c>
      <c r="C18" s="1269">
        <f>+C13+C17</f>
        <v>2223459</v>
      </c>
      <c r="D18" s="1269">
        <f>D13+D17</f>
        <v>25426211</v>
      </c>
      <c r="E18" s="1269">
        <f>SUM(E13+E17)</f>
        <v>27649670</v>
      </c>
      <c r="F18" s="1279"/>
      <c r="G18" s="1268" t="s">
        <v>865</v>
      </c>
      <c r="H18" s="1271">
        <f>SUM(H17,H13)</f>
        <v>10270729</v>
      </c>
      <c r="I18" s="1271">
        <f>SUM(I17,I13)</f>
        <v>14773524</v>
      </c>
      <c r="J18" s="1271">
        <f>SUM(J17,J13)</f>
        <v>25044253</v>
      </c>
      <c r="K18" s="1258"/>
      <c r="L18" s="1258">
        <f>+L13+L17</f>
        <v>25044253</v>
      </c>
      <c r="M18" s="1258">
        <f t="shared" si="0"/>
        <v>0</v>
      </c>
      <c r="N18" s="1258">
        <v>27649671</v>
      </c>
      <c r="O18" s="1258">
        <f t="shared" si="1"/>
        <v>1</v>
      </c>
    </row>
    <row r="19" spans="1:36" ht="27" customHeight="1" thickBot="1" x14ac:dyDescent="0.3">
      <c r="A19" s="1282" t="s">
        <v>866</v>
      </c>
      <c r="B19" s="1283" t="s">
        <v>867</v>
      </c>
      <c r="C19" s="1284">
        <v>174298</v>
      </c>
      <c r="D19" s="1285">
        <v>10304373</v>
      </c>
      <c r="E19" s="1254">
        <f>SUM(C19:D19)</f>
        <v>10478671</v>
      </c>
      <c r="F19" s="1286" t="s">
        <v>868</v>
      </c>
      <c r="G19" s="1287" t="s">
        <v>869</v>
      </c>
      <c r="H19" s="1262">
        <v>0</v>
      </c>
      <c r="I19" s="1262">
        <f>(93154913+65405905)/1000</f>
        <v>158560.818</v>
      </c>
      <c r="J19" s="1257">
        <f>SUM(H19:I19)</f>
        <v>158560.818</v>
      </c>
      <c r="K19" s="1258"/>
      <c r="L19" s="1258">
        <v>158561</v>
      </c>
      <c r="M19" s="1258">
        <f t="shared" si="0"/>
        <v>0.18200000000069849</v>
      </c>
      <c r="N19" s="1228">
        <v>10478671</v>
      </c>
      <c r="O19" s="1258">
        <f t="shared" si="1"/>
        <v>0</v>
      </c>
    </row>
    <row r="20" spans="1:36" ht="36.75" customHeight="1" thickBot="1" x14ac:dyDescent="0.3">
      <c r="A20" s="1288"/>
      <c r="B20" s="1289" t="s">
        <v>870</v>
      </c>
      <c r="C20" s="1269">
        <f>SUM(C18:C19)</f>
        <v>2397757</v>
      </c>
      <c r="D20" s="1269">
        <f>SUM(D18:D19)</f>
        <v>35730584</v>
      </c>
      <c r="E20" s="1269">
        <f>SUM(C20:D20)</f>
        <v>38128341</v>
      </c>
      <c r="F20" s="1288"/>
      <c r="G20" s="1289" t="s">
        <v>871</v>
      </c>
      <c r="H20" s="1271">
        <f>SUM(H18:H19)</f>
        <v>10270729</v>
      </c>
      <c r="I20" s="1271">
        <f>SUM(I18:I19)</f>
        <v>14932084.818</v>
      </c>
      <c r="J20" s="1271">
        <f>SUM(J18:J19)</f>
        <v>25202813.818</v>
      </c>
      <c r="K20" s="1258"/>
      <c r="L20" s="1258">
        <f>SUM(L18:L19)</f>
        <v>25202814</v>
      </c>
      <c r="M20" s="1258">
        <f t="shared" si="0"/>
        <v>0.18200000002980232</v>
      </c>
      <c r="N20" s="1258">
        <v>38128341</v>
      </c>
      <c r="O20" s="1258">
        <f t="shared" si="1"/>
        <v>0</v>
      </c>
    </row>
    <row r="21" spans="1:36" s="1290" customFormat="1" ht="24" customHeight="1" x14ac:dyDescent="0.25">
      <c r="E21" s="1291"/>
      <c r="F21" s="1291"/>
      <c r="H21" s="1292"/>
      <c r="I21" s="1292"/>
      <c r="J21" s="1293"/>
      <c r="K21" s="1294"/>
      <c r="L21" s="1294">
        <f>+'2 mérleg '!L58</f>
        <v>25202814</v>
      </c>
      <c r="M21" s="1258"/>
      <c r="N21" s="1258">
        <f>+'2 mérleg '!F58</f>
        <v>38128341</v>
      </c>
      <c r="O21" s="1258"/>
      <c r="P21" s="1258"/>
      <c r="Q21" s="1258"/>
      <c r="R21" s="1258"/>
      <c r="S21" s="1258"/>
      <c r="T21" s="1258"/>
      <c r="U21" s="1258"/>
      <c r="V21" s="1258"/>
      <c r="W21" s="1258"/>
      <c r="X21" s="1258"/>
      <c r="Y21" s="1258"/>
      <c r="Z21" s="1258"/>
      <c r="AA21" s="1258"/>
      <c r="AB21" s="1258"/>
      <c r="AC21" s="1258"/>
      <c r="AD21" s="1258"/>
      <c r="AE21" s="1258"/>
      <c r="AF21" s="1258"/>
      <c r="AG21" s="1258"/>
      <c r="AH21" s="1258"/>
      <c r="AI21" s="1258"/>
      <c r="AJ21" s="1258"/>
    </row>
    <row r="22" spans="1:36" ht="58.5" customHeight="1" x14ac:dyDescent="0.25">
      <c r="A22" s="1290"/>
      <c r="B22" s="1295"/>
      <c r="C22" s="1290"/>
      <c r="E22" s="1296"/>
      <c r="F22" s="1291"/>
      <c r="G22" s="2613" t="s">
        <v>1802</v>
      </c>
      <c r="H22" s="2614"/>
      <c r="I22" s="2614"/>
      <c r="J22" s="2614"/>
      <c r="K22" s="1294"/>
      <c r="L22" s="1294">
        <f>+L21-L20</f>
        <v>0</v>
      </c>
      <c r="N22" s="1258">
        <f>+N20-N21</f>
        <v>0</v>
      </c>
    </row>
    <row r="23" spans="1:36" ht="24" customHeight="1" x14ac:dyDescent="0.25">
      <c r="A23" s="1290"/>
      <c r="B23" s="1297"/>
      <c r="C23" s="1290"/>
      <c r="E23" s="1298"/>
      <c r="F23" s="1291"/>
      <c r="H23" s="1299"/>
      <c r="I23" s="1300"/>
      <c r="J23" s="1301"/>
      <c r="K23" s="1294"/>
      <c r="L23" s="1294"/>
    </row>
    <row r="24" spans="1:36" ht="24" customHeight="1" x14ac:dyDescent="0.25">
      <c r="A24" s="1290"/>
      <c r="B24" s="1297"/>
      <c r="C24" s="1290"/>
      <c r="E24" s="1291"/>
      <c r="F24" s="1291"/>
      <c r="H24" s="1300"/>
      <c r="J24" s="1302"/>
      <c r="K24" s="1294"/>
      <c r="L24" s="1294"/>
    </row>
    <row r="25" spans="1:36" ht="24" customHeight="1" x14ac:dyDescent="0.25">
      <c r="A25" s="1290"/>
      <c r="B25" s="1303"/>
      <c r="C25" s="1290"/>
      <c r="E25" s="1291"/>
      <c r="F25" s="1291"/>
      <c r="H25" s="1300"/>
      <c r="I25" s="1299"/>
      <c r="J25" s="1302"/>
      <c r="K25" s="1294"/>
      <c r="L25" s="1294"/>
    </row>
    <row r="26" spans="1:36" ht="24" customHeight="1" x14ac:dyDescent="0.25">
      <c r="A26" s="1290"/>
      <c r="B26" s="1304"/>
      <c r="C26" s="1290"/>
      <c r="E26" s="1291"/>
      <c r="F26" s="1291"/>
      <c r="H26" s="1300"/>
      <c r="I26" s="1299"/>
      <c r="J26" s="1302"/>
      <c r="K26" s="1294"/>
      <c r="L26" s="1294"/>
    </row>
    <row r="27" spans="1:36" ht="24" customHeight="1" x14ac:dyDescent="0.25">
      <c r="A27" s="1290"/>
      <c r="C27" s="1290"/>
      <c r="E27" s="1291"/>
      <c r="F27" s="1291"/>
      <c r="H27" s="1300"/>
      <c r="I27" s="1299"/>
      <c r="J27" s="1302"/>
      <c r="K27" s="1294"/>
      <c r="L27" s="1294"/>
    </row>
    <row r="28" spans="1:36" ht="24" customHeight="1" x14ac:dyDescent="0.25">
      <c r="A28" s="1290"/>
      <c r="B28" s="1295"/>
      <c r="C28" s="1290"/>
      <c r="E28" s="1296"/>
      <c r="F28" s="1291"/>
      <c r="G28" s="1305"/>
      <c r="H28" s="1300"/>
      <c r="I28" s="1300"/>
      <c r="J28" s="1306"/>
      <c r="K28" s="1294"/>
      <c r="L28" s="1294"/>
    </row>
    <row r="29" spans="1:36" ht="24" customHeight="1" x14ac:dyDescent="0.25">
      <c r="A29" s="1290"/>
      <c r="B29" s="1297"/>
      <c r="C29" s="1290"/>
      <c r="E29" s="1298"/>
      <c r="F29" s="1291"/>
      <c r="H29" s="1299"/>
      <c r="I29" s="1300"/>
      <c r="J29" s="1301"/>
      <c r="K29" s="1294"/>
      <c r="L29" s="1294"/>
    </row>
    <row r="30" spans="1:36" ht="24" customHeight="1" x14ac:dyDescent="0.25">
      <c r="A30" s="1290"/>
      <c r="B30" s="1297"/>
      <c r="C30" s="1290"/>
      <c r="E30" s="1291"/>
      <c r="F30" s="1291"/>
      <c r="H30" s="1300"/>
      <c r="J30" s="1302"/>
      <c r="K30" s="1294"/>
      <c r="L30" s="1294"/>
    </row>
    <row r="31" spans="1:36" ht="24" customHeight="1" x14ac:dyDescent="0.25">
      <c r="A31" s="1290"/>
      <c r="B31" s="1303"/>
      <c r="C31" s="1290"/>
      <c r="E31" s="1291"/>
      <c r="F31" s="1291"/>
      <c r="H31" s="1300"/>
      <c r="I31" s="1299"/>
      <c r="J31" s="1302"/>
      <c r="K31" s="1294"/>
      <c r="L31" s="1294"/>
    </row>
    <row r="32" spans="1:36" ht="24" customHeight="1" x14ac:dyDescent="0.25">
      <c r="A32" s="1290"/>
      <c r="B32" s="1304"/>
      <c r="C32" s="1290"/>
      <c r="E32" s="1291"/>
      <c r="F32" s="1291"/>
      <c r="H32" s="1300"/>
      <c r="I32" s="1299"/>
      <c r="J32" s="1302"/>
      <c r="K32" s="1294"/>
      <c r="L32" s="1294"/>
    </row>
    <row r="33" spans="1:12" ht="24" customHeight="1" x14ac:dyDescent="0.25">
      <c r="A33" s="1290"/>
      <c r="B33" s="1304"/>
      <c r="C33" s="1290"/>
      <c r="E33" s="1291"/>
      <c r="F33" s="1291"/>
      <c r="H33" s="1300"/>
      <c r="I33" s="1299"/>
      <c r="J33" s="1302"/>
      <c r="K33" s="1294"/>
      <c r="L33" s="1294"/>
    </row>
    <row r="34" spans="1:12" ht="24" customHeight="1" x14ac:dyDescent="0.25">
      <c r="A34" s="1290"/>
      <c r="C34" s="1290"/>
      <c r="D34" s="1290"/>
      <c r="E34" s="1291"/>
      <c r="F34" s="1291"/>
      <c r="H34" s="1300"/>
      <c r="I34" s="1299"/>
      <c r="J34" s="1302"/>
      <c r="K34" s="1294"/>
      <c r="L34" s="1294"/>
    </row>
    <row r="35" spans="1:12" ht="24" customHeight="1" x14ac:dyDescent="0.25">
      <c r="A35" s="1290"/>
      <c r="C35" s="1290"/>
      <c r="E35" s="1291"/>
      <c r="F35" s="1291"/>
      <c r="H35" s="1299"/>
      <c r="I35" s="1299"/>
      <c r="J35" s="1307"/>
      <c r="K35" s="1294"/>
      <c r="L35" s="1294"/>
    </row>
    <row r="36" spans="1:12" ht="24" customHeight="1" x14ac:dyDescent="0.25">
      <c r="A36" s="1290"/>
      <c r="C36" s="1290"/>
      <c r="E36" s="1291"/>
      <c r="F36" s="1291"/>
      <c r="H36" s="1299"/>
      <c r="I36" s="1299"/>
      <c r="J36" s="1307"/>
      <c r="K36" s="1294"/>
      <c r="L36" s="1294"/>
    </row>
    <row r="37" spans="1:12" ht="24" customHeight="1" x14ac:dyDescent="0.25">
      <c r="A37" s="1290"/>
      <c r="C37" s="1290"/>
      <c r="E37" s="1291"/>
      <c r="F37" s="1291"/>
      <c r="H37" s="1299"/>
      <c r="I37" s="1299"/>
      <c r="K37" s="1294"/>
      <c r="L37" s="1294"/>
    </row>
    <row r="38" spans="1:12" ht="24" customHeight="1" x14ac:dyDescent="0.25">
      <c r="A38" s="1290"/>
      <c r="C38" s="1290"/>
      <c r="E38" s="1291"/>
      <c r="F38" s="1291"/>
      <c r="H38" s="1299"/>
      <c r="I38" s="1299"/>
      <c r="K38" s="1294"/>
      <c r="L38" s="1294"/>
    </row>
    <row r="39" spans="1:12" ht="24" customHeight="1" x14ac:dyDescent="0.25">
      <c r="A39" s="1299"/>
      <c r="B39" s="1303"/>
      <c r="C39" s="1290"/>
      <c r="E39" s="1290"/>
      <c r="F39" s="1291"/>
      <c r="G39" s="1295"/>
      <c r="H39" s="1299"/>
      <c r="K39" s="1308"/>
      <c r="L39" s="1308"/>
    </row>
    <row r="40" spans="1:12" ht="24" customHeight="1" x14ac:dyDescent="0.25">
      <c r="C40" s="1290"/>
      <c r="F40" s="1302"/>
      <c r="H40" s="1300"/>
      <c r="J40" s="1302"/>
      <c r="K40" s="1308"/>
      <c r="L40" s="1308"/>
    </row>
    <row r="41" spans="1:12" ht="24" customHeight="1" x14ac:dyDescent="0.25">
      <c r="C41" s="1290"/>
      <c r="E41" s="1225"/>
      <c r="F41" s="1302"/>
      <c r="H41" s="1300"/>
      <c r="J41" s="1290"/>
      <c r="K41" s="1309"/>
      <c r="L41" s="1309"/>
    </row>
    <row r="42" spans="1:12" ht="24" customHeight="1" x14ac:dyDescent="0.25">
      <c r="C42" s="1290"/>
      <c r="E42" s="1290"/>
      <c r="H42" s="1300"/>
      <c r="J42" s="1225"/>
      <c r="K42" s="1309"/>
      <c r="L42" s="1309"/>
    </row>
    <row r="43" spans="1:12" ht="24" customHeight="1" x14ac:dyDescent="0.25">
      <c r="E43" s="1225"/>
      <c r="F43" s="1291"/>
      <c r="J43" s="1225"/>
    </row>
    <row r="44" spans="1:12" ht="24" customHeight="1" x14ac:dyDescent="0.25">
      <c r="E44" s="1298"/>
      <c r="F44" s="1298"/>
      <c r="J44" s="1298"/>
    </row>
    <row r="45" spans="1:12" ht="24" customHeight="1" x14ac:dyDescent="0.25"/>
    <row r="46" spans="1:12" ht="24" customHeight="1" x14ac:dyDescent="0.25"/>
    <row r="47" spans="1:12" ht="24" customHeight="1" x14ac:dyDescent="0.25"/>
    <row r="48" spans="1:12" ht="24" customHeight="1" x14ac:dyDescent="0.25"/>
    <row r="49" ht="24" customHeight="1" x14ac:dyDescent="0.25"/>
  </sheetData>
  <mergeCells count="5">
    <mergeCell ref="B1:E1"/>
    <mergeCell ref="G1:J1"/>
    <mergeCell ref="B2:E2"/>
    <mergeCell ref="G2:J2"/>
    <mergeCell ref="G22:J2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59" orientation="landscape" r:id="rId1"/>
  <headerFooter alignWithMargins="0">
    <oddHeader xml:space="preserve">&amp;R&amp;"Times New Roman CE,Félkövér"&amp;16 1. melléklet  a .../2020. (........) önkormányzati rendelethez </oddHeader>
  </headerFooter>
  <colBreaks count="1" manualBreakCount="1">
    <brk id="5" max="2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21"/>
  <dimension ref="A1:I55"/>
  <sheetViews>
    <sheetView zoomScale="75" zoomScaleNormal="75" zoomScaleSheetLayoutView="75" workbookViewId="0">
      <selection activeCell="J20" sqref="J20"/>
    </sheetView>
  </sheetViews>
  <sheetFormatPr defaultColWidth="9.33203125" defaultRowHeight="15" customHeight="1" x14ac:dyDescent="0.2"/>
  <cols>
    <col min="1" max="1" width="17.33203125" style="4" customWidth="1"/>
    <col min="2" max="2" width="116.33203125" style="4" customWidth="1"/>
    <col min="3" max="6" width="22.33203125" style="4" customWidth="1"/>
    <col min="7" max="7" width="9.33203125" style="4"/>
    <col min="8" max="8" width="22.1640625" style="1134" customWidth="1"/>
    <col min="9" max="9" width="9.33203125" style="1134"/>
    <col min="10" max="16384" width="9.33203125" style="4"/>
  </cols>
  <sheetData>
    <row r="1" spans="1:6" ht="15" customHeight="1" x14ac:dyDescent="0.25">
      <c r="B1" s="2719"/>
      <c r="C1" s="2719"/>
      <c r="D1" s="35"/>
    </row>
    <row r="2" spans="1:6" ht="27" customHeight="1" x14ac:dyDescent="0.35">
      <c r="B2" s="2720" t="s">
        <v>31</v>
      </c>
      <c r="C2" s="2720"/>
      <c r="D2" s="2720"/>
      <c r="E2" s="2720"/>
      <c r="F2" s="2720"/>
    </row>
    <row r="3" spans="1:6" ht="18" customHeight="1" x14ac:dyDescent="0.25">
      <c r="B3" s="35"/>
      <c r="C3" s="35"/>
      <c r="D3" s="35"/>
      <c r="E3" s="36"/>
      <c r="F3" s="36"/>
    </row>
    <row r="4" spans="1:6" ht="27" customHeight="1" thickBot="1" x14ac:dyDescent="0.3">
      <c r="B4" s="779" t="s">
        <v>202</v>
      </c>
      <c r="C4" s="780"/>
      <c r="D4" s="780"/>
      <c r="E4" s="780"/>
      <c r="F4" s="781" t="s">
        <v>26</v>
      </c>
    </row>
    <row r="5" spans="1:6" ht="23.25" customHeight="1" x14ac:dyDescent="0.25">
      <c r="A5" s="37"/>
      <c r="B5" s="782" t="s">
        <v>42</v>
      </c>
      <c r="C5" s="2717" t="s">
        <v>517</v>
      </c>
      <c r="D5" s="2717"/>
      <c r="E5" s="783" t="s">
        <v>685</v>
      </c>
      <c r="F5" s="784" t="s">
        <v>139</v>
      </c>
    </row>
    <row r="6" spans="1:6" ht="23.25" customHeight="1" thickBot="1" x14ac:dyDescent="0.3">
      <c r="B6" s="785"/>
      <c r="C6" s="786" t="s">
        <v>264</v>
      </c>
      <c r="D6" s="786" t="s">
        <v>137</v>
      </c>
      <c r="E6" s="787" t="s">
        <v>138</v>
      </c>
      <c r="F6" s="788" t="s">
        <v>140</v>
      </c>
    </row>
    <row r="7" spans="1:6" ht="39" customHeight="1" x14ac:dyDescent="0.25">
      <c r="B7" s="789" t="s">
        <v>667</v>
      </c>
      <c r="C7" s="790">
        <v>729273</v>
      </c>
      <c r="D7" s="790">
        <v>820106</v>
      </c>
      <c r="E7" s="791">
        <v>804918</v>
      </c>
      <c r="F7" s="792">
        <f t="shared" ref="F7:F10" si="0">+E7/D7*100</f>
        <v>98.148044277203198</v>
      </c>
    </row>
    <row r="8" spans="1:6" ht="39" customHeight="1" x14ac:dyDescent="0.25">
      <c r="B8" s="793" t="s">
        <v>668</v>
      </c>
      <c r="C8" s="791">
        <v>94499</v>
      </c>
      <c r="D8" s="791">
        <v>124610</v>
      </c>
      <c r="E8" s="791">
        <v>124610</v>
      </c>
      <c r="F8" s="794">
        <f t="shared" si="0"/>
        <v>100</v>
      </c>
    </row>
    <row r="9" spans="1:6" ht="39" customHeight="1" x14ac:dyDescent="0.25">
      <c r="B9" s="793" t="s">
        <v>669</v>
      </c>
      <c r="C9" s="795"/>
      <c r="D9" s="795">
        <v>10384</v>
      </c>
      <c r="E9" s="795">
        <v>10384</v>
      </c>
      <c r="F9" s="792">
        <f t="shared" si="0"/>
        <v>100</v>
      </c>
    </row>
    <row r="10" spans="1:6" ht="24.75" customHeight="1" thickBot="1" x14ac:dyDescent="0.3">
      <c r="B10" s="796" t="s">
        <v>201</v>
      </c>
      <c r="C10" s="797">
        <f>SUM(C7:C9)</f>
        <v>823772</v>
      </c>
      <c r="D10" s="797">
        <f>SUM(D7:D9)</f>
        <v>955100</v>
      </c>
      <c r="E10" s="797">
        <f>SUM(E7:E9)</f>
        <v>939912</v>
      </c>
      <c r="F10" s="798">
        <f t="shared" si="0"/>
        <v>98.409800020940224</v>
      </c>
    </row>
    <row r="11" spans="1:6" ht="24.75" customHeight="1" x14ac:dyDescent="0.25">
      <c r="B11" s="799" t="s">
        <v>195</v>
      </c>
      <c r="C11" s="800"/>
      <c r="D11" s="801"/>
      <c r="E11" s="800"/>
      <c r="F11" s="802"/>
    </row>
    <row r="12" spans="1:6" ht="24.75" customHeight="1" x14ac:dyDescent="0.25">
      <c r="B12" s="803" t="s">
        <v>19</v>
      </c>
      <c r="C12" s="804"/>
      <c r="D12" s="804">
        <v>1284</v>
      </c>
      <c r="E12" s="804">
        <v>323</v>
      </c>
      <c r="F12" s="805">
        <f>+E12/D12*100</f>
        <v>25.155763239875391</v>
      </c>
    </row>
    <row r="13" spans="1:6" ht="39.75" customHeight="1" x14ac:dyDescent="0.25">
      <c r="B13" s="1150" t="s">
        <v>813</v>
      </c>
      <c r="C13" s="814"/>
      <c r="D13" s="814">
        <v>2292</v>
      </c>
      <c r="E13" s="814">
        <v>2028</v>
      </c>
      <c r="F13" s="816">
        <f>+E13/D13*100</f>
        <v>88.481675392670155</v>
      </c>
    </row>
    <row r="14" spans="1:6" ht="24.75" customHeight="1" thickBot="1" x14ac:dyDescent="0.3">
      <c r="A14" s="5"/>
      <c r="B14" s="803" t="s">
        <v>691</v>
      </c>
      <c r="C14" s="804"/>
      <c r="D14" s="804">
        <v>9594</v>
      </c>
      <c r="E14" s="818"/>
      <c r="F14" s="816">
        <f>+E14/D14*100</f>
        <v>0</v>
      </c>
    </row>
    <row r="15" spans="1:6" ht="24.75" customHeight="1" thickBot="1" x14ac:dyDescent="0.3">
      <c r="B15" s="806" t="s">
        <v>196</v>
      </c>
      <c r="C15" s="807">
        <f>SUM(C12:C14)</f>
        <v>0</v>
      </c>
      <c r="D15" s="807">
        <f t="shared" ref="D15:E15" si="1">SUM(D12:D14)</f>
        <v>13170</v>
      </c>
      <c r="E15" s="807">
        <f t="shared" si="1"/>
        <v>2351</v>
      </c>
      <c r="F15" s="808">
        <f>+E15/D15*100</f>
        <v>17.851176917236142</v>
      </c>
    </row>
    <row r="16" spans="1:6" ht="24.75" customHeight="1" x14ac:dyDescent="0.25">
      <c r="A16" s="5"/>
      <c r="B16" s="799" t="s">
        <v>197</v>
      </c>
      <c r="C16" s="809"/>
      <c r="D16" s="810"/>
      <c r="E16" s="811"/>
      <c r="F16" s="812"/>
    </row>
    <row r="17" spans="1:9" ht="24.75" customHeight="1" x14ac:dyDescent="0.25">
      <c r="A17" s="5"/>
      <c r="B17" s="813" t="s">
        <v>117</v>
      </c>
      <c r="C17" s="814">
        <v>2000</v>
      </c>
      <c r="D17" s="814">
        <v>2000</v>
      </c>
      <c r="E17" s="815">
        <v>560</v>
      </c>
      <c r="F17" s="816">
        <f t="shared" ref="F17:F29" si="2">+E17/D17*100</f>
        <v>28.000000000000004</v>
      </c>
    </row>
    <row r="18" spans="1:9" ht="24.75" customHeight="1" x14ac:dyDescent="0.25">
      <c r="A18" s="5"/>
      <c r="B18" s="793" t="s">
        <v>697</v>
      </c>
      <c r="C18" s="795">
        <v>120000</v>
      </c>
      <c r="D18" s="2930">
        <v>123792</v>
      </c>
      <c r="E18" s="817">
        <v>123792</v>
      </c>
      <c r="F18" s="794">
        <f t="shared" si="2"/>
        <v>100</v>
      </c>
    </row>
    <row r="19" spans="1:9" ht="24.75" customHeight="1" x14ac:dyDescent="0.25">
      <c r="A19" s="5"/>
      <c r="B19" s="813" t="s">
        <v>216</v>
      </c>
      <c r="C19" s="814">
        <v>2210</v>
      </c>
      <c r="D19" s="814">
        <v>2210</v>
      </c>
      <c r="E19" s="815">
        <v>2014</v>
      </c>
      <c r="F19" s="805">
        <f t="shared" si="2"/>
        <v>91.131221719457017</v>
      </c>
    </row>
    <row r="20" spans="1:9" s="5" customFormat="1" ht="24.75" customHeight="1" x14ac:dyDescent="0.25">
      <c r="B20" s="803" t="s">
        <v>95</v>
      </c>
      <c r="C20" s="804">
        <v>180900</v>
      </c>
      <c r="D20" s="804">
        <v>188614</v>
      </c>
      <c r="E20" s="804">
        <v>137837</v>
      </c>
      <c r="F20" s="819">
        <f t="shared" si="2"/>
        <v>73.078880676938084</v>
      </c>
      <c r="H20" s="1134"/>
      <c r="I20" s="1134"/>
    </row>
    <row r="21" spans="1:9" ht="24.75" customHeight="1" x14ac:dyDescent="0.25">
      <c r="A21" s="5"/>
      <c r="B21" s="813" t="s">
        <v>87</v>
      </c>
      <c r="C21" s="814">
        <v>2500</v>
      </c>
      <c r="D21" s="814">
        <v>2596</v>
      </c>
      <c r="E21" s="815">
        <v>2483</v>
      </c>
      <c r="F21" s="805">
        <f t="shared" si="2"/>
        <v>95.647149460708775</v>
      </c>
    </row>
    <row r="22" spans="1:9" ht="24.75" customHeight="1" x14ac:dyDescent="0.25">
      <c r="A22" s="5"/>
      <c r="B22" s="813" t="s">
        <v>198</v>
      </c>
      <c r="C22" s="814">
        <v>3000</v>
      </c>
      <c r="D22" s="814">
        <v>3000</v>
      </c>
      <c r="E22" s="815">
        <v>3000</v>
      </c>
      <c r="F22" s="805">
        <f t="shared" si="2"/>
        <v>100</v>
      </c>
    </row>
    <row r="23" spans="1:9" ht="24.75" customHeight="1" x14ac:dyDescent="0.25">
      <c r="B23" s="820" t="s">
        <v>61</v>
      </c>
      <c r="C23" s="814">
        <v>5000</v>
      </c>
      <c r="D23" s="814">
        <v>5000</v>
      </c>
      <c r="E23" s="815">
        <v>5000</v>
      </c>
      <c r="F23" s="805">
        <f t="shared" si="2"/>
        <v>100</v>
      </c>
    </row>
    <row r="24" spans="1:9" ht="24.75" customHeight="1" x14ac:dyDescent="0.25">
      <c r="A24" s="5"/>
      <c r="B24" s="1150" t="s">
        <v>814</v>
      </c>
      <c r="C24" s="814">
        <v>2000</v>
      </c>
      <c r="D24" s="814">
        <v>2000</v>
      </c>
      <c r="E24" s="815">
        <v>2000</v>
      </c>
      <c r="F24" s="805">
        <f t="shared" si="2"/>
        <v>100</v>
      </c>
    </row>
    <row r="25" spans="1:9" ht="42.75" customHeight="1" x14ac:dyDescent="0.25">
      <c r="A25" s="5"/>
      <c r="B25" s="1150" t="s">
        <v>815</v>
      </c>
      <c r="C25" s="814">
        <v>5500</v>
      </c>
      <c r="D25" s="814">
        <v>5500</v>
      </c>
      <c r="E25" s="815">
        <v>3575</v>
      </c>
      <c r="F25" s="805">
        <f t="shared" si="2"/>
        <v>65</v>
      </c>
    </row>
    <row r="26" spans="1:9" ht="24.75" customHeight="1" x14ac:dyDescent="0.25">
      <c r="A26" s="5"/>
      <c r="B26" s="821" t="s">
        <v>292</v>
      </c>
      <c r="C26" s="814">
        <v>15493</v>
      </c>
      <c r="D26" s="814">
        <v>14398</v>
      </c>
      <c r="E26" s="814">
        <v>13329</v>
      </c>
      <c r="F26" s="805">
        <f t="shared" si="2"/>
        <v>92.575357688567863</v>
      </c>
    </row>
    <row r="27" spans="1:9" ht="24.75" customHeight="1" x14ac:dyDescent="0.25">
      <c r="A27" s="5"/>
      <c r="B27" s="821" t="s">
        <v>7</v>
      </c>
      <c r="C27" s="822">
        <v>52000</v>
      </c>
      <c r="D27" s="822">
        <v>54631</v>
      </c>
      <c r="E27" s="823">
        <v>29269</v>
      </c>
      <c r="F27" s="805">
        <f t="shared" si="2"/>
        <v>53.575808606834954</v>
      </c>
    </row>
    <row r="28" spans="1:9" ht="24.75" customHeight="1" x14ac:dyDescent="0.25">
      <c r="A28" s="5"/>
      <c r="B28" s="813" t="s">
        <v>62</v>
      </c>
      <c r="C28" s="814">
        <v>1500</v>
      </c>
      <c r="D28" s="814">
        <v>1459</v>
      </c>
      <c r="E28" s="814">
        <v>293</v>
      </c>
      <c r="F28" s="805">
        <f t="shared" si="2"/>
        <v>20.082248115147362</v>
      </c>
    </row>
    <row r="29" spans="1:9" ht="24.75" customHeight="1" x14ac:dyDescent="0.25">
      <c r="B29" s="824" t="s">
        <v>215</v>
      </c>
      <c r="C29" s="822">
        <v>6000</v>
      </c>
      <c r="D29" s="822">
        <v>2002</v>
      </c>
      <c r="E29" s="822">
        <v>1551</v>
      </c>
      <c r="F29" s="805">
        <f t="shared" si="2"/>
        <v>77.472527472527474</v>
      </c>
    </row>
    <row r="30" spans="1:9" ht="24.75" customHeight="1" x14ac:dyDescent="0.25">
      <c r="A30" s="5"/>
      <c r="B30" s="820" t="s">
        <v>338</v>
      </c>
      <c r="C30" s="814">
        <v>13000</v>
      </c>
      <c r="D30" s="814">
        <v>9065</v>
      </c>
      <c r="E30" s="815"/>
      <c r="F30" s="805">
        <f t="shared" ref="F30:F40" si="3">+E30/D30*100</f>
        <v>0</v>
      </c>
    </row>
    <row r="31" spans="1:9" ht="54.75" customHeight="1" x14ac:dyDescent="0.25">
      <c r="A31" s="5"/>
      <c r="B31" s="820" t="s">
        <v>816</v>
      </c>
      <c r="C31" s="814">
        <v>19000</v>
      </c>
      <c r="D31" s="814">
        <v>19000</v>
      </c>
      <c r="E31" s="815">
        <v>19000</v>
      </c>
      <c r="F31" s="805">
        <f t="shared" si="3"/>
        <v>100</v>
      </c>
    </row>
    <row r="32" spans="1:9" ht="24.75" customHeight="1" x14ac:dyDescent="0.25">
      <c r="A32" s="5"/>
      <c r="B32" s="820" t="s">
        <v>469</v>
      </c>
      <c r="C32" s="814">
        <v>5000</v>
      </c>
      <c r="D32" s="814">
        <v>5724</v>
      </c>
      <c r="E32" s="815">
        <v>2557</v>
      </c>
      <c r="F32" s="805">
        <f t="shared" si="3"/>
        <v>44.671558350803636</v>
      </c>
    </row>
    <row r="33" spans="1:9" ht="24.75" customHeight="1" x14ac:dyDescent="0.25">
      <c r="A33" s="5"/>
      <c r="B33" s="820" t="s">
        <v>573</v>
      </c>
      <c r="C33" s="814"/>
      <c r="D33" s="814">
        <v>2920</v>
      </c>
      <c r="E33" s="815">
        <v>2920</v>
      </c>
      <c r="F33" s="805">
        <f t="shared" si="3"/>
        <v>100</v>
      </c>
    </row>
    <row r="34" spans="1:9" ht="24.75" customHeight="1" x14ac:dyDescent="0.25">
      <c r="A34" s="5"/>
      <c r="B34" s="820" t="s">
        <v>761</v>
      </c>
      <c r="C34" s="814"/>
      <c r="D34" s="814">
        <v>1300</v>
      </c>
      <c r="E34" s="815">
        <v>1200</v>
      </c>
      <c r="F34" s="805">
        <f t="shared" si="3"/>
        <v>92.307692307692307</v>
      </c>
    </row>
    <row r="35" spans="1:9" ht="24.75" customHeight="1" x14ac:dyDescent="0.25">
      <c r="A35" s="5"/>
      <c r="B35" s="820" t="s">
        <v>611</v>
      </c>
      <c r="C35" s="814"/>
      <c r="D35" s="814">
        <v>7998</v>
      </c>
      <c r="E35" s="815">
        <v>7998</v>
      </c>
      <c r="F35" s="805">
        <f t="shared" si="3"/>
        <v>100</v>
      </c>
    </row>
    <row r="36" spans="1:9" ht="24.75" customHeight="1" x14ac:dyDescent="0.25">
      <c r="B36" s="820" t="s">
        <v>817</v>
      </c>
      <c r="C36" s="814"/>
      <c r="D36" s="814">
        <v>350</v>
      </c>
      <c r="E36" s="815">
        <v>350</v>
      </c>
      <c r="F36" s="816">
        <f t="shared" si="3"/>
        <v>100</v>
      </c>
    </row>
    <row r="37" spans="1:9" ht="24.75" customHeight="1" thickBot="1" x14ac:dyDescent="0.3">
      <c r="B37" s="824" t="s">
        <v>766</v>
      </c>
      <c r="C37" s="825"/>
      <c r="D37" s="825">
        <v>100</v>
      </c>
      <c r="E37" s="826">
        <v>100</v>
      </c>
      <c r="F37" s="816">
        <f t="shared" si="3"/>
        <v>100</v>
      </c>
    </row>
    <row r="38" spans="1:9" ht="42" customHeight="1" thickBot="1" x14ac:dyDescent="0.3">
      <c r="B38" s="827" t="s">
        <v>199</v>
      </c>
      <c r="C38" s="807">
        <f>SUM(C17:C37)</f>
        <v>435103</v>
      </c>
      <c r="D38" s="807">
        <f t="shared" ref="D38:E38" si="4">SUM(D17:D37)</f>
        <v>453659</v>
      </c>
      <c r="E38" s="807">
        <f t="shared" si="4"/>
        <v>358828</v>
      </c>
      <c r="F38" s="828">
        <f t="shared" si="3"/>
        <v>79.096413826243932</v>
      </c>
    </row>
    <row r="39" spans="1:9" ht="27" customHeight="1" thickBot="1" x14ac:dyDescent="0.3">
      <c r="B39" s="829" t="s">
        <v>206</v>
      </c>
      <c r="C39" s="830">
        <f>C38+C15</f>
        <v>435103</v>
      </c>
      <c r="D39" s="830">
        <f>D38+D15</f>
        <v>466829</v>
      </c>
      <c r="E39" s="830">
        <f>E38+E15</f>
        <v>361179</v>
      </c>
      <c r="F39" s="828">
        <f t="shared" si="3"/>
        <v>77.368586784454266</v>
      </c>
    </row>
    <row r="40" spans="1:9" s="7" customFormat="1" ht="27" customHeight="1" thickBot="1" x14ac:dyDescent="0.3">
      <c r="B40" s="1159" t="s">
        <v>728</v>
      </c>
      <c r="C40" s="807">
        <f>C10+C39</f>
        <v>1258875</v>
      </c>
      <c r="D40" s="807">
        <f>D10+D39</f>
        <v>1421929</v>
      </c>
      <c r="E40" s="807">
        <f>E10+E39</f>
        <v>1301091</v>
      </c>
      <c r="F40" s="828">
        <f t="shared" si="3"/>
        <v>91.501826040540706</v>
      </c>
      <c r="H40" s="1134"/>
      <c r="I40" s="1134"/>
    </row>
    <row r="41" spans="1:9" ht="15.75" customHeight="1" x14ac:dyDescent="0.25">
      <c r="B41" s="831"/>
      <c r="C41" s="831"/>
      <c r="D41" s="831"/>
      <c r="E41" s="831"/>
      <c r="F41" s="831"/>
    </row>
    <row r="42" spans="1:9" ht="27" customHeight="1" thickBot="1" x14ac:dyDescent="0.3">
      <c r="B42" s="779" t="s">
        <v>27</v>
      </c>
      <c r="C42" s="831"/>
      <c r="D42" s="831"/>
      <c r="E42" s="831"/>
      <c r="F42" s="781" t="s">
        <v>26</v>
      </c>
    </row>
    <row r="43" spans="1:9" ht="27" customHeight="1" x14ac:dyDescent="0.25">
      <c r="B43" s="782" t="s">
        <v>42</v>
      </c>
      <c r="C43" s="2717" t="s">
        <v>517</v>
      </c>
      <c r="D43" s="2717"/>
      <c r="E43" s="783" t="s">
        <v>685</v>
      </c>
      <c r="F43" s="784" t="s">
        <v>139</v>
      </c>
    </row>
    <row r="44" spans="1:9" ht="27" customHeight="1" thickBot="1" x14ac:dyDescent="0.3">
      <c r="B44" s="832"/>
      <c r="C44" s="833" t="s">
        <v>264</v>
      </c>
      <c r="D44" s="833" t="s">
        <v>137</v>
      </c>
      <c r="E44" s="787" t="s">
        <v>138</v>
      </c>
      <c r="F44" s="788" t="s">
        <v>140</v>
      </c>
    </row>
    <row r="45" spans="1:9" ht="42.75" customHeight="1" x14ac:dyDescent="0.25">
      <c r="B45" s="834" t="s">
        <v>670</v>
      </c>
      <c r="C45" s="795"/>
      <c r="D45" s="795">
        <v>4</v>
      </c>
      <c r="E45" s="795">
        <v>4</v>
      </c>
      <c r="F45" s="835">
        <f t="shared" ref="F45:F48" si="5">+E45/D45*100</f>
        <v>100</v>
      </c>
    </row>
    <row r="46" spans="1:9" ht="42.75" customHeight="1" x14ac:dyDescent="0.25">
      <c r="B46" s="836" t="s">
        <v>671</v>
      </c>
      <c r="C46" s="791"/>
      <c r="D46" s="791">
        <v>74937</v>
      </c>
      <c r="E46" s="791">
        <v>28520</v>
      </c>
      <c r="F46" s="837">
        <f t="shared" si="5"/>
        <v>38.058635920840175</v>
      </c>
    </row>
    <row r="47" spans="1:9" ht="42.75" customHeight="1" thickBot="1" x14ac:dyDescent="0.3">
      <c r="B47" s="838" t="s">
        <v>672</v>
      </c>
      <c r="C47" s="839"/>
      <c r="D47" s="839"/>
      <c r="E47" s="839"/>
      <c r="F47" s="837"/>
    </row>
    <row r="48" spans="1:9" ht="27" customHeight="1" thickBot="1" x14ac:dyDescent="0.3">
      <c r="B48" s="840" t="s">
        <v>729</v>
      </c>
      <c r="C48" s="688">
        <f>+C45+C47</f>
        <v>0</v>
      </c>
      <c r="D48" s="688">
        <f>+D45+D47+D46</f>
        <v>74941</v>
      </c>
      <c r="E48" s="688">
        <f>+E45+E47+E46</f>
        <v>28524</v>
      </c>
      <c r="F48" s="841">
        <f t="shared" si="5"/>
        <v>38.061942061088054</v>
      </c>
    </row>
    <row r="49" spans="2:6" ht="17.25" customHeight="1" thickBot="1" x14ac:dyDescent="0.25">
      <c r="B49" s="120"/>
      <c r="C49" s="3"/>
      <c r="D49" s="3"/>
      <c r="E49" s="3"/>
      <c r="F49" s="121"/>
    </row>
    <row r="50" spans="2:6" ht="27" customHeight="1" thickBot="1" x14ac:dyDescent="0.3">
      <c r="B50" s="60" t="s">
        <v>730</v>
      </c>
      <c r="C50" s="842">
        <f>+C40+C48</f>
        <v>1258875</v>
      </c>
      <c r="D50" s="842">
        <f>+D40+D48</f>
        <v>1496870</v>
      </c>
      <c r="E50" s="842">
        <f>+E40+E48</f>
        <v>1329615</v>
      </c>
      <c r="F50" s="843">
        <f>+E50/D50*100</f>
        <v>88.82635098572355</v>
      </c>
    </row>
    <row r="55" spans="2:6" ht="15" customHeight="1" x14ac:dyDescent="0.2">
      <c r="B55" s="154"/>
    </row>
  </sheetData>
  <mergeCells count="4">
    <mergeCell ref="B1:C1"/>
    <mergeCell ref="C5:D5"/>
    <mergeCell ref="C43:D43"/>
    <mergeCell ref="B2:F2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54" orientation="portrait" r:id="rId1"/>
  <headerFooter alignWithMargins="0">
    <oddHeader>&amp;R&amp;"Arial,Félkövér"&amp;12 &amp;14 10. melléklet  a ..../2020. (......)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8"/>
  <dimension ref="A1:G47"/>
  <sheetViews>
    <sheetView zoomScale="75" zoomScaleNormal="75" workbookViewId="0">
      <selection activeCell="J20" sqref="J20"/>
    </sheetView>
  </sheetViews>
  <sheetFormatPr defaultColWidth="9.33203125" defaultRowHeight="15" customHeight="1" x14ac:dyDescent="0.2"/>
  <cols>
    <col min="1" max="1" width="11.5" style="29" bestFit="1" customWidth="1"/>
    <col min="2" max="2" width="111.83203125" style="6" customWidth="1"/>
    <col min="3" max="6" width="22.1640625" style="6" customWidth="1"/>
    <col min="7" max="7" width="9.33203125" style="1134"/>
    <col min="8" max="16384" width="9.33203125" style="6"/>
  </cols>
  <sheetData>
    <row r="1" spans="1:7" ht="15" customHeight="1" x14ac:dyDescent="0.25">
      <c r="B1" s="2713"/>
      <c r="C1" s="2713"/>
    </row>
    <row r="2" spans="1:7" ht="24" customHeight="1" x14ac:dyDescent="0.35">
      <c r="B2" s="2720" t="s">
        <v>32</v>
      </c>
      <c r="C2" s="2720"/>
      <c r="D2" s="2720"/>
      <c r="E2" s="2720"/>
      <c r="F2" s="2720"/>
    </row>
    <row r="3" spans="1:7" ht="15" customHeight="1" x14ac:dyDescent="0.25">
      <c r="B3" s="11"/>
      <c r="C3" s="11"/>
    </row>
    <row r="4" spans="1:7" ht="22.5" customHeight="1" thickBot="1" x14ac:dyDescent="0.35">
      <c r="B4" s="300" t="s">
        <v>202</v>
      </c>
      <c r="C4" s="14"/>
      <c r="D4" s="14"/>
      <c r="E4" s="14"/>
      <c r="F4" s="844" t="s">
        <v>26</v>
      </c>
    </row>
    <row r="5" spans="1:7" ht="22.5" customHeight="1" x14ac:dyDescent="0.25">
      <c r="B5" s="845" t="s">
        <v>42</v>
      </c>
      <c r="C5" s="2721" t="s">
        <v>517</v>
      </c>
      <c r="D5" s="2722"/>
      <c r="E5" s="846" t="s">
        <v>685</v>
      </c>
      <c r="F5" s="847" t="s">
        <v>139</v>
      </c>
    </row>
    <row r="6" spans="1:7" ht="22.5" customHeight="1" thickBot="1" x14ac:dyDescent="0.3">
      <c r="B6" s="848"/>
      <c r="C6" s="849" t="s">
        <v>264</v>
      </c>
      <c r="D6" s="849" t="s">
        <v>137</v>
      </c>
      <c r="E6" s="759" t="s">
        <v>138</v>
      </c>
      <c r="F6" s="850" t="s">
        <v>140</v>
      </c>
    </row>
    <row r="7" spans="1:7" s="8" customFormat="1" ht="44.25" customHeight="1" x14ac:dyDescent="0.25">
      <c r="A7" s="30"/>
      <c r="B7" s="851" t="s">
        <v>673</v>
      </c>
      <c r="C7" s="852">
        <v>307391</v>
      </c>
      <c r="D7" s="852">
        <v>325247</v>
      </c>
      <c r="E7" s="852">
        <v>282715</v>
      </c>
      <c r="F7" s="853">
        <f t="shared" ref="F7:F10" si="0">+E7/D7*100</f>
        <v>86.92316916066865</v>
      </c>
      <c r="G7" s="1135"/>
    </row>
    <row r="8" spans="1:7" s="8" customFormat="1" ht="54" customHeight="1" x14ac:dyDescent="0.25">
      <c r="A8" s="30"/>
      <c r="B8" s="851" t="s">
        <v>734</v>
      </c>
      <c r="C8" s="852">
        <v>339579</v>
      </c>
      <c r="D8" s="852">
        <v>367795</v>
      </c>
      <c r="E8" s="854">
        <v>367795</v>
      </c>
      <c r="F8" s="853">
        <f t="shared" si="0"/>
        <v>100</v>
      </c>
      <c r="G8" s="1135"/>
    </row>
    <row r="9" spans="1:7" s="8" customFormat="1" ht="44.25" customHeight="1" thickBot="1" x14ac:dyDescent="0.3">
      <c r="A9" s="30"/>
      <c r="B9" s="855" t="s">
        <v>674</v>
      </c>
      <c r="C9" s="856"/>
      <c r="D9" s="856">
        <v>36880</v>
      </c>
      <c r="E9" s="856">
        <v>36880</v>
      </c>
      <c r="F9" s="853">
        <f t="shared" si="0"/>
        <v>100</v>
      </c>
      <c r="G9" s="1135"/>
    </row>
    <row r="10" spans="1:7" s="8" customFormat="1" ht="22.5" customHeight="1" thickBot="1" x14ac:dyDescent="0.3">
      <c r="A10" s="30"/>
      <c r="B10" s="771" t="s">
        <v>203</v>
      </c>
      <c r="C10" s="857">
        <f>SUM(C7:C9)</f>
        <v>646970</v>
      </c>
      <c r="D10" s="858">
        <f>SUM(D7:D9)</f>
        <v>729922</v>
      </c>
      <c r="E10" s="858">
        <f>SUM(E7:E9)</f>
        <v>687390</v>
      </c>
      <c r="F10" s="859">
        <f t="shared" si="0"/>
        <v>94.173076027301548</v>
      </c>
      <c r="G10" s="1135"/>
    </row>
    <row r="11" spans="1:7" ht="22.5" customHeight="1" x14ac:dyDescent="0.25">
      <c r="A11" s="148"/>
      <c r="B11" s="860" t="s">
        <v>63</v>
      </c>
      <c r="C11" s="861">
        <v>11770</v>
      </c>
      <c r="D11" s="861"/>
      <c r="E11" s="852"/>
      <c r="F11" s="852"/>
      <c r="G11" s="1135"/>
    </row>
    <row r="12" spans="1:7" s="10" customFormat="1" ht="22.5" customHeight="1" x14ac:dyDescent="0.25">
      <c r="A12" s="155"/>
      <c r="B12" s="862" t="s">
        <v>293</v>
      </c>
      <c r="C12" s="863">
        <v>1000</v>
      </c>
      <c r="D12" s="863">
        <v>1000</v>
      </c>
      <c r="E12" s="863">
        <v>100</v>
      </c>
      <c r="F12" s="864">
        <f t="shared" ref="F12:F24" si="1">+E12/D12*100</f>
        <v>10</v>
      </c>
      <c r="G12" s="1135"/>
    </row>
    <row r="13" spans="1:7" ht="22.5" customHeight="1" x14ac:dyDescent="0.25">
      <c r="B13" s="865" t="s">
        <v>77</v>
      </c>
      <c r="C13" s="866">
        <v>2000</v>
      </c>
      <c r="D13" s="866"/>
      <c r="E13" s="866"/>
      <c r="F13" s="864"/>
      <c r="G13" s="1135"/>
    </row>
    <row r="14" spans="1:7" ht="22.5" customHeight="1" x14ac:dyDescent="0.25">
      <c r="B14" s="867" t="s">
        <v>93</v>
      </c>
      <c r="C14" s="868">
        <v>1500</v>
      </c>
      <c r="D14" s="868"/>
      <c r="E14" s="868"/>
      <c r="F14" s="864"/>
      <c r="G14" s="1135"/>
    </row>
    <row r="15" spans="1:7" ht="22.5" customHeight="1" x14ac:dyDescent="0.25">
      <c r="B15" s="869" t="s">
        <v>470</v>
      </c>
      <c r="C15" s="868">
        <v>1500</v>
      </c>
      <c r="D15" s="868">
        <v>1503</v>
      </c>
      <c r="E15" s="868">
        <v>1018</v>
      </c>
      <c r="F15" s="864">
        <f t="shared" si="1"/>
        <v>67.73120425815037</v>
      </c>
      <c r="G15" s="1135"/>
    </row>
    <row r="16" spans="1:7" ht="22.5" customHeight="1" x14ac:dyDescent="0.25">
      <c r="B16" s="867" t="s">
        <v>217</v>
      </c>
      <c r="C16" s="868">
        <v>3000</v>
      </c>
      <c r="D16" s="868">
        <v>3000</v>
      </c>
      <c r="E16" s="868">
        <f>2612</f>
        <v>2612</v>
      </c>
      <c r="F16" s="864">
        <f t="shared" si="1"/>
        <v>87.066666666666663</v>
      </c>
      <c r="G16" s="1135"/>
    </row>
    <row r="17" spans="1:7" ht="22.5" customHeight="1" x14ac:dyDescent="0.25">
      <c r="B17" s="867" t="s">
        <v>79</v>
      </c>
      <c r="C17" s="868">
        <v>2000</v>
      </c>
      <c r="D17" s="868">
        <v>2000</v>
      </c>
      <c r="E17" s="868">
        <v>2000</v>
      </c>
      <c r="F17" s="864">
        <f t="shared" si="1"/>
        <v>100</v>
      </c>
      <c r="G17" s="1135"/>
    </row>
    <row r="18" spans="1:7" ht="22.5" customHeight="1" x14ac:dyDescent="0.25">
      <c r="B18" s="867" t="s">
        <v>94</v>
      </c>
      <c r="C18" s="868">
        <v>3000</v>
      </c>
      <c r="D18" s="491"/>
      <c r="E18" s="868"/>
      <c r="F18" s="864"/>
      <c r="G18" s="1135"/>
    </row>
    <row r="19" spans="1:7" ht="39.75" customHeight="1" x14ac:dyDescent="0.25">
      <c r="B19" s="870" t="s">
        <v>64</v>
      </c>
      <c r="C19" s="868">
        <v>2000</v>
      </c>
      <c r="D19" s="868">
        <v>2000</v>
      </c>
      <c r="E19" s="868">
        <v>2000</v>
      </c>
      <c r="F19" s="864">
        <f t="shared" si="1"/>
        <v>100</v>
      </c>
      <c r="G19" s="1135"/>
    </row>
    <row r="20" spans="1:7" ht="22.5" customHeight="1" x14ac:dyDescent="0.25">
      <c r="B20" s="871" t="s">
        <v>698</v>
      </c>
      <c r="C20" s="856">
        <v>34334</v>
      </c>
      <c r="D20" s="856">
        <v>75334</v>
      </c>
      <c r="E20" s="856">
        <v>73834</v>
      </c>
      <c r="F20" s="853">
        <f t="shared" si="1"/>
        <v>98.008867178166568</v>
      </c>
      <c r="G20" s="1135"/>
    </row>
    <row r="21" spans="1:7" ht="22.5" customHeight="1" x14ac:dyDescent="0.25">
      <c r="B21" s="867" t="s">
        <v>107</v>
      </c>
      <c r="C21" s="868">
        <v>3000</v>
      </c>
      <c r="D21" s="868">
        <v>3000</v>
      </c>
      <c r="E21" s="872">
        <v>3000</v>
      </c>
      <c r="F21" s="864">
        <f t="shared" si="1"/>
        <v>100</v>
      </c>
      <c r="G21" s="1135"/>
    </row>
    <row r="22" spans="1:7" ht="51" customHeight="1" x14ac:dyDescent="0.25">
      <c r="B22" s="873" t="s">
        <v>235</v>
      </c>
      <c r="C22" s="874">
        <v>160</v>
      </c>
      <c r="D22" s="874">
        <v>160</v>
      </c>
      <c r="E22" s="875">
        <v>160</v>
      </c>
      <c r="F22" s="864">
        <f t="shared" si="1"/>
        <v>100</v>
      </c>
      <c r="G22" s="1135"/>
    </row>
    <row r="23" spans="1:7" ht="22.5" customHeight="1" x14ac:dyDescent="0.25">
      <c r="B23" s="867" t="s">
        <v>294</v>
      </c>
      <c r="C23" s="868">
        <v>5000</v>
      </c>
      <c r="D23" s="868">
        <v>6639</v>
      </c>
      <c r="E23" s="872">
        <v>6124</v>
      </c>
      <c r="F23" s="864">
        <f t="shared" si="1"/>
        <v>92.242807651754774</v>
      </c>
      <c r="G23" s="1135"/>
    </row>
    <row r="24" spans="1:7" ht="22.5" customHeight="1" thickBot="1" x14ac:dyDescent="0.3">
      <c r="B24" s="876" t="s">
        <v>207</v>
      </c>
      <c r="C24" s="877">
        <f>SUM(C11:C23)</f>
        <v>70264</v>
      </c>
      <c r="D24" s="878">
        <f>SUM(D11:D23)</f>
        <v>94636</v>
      </c>
      <c r="E24" s="877">
        <f>SUM(E11:E23)</f>
        <v>90848</v>
      </c>
      <c r="F24" s="879">
        <f t="shared" si="1"/>
        <v>95.997294898347349</v>
      </c>
      <c r="G24" s="1135"/>
    </row>
    <row r="25" spans="1:7" s="8" customFormat="1" ht="22.5" customHeight="1" thickBot="1" x14ac:dyDescent="0.3">
      <c r="A25" s="30"/>
      <c r="B25" s="880" t="s">
        <v>731</v>
      </c>
      <c r="C25" s="881">
        <f>+C10+C24</f>
        <v>717234</v>
      </c>
      <c r="D25" s="882">
        <f>+D10+D24</f>
        <v>824558</v>
      </c>
      <c r="E25" s="881">
        <f>+E10+E24</f>
        <v>778238</v>
      </c>
      <c r="F25" s="859">
        <f>+E25/D25*100</f>
        <v>94.382444897751284</v>
      </c>
      <c r="G25" s="1135"/>
    </row>
    <row r="26" spans="1:7" ht="15" customHeight="1" x14ac:dyDescent="0.25">
      <c r="G26" s="1135"/>
    </row>
    <row r="27" spans="1:7" ht="23.25" customHeight="1" thickBot="1" x14ac:dyDescent="0.35">
      <c r="B27" s="57" t="s">
        <v>27</v>
      </c>
      <c r="C27" s="40"/>
      <c r="D27" s="40"/>
      <c r="E27" s="40"/>
      <c r="F27" s="13"/>
      <c r="G27" s="1135"/>
    </row>
    <row r="28" spans="1:7" ht="22.5" customHeight="1" x14ac:dyDescent="0.25">
      <c r="B28" s="883" t="s">
        <v>42</v>
      </c>
      <c r="C28" s="2721" t="s">
        <v>517</v>
      </c>
      <c r="D28" s="2718"/>
      <c r="E28" s="846" t="s">
        <v>685</v>
      </c>
      <c r="F28" s="847" t="s">
        <v>139</v>
      </c>
      <c r="G28" s="1135"/>
    </row>
    <row r="29" spans="1:7" ht="22.5" customHeight="1" thickBot="1" x14ac:dyDescent="0.3">
      <c r="B29" s="884"/>
      <c r="C29" s="849" t="s">
        <v>264</v>
      </c>
      <c r="D29" s="849" t="s">
        <v>137</v>
      </c>
      <c r="E29" s="759" t="s">
        <v>138</v>
      </c>
      <c r="F29" s="850" t="s">
        <v>140</v>
      </c>
      <c r="G29" s="1135"/>
    </row>
    <row r="30" spans="1:7" s="115" customFormat="1" ht="44.25" customHeight="1" x14ac:dyDescent="0.25">
      <c r="A30" s="117"/>
      <c r="B30" s="1163" t="s">
        <v>673</v>
      </c>
      <c r="C30" s="861">
        <v>12736</v>
      </c>
      <c r="D30" s="1164">
        <v>41699</v>
      </c>
      <c r="E30" s="861">
        <v>12593</v>
      </c>
      <c r="F30" s="1165">
        <f>+E30/D30*100</f>
        <v>30.199764982373679</v>
      </c>
      <c r="G30" s="1135"/>
    </row>
    <row r="31" spans="1:7" s="115" customFormat="1" ht="56.25" customHeight="1" x14ac:dyDescent="0.25">
      <c r="A31" s="117"/>
      <c r="B31" s="1160" t="s">
        <v>734</v>
      </c>
      <c r="C31" s="1161">
        <v>1990</v>
      </c>
      <c r="D31" s="1162">
        <v>10922</v>
      </c>
      <c r="E31" s="1162">
        <v>10922</v>
      </c>
      <c r="F31" s="885">
        <f t="shared" ref="F31:F33" si="2">+E31/D31*100</f>
        <v>100</v>
      </c>
      <c r="G31" s="1135"/>
    </row>
    <row r="32" spans="1:7" s="115" customFormat="1" ht="44.25" customHeight="1" thickBot="1" x14ac:dyDescent="0.3">
      <c r="A32" s="117"/>
      <c r="B32" s="855" t="s">
        <v>675</v>
      </c>
      <c r="C32" s="886"/>
      <c r="D32" s="887">
        <v>1332</v>
      </c>
      <c r="E32" s="887">
        <v>1332</v>
      </c>
      <c r="F32" s="888">
        <f t="shared" si="2"/>
        <v>100</v>
      </c>
      <c r="G32" s="1135"/>
    </row>
    <row r="33" spans="2:7" ht="22.5" customHeight="1" thickBot="1" x14ac:dyDescent="0.3">
      <c r="B33" s="771" t="s">
        <v>732</v>
      </c>
      <c r="C33" s="889">
        <f>SUM(C30:C32)</f>
        <v>14726</v>
      </c>
      <c r="D33" s="889">
        <f t="shared" ref="D33:E33" si="3">SUM(D30:D32)</f>
        <v>53953</v>
      </c>
      <c r="E33" s="889">
        <f t="shared" si="3"/>
        <v>24847</v>
      </c>
      <c r="F33" s="741">
        <f t="shared" si="2"/>
        <v>46.053046169814465</v>
      </c>
      <c r="G33" s="1135"/>
    </row>
    <row r="34" spans="2:7" ht="22.5" customHeight="1" thickBot="1" x14ac:dyDescent="0.3">
      <c r="B34" s="65"/>
      <c r="C34" s="59"/>
      <c r="D34" s="59"/>
      <c r="E34" s="66"/>
      <c r="F34" s="305"/>
      <c r="G34" s="1135"/>
    </row>
    <row r="35" spans="2:7" ht="22.5" customHeight="1" thickBot="1" x14ac:dyDescent="0.3">
      <c r="B35" s="60" t="s">
        <v>733</v>
      </c>
      <c r="C35" s="61">
        <f>+C25+C33</f>
        <v>731960</v>
      </c>
      <c r="D35" s="61">
        <f>+D25+D33</f>
        <v>878511</v>
      </c>
      <c r="E35" s="61">
        <f>+E25+E33</f>
        <v>803085</v>
      </c>
      <c r="F35" s="109">
        <f>+E35/D35*100</f>
        <v>91.414336303131094</v>
      </c>
      <c r="G35" s="1135"/>
    </row>
    <row r="36" spans="2:7" ht="15" customHeight="1" x14ac:dyDescent="0.25">
      <c r="G36" s="1135"/>
    </row>
    <row r="37" spans="2:7" ht="15" customHeight="1" x14ac:dyDescent="0.25">
      <c r="E37" s="4"/>
      <c r="G37" s="1135"/>
    </row>
    <row r="38" spans="2:7" ht="15" customHeight="1" x14ac:dyDescent="0.2">
      <c r="E38" s="4"/>
      <c r="F38" s="4"/>
    </row>
    <row r="39" spans="2:7" ht="15" customHeight="1" x14ac:dyDescent="0.2">
      <c r="E39" s="4"/>
    </row>
    <row r="41" spans="2:7" ht="15" customHeight="1" x14ac:dyDescent="0.2">
      <c r="E41" s="4"/>
    </row>
    <row r="47" spans="2:7" ht="15" customHeight="1" x14ac:dyDescent="0.2">
      <c r="B47" s="116"/>
    </row>
  </sheetData>
  <mergeCells count="4">
    <mergeCell ref="B1:C1"/>
    <mergeCell ref="C5:D5"/>
    <mergeCell ref="C28:D28"/>
    <mergeCell ref="B2:F2"/>
  </mergeCells>
  <phoneticPr fontId="0" type="noConversion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60" orientation="portrait" verticalDpi="300" r:id="rId1"/>
  <headerFooter alignWithMargins="0">
    <oddHeader xml:space="preserve">&amp;R&amp;"Arial,Félkövér"&amp;14 11. melléklet a ..../2020. (......) önkormányzati rendelethez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9"/>
  <dimension ref="A1:F49"/>
  <sheetViews>
    <sheetView zoomScale="75" zoomScaleNormal="75" workbookViewId="0">
      <selection activeCell="J20" sqref="J20"/>
    </sheetView>
  </sheetViews>
  <sheetFormatPr defaultColWidth="9.33203125" defaultRowHeight="15" customHeight="1" x14ac:dyDescent="0.2"/>
  <cols>
    <col min="1" max="1" width="12" style="29" customWidth="1"/>
    <col min="2" max="2" width="103.83203125" style="6" customWidth="1"/>
    <col min="3" max="3" width="22.33203125" style="6" customWidth="1"/>
    <col min="4" max="5" width="22.33203125" style="4" customWidth="1"/>
    <col min="6" max="6" width="22.33203125" style="6" customWidth="1"/>
    <col min="7" max="16384" width="9.33203125" style="6"/>
  </cols>
  <sheetData>
    <row r="1" spans="1:6" ht="15" customHeight="1" x14ac:dyDescent="0.25">
      <c r="B1" s="2713"/>
      <c r="C1" s="2713"/>
    </row>
    <row r="2" spans="1:6" ht="30.75" customHeight="1" x14ac:dyDescent="0.35">
      <c r="B2" s="2723" t="s">
        <v>819</v>
      </c>
      <c r="C2" s="2723"/>
      <c r="D2" s="2723"/>
      <c r="E2" s="2723"/>
      <c r="F2" s="2723"/>
    </row>
    <row r="3" spans="1:6" ht="30.75" customHeight="1" x14ac:dyDescent="0.35">
      <c r="B3" s="2457"/>
      <c r="C3" s="2457"/>
      <c r="D3" s="2457"/>
      <c r="E3" s="2457"/>
      <c r="F3" s="2457"/>
    </row>
    <row r="5" spans="1:6" ht="24" customHeight="1" thickBot="1" x14ac:dyDescent="0.35">
      <c r="B5" s="300" t="s">
        <v>202</v>
      </c>
      <c r="C5" s="14"/>
      <c r="D5" s="27"/>
      <c r="E5" s="27"/>
      <c r="F5" s="844" t="s">
        <v>26</v>
      </c>
    </row>
    <row r="6" spans="1:6" ht="24" customHeight="1" x14ac:dyDescent="0.25">
      <c r="B6" s="845" t="s">
        <v>76</v>
      </c>
      <c r="C6" s="2721" t="s">
        <v>517</v>
      </c>
      <c r="D6" s="2722"/>
      <c r="E6" s="846" t="s">
        <v>685</v>
      </c>
      <c r="F6" s="847" t="s">
        <v>139</v>
      </c>
    </row>
    <row r="7" spans="1:6" ht="24" customHeight="1" thickBot="1" x14ac:dyDescent="0.3">
      <c r="B7" s="890"/>
      <c r="C7" s="849" t="s">
        <v>264</v>
      </c>
      <c r="D7" s="891" t="s">
        <v>137</v>
      </c>
      <c r="E7" s="759" t="s">
        <v>138</v>
      </c>
      <c r="F7" s="850" t="s">
        <v>140</v>
      </c>
    </row>
    <row r="8" spans="1:6" ht="39.950000000000003" customHeight="1" x14ac:dyDescent="0.25">
      <c r="B8" s="860" t="s">
        <v>676</v>
      </c>
      <c r="C8" s="861">
        <v>733382</v>
      </c>
      <c r="D8" s="861">
        <v>757441</v>
      </c>
      <c r="E8" s="854">
        <v>733875</v>
      </c>
      <c r="F8" s="853">
        <f t="shared" ref="F8:F11" si="0">+E8/D8*100</f>
        <v>96.888734568104979</v>
      </c>
    </row>
    <row r="9" spans="1:6" ht="39.950000000000003" customHeight="1" x14ac:dyDescent="0.25">
      <c r="B9" s="892" t="s">
        <v>677</v>
      </c>
      <c r="C9" s="854">
        <v>53475</v>
      </c>
      <c r="D9" s="854">
        <v>60534</v>
      </c>
      <c r="E9" s="854">
        <v>60534</v>
      </c>
      <c r="F9" s="893">
        <f t="shared" si="0"/>
        <v>100</v>
      </c>
    </row>
    <row r="10" spans="1:6" ht="39.950000000000003" customHeight="1" thickBot="1" x14ac:dyDescent="0.3">
      <c r="B10" s="894" t="s">
        <v>678</v>
      </c>
      <c r="C10" s="856"/>
      <c r="D10" s="856">
        <v>803</v>
      </c>
      <c r="E10" s="856">
        <v>803</v>
      </c>
      <c r="F10" s="853">
        <f t="shared" si="0"/>
        <v>100</v>
      </c>
    </row>
    <row r="11" spans="1:6" ht="24" customHeight="1" thickBot="1" x14ac:dyDescent="0.3">
      <c r="B11" s="771" t="s">
        <v>208</v>
      </c>
      <c r="C11" s="857">
        <f>SUM(C8:C10)</f>
        <v>786857</v>
      </c>
      <c r="D11" s="858">
        <f>SUM(D8:D10)</f>
        <v>818778</v>
      </c>
      <c r="E11" s="858">
        <f>SUM(E8:E10)</f>
        <v>795212</v>
      </c>
      <c r="F11" s="859">
        <f t="shared" si="0"/>
        <v>97.121808353424242</v>
      </c>
    </row>
    <row r="12" spans="1:6" ht="24" customHeight="1" x14ac:dyDescent="0.25">
      <c r="B12" s="895" t="s">
        <v>23</v>
      </c>
      <c r="C12" s="854">
        <v>300</v>
      </c>
      <c r="D12" s="854">
        <v>300</v>
      </c>
      <c r="E12" s="854"/>
      <c r="F12" s="893">
        <f t="shared" ref="F12:F16" si="1">+E12/D12*100</f>
        <v>0</v>
      </c>
    </row>
    <row r="13" spans="1:6" s="10" customFormat="1" ht="24" customHeight="1" x14ac:dyDescent="0.25">
      <c r="A13" s="31"/>
      <c r="B13" s="867" t="s">
        <v>69</v>
      </c>
      <c r="C13" s="896">
        <v>255</v>
      </c>
      <c r="D13" s="896">
        <v>255</v>
      </c>
      <c r="E13" s="896">
        <v>235</v>
      </c>
      <c r="F13" s="897">
        <f t="shared" si="1"/>
        <v>92.156862745098039</v>
      </c>
    </row>
    <row r="14" spans="1:6" ht="56.25" customHeight="1" thickBot="1" x14ac:dyDescent="0.3">
      <c r="B14" s="898" t="s">
        <v>167</v>
      </c>
      <c r="C14" s="899">
        <v>3000</v>
      </c>
      <c r="D14" s="899">
        <v>3000</v>
      </c>
      <c r="E14" s="899">
        <v>3000</v>
      </c>
      <c r="F14" s="864">
        <f t="shared" si="1"/>
        <v>100</v>
      </c>
    </row>
    <row r="15" spans="1:6" ht="24.75" customHeight="1" thickBot="1" x14ac:dyDescent="0.3">
      <c r="B15" s="771" t="s">
        <v>204</v>
      </c>
      <c r="C15" s="857">
        <f>SUM(C12:C14)</f>
        <v>3555</v>
      </c>
      <c r="D15" s="858">
        <f>SUM(D12:D14)</f>
        <v>3555</v>
      </c>
      <c r="E15" s="857">
        <f>SUM(E12:E14)</f>
        <v>3235</v>
      </c>
      <c r="F15" s="859">
        <f t="shared" si="1"/>
        <v>90.998593530239106</v>
      </c>
    </row>
    <row r="16" spans="1:6" ht="26.25" customHeight="1" thickBot="1" x14ac:dyDescent="0.3">
      <c r="B16" s="2562" t="s">
        <v>735</v>
      </c>
      <c r="C16" s="881">
        <f>+C11+C15</f>
        <v>790412</v>
      </c>
      <c r="D16" s="882">
        <f>+D11+D15</f>
        <v>822333</v>
      </c>
      <c r="E16" s="881">
        <f>+E11+E15</f>
        <v>798447</v>
      </c>
      <c r="F16" s="859">
        <f t="shared" si="1"/>
        <v>97.095337290367766</v>
      </c>
    </row>
    <row r="17" spans="2:6" ht="20.100000000000001" customHeight="1" x14ac:dyDescent="0.25">
      <c r="B17" s="15"/>
      <c r="C17" s="2"/>
      <c r="D17" s="2"/>
      <c r="E17" s="2"/>
      <c r="F17" s="32"/>
    </row>
    <row r="18" spans="2:6" ht="24.75" customHeight="1" thickBot="1" x14ac:dyDescent="0.35">
      <c r="B18" s="300" t="s">
        <v>27</v>
      </c>
      <c r="C18" s="2"/>
      <c r="D18" s="2929"/>
      <c r="E18" s="2"/>
      <c r="F18" s="844" t="s">
        <v>26</v>
      </c>
    </row>
    <row r="19" spans="2:6" ht="24.75" customHeight="1" x14ac:dyDescent="0.25">
      <c r="B19" s="883" t="s">
        <v>42</v>
      </c>
      <c r="C19" s="2721" t="s">
        <v>517</v>
      </c>
      <c r="D19" s="2722"/>
      <c r="E19" s="900" t="s">
        <v>685</v>
      </c>
      <c r="F19" s="847" t="s">
        <v>139</v>
      </c>
    </row>
    <row r="20" spans="2:6" ht="24.75" customHeight="1" thickBot="1" x14ac:dyDescent="0.3">
      <c r="B20" s="884"/>
      <c r="C20" s="757" t="s">
        <v>264</v>
      </c>
      <c r="D20" s="891" t="s">
        <v>137</v>
      </c>
      <c r="E20" s="901" t="s">
        <v>138</v>
      </c>
      <c r="F20" s="850" t="s">
        <v>140</v>
      </c>
    </row>
    <row r="21" spans="2:6" ht="41.1" customHeight="1" x14ac:dyDescent="0.25">
      <c r="B21" s="1163" t="s">
        <v>676</v>
      </c>
      <c r="C21" s="1164">
        <v>22470</v>
      </c>
      <c r="D21" s="861">
        <v>42247</v>
      </c>
      <c r="E21" s="1166">
        <v>28789</v>
      </c>
      <c r="F21" s="1167">
        <f>+E21/D21*100</f>
        <v>68.14448363197387</v>
      </c>
    </row>
    <row r="22" spans="2:6" ht="23.25" customHeight="1" x14ac:dyDescent="0.25">
      <c r="B22" s="855" t="s">
        <v>677</v>
      </c>
      <c r="C22" s="903"/>
      <c r="D22" s="854">
        <v>489</v>
      </c>
      <c r="E22" s="904">
        <v>489</v>
      </c>
      <c r="F22" s="893">
        <f t="shared" ref="F22:F24" si="2">+E22/D22*100</f>
        <v>100</v>
      </c>
    </row>
    <row r="23" spans="2:6" ht="41.1" customHeight="1" thickBot="1" x14ac:dyDescent="0.3">
      <c r="B23" s="851" t="s">
        <v>678</v>
      </c>
      <c r="C23" s="905"/>
      <c r="D23" s="856"/>
      <c r="E23" s="902"/>
      <c r="F23" s="853"/>
    </row>
    <row r="24" spans="2:6" ht="25.5" customHeight="1" thickBot="1" x14ac:dyDescent="0.3">
      <c r="B24" s="771" t="s">
        <v>736</v>
      </c>
      <c r="C24" s="906">
        <f>SUM(C21:C23)</f>
        <v>22470</v>
      </c>
      <c r="D24" s="906">
        <f t="shared" ref="D24:E24" si="3">SUM(D21:D23)</f>
        <v>42736</v>
      </c>
      <c r="E24" s="906">
        <f t="shared" si="3"/>
        <v>29278</v>
      </c>
      <c r="F24" s="907">
        <f t="shared" si="2"/>
        <v>68.508985398727077</v>
      </c>
    </row>
    <row r="25" spans="2:6" ht="15" customHeight="1" thickBot="1" x14ac:dyDescent="0.3">
      <c r="B25" s="65"/>
      <c r="C25" s="59"/>
      <c r="D25" s="59"/>
      <c r="E25" s="66"/>
      <c r="F25" s="306"/>
    </row>
    <row r="26" spans="2:6" ht="31.5" customHeight="1" thickBot="1" x14ac:dyDescent="0.3">
      <c r="B26" s="60" t="s">
        <v>737</v>
      </c>
      <c r="C26" s="67">
        <f>C16+C24</f>
        <v>812882</v>
      </c>
      <c r="D26" s="61">
        <f>D16+D24</f>
        <v>865069</v>
      </c>
      <c r="E26" s="61">
        <f>E16+E24</f>
        <v>827725</v>
      </c>
      <c r="F26" s="109">
        <f>+E26/D26*100</f>
        <v>95.683118918837678</v>
      </c>
    </row>
    <row r="29" spans="2:6" ht="15" customHeight="1" x14ac:dyDescent="0.2">
      <c r="B29" s="13"/>
    </row>
    <row r="47" spans="1:2" ht="15" customHeight="1" x14ac:dyDescent="0.2">
      <c r="A47" s="122"/>
      <c r="B47" s="1"/>
    </row>
    <row r="48" spans="1:2" ht="15" customHeight="1" x14ac:dyDescent="0.2">
      <c r="A48" s="122"/>
      <c r="B48" s="123"/>
    </row>
    <row r="49" spans="1:2" ht="15" customHeight="1" x14ac:dyDescent="0.2">
      <c r="A49" s="122"/>
      <c r="B49" s="1"/>
    </row>
  </sheetData>
  <mergeCells count="4">
    <mergeCell ref="B1:C1"/>
    <mergeCell ref="C6:D6"/>
    <mergeCell ref="C19:D19"/>
    <mergeCell ref="B2:F2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horizontalDpi="300" verticalDpi="300" r:id="rId1"/>
  <headerFooter alignWithMargins="0">
    <oddHeader>&amp;R&amp;"Arial,Félkövér"&amp;14 12. melléklet a ..../2020. (......)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20"/>
  <dimension ref="A1:K122"/>
  <sheetViews>
    <sheetView zoomScale="60" zoomScaleNormal="60" zoomScaleSheetLayoutView="50" workbookViewId="0">
      <selection activeCell="J20" sqref="J20"/>
    </sheetView>
  </sheetViews>
  <sheetFormatPr defaultColWidth="9.33203125" defaultRowHeight="15" customHeight="1" x14ac:dyDescent="0.2"/>
  <cols>
    <col min="1" max="1" width="20.6640625" style="29" customWidth="1"/>
    <col min="2" max="2" width="150.83203125" style="6" customWidth="1"/>
    <col min="3" max="3" width="27.83203125" style="6" customWidth="1"/>
    <col min="4" max="4" width="30" style="4" customWidth="1"/>
    <col min="5" max="5" width="33.1640625" style="4" customWidth="1"/>
    <col min="6" max="6" width="22.83203125" style="6" customWidth="1"/>
    <col min="7" max="7" width="9.33203125" style="6"/>
    <col min="8" max="8" width="20" style="1134" customWidth="1"/>
    <col min="9" max="9" width="24" style="1134" customWidth="1"/>
    <col min="10" max="11" width="19.1640625" style="6" customWidth="1"/>
    <col min="12" max="16384" width="9.33203125" style="6"/>
  </cols>
  <sheetData>
    <row r="1" spans="1:11" ht="8.25" customHeight="1" x14ac:dyDescent="0.25">
      <c r="B1" s="2713"/>
      <c r="C1" s="2713"/>
    </row>
    <row r="2" spans="1:11" ht="33" customHeight="1" x14ac:dyDescent="0.4">
      <c r="B2" s="2728" t="s">
        <v>275</v>
      </c>
      <c r="C2" s="2728"/>
      <c r="D2" s="2728"/>
      <c r="E2" s="2728"/>
      <c r="F2" s="2728"/>
    </row>
    <row r="3" spans="1:11" ht="29.25" customHeight="1" thickBot="1" x14ac:dyDescent="0.35">
      <c r="B3" s="131"/>
      <c r="C3" s="132"/>
      <c r="D3" s="133"/>
      <c r="E3" s="133"/>
      <c r="F3" s="908" t="s">
        <v>26</v>
      </c>
    </row>
    <row r="4" spans="1:11" ht="31.5" customHeight="1" x14ac:dyDescent="0.3">
      <c r="A4" s="134"/>
      <c r="B4" s="307" t="s">
        <v>42</v>
      </c>
      <c r="C4" s="2724" t="s">
        <v>517</v>
      </c>
      <c r="D4" s="2725"/>
      <c r="E4" s="2015" t="s">
        <v>685</v>
      </c>
      <c r="F4" s="2013" t="s">
        <v>139</v>
      </c>
    </row>
    <row r="5" spans="1:11" ht="30" customHeight="1" thickBot="1" x14ac:dyDescent="0.35">
      <c r="A5" s="134"/>
      <c r="B5" s="308"/>
      <c r="C5" s="2017" t="s">
        <v>264</v>
      </c>
      <c r="D5" s="2018" t="s">
        <v>137</v>
      </c>
      <c r="E5" s="2016" t="s">
        <v>138</v>
      </c>
      <c r="F5" s="2014" t="s">
        <v>140</v>
      </c>
    </row>
    <row r="6" spans="1:11" ht="30" customHeight="1" x14ac:dyDescent="0.3">
      <c r="A6" s="134"/>
      <c r="B6" s="311" t="s">
        <v>89</v>
      </c>
      <c r="C6" s="312">
        <v>138920</v>
      </c>
      <c r="D6" s="312">
        <v>143365</v>
      </c>
      <c r="E6" s="312">
        <v>131014</v>
      </c>
      <c r="F6" s="313">
        <f t="shared" ref="F6:F9" si="0">+E6/D6*100</f>
        <v>91.384926585986818</v>
      </c>
    </row>
    <row r="7" spans="1:11" ht="30" customHeight="1" x14ac:dyDescent="0.3">
      <c r="A7" s="134"/>
      <c r="B7" s="314" t="s">
        <v>58</v>
      </c>
      <c r="C7" s="315">
        <v>1759185</v>
      </c>
      <c r="D7" s="315">
        <v>2084039</v>
      </c>
      <c r="E7" s="316">
        <v>1828633</v>
      </c>
      <c r="F7" s="317">
        <f t="shared" si="0"/>
        <v>87.74466312770538</v>
      </c>
    </row>
    <row r="8" spans="1:11" ht="30" customHeight="1" x14ac:dyDescent="0.3">
      <c r="A8" s="134"/>
      <c r="B8" s="318" t="s">
        <v>189</v>
      </c>
      <c r="C8" s="319">
        <v>198287</v>
      </c>
      <c r="D8" s="319">
        <v>202454</v>
      </c>
      <c r="E8" s="320">
        <v>197309</v>
      </c>
      <c r="F8" s="321">
        <f t="shared" si="0"/>
        <v>97.458681972201092</v>
      </c>
    </row>
    <row r="9" spans="1:11" ht="30" customHeight="1" thickBot="1" x14ac:dyDescent="0.35">
      <c r="A9" s="134"/>
      <c r="B9" s="1217" t="s">
        <v>810</v>
      </c>
      <c r="C9" s="322">
        <f>SUM(C6:C8)</f>
        <v>2096392</v>
      </c>
      <c r="D9" s="323">
        <f>SUM(D6:D8)</f>
        <v>2429858</v>
      </c>
      <c r="E9" s="323">
        <f>SUM(E6:E8)</f>
        <v>2156956</v>
      </c>
      <c r="F9" s="324">
        <f t="shared" si="0"/>
        <v>88.768808712278656</v>
      </c>
    </row>
    <row r="10" spans="1:11" ht="30" customHeight="1" x14ac:dyDescent="0.35">
      <c r="A10" s="134"/>
      <c r="B10" s="325" t="s">
        <v>270</v>
      </c>
      <c r="C10" s="326"/>
      <c r="D10" s="312"/>
      <c r="E10" s="312"/>
      <c r="F10" s="313"/>
    </row>
    <row r="11" spans="1:11" s="10" customFormat="1" ht="30" customHeight="1" x14ac:dyDescent="0.3">
      <c r="A11" s="135"/>
      <c r="B11" s="327" t="s">
        <v>14</v>
      </c>
      <c r="C11" s="328">
        <v>250000</v>
      </c>
      <c r="D11" s="328">
        <v>250000</v>
      </c>
      <c r="E11" s="329">
        <v>688599</v>
      </c>
      <c r="F11" s="330">
        <f>+E11/D11*100</f>
        <v>275.43959999999998</v>
      </c>
      <c r="H11" s="1134"/>
      <c r="I11" s="1134"/>
    </row>
    <row r="12" spans="1:11" s="10" customFormat="1" ht="35.25" customHeight="1" x14ac:dyDescent="0.3">
      <c r="A12" s="136"/>
      <c r="B12" s="331" t="s">
        <v>271</v>
      </c>
      <c r="C12" s="332">
        <v>700000</v>
      </c>
      <c r="D12" s="332">
        <v>700000</v>
      </c>
      <c r="E12" s="332">
        <v>729232</v>
      </c>
      <c r="F12" s="333">
        <f>+E12/D12*100</f>
        <v>104.176</v>
      </c>
      <c r="H12" s="1134"/>
      <c r="I12" s="1134"/>
    </row>
    <row r="13" spans="1:11" s="10" customFormat="1" ht="30" customHeight="1" x14ac:dyDescent="0.3">
      <c r="A13" s="136"/>
      <c r="B13" s="331" t="s">
        <v>741</v>
      </c>
      <c r="C13" s="332">
        <v>55000</v>
      </c>
      <c r="D13" s="332">
        <v>0</v>
      </c>
      <c r="E13" s="334"/>
      <c r="F13" s="333"/>
      <c r="H13" s="1134"/>
      <c r="I13" s="1134"/>
    </row>
    <row r="14" spans="1:11" ht="30" customHeight="1" x14ac:dyDescent="0.3">
      <c r="A14" s="134"/>
      <c r="B14" s="331" t="s">
        <v>233</v>
      </c>
      <c r="C14" s="332">
        <v>500</v>
      </c>
      <c r="D14" s="332">
        <f>49109-500</f>
        <v>48609</v>
      </c>
      <c r="E14" s="332">
        <v>48609</v>
      </c>
      <c r="F14" s="333">
        <f>+E14/D14*100</f>
        <v>100</v>
      </c>
      <c r="G14" s="10"/>
      <c r="J14" s="10"/>
      <c r="K14" s="10"/>
    </row>
    <row r="15" spans="1:11" ht="30" customHeight="1" x14ac:dyDescent="0.3">
      <c r="A15" s="134"/>
      <c r="B15" s="331" t="s">
        <v>689</v>
      </c>
      <c r="C15" s="332"/>
      <c r="D15" s="332">
        <v>26358</v>
      </c>
      <c r="E15" s="332">
        <v>26358</v>
      </c>
      <c r="F15" s="333">
        <f>+E15/D15*100</f>
        <v>100</v>
      </c>
      <c r="G15" s="10"/>
      <c r="J15" s="10"/>
      <c r="K15" s="10"/>
    </row>
    <row r="16" spans="1:11" ht="30" customHeight="1" x14ac:dyDescent="0.3">
      <c r="A16" s="134"/>
      <c r="B16" s="331" t="s">
        <v>218</v>
      </c>
      <c r="C16" s="332"/>
      <c r="D16" s="332">
        <v>117762</v>
      </c>
      <c r="E16" s="332">
        <v>117762</v>
      </c>
      <c r="F16" s="333">
        <f>+E16/D16*100</f>
        <v>100</v>
      </c>
    </row>
    <row r="17" spans="1:9" ht="30" customHeight="1" x14ac:dyDescent="0.3">
      <c r="A17" s="134"/>
      <c r="B17" s="331" t="s">
        <v>8</v>
      </c>
      <c r="C17" s="332">
        <v>444330</v>
      </c>
      <c r="D17" s="332">
        <v>444330</v>
      </c>
      <c r="E17" s="332">
        <v>441554</v>
      </c>
      <c r="F17" s="333">
        <f>+E17/D17*100</f>
        <v>99.37523912407444</v>
      </c>
    </row>
    <row r="18" spans="1:9" ht="30" customHeight="1" x14ac:dyDescent="0.3">
      <c r="A18" s="134"/>
      <c r="B18" s="338" t="s">
        <v>118</v>
      </c>
      <c r="C18" s="339">
        <f>SUM(C11:C17)</f>
        <v>1449830</v>
      </c>
      <c r="D18" s="2928">
        <f>SUM(D11:D17)</f>
        <v>1587059</v>
      </c>
      <c r="E18" s="340">
        <f>SUM(E11:E17)</f>
        <v>2052114</v>
      </c>
      <c r="F18" s="341">
        <f t="shared" ref="F18" si="1">+E18/D18*100</f>
        <v>129.30294336883506</v>
      </c>
    </row>
    <row r="19" spans="1:9" ht="30" customHeight="1" x14ac:dyDescent="0.35">
      <c r="A19" s="134"/>
      <c r="B19" s="342" t="s">
        <v>37</v>
      </c>
      <c r="C19" s="319"/>
      <c r="D19" s="319"/>
      <c r="E19" s="319"/>
      <c r="F19" s="1168"/>
    </row>
    <row r="20" spans="1:9" ht="30" customHeight="1" x14ac:dyDescent="0.3">
      <c r="A20" s="135"/>
      <c r="B20" s="331" t="s">
        <v>602</v>
      </c>
      <c r="C20" s="332"/>
      <c r="D20" s="332">
        <v>15059</v>
      </c>
      <c r="E20" s="1176">
        <v>15059</v>
      </c>
      <c r="F20" s="1177">
        <f t="shared" ref="F20:F32" si="2">+E20/D20*100</f>
        <v>100</v>
      </c>
    </row>
    <row r="21" spans="1:9" ht="30" customHeight="1" x14ac:dyDescent="0.3">
      <c r="A21" s="135"/>
      <c r="B21" s="337" t="s">
        <v>125</v>
      </c>
      <c r="C21" s="329">
        <v>48000</v>
      </c>
      <c r="D21" s="329">
        <f>49578+809</f>
        <v>50387</v>
      </c>
      <c r="E21" s="1178">
        <v>50257</v>
      </c>
      <c r="F21" s="1177">
        <f t="shared" si="2"/>
        <v>99.74199694365609</v>
      </c>
    </row>
    <row r="22" spans="1:9" ht="30" customHeight="1" x14ac:dyDescent="0.3">
      <c r="A22" s="134"/>
      <c r="B22" s="335" t="s">
        <v>329</v>
      </c>
      <c r="C22" s="336">
        <v>12000</v>
      </c>
      <c r="D22" s="336">
        <v>7580</v>
      </c>
      <c r="E22" s="1179">
        <v>7580</v>
      </c>
      <c r="F22" s="1180">
        <f t="shared" si="2"/>
        <v>100</v>
      </c>
    </row>
    <row r="23" spans="1:9" ht="30" customHeight="1" x14ac:dyDescent="0.3">
      <c r="A23" s="135"/>
      <c r="B23" s="337" t="s">
        <v>15</v>
      </c>
      <c r="C23" s="329">
        <v>12000</v>
      </c>
      <c r="D23" s="329">
        <v>13058</v>
      </c>
      <c r="E23" s="1178">
        <v>11518</v>
      </c>
      <c r="F23" s="1177">
        <f t="shared" si="2"/>
        <v>88.20646347066932</v>
      </c>
    </row>
    <row r="24" spans="1:9" ht="30" customHeight="1" x14ac:dyDescent="0.3">
      <c r="A24" s="134"/>
      <c r="B24" s="343" t="s">
        <v>175</v>
      </c>
      <c r="C24" s="336">
        <v>4000</v>
      </c>
      <c r="D24" s="336">
        <v>5695</v>
      </c>
      <c r="E24" s="1179">
        <v>4626</v>
      </c>
      <c r="F24" s="1181">
        <f t="shared" si="2"/>
        <v>81.229148375768219</v>
      </c>
    </row>
    <row r="25" spans="1:9" ht="30" customHeight="1" x14ac:dyDescent="0.3">
      <c r="A25" s="135"/>
      <c r="B25" s="343" t="s">
        <v>278</v>
      </c>
      <c r="C25" s="315">
        <v>3250</v>
      </c>
      <c r="D25" s="315">
        <v>3250</v>
      </c>
      <c r="E25" s="1179">
        <v>3103</v>
      </c>
      <c r="F25" s="1181">
        <f t="shared" si="2"/>
        <v>95.476923076923086</v>
      </c>
    </row>
    <row r="26" spans="1:9" s="10" customFormat="1" ht="30" customHeight="1" x14ac:dyDescent="0.3">
      <c r="A26" s="134"/>
      <c r="B26" s="343" t="s">
        <v>133</v>
      </c>
      <c r="C26" s="336">
        <v>4000</v>
      </c>
      <c r="D26" s="336">
        <v>9500</v>
      </c>
      <c r="E26" s="1179">
        <v>9304</v>
      </c>
      <c r="F26" s="1181">
        <f t="shared" si="2"/>
        <v>97.936842105263153</v>
      </c>
      <c r="H26" s="1134"/>
      <c r="I26" s="1134"/>
    </row>
    <row r="27" spans="1:9" ht="30" customHeight="1" x14ac:dyDescent="0.3">
      <c r="A27" s="135"/>
      <c r="B27" s="345" t="s">
        <v>315</v>
      </c>
      <c r="C27" s="328">
        <v>13040</v>
      </c>
      <c r="D27" s="328">
        <v>13040</v>
      </c>
      <c r="E27" s="1182">
        <v>13040</v>
      </c>
      <c r="F27" s="1177">
        <f t="shared" si="2"/>
        <v>100</v>
      </c>
    </row>
    <row r="28" spans="1:9" s="10" customFormat="1" ht="30" customHeight="1" x14ac:dyDescent="0.3">
      <c r="A28" s="134"/>
      <c r="B28" s="346" t="s">
        <v>486</v>
      </c>
      <c r="C28" s="347">
        <v>1000</v>
      </c>
      <c r="D28" s="347">
        <v>1000</v>
      </c>
      <c r="E28" s="1183">
        <v>1000</v>
      </c>
      <c r="F28" s="1181">
        <f t="shared" si="2"/>
        <v>100</v>
      </c>
      <c r="H28" s="1134"/>
      <c r="I28" s="1134"/>
    </row>
    <row r="29" spans="1:9" s="10" customFormat="1" ht="60" customHeight="1" x14ac:dyDescent="0.3">
      <c r="A29" s="134"/>
      <c r="B29" s="348" t="s">
        <v>487</v>
      </c>
      <c r="C29" s="347">
        <v>1370</v>
      </c>
      <c r="D29" s="347">
        <v>1370</v>
      </c>
      <c r="E29" s="1183">
        <v>1370</v>
      </c>
      <c r="F29" s="1184">
        <f t="shared" si="2"/>
        <v>100</v>
      </c>
      <c r="H29" s="1134"/>
      <c r="I29" s="1134"/>
    </row>
    <row r="30" spans="1:9" s="10" customFormat="1" ht="30" customHeight="1" x14ac:dyDescent="0.3">
      <c r="A30" s="134"/>
      <c r="B30" s="348" t="s">
        <v>143</v>
      </c>
      <c r="C30" s="315">
        <v>500</v>
      </c>
      <c r="D30" s="315">
        <v>1000</v>
      </c>
      <c r="E30" s="1179">
        <v>1000</v>
      </c>
      <c r="F30" s="1184">
        <f>+E30/D30*100</f>
        <v>100</v>
      </c>
      <c r="H30" s="1134"/>
      <c r="I30" s="1134"/>
    </row>
    <row r="31" spans="1:9" ht="30" customHeight="1" x14ac:dyDescent="0.3">
      <c r="A31" s="135"/>
      <c r="B31" s="349" t="s">
        <v>273</v>
      </c>
      <c r="C31" s="347">
        <v>3335</v>
      </c>
      <c r="D31" s="347">
        <v>3335</v>
      </c>
      <c r="E31" s="1183">
        <v>3152</v>
      </c>
      <c r="F31" s="1184">
        <f t="shared" si="2"/>
        <v>94.512743628185902</v>
      </c>
    </row>
    <row r="32" spans="1:9" ht="30" customHeight="1" x14ac:dyDescent="0.3">
      <c r="A32" s="134"/>
      <c r="B32" s="343" t="s">
        <v>272</v>
      </c>
      <c r="C32" s="336">
        <v>4400</v>
      </c>
      <c r="D32" s="336">
        <v>4400</v>
      </c>
      <c r="E32" s="1179">
        <v>3545</v>
      </c>
      <c r="F32" s="1184">
        <f t="shared" si="2"/>
        <v>80.568181818181813</v>
      </c>
    </row>
    <row r="33" spans="1:9" s="10" customFormat="1" ht="30" customHeight="1" x14ac:dyDescent="0.3">
      <c r="A33" s="135"/>
      <c r="B33" s="343" t="s">
        <v>259</v>
      </c>
      <c r="C33" s="336">
        <v>10000</v>
      </c>
      <c r="D33" s="336">
        <v>10000</v>
      </c>
      <c r="E33" s="1179">
        <v>10000</v>
      </c>
      <c r="F33" s="1184">
        <f>+E33/D33*100</f>
        <v>100</v>
      </c>
      <c r="H33" s="1134"/>
      <c r="I33" s="1134"/>
    </row>
    <row r="34" spans="1:9" s="10" customFormat="1" ht="30" customHeight="1" x14ac:dyDescent="0.3">
      <c r="A34" s="135"/>
      <c r="B34" s="343" t="s">
        <v>269</v>
      </c>
      <c r="C34" s="336">
        <v>0</v>
      </c>
      <c r="D34" s="336">
        <v>1050</v>
      </c>
      <c r="E34" s="1179">
        <v>1050</v>
      </c>
      <c r="F34" s="1184">
        <f>+E34/D34*100</f>
        <v>100</v>
      </c>
      <c r="H34" s="1134"/>
      <c r="I34" s="1134"/>
    </row>
    <row r="35" spans="1:9" s="10" customFormat="1" ht="30" customHeight="1" x14ac:dyDescent="0.3">
      <c r="A35" s="134"/>
      <c r="B35" s="348" t="s">
        <v>316</v>
      </c>
      <c r="C35" s="315">
        <v>2200</v>
      </c>
      <c r="D35" s="315">
        <v>2200</v>
      </c>
      <c r="E35" s="1179">
        <v>2200</v>
      </c>
      <c r="F35" s="1184">
        <f t="shared" ref="F35:F67" si="3">+E35/D35*100</f>
        <v>100</v>
      </c>
      <c r="H35" s="1134"/>
      <c r="I35" s="1134"/>
    </row>
    <row r="36" spans="1:9" s="10" customFormat="1" ht="30" customHeight="1" x14ac:dyDescent="0.3">
      <c r="A36" s="134"/>
      <c r="B36" s="348" t="s">
        <v>588</v>
      </c>
      <c r="C36" s="315"/>
      <c r="D36" s="315">
        <v>600</v>
      </c>
      <c r="E36" s="1146">
        <v>600</v>
      </c>
      <c r="F36" s="1184">
        <f t="shared" si="3"/>
        <v>100</v>
      </c>
      <c r="H36" s="1134"/>
      <c r="I36" s="1134"/>
    </row>
    <row r="37" spans="1:9" s="10" customFormat="1" ht="30" customHeight="1" x14ac:dyDescent="0.3">
      <c r="A37" s="134"/>
      <c r="B37" s="348" t="s">
        <v>589</v>
      </c>
      <c r="C37" s="315"/>
      <c r="D37" s="315">
        <v>1000</v>
      </c>
      <c r="E37" s="1146">
        <v>814</v>
      </c>
      <c r="F37" s="1184">
        <f t="shared" si="3"/>
        <v>81.399999999999991</v>
      </c>
      <c r="H37" s="1134"/>
      <c r="I37" s="1134"/>
    </row>
    <row r="38" spans="1:9" s="10" customFormat="1" ht="30" customHeight="1" x14ac:dyDescent="0.3">
      <c r="A38" s="134"/>
      <c r="B38" s="348" t="s">
        <v>590</v>
      </c>
      <c r="C38" s="315"/>
      <c r="D38" s="315">
        <v>500</v>
      </c>
      <c r="E38" s="1146">
        <v>500</v>
      </c>
      <c r="F38" s="1184">
        <f t="shared" si="3"/>
        <v>100</v>
      </c>
      <c r="H38" s="1134"/>
      <c r="I38" s="1134"/>
    </row>
    <row r="39" spans="1:9" s="10" customFormat="1" ht="30" customHeight="1" x14ac:dyDescent="0.3">
      <c r="A39" s="134"/>
      <c r="B39" s="348" t="s">
        <v>591</v>
      </c>
      <c r="C39" s="315"/>
      <c r="D39" s="315">
        <v>1987</v>
      </c>
      <c r="E39" s="1146">
        <v>1987</v>
      </c>
      <c r="F39" s="1184">
        <f t="shared" si="3"/>
        <v>100</v>
      </c>
      <c r="H39" s="1134"/>
      <c r="I39" s="1134"/>
    </row>
    <row r="40" spans="1:9" s="10" customFormat="1" ht="30" customHeight="1" x14ac:dyDescent="0.3">
      <c r="A40" s="134"/>
      <c r="B40" s="348" t="s">
        <v>592</v>
      </c>
      <c r="C40" s="315"/>
      <c r="D40" s="315">
        <v>600</v>
      </c>
      <c r="E40" s="1146">
        <v>600</v>
      </c>
      <c r="F40" s="1184">
        <f t="shared" si="3"/>
        <v>100</v>
      </c>
      <c r="H40" s="1134"/>
      <c r="I40" s="1134"/>
    </row>
    <row r="41" spans="1:9" s="10" customFormat="1" ht="30" customHeight="1" x14ac:dyDescent="0.3">
      <c r="A41" s="134"/>
      <c r="B41" s="348" t="s">
        <v>593</v>
      </c>
      <c r="C41" s="315"/>
      <c r="D41" s="315">
        <v>300</v>
      </c>
      <c r="E41" s="1146">
        <v>300</v>
      </c>
      <c r="F41" s="1184">
        <f t="shared" si="3"/>
        <v>100</v>
      </c>
      <c r="H41" s="1134"/>
      <c r="I41" s="1134"/>
    </row>
    <row r="42" spans="1:9" s="10" customFormat="1" ht="60" customHeight="1" x14ac:dyDescent="0.3">
      <c r="A42" s="134"/>
      <c r="B42" s="348" t="s">
        <v>594</v>
      </c>
      <c r="C42" s="315"/>
      <c r="D42" s="315">
        <v>211</v>
      </c>
      <c r="E42" s="1146">
        <v>211</v>
      </c>
      <c r="F42" s="1184">
        <f t="shared" si="3"/>
        <v>100</v>
      </c>
      <c r="H42" s="1134"/>
      <c r="I42" s="1134"/>
    </row>
    <row r="43" spans="1:9" s="10" customFormat="1" ht="60" customHeight="1" x14ac:dyDescent="0.3">
      <c r="A43" s="134"/>
      <c r="B43" s="348" t="s">
        <v>595</v>
      </c>
      <c r="C43" s="315"/>
      <c r="D43" s="315">
        <v>400</v>
      </c>
      <c r="E43" s="1146">
        <v>400</v>
      </c>
      <c r="F43" s="1184">
        <f t="shared" si="3"/>
        <v>100</v>
      </c>
      <c r="H43" s="1134"/>
      <c r="I43" s="1134"/>
    </row>
    <row r="44" spans="1:9" s="10" customFormat="1" ht="60" customHeight="1" x14ac:dyDescent="0.3">
      <c r="A44" s="134"/>
      <c r="B44" s="348" t="s">
        <v>612</v>
      </c>
      <c r="C44" s="315"/>
      <c r="D44" s="315">
        <v>550</v>
      </c>
      <c r="E44" s="1146"/>
      <c r="F44" s="1184">
        <f t="shared" si="3"/>
        <v>0</v>
      </c>
      <c r="H44" s="1134"/>
      <c r="I44" s="1134"/>
    </row>
    <row r="45" spans="1:9" s="10" customFormat="1" ht="30" customHeight="1" x14ac:dyDescent="0.3">
      <c r="A45" s="134"/>
      <c r="B45" s="348" t="s">
        <v>613</v>
      </c>
      <c r="C45" s="315"/>
      <c r="D45" s="315">
        <v>300</v>
      </c>
      <c r="E45" s="1146"/>
      <c r="F45" s="1184">
        <f t="shared" si="3"/>
        <v>0</v>
      </c>
      <c r="H45" s="1134"/>
      <c r="I45" s="1134"/>
    </row>
    <row r="46" spans="1:9" s="10" customFormat="1" ht="30" customHeight="1" x14ac:dyDescent="0.3">
      <c r="A46" s="134"/>
      <c r="B46" s="348" t="s">
        <v>614</v>
      </c>
      <c r="C46" s="315"/>
      <c r="D46" s="315">
        <v>300</v>
      </c>
      <c r="E46" s="1146"/>
      <c r="F46" s="1184">
        <f t="shared" si="3"/>
        <v>0</v>
      </c>
      <c r="H46" s="1134"/>
      <c r="I46" s="1134"/>
    </row>
    <row r="47" spans="1:9" s="10" customFormat="1" ht="52.5" customHeight="1" x14ac:dyDescent="0.3">
      <c r="A47" s="134"/>
      <c r="B47" s="348" t="s">
        <v>742</v>
      </c>
      <c r="C47" s="315">
        <v>251754</v>
      </c>
      <c r="D47" s="315">
        <v>239790</v>
      </c>
      <c r="E47" s="1146">
        <v>239790</v>
      </c>
      <c r="F47" s="1184">
        <f t="shared" si="3"/>
        <v>100</v>
      </c>
      <c r="H47" s="1134"/>
      <c r="I47" s="1134"/>
    </row>
    <row r="48" spans="1:9" s="10" customFormat="1" ht="52.5" customHeight="1" x14ac:dyDescent="0.3">
      <c r="A48" s="134"/>
      <c r="B48" s="348" t="s">
        <v>1483</v>
      </c>
      <c r="C48" s="315">
        <v>340000</v>
      </c>
      <c r="D48" s="315">
        <v>340000</v>
      </c>
      <c r="E48" s="1146">
        <v>340000</v>
      </c>
      <c r="F48" s="1184">
        <f t="shared" si="3"/>
        <v>100</v>
      </c>
      <c r="H48" s="1134"/>
      <c r="I48" s="1134"/>
    </row>
    <row r="49" spans="1:9" s="10" customFormat="1" ht="60" customHeight="1" x14ac:dyDescent="0.3">
      <c r="A49" s="134"/>
      <c r="B49" s="348" t="s">
        <v>9</v>
      </c>
      <c r="C49" s="315">
        <v>2300</v>
      </c>
      <c r="D49" s="315">
        <v>250</v>
      </c>
      <c r="E49" s="1146">
        <v>250</v>
      </c>
      <c r="F49" s="1184">
        <f t="shared" si="3"/>
        <v>100</v>
      </c>
      <c r="H49" s="1134"/>
      <c r="I49" s="1134"/>
    </row>
    <row r="50" spans="1:9" s="10" customFormat="1" ht="30" customHeight="1" x14ac:dyDescent="0.3">
      <c r="A50" s="135"/>
      <c r="B50" s="343" t="s">
        <v>618</v>
      </c>
      <c r="C50" s="351">
        <v>5200</v>
      </c>
      <c r="D50" s="351">
        <v>10200</v>
      </c>
      <c r="E50" s="1143">
        <v>10200</v>
      </c>
      <c r="F50" s="1184">
        <f t="shared" si="3"/>
        <v>100</v>
      </c>
      <c r="H50" s="1134"/>
      <c r="I50" s="1134"/>
    </row>
    <row r="51" spans="1:9" s="10" customFormat="1" ht="30" customHeight="1" x14ac:dyDescent="0.3">
      <c r="A51" s="135"/>
      <c r="B51" s="343" t="s">
        <v>767</v>
      </c>
      <c r="C51" s="336"/>
      <c r="D51" s="336">
        <v>200</v>
      </c>
      <c r="E51" s="1146"/>
      <c r="F51" s="2277">
        <f t="shared" si="3"/>
        <v>0</v>
      </c>
      <c r="H51" s="1134"/>
      <c r="I51" s="1134"/>
    </row>
    <row r="52" spans="1:9" s="10" customFormat="1" ht="30" customHeight="1" x14ac:dyDescent="0.3">
      <c r="A52" s="134"/>
      <c r="B52" s="431" t="s">
        <v>424</v>
      </c>
      <c r="C52" s="351"/>
      <c r="D52" s="351"/>
      <c r="E52" s="1143"/>
      <c r="F52" s="1184"/>
      <c r="H52" s="1134"/>
      <c r="I52" s="1134"/>
    </row>
    <row r="53" spans="1:9" s="10" customFormat="1" ht="30" customHeight="1" x14ac:dyDescent="0.3">
      <c r="A53" s="134"/>
      <c r="B53" s="432" t="s">
        <v>619</v>
      </c>
      <c r="C53" s="351">
        <v>20000</v>
      </c>
      <c r="D53" s="351">
        <v>20000</v>
      </c>
      <c r="E53" s="1143">
        <v>20000</v>
      </c>
      <c r="F53" s="1184">
        <f t="shared" si="3"/>
        <v>100</v>
      </c>
      <c r="H53" s="1134"/>
      <c r="I53" s="1134"/>
    </row>
    <row r="54" spans="1:9" s="10" customFormat="1" ht="30" customHeight="1" x14ac:dyDescent="0.3">
      <c r="A54" s="134"/>
      <c r="B54" s="433" t="s">
        <v>743</v>
      </c>
      <c r="C54" s="351">
        <v>20000</v>
      </c>
      <c r="D54" s="351">
        <v>22000</v>
      </c>
      <c r="E54" s="1143">
        <v>22000</v>
      </c>
      <c r="F54" s="1184">
        <f t="shared" si="3"/>
        <v>100</v>
      </c>
      <c r="H54" s="1134"/>
      <c r="I54" s="1134"/>
    </row>
    <row r="55" spans="1:9" s="10" customFormat="1" ht="30" customHeight="1" x14ac:dyDescent="0.3">
      <c r="A55" s="134"/>
      <c r="B55" s="433" t="s">
        <v>425</v>
      </c>
      <c r="C55" s="351">
        <v>15000</v>
      </c>
      <c r="D55" s="351">
        <v>15000</v>
      </c>
      <c r="E55" s="1143">
        <v>15000</v>
      </c>
      <c r="F55" s="1184">
        <f t="shared" si="3"/>
        <v>100</v>
      </c>
      <c r="H55" s="1134"/>
      <c r="I55" s="1134"/>
    </row>
    <row r="56" spans="1:9" s="10" customFormat="1" ht="30" customHeight="1" x14ac:dyDescent="0.3">
      <c r="A56" s="134"/>
      <c r="B56" s="433" t="s">
        <v>485</v>
      </c>
      <c r="C56" s="351">
        <v>15000</v>
      </c>
      <c r="D56" s="351">
        <v>15000</v>
      </c>
      <c r="E56" s="1143">
        <v>15000</v>
      </c>
      <c r="F56" s="1184">
        <f t="shared" si="3"/>
        <v>100</v>
      </c>
      <c r="H56" s="1134"/>
      <c r="I56" s="1134"/>
    </row>
    <row r="57" spans="1:9" s="10" customFormat="1" ht="30" customHeight="1" x14ac:dyDescent="0.3">
      <c r="A57" s="134"/>
      <c r="B57" s="433" t="s">
        <v>744</v>
      </c>
      <c r="C57" s="351"/>
      <c r="D57" s="351">
        <v>5000</v>
      </c>
      <c r="E57" s="1143"/>
      <c r="F57" s="1184">
        <f t="shared" si="3"/>
        <v>0</v>
      </c>
      <c r="H57" s="1134"/>
      <c r="I57" s="1134"/>
    </row>
    <row r="58" spans="1:9" s="10" customFormat="1" ht="30" customHeight="1" x14ac:dyDescent="0.3">
      <c r="A58" s="134"/>
      <c r="B58" s="433" t="s">
        <v>616</v>
      </c>
      <c r="C58" s="351">
        <v>105000</v>
      </c>
      <c r="D58" s="351">
        <v>105000</v>
      </c>
      <c r="E58" s="1143">
        <v>105000</v>
      </c>
      <c r="F58" s="1184">
        <f t="shared" si="3"/>
        <v>100</v>
      </c>
      <c r="H58" s="1134"/>
      <c r="I58" s="1134"/>
    </row>
    <row r="59" spans="1:9" s="10" customFormat="1" ht="30" customHeight="1" x14ac:dyDescent="0.3">
      <c r="A59" s="134"/>
      <c r="B59" s="433" t="s">
        <v>620</v>
      </c>
      <c r="C59" s="351">
        <v>25000</v>
      </c>
      <c r="D59" s="351">
        <v>25000</v>
      </c>
      <c r="E59" s="1143">
        <v>25000</v>
      </c>
      <c r="F59" s="1184">
        <f t="shared" si="3"/>
        <v>100</v>
      </c>
      <c r="H59" s="1134"/>
      <c r="I59" s="1134"/>
    </row>
    <row r="60" spans="1:9" s="10" customFormat="1" ht="30" customHeight="1" x14ac:dyDescent="0.3">
      <c r="A60" s="134"/>
      <c r="B60" s="433" t="s">
        <v>615</v>
      </c>
      <c r="C60" s="351"/>
      <c r="D60" s="351">
        <v>15000</v>
      </c>
      <c r="E60" s="1143">
        <v>15000</v>
      </c>
      <c r="F60" s="1184">
        <f t="shared" si="3"/>
        <v>100</v>
      </c>
      <c r="H60" s="1134"/>
      <c r="I60" s="1134"/>
    </row>
    <row r="61" spans="1:9" s="10" customFormat="1" ht="60" customHeight="1" x14ac:dyDescent="0.3">
      <c r="A61" s="134"/>
      <c r="B61" s="348" t="s">
        <v>426</v>
      </c>
      <c r="C61" s="315">
        <v>5000</v>
      </c>
      <c r="D61" s="315">
        <v>5000</v>
      </c>
      <c r="E61" s="1146">
        <v>5000</v>
      </c>
      <c r="F61" s="1184">
        <f t="shared" si="3"/>
        <v>100</v>
      </c>
      <c r="H61" s="1134"/>
      <c r="I61" s="1134"/>
    </row>
    <row r="62" spans="1:9" s="10" customFormat="1" ht="60" customHeight="1" x14ac:dyDescent="0.3">
      <c r="A62" s="134"/>
      <c r="B62" s="348" t="s">
        <v>427</v>
      </c>
      <c r="C62" s="315">
        <v>10000</v>
      </c>
      <c r="D62" s="315">
        <v>10000</v>
      </c>
      <c r="E62" s="1146">
        <v>10000</v>
      </c>
      <c r="F62" s="1184">
        <f t="shared" si="3"/>
        <v>100</v>
      </c>
      <c r="H62" s="1134"/>
      <c r="I62" s="1134"/>
    </row>
    <row r="63" spans="1:9" s="10" customFormat="1" ht="30" customHeight="1" x14ac:dyDescent="0.3">
      <c r="A63" s="134"/>
      <c r="B63" s="433" t="s">
        <v>428</v>
      </c>
      <c r="C63" s="351">
        <v>48000</v>
      </c>
      <c r="D63" s="351">
        <v>4573</v>
      </c>
      <c r="E63" s="1143"/>
      <c r="F63" s="1181">
        <f t="shared" si="3"/>
        <v>0</v>
      </c>
      <c r="H63" s="1134"/>
      <c r="I63" s="1134"/>
    </row>
    <row r="64" spans="1:9" s="10" customFormat="1" ht="60" customHeight="1" x14ac:dyDescent="0.3">
      <c r="A64" s="134"/>
      <c r="B64" s="348" t="s">
        <v>471</v>
      </c>
      <c r="C64" s="315">
        <v>7000</v>
      </c>
      <c r="D64" s="315">
        <v>7000</v>
      </c>
      <c r="E64" s="1146"/>
      <c r="F64" s="1181">
        <f t="shared" si="3"/>
        <v>0</v>
      </c>
      <c r="H64" s="1134"/>
      <c r="I64" s="1134"/>
    </row>
    <row r="65" spans="1:9" s="10" customFormat="1" ht="60" customHeight="1" x14ac:dyDescent="0.3">
      <c r="A65" s="134"/>
      <c r="B65" s="348" t="s">
        <v>442</v>
      </c>
      <c r="C65" s="315"/>
      <c r="D65" s="315">
        <v>12192</v>
      </c>
      <c r="E65" s="1146">
        <v>12192</v>
      </c>
      <c r="F65" s="1185">
        <f t="shared" si="3"/>
        <v>100</v>
      </c>
      <c r="H65" s="1134"/>
      <c r="I65" s="1134"/>
    </row>
    <row r="66" spans="1:9" s="10" customFormat="1" ht="57" customHeight="1" x14ac:dyDescent="0.3">
      <c r="A66" s="136"/>
      <c r="B66" s="348" t="s">
        <v>699</v>
      </c>
      <c r="C66" s="336">
        <v>186700</v>
      </c>
      <c r="D66" s="336">
        <v>216385</v>
      </c>
      <c r="E66" s="1179">
        <f>29775+70185+64265+42596-1</f>
        <v>206820</v>
      </c>
      <c r="F66" s="1186">
        <f>+E66/D66*100</f>
        <v>95.579638144973075</v>
      </c>
      <c r="H66" s="1134"/>
      <c r="I66" s="1134"/>
    </row>
    <row r="67" spans="1:9" s="10" customFormat="1" ht="30" customHeight="1" x14ac:dyDescent="0.3">
      <c r="A67" s="134"/>
      <c r="B67" s="433" t="s">
        <v>429</v>
      </c>
      <c r="C67" s="351">
        <v>819255</v>
      </c>
      <c r="D67" s="351">
        <v>819255</v>
      </c>
      <c r="E67" s="1146">
        <v>819255</v>
      </c>
      <c r="F67" s="1185">
        <f t="shared" si="3"/>
        <v>100</v>
      </c>
      <c r="H67" s="1134"/>
      <c r="I67" s="1134"/>
    </row>
    <row r="68" spans="1:9" s="10" customFormat="1" ht="30" customHeight="1" x14ac:dyDescent="0.3">
      <c r="A68" s="136"/>
      <c r="B68" s="352" t="s">
        <v>38</v>
      </c>
      <c r="C68" s="336"/>
      <c r="D68" s="336"/>
      <c r="E68" s="1187"/>
      <c r="F68" s="1181"/>
      <c r="H68" s="1134"/>
      <c r="I68" s="1134"/>
    </row>
    <row r="69" spans="1:9" ht="35.25" customHeight="1" x14ac:dyDescent="0.3">
      <c r="A69" s="134"/>
      <c r="B69" s="331" t="s">
        <v>132</v>
      </c>
      <c r="C69" s="332">
        <v>1905</v>
      </c>
      <c r="D69" s="332">
        <v>3810</v>
      </c>
      <c r="E69" s="1176">
        <f>1905-1</f>
        <v>1904</v>
      </c>
      <c r="F69" s="1188">
        <f t="shared" ref="F69:F80" si="4">+E69/D69*100</f>
        <v>49.973753280839894</v>
      </c>
    </row>
    <row r="70" spans="1:9" ht="30" customHeight="1" x14ac:dyDescent="0.3">
      <c r="A70" s="134"/>
      <c r="B70" s="343" t="s">
        <v>236</v>
      </c>
      <c r="C70" s="336">
        <v>25884</v>
      </c>
      <c r="D70" s="336">
        <v>31180</v>
      </c>
      <c r="E70" s="1179">
        <v>27781</v>
      </c>
      <c r="F70" s="1181">
        <f t="shared" si="4"/>
        <v>89.098781270044896</v>
      </c>
    </row>
    <row r="71" spans="1:9" s="10" customFormat="1" ht="60" customHeight="1" x14ac:dyDescent="0.3">
      <c r="A71" s="134"/>
      <c r="B71" s="348" t="s">
        <v>332</v>
      </c>
      <c r="C71" s="315">
        <v>10000</v>
      </c>
      <c r="D71" s="315">
        <v>11542</v>
      </c>
      <c r="E71" s="1146">
        <v>8025</v>
      </c>
      <c r="F71" s="1181">
        <f t="shared" si="4"/>
        <v>69.528677872119218</v>
      </c>
      <c r="H71" s="1134"/>
      <c r="I71" s="1134"/>
    </row>
    <row r="72" spans="1:9" s="10" customFormat="1" ht="30" customHeight="1" x14ac:dyDescent="0.3">
      <c r="A72" s="134"/>
      <c r="B72" s="343" t="s">
        <v>112</v>
      </c>
      <c r="C72" s="336">
        <v>73191</v>
      </c>
      <c r="D72" s="336">
        <v>73191</v>
      </c>
      <c r="E72" s="1146">
        <v>73049</v>
      </c>
      <c r="F72" s="1181">
        <f t="shared" si="4"/>
        <v>99.805987074913588</v>
      </c>
      <c r="H72" s="1134"/>
      <c r="I72" s="1134"/>
    </row>
    <row r="73" spans="1:9" s="10" customFormat="1" ht="30" customHeight="1" x14ac:dyDescent="0.3">
      <c r="A73" s="134"/>
      <c r="B73" s="343" t="s">
        <v>113</v>
      </c>
      <c r="C73" s="336">
        <v>41840</v>
      </c>
      <c r="D73" s="336">
        <v>41840</v>
      </c>
      <c r="E73" s="1146">
        <v>41758</v>
      </c>
      <c r="F73" s="1181">
        <f t="shared" si="4"/>
        <v>99.804015296367112</v>
      </c>
      <c r="H73" s="1134"/>
      <c r="I73" s="1134"/>
    </row>
    <row r="74" spans="1:9" s="10" customFormat="1" ht="30" customHeight="1" x14ac:dyDescent="0.3">
      <c r="A74" s="134"/>
      <c r="B74" s="343" t="s">
        <v>533</v>
      </c>
      <c r="C74" s="351">
        <v>500000</v>
      </c>
      <c r="D74" s="351">
        <v>500000</v>
      </c>
      <c r="E74" s="1143">
        <v>500000</v>
      </c>
      <c r="F74" s="1181">
        <f t="shared" si="4"/>
        <v>100</v>
      </c>
      <c r="H74" s="1134"/>
      <c r="I74" s="1134"/>
    </row>
    <row r="75" spans="1:9" s="10" customFormat="1" ht="30" customHeight="1" x14ac:dyDescent="0.3">
      <c r="A75" s="134"/>
      <c r="B75" s="350" t="s">
        <v>126</v>
      </c>
      <c r="C75" s="351">
        <v>5000</v>
      </c>
      <c r="D75" s="351">
        <v>7100</v>
      </c>
      <c r="E75" s="1143">
        <v>772</v>
      </c>
      <c r="F75" s="1181">
        <f t="shared" si="4"/>
        <v>10.873239436619718</v>
      </c>
      <c r="H75" s="1134"/>
      <c r="I75" s="1134"/>
    </row>
    <row r="76" spans="1:9" s="10" customFormat="1" ht="30" customHeight="1" x14ac:dyDescent="0.3">
      <c r="A76" s="134"/>
      <c r="B76" s="350" t="s">
        <v>366</v>
      </c>
      <c r="C76" s="351">
        <v>100000</v>
      </c>
      <c r="D76" s="351">
        <v>100000</v>
      </c>
      <c r="E76" s="1143">
        <v>100000</v>
      </c>
      <c r="F76" s="1181">
        <f t="shared" si="4"/>
        <v>100</v>
      </c>
      <c r="H76" s="1134"/>
      <c r="I76" s="1134"/>
    </row>
    <row r="77" spans="1:9" s="10" customFormat="1" ht="60" customHeight="1" x14ac:dyDescent="0.3">
      <c r="A77" s="134"/>
      <c r="B77" s="348" t="s">
        <v>532</v>
      </c>
      <c r="C77" s="315">
        <v>60000</v>
      </c>
      <c r="D77" s="315">
        <v>60000</v>
      </c>
      <c r="E77" s="1143">
        <v>60000</v>
      </c>
      <c r="F77" s="1181">
        <f t="shared" si="4"/>
        <v>100</v>
      </c>
      <c r="H77" s="1134"/>
      <c r="I77" s="1134"/>
    </row>
    <row r="78" spans="1:9" s="10" customFormat="1" ht="60" customHeight="1" x14ac:dyDescent="0.3">
      <c r="A78" s="134"/>
      <c r="B78" s="348" t="s">
        <v>621</v>
      </c>
      <c r="C78" s="315">
        <v>12000</v>
      </c>
      <c r="D78" s="315">
        <v>12000</v>
      </c>
      <c r="E78" s="1146">
        <v>10455</v>
      </c>
      <c r="F78" s="1181">
        <f t="shared" si="4"/>
        <v>87.125</v>
      </c>
      <c r="H78" s="1134"/>
      <c r="I78" s="1134"/>
    </row>
    <row r="79" spans="1:9" s="10" customFormat="1" ht="30" customHeight="1" x14ac:dyDescent="0.3">
      <c r="A79" s="135"/>
      <c r="B79" s="352" t="s">
        <v>28</v>
      </c>
      <c r="C79" s="336"/>
      <c r="D79" s="336"/>
      <c r="E79" s="1146"/>
      <c r="F79" s="1185"/>
      <c r="H79" s="1134"/>
      <c r="I79" s="1134"/>
    </row>
    <row r="80" spans="1:9" s="10" customFormat="1" ht="60" customHeight="1" x14ac:dyDescent="0.3">
      <c r="A80" s="134"/>
      <c r="B80" s="348" t="s">
        <v>176</v>
      </c>
      <c r="C80" s="315">
        <v>4500</v>
      </c>
      <c r="D80" s="315">
        <v>4500</v>
      </c>
      <c r="E80" s="1143">
        <v>3445</v>
      </c>
      <c r="F80" s="1181">
        <f t="shared" si="4"/>
        <v>76.555555555555557</v>
      </c>
      <c r="H80" s="1134"/>
      <c r="I80" s="1134"/>
    </row>
    <row r="81" spans="1:9" s="10" customFormat="1" ht="30" customHeight="1" x14ac:dyDescent="0.3">
      <c r="A81" s="134"/>
      <c r="B81" s="353" t="s">
        <v>317</v>
      </c>
      <c r="C81" s="351">
        <v>29000</v>
      </c>
      <c r="D81" s="351">
        <v>30976</v>
      </c>
      <c r="E81" s="1143">
        <v>23713</v>
      </c>
      <c r="F81" s="1181">
        <f t="shared" ref="F81:F84" si="5">+E81/D81*100</f>
        <v>76.552815082644628</v>
      </c>
      <c r="H81" s="1134"/>
      <c r="I81" s="1134"/>
    </row>
    <row r="82" spans="1:9" s="10" customFormat="1" ht="30" customHeight="1" x14ac:dyDescent="0.3">
      <c r="A82" s="136"/>
      <c r="B82" s="354" t="s">
        <v>190</v>
      </c>
      <c r="C82" s="355">
        <v>3500</v>
      </c>
      <c r="D82" s="355">
        <v>4093</v>
      </c>
      <c r="E82" s="1143">
        <v>4093</v>
      </c>
      <c r="F82" s="1181">
        <f t="shared" si="5"/>
        <v>100</v>
      </c>
      <c r="H82" s="1134"/>
      <c r="I82" s="1134"/>
    </row>
    <row r="83" spans="1:9" s="10" customFormat="1" ht="30" customHeight="1" x14ac:dyDescent="0.3">
      <c r="A83" s="614"/>
      <c r="B83" s="354" t="s">
        <v>534</v>
      </c>
      <c r="C83" s="315">
        <v>19000</v>
      </c>
      <c r="D83" s="315">
        <v>22338</v>
      </c>
      <c r="E83" s="1146">
        <v>20185</v>
      </c>
      <c r="F83" s="1181">
        <f t="shared" si="5"/>
        <v>90.361715462440685</v>
      </c>
      <c r="H83" s="1134"/>
      <c r="I83" s="1134"/>
    </row>
    <row r="84" spans="1:9" s="10" customFormat="1" ht="30" customHeight="1" x14ac:dyDescent="0.3">
      <c r="A84" s="136"/>
      <c r="B84" s="354" t="s">
        <v>127</v>
      </c>
      <c r="C84" s="315">
        <v>600</v>
      </c>
      <c r="D84" s="315">
        <v>600</v>
      </c>
      <c r="E84" s="1143">
        <v>600</v>
      </c>
      <c r="F84" s="1181">
        <f t="shared" si="5"/>
        <v>100</v>
      </c>
      <c r="H84" s="1134"/>
      <c r="I84" s="1134"/>
    </row>
    <row r="85" spans="1:9" s="10" customFormat="1" ht="30" customHeight="1" x14ac:dyDescent="0.3">
      <c r="A85" s="134"/>
      <c r="B85" s="343" t="s">
        <v>191</v>
      </c>
      <c r="C85" s="336">
        <v>7800</v>
      </c>
      <c r="D85" s="336">
        <v>9515</v>
      </c>
      <c r="E85" s="1146">
        <v>6858</v>
      </c>
      <c r="F85" s="1185">
        <f t="shared" ref="F85:F88" si="6">+E85/D85*100</f>
        <v>72.075669994745141</v>
      </c>
      <c r="H85" s="1134"/>
      <c r="I85" s="1134"/>
    </row>
    <row r="86" spans="1:9" s="10" customFormat="1" ht="60" customHeight="1" x14ac:dyDescent="0.3">
      <c r="A86" s="134"/>
      <c r="B86" s="348" t="s">
        <v>596</v>
      </c>
      <c r="C86" s="315"/>
      <c r="D86" s="315">
        <v>2700</v>
      </c>
      <c r="E86" s="1146">
        <v>2667</v>
      </c>
      <c r="F86" s="1181">
        <f t="shared" si="6"/>
        <v>98.777777777777771</v>
      </c>
      <c r="H86" s="1134"/>
      <c r="I86" s="1134"/>
    </row>
    <row r="87" spans="1:9" s="10" customFormat="1" ht="30" customHeight="1" x14ac:dyDescent="0.3">
      <c r="A87" s="134"/>
      <c r="B87" s="343" t="s">
        <v>443</v>
      </c>
      <c r="C87" s="336"/>
      <c r="D87" s="336">
        <v>508</v>
      </c>
      <c r="E87" s="1143">
        <v>508</v>
      </c>
      <c r="F87" s="1185">
        <f t="shared" si="6"/>
        <v>100</v>
      </c>
      <c r="H87" s="1134"/>
      <c r="I87" s="1134"/>
    </row>
    <row r="88" spans="1:9" s="10" customFormat="1" ht="30" customHeight="1" x14ac:dyDescent="0.3">
      <c r="A88" s="134"/>
      <c r="B88" s="343" t="s">
        <v>472</v>
      </c>
      <c r="C88" s="336"/>
      <c r="D88" s="336">
        <v>7625</v>
      </c>
      <c r="E88" s="1146">
        <v>7623</v>
      </c>
      <c r="F88" s="1185">
        <f t="shared" si="6"/>
        <v>99.973770491803279</v>
      </c>
      <c r="H88" s="1134"/>
      <c r="I88" s="1134"/>
    </row>
    <row r="89" spans="1:9" s="10" customFormat="1" ht="30" customHeight="1" x14ac:dyDescent="0.3">
      <c r="A89" s="135"/>
      <c r="B89" s="356" t="s">
        <v>39</v>
      </c>
      <c r="C89" s="357"/>
      <c r="D89" s="357"/>
      <c r="E89" s="1189"/>
      <c r="F89" s="1181"/>
      <c r="H89" s="1134"/>
      <c r="I89" s="1134"/>
    </row>
    <row r="90" spans="1:9" s="10" customFormat="1" ht="30" customHeight="1" x14ac:dyDescent="0.3">
      <c r="A90" s="134"/>
      <c r="B90" s="348" t="s">
        <v>174</v>
      </c>
      <c r="C90" s="315">
        <v>35000</v>
      </c>
      <c r="D90" s="315">
        <v>64707</v>
      </c>
      <c r="E90" s="1146">
        <v>43383</v>
      </c>
      <c r="F90" s="1184">
        <f>+E90/D90*100</f>
        <v>67.045296490333357</v>
      </c>
      <c r="H90" s="1134"/>
      <c r="I90" s="1134"/>
    </row>
    <row r="91" spans="1:9" s="10" customFormat="1" ht="30" customHeight="1" x14ac:dyDescent="0.3">
      <c r="A91" s="134"/>
      <c r="B91" s="348" t="s">
        <v>565</v>
      </c>
      <c r="C91" s="315">
        <v>1500</v>
      </c>
      <c r="D91" s="315">
        <v>1500</v>
      </c>
      <c r="E91" s="1146"/>
      <c r="F91" s="1184">
        <f>+E91/D91*100</f>
        <v>0</v>
      </c>
      <c r="H91" s="1134"/>
      <c r="I91" s="1134"/>
    </row>
    <row r="92" spans="1:9" s="10" customFormat="1" ht="30" customHeight="1" x14ac:dyDescent="0.3">
      <c r="A92" s="134"/>
      <c r="B92" s="348" t="s">
        <v>700</v>
      </c>
      <c r="C92" s="315"/>
      <c r="D92" s="315">
        <v>5754</v>
      </c>
      <c r="E92" s="1146">
        <v>5500</v>
      </c>
      <c r="F92" s="1184">
        <f>+E92/D92*100</f>
        <v>95.585679527285379</v>
      </c>
      <c r="H92" s="1134"/>
      <c r="I92" s="1134"/>
    </row>
    <row r="93" spans="1:9" s="10" customFormat="1" ht="30" customHeight="1" x14ac:dyDescent="0.3">
      <c r="A93" s="134"/>
      <c r="B93" s="352" t="s">
        <v>40</v>
      </c>
      <c r="C93" s="357"/>
      <c r="D93" s="357"/>
      <c r="E93" s="1189"/>
      <c r="F93" s="1190"/>
      <c r="H93" s="1134"/>
      <c r="I93" s="1134"/>
    </row>
    <row r="94" spans="1:9" ht="30" customHeight="1" x14ac:dyDescent="0.3">
      <c r="A94" s="134"/>
      <c r="B94" s="331" t="s">
        <v>361</v>
      </c>
      <c r="C94" s="332">
        <v>8604</v>
      </c>
      <c r="D94" s="332">
        <v>13557</v>
      </c>
      <c r="E94" s="1176"/>
      <c r="F94" s="1188">
        <f>+E94/D94*100</f>
        <v>0</v>
      </c>
    </row>
    <row r="95" spans="1:9" ht="30" customHeight="1" x14ac:dyDescent="0.3">
      <c r="A95" s="134"/>
      <c r="B95" s="331" t="s">
        <v>430</v>
      </c>
      <c r="C95" s="332">
        <v>5000</v>
      </c>
      <c r="D95" s="332">
        <v>22964</v>
      </c>
      <c r="E95" s="1176">
        <v>5988</v>
      </c>
      <c r="F95" s="1188">
        <f>+E95/D95*100</f>
        <v>26.075596585960636</v>
      </c>
    </row>
    <row r="96" spans="1:9" s="10" customFormat="1" ht="30" customHeight="1" x14ac:dyDescent="0.3">
      <c r="A96" s="135"/>
      <c r="B96" s="616" t="s">
        <v>554</v>
      </c>
      <c r="C96" s="358"/>
      <c r="D96" s="358">
        <v>24000</v>
      </c>
      <c r="E96" s="1189">
        <v>17352</v>
      </c>
      <c r="F96" s="1180">
        <f>+E96/D96*100</f>
        <v>72.3</v>
      </c>
      <c r="H96" s="1134"/>
      <c r="I96" s="1134"/>
    </row>
    <row r="97" spans="1:11" ht="30" customHeight="1" thickBot="1" x14ac:dyDescent="0.35">
      <c r="A97" s="134"/>
      <c r="B97" s="359" t="s">
        <v>274</v>
      </c>
      <c r="C97" s="360">
        <f>SUM(C20:C96)</f>
        <v>2938628</v>
      </c>
      <c r="D97" s="360">
        <f>SUM(D20:D96)</f>
        <v>3091517</v>
      </c>
      <c r="E97" s="1191">
        <f>SUM(E20:E96)</f>
        <v>2969382</v>
      </c>
      <c r="F97" s="1192">
        <f>+E97/D97*100</f>
        <v>96.049350529206208</v>
      </c>
    </row>
    <row r="98" spans="1:11" ht="30" customHeight="1" x14ac:dyDescent="0.35">
      <c r="A98" s="134"/>
      <c r="B98" s="361" t="s">
        <v>144</v>
      </c>
      <c r="C98" s="326"/>
      <c r="D98" s="362"/>
      <c r="E98" s="1193"/>
      <c r="F98" s="1194"/>
    </row>
    <row r="99" spans="1:11" ht="30" customHeight="1" x14ac:dyDescent="0.3">
      <c r="A99" s="134"/>
      <c r="B99" s="350" t="s">
        <v>219</v>
      </c>
      <c r="C99" s="315">
        <v>1816</v>
      </c>
      <c r="D99" s="315">
        <v>1816</v>
      </c>
      <c r="E99" s="1146"/>
      <c r="F99" s="1185">
        <f t="shared" ref="F99:F109" si="7">+E99/D99*100</f>
        <v>0</v>
      </c>
    </row>
    <row r="100" spans="1:11" ht="30" customHeight="1" x14ac:dyDescent="0.3">
      <c r="A100" s="134"/>
      <c r="B100" s="350" t="s">
        <v>365</v>
      </c>
      <c r="C100" s="315">
        <v>44716</v>
      </c>
      <c r="D100" s="315">
        <v>44716</v>
      </c>
      <c r="E100" s="1146">
        <v>21941</v>
      </c>
      <c r="F100" s="1185">
        <f t="shared" si="7"/>
        <v>49.067447893371501</v>
      </c>
      <c r="J100" s="4"/>
      <c r="K100" s="4"/>
    </row>
    <row r="101" spans="1:11" ht="30" customHeight="1" x14ac:dyDescent="0.3">
      <c r="A101" s="134"/>
      <c r="B101" s="350" t="s">
        <v>386</v>
      </c>
      <c r="C101" s="315">
        <v>4400</v>
      </c>
      <c r="D101" s="315">
        <v>4400</v>
      </c>
      <c r="E101" s="1146"/>
      <c r="F101" s="1185">
        <f>+E101/D101*100</f>
        <v>0</v>
      </c>
      <c r="J101" s="4"/>
      <c r="K101" s="4"/>
    </row>
    <row r="102" spans="1:11" s="10" customFormat="1" ht="60" customHeight="1" x14ac:dyDescent="0.3">
      <c r="A102" s="134"/>
      <c r="B102" s="348" t="s">
        <v>364</v>
      </c>
      <c r="C102" s="315">
        <v>559</v>
      </c>
      <c r="D102" s="315">
        <v>559</v>
      </c>
      <c r="E102" s="1146">
        <f>206-41</f>
        <v>165</v>
      </c>
      <c r="F102" s="1181">
        <f>+E102/D102*100</f>
        <v>29.516994633273701</v>
      </c>
      <c r="H102" s="1134"/>
      <c r="I102" s="1134"/>
    </row>
    <row r="103" spans="1:11" ht="51.95" customHeight="1" x14ac:dyDescent="0.3">
      <c r="A103" s="134"/>
      <c r="B103" s="350" t="s">
        <v>373</v>
      </c>
      <c r="C103" s="315">
        <v>2015</v>
      </c>
      <c r="D103" s="315">
        <v>2015</v>
      </c>
      <c r="E103" s="1146">
        <v>1865</v>
      </c>
      <c r="F103" s="1185">
        <f t="shared" si="7"/>
        <v>92.555831265508687</v>
      </c>
      <c r="J103" s="4"/>
      <c r="K103" s="4"/>
    </row>
    <row r="104" spans="1:11" s="10" customFormat="1" ht="60" customHeight="1" x14ac:dyDescent="0.3">
      <c r="A104" s="134"/>
      <c r="B104" s="348" t="s">
        <v>508</v>
      </c>
      <c r="C104" s="315">
        <v>705</v>
      </c>
      <c r="D104" s="315">
        <v>705</v>
      </c>
      <c r="E104" s="1146"/>
      <c r="F104" s="1181">
        <f t="shared" si="7"/>
        <v>0</v>
      </c>
      <c r="H104" s="1134"/>
      <c r="I104" s="1134"/>
    </row>
    <row r="105" spans="1:11" ht="51.95" customHeight="1" x14ac:dyDescent="0.3">
      <c r="A105" s="134"/>
      <c r="B105" s="528" t="s">
        <v>466</v>
      </c>
      <c r="C105" s="355">
        <v>3087</v>
      </c>
      <c r="D105" s="355">
        <v>3094</v>
      </c>
      <c r="E105" s="1143">
        <v>3034</v>
      </c>
      <c r="F105" s="1185">
        <f t="shared" si="7"/>
        <v>98.060762766645112</v>
      </c>
      <c r="J105" s="4"/>
      <c r="K105" s="4"/>
    </row>
    <row r="106" spans="1:11" ht="51.95" customHeight="1" x14ac:dyDescent="0.3">
      <c r="A106" s="134"/>
      <c r="B106" s="363" t="s">
        <v>498</v>
      </c>
      <c r="C106" s="364">
        <v>59121</v>
      </c>
      <c r="D106" s="364">
        <v>58210</v>
      </c>
      <c r="E106" s="1195">
        <v>31138</v>
      </c>
      <c r="F106" s="1196">
        <f t="shared" si="7"/>
        <v>53.492527057206665</v>
      </c>
      <c r="J106" s="4"/>
      <c r="K106" s="4"/>
    </row>
    <row r="107" spans="1:11" ht="34.5" customHeight="1" thickBot="1" x14ac:dyDescent="0.35">
      <c r="A107" s="134"/>
      <c r="B107" s="365" t="s">
        <v>274</v>
      </c>
      <c r="C107" s="366">
        <f>SUM(C99:C106)</f>
        <v>116419</v>
      </c>
      <c r="D107" s="366">
        <f>SUM(D99:D106)</f>
        <v>115515</v>
      </c>
      <c r="E107" s="1197">
        <f>SUM(E99:E106)</f>
        <v>58143</v>
      </c>
      <c r="F107" s="1198">
        <f t="shared" si="7"/>
        <v>50.333722893130762</v>
      </c>
    </row>
    <row r="108" spans="1:11" ht="34.5" customHeight="1" thickBot="1" x14ac:dyDescent="0.35">
      <c r="A108" s="134"/>
      <c r="B108" s="367" t="s">
        <v>617</v>
      </c>
      <c r="C108" s="368">
        <f>+C18+C97+C107</f>
        <v>4504877</v>
      </c>
      <c r="D108" s="369">
        <f>+D18+D97+D107</f>
        <v>4794091</v>
      </c>
      <c r="E108" s="1199">
        <f>+E18+E97+E107</f>
        <v>5079639</v>
      </c>
      <c r="F108" s="1200">
        <f t="shared" si="7"/>
        <v>105.95624905743341</v>
      </c>
    </row>
    <row r="109" spans="1:11" s="8" customFormat="1" ht="54" customHeight="1" thickBot="1" x14ac:dyDescent="0.35">
      <c r="A109" s="137"/>
      <c r="B109" s="371" t="s">
        <v>738</v>
      </c>
      <c r="C109" s="366">
        <f>+C9+C108</f>
        <v>6601269</v>
      </c>
      <c r="D109" s="372">
        <f>+D9+D108</f>
        <v>7223949</v>
      </c>
      <c r="E109" s="372">
        <f>+E9+E108</f>
        <v>7236595</v>
      </c>
      <c r="F109" s="370">
        <f t="shared" si="7"/>
        <v>100.17505660685035</v>
      </c>
      <c r="H109" s="1134"/>
      <c r="I109" s="1134"/>
    </row>
    <row r="110" spans="1:11" ht="15" customHeight="1" x14ac:dyDescent="0.3">
      <c r="A110" s="134"/>
      <c r="B110" s="373"/>
      <c r="C110" s="373"/>
      <c r="D110" s="374"/>
      <c r="E110" s="374"/>
      <c r="F110" s="373"/>
    </row>
    <row r="111" spans="1:11" ht="36" customHeight="1" thickBot="1" x14ac:dyDescent="0.35">
      <c r="A111" s="134"/>
      <c r="B111" s="375" t="s">
        <v>27</v>
      </c>
      <c r="C111" s="376"/>
      <c r="D111" s="376"/>
      <c r="E111" s="376"/>
      <c r="F111" s="376" t="s">
        <v>26</v>
      </c>
    </row>
    <row r="112" spans="1:11" ht="35.1" customHeight="1" x14ac:dyDescent="0.3">
      <c r="A112" s="134"/>
      <c r="B112" s="377" t="s">
        <v>42</v>
      </c>
      <c r="C112" s="2726" t="s">
        <v>517</v>
      </c>
      <c r="D112" s="2727"/>
      <c r="E112" s="378" t="s">
        <v>685</v>
      </c>
      <c r="F112" s="379" t="s">
        <v>139</v>
      </c>
    </row>
    <row r="113" spans="1:6" ht="35.1" customHeight="1" thickBot="1" x14ac:dyDescent="0.35">
      <c r="A113" s="134"/>
      <c r="B113" s="365"/>
      <c r="C113" s="309" t="s">
        <v>264</v>
      </c>
      <c r="D113" s="310" t="s">
        <v>137</v>
      </c>
      <c r="E113" s="380" t="s">
        <v>138</v>
      </c>
      <c r="F113" s="381" t="s">
        <v>140</v>
      </c>
    </row>
    <row r="114" spans="1:6" ht="34.5" customHeight="1" x14ac:dyDescent="0.3">
      <c r="A114" s="134"/>
      <c r="B114" s="382" t="s">
        <v>89</v>
      </c>
      <c r="C114" s="383">
        <v>614</v>
      </c>
      <c r="D114" s="383">
        <v>15610</v>
      </c>
      <c r="E114" s="383">
        <v>8024</v>
      </c>
      <c r="F114" s="313">
        <f t="shared" ref="F114:F117" si="8">+E114/D114*100</f>
        <v>51.402946828955798</v>
      </c>
    </row>
    <row r="115" spans="1:6" ht="35.1" customHeight="1" x14ac:dyDescent="0.3">
      <c r="A115" s="134"/>
      <c r="B115" s="343" t="s">
        <v>58</v>
      </c>
      <c r="C115" s="344">
        <v>32500</v>
      </c>
      <c r="D115" s="344">
        <v>72396</v>
      </c>
      <c r="E115" s="344">
        <v>52115</v>
      </c>
      <c r="F115" s="317">
        <f t="shared" si="8"/>
        <v>71.986021327145139</v>
      </c>
    </row>
    <row r="116" spans="1:6" ht="35.1" customHeight="1" thickBot="1" x14ac:dyDescent="0.35">
      <c r="A116" s="134"/>
      <c r="B116" s="384" t="s">
        <v>189</v>
      </c>
      <c r="C116" s="385">
        <v>526</v>
      </c>
      <c r="D116" s="385">
        <v>1282</v>
      </c>
      <c r="E116" s="385">
        <v>1282</v>
      </c>
      <c r="F116" s="386">
        <f t="shared" si="8"/>
        <v>100</v>
      </c>
    </row>
    <row r="117" spans="1:6" ht="53.25" customHeight="1" thickBot="1" x14ac:dyDescent="0.35">
      <c r="A117" s="134"/>
      <c r="B117" s="392" t="s">
        <v>739</v>
      </c>
      <c r="C117" s="387">
        <f>SUM(C114:C116)</f>
        <v>33640</v>
      </c>
      <c r="D117" s="387">
        <f>SUM(D114:D116)</f>
        <v>89288</v>
      </c>
      <c r="E117" s="387">
        <f>SUM(E114:E116)</f>
        <v>61421</v>
      </c>
      <c r="F117" s="370">
        <f t="shared" si="8"/>
        <v>68.789758982170056</v>
      </c>
    </row>
    <row r="118" spans="1:6" ht="15" customHeight="1" thickBot="1" x14ac:dyDescent="0.35">
      <c r="A118" s="134"/>
      <c r="B118" s="388"/>
      <c r="C118" s="389"/>
      <c r="D118" s="389"/>
      <c r="E118" s="390"/>
      <c r="F118" s="391"/>
    </row>
    <row r="119" spans="1:6" ht="50.25" customHeight="1" thickBot="1" x14ac:dyDescent="0.35">
      <c r="A119" s="134"/>
      <c r="B119" s="392" t="s">
        <v>740</v>
      </c>
      <c r="C119" s="393">
        <f>C109+C117</f>
        <v>6634909</v>
      </c>
      <c r="D119" s="393">
        <f>D109+D117</f>
        <v>7313237</v>
      </c>
      <c r="E119" s="387">
        <f>E109+E117</f>
        <v>7298016</v>
      </c>
      <c r="F119" s="370">
        <f>+E119/D119*100</f>
        <v>99.791870549251996</v>
      </c>
    </row>
    <row r="121" spans="1:6" ht="15" customHeight="1" x14ac:dyDescent="0.2">
      <c r="F121" s="4"/>
    </row>
    <row r="122" spans="1:6" ht="15" customHeight="1" x14ac:dyDescent="0.2">
      <c r="F122" s="4"/>
    </row>
  </sheetData>
  <mergeCells count="4">
    <mergeCell ref="B1:C1"/>
    <mergeCell ref="C4:D4"/>
    <mergeCell ref="C112:D112"/>
    <mergeCell ref="B2:F2"/>
  </mergeCells>
  <phoneticPr fontId="0" type="noConversion"/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45" orientation="portrait" r:id="rId1"/>
  <headerFooter alignWithMargins="0">
    <oddHeader>&amp;R&amp;"Arial,Félkövér"&amp;16
&amp;18 13. melléklet a ..../2020. (......) önkormányzati rendelethez</oddHeader>
  </headerFooter>
  <rowBreaks count="2" manualBreakCount="2">
    <brk id="51" min="1" max="5" man="1"/>
    <brk id="92" min="1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7"/>
  <dimension ref="A1:I48"/>
  <sheetViews>
    <sheetView zoomScale="75" zoomScaleNormal="75" zoomScaleSheetLayoutView="75" workbookViewId="0">
      <selection activeCell="J20" sqref="J20"/>
    </sheetView>
  </sheetViews>
  <sheetFormatPr defaultColWidth="9.33203125" defaultRowHeight="15" customHeight="1" x14ac:dyDescent="0.2"/>
  <cols>
    <col min="1" max="1" width="11.83203125" style="31" bestFit="1" customWidth="1"/>
    <col min="2" max="2" width="127.5" style="10" customWidth="1"/>
    <col min="3" max="3" width="24.33203125" style="10" customWidth="1"/>
    <col min="4" max="4" width="23.83203125" style="5" customWidth="1"/>
    <col min="5" max="5" width="23.6640625" style="5" customWidth="1"/>
    <col min="6" max="6" width="21.83203125" style="10" customWidth="1"/>
    <col min="7" max="7" width="15.83203125" style="10" customWidth="1"/>
    <col min="8" max="16384" width="9.33203125" style="10"/>
  </cols>
  <sheetData>
    <row r="1" spans="2:9" ht="15" customHeight="1" x14ac:dyDescent="0.25">
      <c r="B1" s="2713"/>
      <c r="C1" s="2713"/>
    </row>
    <row r="2" spans="2:9" ht="30" customHeight="1" x14ac:dyDescent="0.35">
      <c r="B2" s="2716" t="s">
        <v>33</v>
      </c>
      <c r="C2" s="2716"/>
      <c r="D2" s="2716"/>
      <c r="E2" s="2716"/>
      <c r="F2" s="2716"/>
    </row>
    <row r="3" spans="2:9" ht="14.25" customHeight="1" x14ac:dyDescent="0.25">
      <c r="B3" s="18" t="s">
        <v>76</v>
      </c>
    </row>
    <row r="4" spans="2:9" ht="18.75" customHeight="1" thickBot="1" x14ac:dyDescent="0.3">
      <c r="B4" s="909"/>
      <c r="C4" s="910"/>
      <c r="D4" s="911"/>
      <c r="E4" s="911"/>
      <c r="F4" s="910" t="s">
        <v>26</v>
      </c>
    </row>
    <row r="5" spans="2:9" ht="30" customHeight="1" x14ac:dyDescent="0.25">
      <c r="B5" s="883" t="s">
        <v>42</v>
      </c>
      <c r="C5" s="2721" t="s">
        <v>517</v>
      </c>
      <c r="D5" s="2718"/>
      <c r="E5" s="846" t="s">
        <v>685</v>
      </c>
      <c r="F5" s="847" t="s">
        <v>139</v>
      </c>
    </row>
    <row r="6" spans="2:9" ht="30" customHeight="1" thickBot="1" x14ac:dyDescent="0.3">
      <c r="B6" s="912"/>
      <c r="C6" s="849" t="s">
        <v>264</v>
      </c>
      <c r="D6" s="849" t="s">
        <v>137</v>
      </c>
      <c r="E6" s="759" t="s">
        <v>138</v>
      </c>
      <c r="F6" s="850" t="s">
        <v>140</v>
      </c>
    </row>
    <row r="7" spans="2:9" ht="30" customHeight="1" x14ac:dyDescent="0.25">
      <c r="B7" s="862" t="s">
        <v>145</v>
      </c>
      <c r="C7" s="913">
        <v>165000</v>
      </c>
      <c r="D7" s="913">
        <v>244959</v>
      </c>
      <c r="E7" s="1144">
        <v>244959</v>
      </c>
      <c r="F7" s="1149">
        <f t="shared" ref="F7:F25" si="0">+E7/D7*100</f>
        <v>100</v>
      </c>
      <c r="G7" s="1136"/>
      <c r="H7" s="5"/>
      <c r="I7" s="1136"/>
    </row>
    <row r="8" spans="2:9" ht="30" customHeight="1" x14ac:dyDescent="0.25">
      <c r="B8" s="862" t="s">
        <v>760</v>
      </c>
      <c r="C8" s="863"/>
      <c r="D8" s="863">
        <v>40041</v>
      </c>
      <c r="E8" s="1144">
        <v>40041</v>
      </c>
      <c r="F8" s="1149">
        <f t="shared" si="0"/>
        <v>100</v>
      </c>
      <c r="G8" s="1136"/>
      <c r="H8" s="5"/>
      <c r="I8" s="1136"/>
    </row>
    <row r="9" spans="2:9" ht="30" customHeight="1" x14ac:dyDescent="0.25">
      <c r="B9" s="867" t="s">
        <v>574</v>
      </c>
      <c r="C9" s="872"/>
      <c r="D9" s="872">
        <v>2312</v>
      </c>
      <c r="E9" s="1144">
        <v>2312</v>
      </c>
      <c r="F9" s="1149">
        <f t="shared" si="0"/>
        <v>100</v>
      </c>
      <c r="G9" s="1136"/>
      <c r="H9" s="5"/>
      <c r="I9" s="1136"/>
    </row>
    <row r="10" spans="2:9" ht="30" customHeight="1" x14ac:dyDescent="0.25">
      <c r="B10" s="914" t="s">
        <v>66</v>
      </c>
      <c r="C10" s="854">
        <v>25000</v>
      </c>
      <c r="D10" s="854">
        <v>25525</v>
      </c>
      <c r="E10" s="1169">
        <v>11943</v>
      </c>
      <c r="F10" s="1170">
        <f t="shared" si="0"/>
        <v>46.789422135161608</v>
      </c>
      <c r="G10" s="1136"/>
      <c r="H10" s="5"/>
      <c r="I10" s="1136"/>
    </row>
    <row r="11" spans="2:9" ht="30" customHeight="1" x14ac:dyDescent="0.25">
      <c r="B11" s="915" t="s">
        <v>295</v>
      </c>
      <c r="C11" s="875">
        <v>3000</v>
      </c>
      <c r="D11" s="875">
        <v>3806</v>
      </c>
      <c r="E11" s="1144">
        <v>3806</v>
      </c>
      <c r="F11" s="1171">
        <f t="shared" si="0"/>
        <v>100</v>
      </c>
      <c r="G11" s="1136"/>
      <c r="H11" s="5"/>
      <c r="I11" s="1136"/>
    </row>
    <row r="12" spans="2:9" ht="30" customHeight="1" x14ac:dyDescent="0.25">
      <c r="B12" s="917" t="s">
        <v>634</v>
      </c>
      <c r="C12" s="875"/>
      <c r="D12" s="875">
        <v>3000</v>
      </c>
      <c r="E12" s="1144">
        <v>3000</v>
      </c>
      <c r="F12" s="1171"/>
      <c r="G12" s="1136"/>
      <c r="H12" s="5"/>
      <c r="I12" s="1136"/>
    </row>
    <row r="13" spans="2:9" ht="30" customHeight="1" x14ac:dyDescent="0.25">
      <c r="B13" s="917" t="s">
        <v>287</v>
      </c>
      <c r="C13" s="875">
        <v>45000</v>
      </c>
      <c r="D13" s="875">
        <v>47302</v>
      </c>
      <c r="E13" s="1172">
        <v>40302</v>
      </c>
      <c r="F13" s="1149">
        <f t="shared" si="0"/>
        <v>85.201471396558276</v>
      </c>
      <c r="G13" s="1136"/>
      <c r="H13" s="5"/>
      <c r="I13" s="1136"/>
    </row>
    <row r="14" spans="2:9" ht="30" customHeight="1" x14ac:dyDescent="0.25">
      <c r="B14" s="867" t="s">
        <v>72</v>
      </c>
      <c r="C14" s="872">
        <v>1100</v>
      </c>
      <c r="D14" s="872">
        <v>1409</v>
      </c>
      <c r="E14" s="1144">
        <v>1138</v>
      </c>
      <c r="F14" s="1149">
        <f t="shared" si="0"/>
        <v>80.766501064584816</v>
      </c>
      <c r="G14" s="1136"/>
      <c r="H14" s="5"/>
      <c r="I14" s="1136"/>
    </row>
    <row r="15" spans="2:9" ht="30" customHeight="1" x14ac:dyDescent="0.25">
      <c r="B15" s="867" t="s">
        <v>358</v>
      </c>
      <c r="C15" s="872">
        <v>10000</v>
      </c>
      <c r="D15" s="872">
        <v>10000</v>
      </c>
      <c r="E15" s="1144">
        <v>10000</v>
      </c>
      <c r="F15" s="1149">
        <f t="shared" si="0"/>
        <v>100</v>
      </c>
      <c r="G15" s="1136"/>
      <c r="H15" s="5"/>
      <c r="I15" s="1136"/>
    </row>
    <row r="16" spans="2:9" ht="30" customHeight="1" x14ac:dyDescent="0.25">
      <c r="B16" s="867" t="s">
        <v>114</v>
      </c>
      <c r="C16" s="872">
        <v>13000</v>
      </c>
      <c r="D16" s="872">
        <v>13000</v>
      </c>
      <c r="E16" s="1144">
        <v>13000</v>
      </c>
      <c r="F16" s="1149">
        <f t="shared" si="0"/>
        <v>100</v>
      </c>
      <c r="G16" s="1136"/>
      <c r="H16" s="5"/>
      <c r="I16" s="1136"/>
    </row>
    <row r="17" spans="2:9" ht="30" customHeight="1" x14ac:dyDescent="0.25">
      <c r="B17" s="867" t="s">
        <v>296</v>
      </c>
      <c r="C17" s="872">
        <v>40000</v>
      </c>
      <c r="D17" s="872">
        <v>41539</v>
      </c>
      <c r="E17" s="1144">
        <v>40000</v>
      </c>
      <c r="F17" s="1149">
        <f t="shared" si="0"/>
        <v>96.295048027155204</v>
      </c>
      <c r="G17" s="1136"/>
      <c r="H17" s="5"/>
      <c r="I17" s="1136"/>
    </row>
    <row r="18" spans="2:9" ht="30" customHeight="1" x14ac:dyDescent="0.25">
      <c r="B18" s="869" t="s">
        <v>510</v>
      </c>
      <c r="C18" s="872">
        <v>62000</v>
      </c>
      <c r="D18" s="642">
        <v>62000</v>
      </c>
      <c r="E18" s="1144">
        <v>22000</v>
      </c>
      <c r="F18" s="1149">
        <f t="shared" si="0"/>
        <v>35.483870967741936</v>
      </c>
      <c r="G18" s="1136"/>
      <c r="H18" s="5"/>
      <c r="I18" s="1136"/>
    </row>
    <row r="19" spans="2:9" ht="30" customHeight="1" x14ac:dyDescent="0.25">
      <c r="B19" s="869" t="s">
        <v>511</v>
      </c>
      <c r="C19" s="872">
        <v>37000</v>
      </c>
      <c r="D19" s="872">
        <v>37000</v>
      </c>
      <c r="E19" s="1144"/>
      <c r="F19" s="1149">
        <f t="shared" si="0"/>
        <v>0</v>
      </c>
      <c r="G19" s="1136"/>
      <c r="H19" s="5"/>
      <c r="I19" s="1136"/>
    </row>
    <row r="20" spans="2:9" ht="30" customHeight="1" x14ac:dyDescent="0.25">
      <c r="B20" s="869" t="s">
        <v>622</v>
      </c>
      <c r="C20" s="872"/>
      <c r="D20" s="872">
        <v>20000</v>
      </c>
      <c r="E20" s="1144">
        <v>20000</v>
      </c>
      <c r="F20" s="1149">
        <f t="shared" si="0"/>
        <v>100</v>
      </c>
      <c r="G20" s="1136"/>
      <c r="H20" s="5"/>
      <c r="I20" s="1136"/>
    </row>
    <row r="21" spans="2:9" ht="30" customHeight="1" x14ac:dyDescent="0.25">
      <c r="B21" s="2019" t="s">
        <v>811</v>
      </c>
      <c r="C21" s="872">
        <v>8000</v>
      </c>
      <c r="D21" s="872">
        <v>8000</v>
      </c>
      <c r="E21" s="1144">
        <v>8000</v>
      </c>
      <c r="F21" s="1149">
        <f t="shared" si="0"/>
        <v>100</v>
      </c>
      <c r="G21" s="1136"/>
      <c r="H21" s="5"/>
      <c r="I21" s="1136"/>
    </row>
    <row r="22" spans="2:9" ht="30" customHeight="1" x14ac:dyDescent="0.25">
      <c r="B22" s="2019" t="s">
        <v>812</v>
      </c>
      <c r="C22" s="872"/>
      <c r="D22" s="872">
        <v>20000</v>
      </c>
      <c r="E22" s="1144">
        <v>20000</v>
      </c>
      <c r="F22" s="1149">
        <f t="shared" si="0"/>
        <v>100</v>
      </c>
      <c r="G22" s="1136"/>
      <c r="H22" s="5"/>
      <c r="I22" s="1136"/>
    </row>
    <row r="23" spans="2:9" ht="30" customHeight="1" x14ac:dyDescent="0.25">
      <c r="B23" s="867" t="s">
        <v>297</v>
      </c>
      <c r="C23" s="872">
        <v>10000</v>
      </c>
      <c r="D23" s="872">
        <v>10000</v>
      </c>
      <c r="E23" s="1144">
        <v>10000</v>
      </c>
      <c r="F23" s="1149">
        <f t="shared" si="0"/>
        <v>100</v>
      </c>
      <c r="G23" s="1136"/>
      <c r="H23" s="5"/>
      <c r="I23" s="1136"/>
    </row>
    <row r="24" spans="2:9" ht="30" customHeight="1" x14ac:dyDescent="0.25">
      <c r="B24" s="898" t="s">
        <v>575</v>
      </c>
      <c r="C24" s="872"/>
      <c r="D24" s="872">
        <v>1150</v>
      </c>
      <c r="E24" s="1144">
        <v>1150</v>
      </c>
      <c r="F24" s="1149">
        <f t="shared" si="0"/>
        <v>100</v>
      </c>
      <c r="G24" s="1136"/>
      <c r="H24" s="5"/>
      <c r="I24" s="1136"/>
    </row>
    <row r="25" spans="2:9" ht="30" customHeight="1" x14ac:dyDescent="0.25">
      <c r="B25" s="867" t="s">
        <v>390</v>
      </c>
      <c r="C25" s="872">
        <v>15000</v>
      </c>
      <c r="D25" s="872">
        <v>102000</v>
      </c>
      <c r="E25" s="1144">
        <v>102000</v>
      </c>
      <c r="F25" s="1149">
        <f t="shared" si="0"/>
        <v>100</v>
      </c>
      <c r="G25" s="1136"/>
      <c r="H25" s="5"/>
      <c r="I25" s="1136"/>
    </row>
    <row r="26" spans="2:9" ht="30" customHeight="1" x14ac:dyDescent="0.25">
      <c r="B26" s="867" t="s">
        <v>394</v>
      </c>
      <c r="C26" s="872">
        <v>1000</v>
      </c>
      <c r="D26" s="872">
        <v>2500</v>
      </c>
      <c r="E26" s="1144">
        <v>404</v>
      </c>
      <c r="F26" s="1149">
        <f t="shared" ref="F26:F46" si="1">+E26/D26*100</f>
        <v>16.16</v>
      </c>
      <c r="G26" s="1136"/>
      <c r="H26" s="5"/>
      <c r="I26" s="1136"/>
    </row>
    <row r="27" spans="2:9" ht="30" customHeight="1" x14ac:dyDescent="0.25">
      <c r="B27" s="867" t="s">
        <v>67</v>
      </c>
      <c r="C27" s="872">
        <v>3000</v>
      </c>
      <c r="D27" s="872">
        <v>2900</v>
      </c>
      <c r="E27" s="1144">
        <v>2900</v>
      </c>
      <c r="F27" s="1149">
        <f t="shared" si="1"/>
        <v>100</v>
      </c>
      <c r="G27" s="1136"/>
      <c r="H27" s="5"/>
      <c r="I27" s="1136"/>
    </row>
    <row r="28" spans="2:9" ht="30" customHeight="1" x14ac:dyDescent="0.25">
      <c r="B28" s="867" t="s">
        <v>68</v>
      </c>
      <c r="C28" s="872">
        <v>15000</v>
      </c>
      <c r="D28" s="872">
        <v>15000</v>
      </c>
      <c r="E28" s="1144">
        <v>15000</v>
      </c>
      <c r="F28" s="1149">
        <f t="shared" si="1"/>
        <v>100</v>
      </c>
      <c r="G28" s="1136"/>
      <c r="H28" s="5"/>
      <c r="I28" s="1136"/>
    </row>
    <row r="29" spans="2:9" ht="30" customHeight="1" x14ac:dyDescent="0.25">
      <c r="B29" s="867" t="s">
        <v>527</v>
      </c>
      <c r="C29" s="872">
        <v>37500</v>
      </c>
      <c r="D29" s="872">
        <v>37500</v>
      </c>
      <c r="E29" s="1144">
        <v>37500</v>
      </c>
      <c r="F29" s="1149">
        <f t="shared" si="1"/>
        <v>100</v>
      </c>
      <c r="G29" s="1136"/>
      <c r="H29" s="5"/>
      <c r="I29" s="1136"/>
    </row>
    <row r="30" spans="2:9" ht="30" customHeight="1" x14ac:dyDescent="0.25">
      <c r="B30" s="867" t="s">
        <v>623</v>
      </c>
      <c r="C30" s="872">
        <v>50000</v>
      </c>
      <c r="D30" s="872"/>
      <c r="E30" s="1144"/>
      <c r="F30" s="1149"/>
      <c r="G30" s="1136"/>
      <c r="H30" s="5"/>
      <c r="I30" s="1136"/>
    </row>
    <row r="31" spans="2:9" ht="45" customHeight="1" x14ac:dyDescent="0.25">
      <c r="B31" s="869" t="s">
        <v>601</v>
      </c>
      <c r="C31" s="872"/>
      <c r="D31" s="872">
        <v>25938</v>
      </c>
      <c r="E31" s="1144">
        <v>25938</v>
      </c>
      <c r="F31" s="1149">
        <f t="shared" si="1"/>
        <v>100</v>
      </c>
      <c r="G31" s="1136"/>
      <c r="H31" s="5"/>
      <c r="I31" s="1136"/>
    </row>
    <row r="32" spans="2:9" ht="30" customHeight="1" x14ac:dyDescent="0.25">
      <c r="B32" s="867" t="s">
        <v>603</v>
      </c>
      <c r="C32" s="872"/>
      <c r="D32" s="872">
        <v>45000</v>
      </c>
      <c r="E32" s="1144">
        <v>45000</v>
      </c>
      <c r="F32" s="1149">
        <f t="shared" si="1"/>
        <v>100</v>
      </c>
      <c r="G32" s="1136"/>
      <c r="H32" s="5"/>
      <c r="I32" s="1136"/>
    </row>
    <row r="33" spans="2:9" ht="30" customHeight="1" x14ac:dyDescent="0.25">
      <c r="B33" s="867" t="s">
        <v>73</v>
      </c>
      <c r="C33" s="872">
        <v>35000</v>
      </c>
      <c r="D33" s="872">
        <v>35000</v>
      </c>
      <c r="E33" s="1144">
        <v>35000</v>
      </c>
      <c r="F33" s="1149">
        <f t="shared" si="1"/>
        <v>100</v>
      </c>
      <c r="G33" s="1136"/>
      <c r="H33" s="5"/>
      <c r="I33" s="1136"/>
    </row>
    <row r="34" spans="2:9" ht="30" customHeight="1" x14ac:dyDescent="0.25">
      <c r="B34" s="867" t="s">
        <v>624</v>
      </c>
      <c r="C34" s="872">
        <v>145800</v>
      </c>
      <c r="D34" s="872">
        <v>172612</v>
      </c>
      <c r="E34" s="1144">
        <v>165800</v>
      </c>
      <c r="F34" s="1149">
        <f t="shared" si="1"/>
        <v>96.053576808101411</v>
      </c>
      <c r="G34" s="1136"/>
      <c r="H34" s="5"/>
      <c r="I34" s="1136"/>
    </row>
    <row r="35" spans="2:9" ht="30" customHeight="1" x14ac:dyDescent="0.25">
      <c r="B35" s="867" t="s">
        <v>431</v>
      </c>
      <c r="C35" s="872">
        <v>3500</v>
      </c>
      <c r="D35" s="872">
        <v>3500</v>
      </c>
      <c r="E35" s="1144">
        <v>3500</v>
      </c>
      <c r="F35" s="1149">
        <f t="shared" si="1"/>
        <v>100</v>
      </c>
      <c r="G35" s="1136"/>
      <c r="H35" s="5"/>
      <c r="I35" s="1136"/>
    </row>
    <row r="36" spans="2:9" ht="30" customHeight="1" x14ac:dyDescent="0.25">
      <c r="B36" s="917" t="s">
        <v>70</v>
      </c>
      <c r="C36" s="875">
        <v>15000</v>
      </c>
      <c r="D36" s="875">
        <v>15000</v>
      </c>
      <c r="E36" s="1172">
        <v>15000</v>
      </c>
      <c r="F36" s="1149">
        <f t="shared" si="1"/>
        <v>100</v>
      </c>
      <c r="G36" s="1136"/>
      <c r="H36" s="5"/>
      <c r="I36" s="1136"/>
    </row>
    <row r="37" spans="2:9" ht="30" customHeight="1" x14ac:dyDescent="0.25">
      <c r="B37" s="917" t="s">
        <v>111</v>
      </c>
      <c r="C37" s="875">
        <v>3000</v>
      </c>
      <c r="D37" s="875">
        <v>3433</v>
      </c>
      <c r="E37" s="1172">
        <v>933</v>
      </c>
      <c r="F37" s="1149">
        <f t="shared" si="1"/>
        <v>27.177395863676086</v>
      </c>
      <c r="G37" s="1220"/>
      <c r="H37" s="5"/>
      <c r="I37" s="1136"/>
    </row>
    <row r="38" spans="2:9" ht="30" customHeight="1" x14ac:dyDescent="0.25">
      <c r="B38" s="918" t="s">
        <v>633</v>
      </c>
      <c r="C38" s="875"/>
      <c r="D38" s="875">
        <v>150000</v>
      </c>
      <c r="E38" s="1172">
        <v>150000</v>
      </c>
      <c r="F38" s="1149">
        <f t="shared" si="1"/>
        <v>100</v>
      </c>
      <c r="G38" s="1136"/>
      <c r="H38" s="5"/>
      <c r="I38" s="1136"/>
    </row>
    <row r="39" spans="2:9" ht="45" customHeight="1" x14ac:dyDescent="0.25">
      <c r="B39" s="918" t="s">
        <v>701</v>
      </c>
      <c r="C39" s="875"/>
      <c r="D39" s="875">
        <v>50000</v>
      </c>
      <c r="E39" s="1172">
        <v>50000</v>
      </c>
      <c r="F39" s="1149">
        <f t="shared" si="1"/>
        <v>100</v>
      </c>
      <c r="G39" s="1136"/>
      <c r="H39" s="5"/>
      <c r="I39" s="1136"/>
    </row>
    <row r="40" spans="2:9" ht="30" customHeight="1" x14ac:dyDescent="0.25">
      <c r="B40" s="917" t="s">
        <v>576</v>
      </c>
      <c r="C40" s="875"/>
      <c r="D40" s="875">
        <v>3302</v>
      </c>
      <c r="E40" s="1172">
        <v>2794</v>
      </c>
      <c r="F40" s="1149">
        <f t="shared" si="1"/>
        <v>84.615384615384613</v>
      </c>
      <c r="G40" s="1136"/>
      <c r="H40" s="5"/>
      <c r="I40" s="1136"/>
    </row>
    <row r="41" spans="2:9" ht="30" customHeight="1" x14ac:dyDescent="0.25">
      <c r="B41" s="919" t="s">
        <v>597</v>
      </c>
      <c r="C41" s="875"/>
      <c r="D41" s="875">
        <v>3000</v>
      </c>
      <c r="E41" s="1172">
        <v>3000</v>
      </c>
      <c r="F41" s="1149">
        <f t="shared" si="1"/>
        <v>100</v>
      </c>
      <c r="G41" s="1136"/>
      <c r="H41" s="5"/>
      <c r="I41" s="1136"/>
    </row>
    <row r="42" spans="2:9" ht="30" customHeight="1" x14ac:dyDescent="0.25">
      <c r="B42" s="869" t="s">
        <v>702</v>
      </c>
      <c r="C42" s="875"/>
      <c r="D42" s="875">
        <v>2000</v>
      </c>
      <c r="E42" s="1172">
        <v>2000</v>
      </c>
      <c r="F42" s="1149">
        <f t="shared" si="1"/>
        <v>100</v>
      </c>
      <c r="G42" s="1136"/>
      <c r="H42" s="5"/>
      <c r="I42" s="1136"/>
    </row>
    <row r="43" spans="2:9" ht="30" customHeight="1" x14ac:dyDescent="0.25">
      <c r="B43" s="869" t="s">
        <v>745</v>
      </c>
      <c r="C43" s="875"/>
      <c r="D43" s="875">
        <v>2000</v>
      </c>
      <c r="E43" s="1172">
        <v>2000</v>
      </c>
      <c r="F43" s="1149">
        <f t="shared" si="1"/>
        <v>100</v>
      </c>
      <c r="G43" s="1136"/>
      <c r="H43" s="5"/>
      <c r="I43" s="1136"/>
    </row>
    <row r="44" spans="2:9" ht="39.75" customHeight="1" x14ac:dyDescent="0.25">
      <c r="B44" s="869" t="s">
        <v>768</v>
      </c>
      <c r="C44" s="875"/>
      <c r="D44" s="875">
        <v>500</v>
      </c>
      <c r="E44" s="1172"/>
      <c r="F44" s="1149">
        <f t="shared" si="1"/>
        <v>0</v>
      </c>
      <c r="G44" s="1136"/>
      <c r="H44" s="5"/>
      <c r="I44" s="1136"/>
    </row>
    <row r="45" spans="2:9" ht="30" customHeight="1" thickBot="1" x14ac:dyDescent="0.3">
      <c r="B45" s="870" t="s">
        <v>441</v>
      </c>
      <c r="C45" s="875">
        <v>20000</v>
      </c>
      <c r="D45" s="875">
        <v>40000</v>
      </c>
      <c r="E45" s="1172">
        <v>40000</v>
      </c>
      <c r="F45" s="1149">
        <f t="shared" si="1"/>
        <v>100</v>
      </c>
      <c r="G45" s="1136"/>
      <c r="H45" s="5"/>
      <c r="I45" s="1136"/>
    </row>
    <row r="46" spans="2:9" ht="30" customHeight="1" thickBot="1" x14ac:dyDescent="0.3">
      <c r="B46" s="60" t="s">
        <v>18</v>
      </c>
      <c r="C46" s="921">
        <f>SUM(C7:C45)</f>
        <v>762900</v>
      </c>
      <c r="D46" s="922">
        <f>SUM(D7:D45)</f>
        <v>1302228</v>
      </c>
      <c r="E46" s="922">
        <f>SUM(E7:E45)</f>
        <v>1190420</v>
      </c>
      <c r="F46" s="923">
        <f t="shared" si="1"/>
        <v>91.414099527886052</v>
      </c>
      <c r="G46" s="1136"/>
      <c r="H46" s="5"/>
      <c r="I46" s="1136"/>
    </row>
    <row r="47" spans="2:9" ht="20.100000000000001" customHeight="1" x14ac:dyDescent="0.2"/>
    <row r="48" spans="2:9" ht="15" customHeight="1" x14ac:dyDescent="0.2">
      <c r="C48" s="5"/>
    </row>
  </sheetData>
  <mergeCells count="3">
    <mergeCell ref="B1:C1"/>
    <mergeCell ref="C5:D5"/>
    <mergeCell ref="B2:F2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53" orientation="portrait" r:id="rId1"/>
  <headerFooter alignWithMargins="0">
    <oddHeader xml:space="preserve">&amp;C
&amp;R&amp;"Arial CE,Normál"&amp;14 &amp;"Arial CE,Félkövér"14. melléklet a ..../2020. (......) önkormányzati rendelethez&amp;"Arial CE,Normál"&amp;12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5"/>
  <dimension ref="A1:M50"/>
  <sheetViews>
    <sheetView zoomScale="75" zoomScaleNormal="75" workbookViewId="0">
      <selection activeCell="J20" sqref="J20"/>
    </sheetView>
  </sheetViews>
  <sheetFormatPr defaultColWidth="9.33203125" defaultRowHeight="15" customHeight="1" x14ac:dyDescent="0.2"/>
  <cols>
    <col min="1" max="1" width="17.33203125" style="5" customWidth="1"/>
    <col min="2" max="2" width="5.33203125" style="10" customWidth="1"/>
    <col min="3" max="3" width="9.33203125" style="10"/>
    <col min="4" max="4" width="15.83203125" style="10" customWidth="1"/>
    <col min="5" max="5" width="25.83203125" style="10" customWidth="1"/>
    <col min="6" max="6" width="53.83203125" style="10" customWidth="1"/>
    <col min="7" max="10" width="20.83203125" style="10" customWidth="1"/>
    <col min="11" max="11" width="15.1640625" style="1129" customWidth="1"/>
    <col min="12" max="12" width="9.33203125" style="1129"/>
    <col min="13" max="16384" width="9.33203125" style="10"/>
  </cols>
  <sheetData>
    <row r="1" spans="2:13" ht="15" customHeight="1" x14ac:dyDescent="0.25">
      <c r="B1" s="2713"/>
      <c r="C1" s="2713"/>
      <c r="D1" s="2713"/>
      <c r="E1" s="2713"/>
      <c r="F1" s="2713"/>
      <c r="G1" s="2713"/>
    </row>
    <row r="2" spans="2:13" ht="31.5" customHeight="1" x14ac:dyDescent="0.35">
      <c r="B2" s="2716" t="s">
        <v>123</v>
      </c>
      <c r="C2" s="2716"/>
      <c r="D2" s="2716"/>
      <c r="E2" s="2716"/>
      <c r="F2" s="2716"/>
      <c r="G2" s="2716"/>
      <c r="H2" s="2716"/>
      <c r="I2" s="2716"/>
      <c r="J2" s="2716"/>
    </row>
    <row r="4" spans="2:13" ht="15" customHeight="1" thickBot="1" x14ac:dyDescent="0.25">
      <c r="B4" s="21"/>
      <c r="C4" s="21"/>
      <c r="D4" s="21"/>
      <c r="E4" s="21"/>
      <c r="G4" s="17"/>
      <c r="H4" s="17"/>
      <c r="I4" s="17"/>
      <c r="J4" s="17" t="s">
        <v>26</v>
      </c>
    </row>
    <row r="5" spans="2:13" ht="31.5" customHeight="1" x14ac:dyDescent="0.25">
      <c r="B5" s="2735" t="s">
        <v>42</v>
      </c>
      <c r="C5" s="2736"/>
      <c r="D5" s="2736"/>
      <c r="E5" s="2736"/>
      <c r="F5" s="2736"/>
      <c r="G5" s="2737" t="s">
        <v>517</v>
      </c>
      <c r="H5" s="2738"/>
      <c r="I5" s="846" t="s">
        <v>685</v>
      </c>
      <c r="J5" s="847" t="s">
        <v>139</v>
      </c>
    </row>
    <row r="6" spans="2:13" ht="31.5" customHeight="1" thickBot="1" x14ac:dyDescent="0.3">
      <c r="B6" s="884"/>
      <c r="C6" s="926"/>
      <c r="D6" s="926"/>
      <c r="E6" s="926"/>
      <c r="F6" s="926"/>
      <c r="G6" s="849" t="s">
        <v>264</v>
      </c>
      <c r="H6" s="849" t="s">
        <v>137</v>
      </c>
      <c r="I6" s="759" t="s">
        <v>138</v>
      </c>
      <c r="J6" s="850" t="s">
        <v>140</v>
      </c>
    </row>
    <row r="7" spans="2:13" ht="31.5" customHeight="1" x14ac:dyDescent="0.25">
      <c r="B7" s="927" t="s">
        <v>631</v>
      </c>
      <c r="C7" s="928"/>
      <c r="D7" s="928"/>
      <c r="E7" s="928"/>
      <c r="F7" s="929"/>
      <c r="G7" s="930">
        <v>270000</v>
      </c>
      <c r="H7" s="930">
        <v>192188</v>
      </c>
      <c r="I7" s="856">
        <v>186159</v>
      </c>
      <c r="J7" s="931">
        <f t="shared" ref="J7:J19" si="0">+I7/H7*100</f>
        <v>96.862967510978834</v>
      </c>
      <c r="K7" s="1137"/>
      <c r="L7" s="1137"/>
      <c r="M7" s="536"/>
    </row>
    <row r="8" spans="2:13" ht="31.5" customHeight="1" x14ac:dyDescent="0.25">
      <c r="B8" s="932" t="s">
        <v>84</v>
      </c>
      <c r="C8" s="933"/>
      <c r="D8" s="933"/>
      <c r="E8" s="933"/>
      <c r="F8" s="934"/>
      <c r="G8" s="935"/>
      <c r="H8" s="935">
        <v>16559</v>
      </c>
      <c r="I8" s="936">
        <v>252</v>
      </c>
      <c r="J8" s="931">
        <f t="shared" si="0"/>
        <v>1.5218310284437466</v>
      </c>
      <c r="K8" s="1137"/>
      <c r="L8" s="1137"/>
    </row>
    <row r="9" spans="2:13" ht="31.5" customHeight="1" x14ac:dyDescent="0.25">
      <c r="B9" s="932" t="s">
        <v>286</v>
      </c>
      <c r="C9" s="933"/>
      <c r="D9" s="933"/>
      <c r="E9" s="933"/>
      <c r="F9" s="934"/>
      <c r="G9" s="935">
        <v>400000</v>
      </c>
      <c r="H9" s="935">
        <v>422513</v>
      </c>
      <c r="I9" s="936">
        <v>328294</v>
      </c>
      <c r="J9" s="931">
        <f t="shared" si="0"/>
        <v>77.700331114072227</v>
      </c>
      <c r="K9" s="1137"/>
      <c r="L9" s="1137"/>
    </row>
    <row r="10" spans="2:13" ht="31.5" customHeight="1" x14ac:dyDescent="0.25">
      <c r="B10" s="932" t="s">
        <v>625</v>
      </c>
      <c r="C10" s="933"/>
      <c r="D10" s="933"/>
      <c r="E10" s="933"/>
      <c r="F10" s="934"/>
      <c r="G10" s="935">
        <v>3000</v>
      </c>
      <c r="H10" s="935">
        <v>6821</v>
      </c>
      <c r="I10" s="936">
        <v>2317</v>
      </c>
      <c r="J10" s="931">
        <f t="shared" si="0"/>
        <v>33.968626301128864</v>
      </c>
      <c r="K10" s="1137"/>
      <c r="L10" s="1137"/>
    </row>
    <row r="11" spans="2:13" ht="31.5" customHeight="1" x14ac:dyDescent="0.25">
      <c r="B11" s="932" t="s">
        <v>474</v>
      </c>
      <c r="C11" s="933"/>
      <c r="D11" s="933"/>
      <c r="E11" s="933"/>
      <c r="F11" s="934"/>
      <c r="G11" s="935">
        <v>10000</v>
      </c>
      <c r="H11" s="935">
        <v>17473</v>
      </c>
      <c r="I11" s="936">
        <v>5594</v>
      </c>
      <c r="J11" s="931">
        <f t="shared" si="0"/>
        <v>32.015109025353397</v>
      </c>
      <c r="K11" s="1137"/>
      <c r="L11" s="1137"/>
    </row>
    <row r="12" spans="2:13" ht="31.5" customHeight="1" x14ac:dyDescent="0.25">
      <c r="B12" s="932" t="s">
        <v>136</v>
      </c>
      <c r="C12" s="933"/>
      <c r="D12" s="933"/>
      <c r="E12" s="933"/>
      <c r="F12" s="934"/>
      <c r="G12" s="935">
        <v>370000</v>
      </c>
      <c r="H12" s="935">
        <v>451941</v>
      </c>
      <c r="I12" s="936">
        <v>403696</v>
      </c>
      <c r="J12" s="931">
        <f t="shared" si="0"/>
        <v>89.324934006872581</v>
      </c>
      <c r="K12" s="1137"/>
      <c r="L12" s="1137"/>
    </row>
    <row r="13" spans="2:13" ht="31.5" customHeight="1" x14ac:dyDescent="0.25">
      <c r="B13" s="1154" t="s">
        <v>703</v>
      </c>
      <c r="C13" s="1155"/>
      <c r="D13" s="1155"/>
      <c r="E13" s="1155"/>
      <c r="F13" s="1156"/>
      <c r="G13" s="943"/>
      <c r="H13" s="943">
        <v>4000</v>
      </c>
      <c r="I13" s="875"/>
      <c r="J13" s="1157">
        <f t="shared" si="0"/>
        <v>0</v>
      </c>
      <c r="K13" s="1137"/>
      <c r="L13" s="1137"/>
    </row>
    <row r="14" spans="2:13" ht="31.5" customHeight="1" x14ac:dyDescent="0.25">
      <c r="B14" s="932" t="s">
        <v>281</v>
      </c>
      <c r="C14" s="933"/>
      <c r="D14" s="933"/>
      <c r="E14" s="933"/>
      <c r="F14" s="934"/>
      <c r="G14" s="935">
        <v>1580</v>
      </c>
      <c r="H14" s="935">
        <v>2204</v>
      </c>
      <c r="I14" s="936"/>
      <c r="J14" s="931">
        <f t="shared" si="0"/>
        <v>0</v>
      </c>
      <c r="K14" s="1137"/>
      <c r="L14" s="1137"/>
    </row>
    <row r="15" spans="2:13" ht="31.5" customHeight="1" x14ac:dyDescent="0.25">
      <c r="B15" s="932" t="s">
        <v>577</v>
      </c>
      <c r="C15" s="933"/>
      <c r="D15" s="933"/>
      <c r="E15" s="933"/>
      <c r="F15" s="934"/>
      <c r="G15" s="935"/>
      <c r="H15" s="935">
        <v>1899</v>
      </c>
      <c r="I15" s="936">
        <v>1899</v>
      </c>
      <c r="J15" s="931">
        <f t="shared" si="0"/>
        <v>100</v>
      </c>
      <c r="K15" s="1137"/>
      <c r="L15" s="1137"/>
    </row>
    <row r="16" spans="2:13" ht="31.5" customHeight="1" x14ac:dyDescent="0.25">
      <c r="B16" s="932" t="s">
        <v>475</v>
      </c>
      <c r="C16" s="933"/>
      <c r="D16" s="933"/>
      <c r="E16" s="933"/>
      <c r="F16" s="934"/>
      <c r="G16" s="935">
        <v>46195</v>
      </c>
      <c r="H16" s="935">
        <v>66195</v>
      </c>
      <c r="I16" s="936">
        <v>66195</v>
      </c>
      <c r="J16" s="931">
        <f t="shared" si="0"/>
        <v>100</v>
      </c>
      <c r="K16" s="1137"/>
      <c r="L16" s="1137"/>
    </row>
    <row r="17" spans="2:12" ht="31.5" customHeight="1" x14ac:dyDescent="0.25">
      <c r="B17" s="932" t="s">
        <v>134</v>
      </c>
      <c r="C17" s="933"/>
      <c r="D17" s="933"/>
      <c r="E17" s="933"/>
      <c r="F17" s="934"/>
      <c r="G17" s="935">
        <v>3149</v>
      </c>
      <c r="H17" s="935">
        <v>3389</v>
      </c>
      <c r="I17" s="936">
        <v>3213</v>
      </c>
      <c r="J17" s="931">
        <f t="shared" si="0"/>
        <v>94.806727648273821</v>
      </c>
      <c r="K17" s="1137"/>
      <c r="L17" s="1137"/>
    </row>
    <row r="18" spans="2:12" ht="31.5" customHeight="1" x14ac:dyDescent="0.25">
      <c r="B18" s="932" t="s">
        <v>185</v>
      </c>
      <c r="C18" s="933"/>
      <c r="D18" s="2927"/>
      <c r="E18" s="933"/>
      <c r="F18" s="934"/>
      <c r="G18" s="935">
        <v>1800</v>
      </c>
      <c r="H18" s="935">
        <v>2477</v>
      </c>
      <c r="I18" s="936">
        <v>1105</v>
      </c>
      <c r="J18" s="931">
        <f t="shared" si="0"/>
        <v>44.610415825595481</v>
      </c>
      <c r="K18" s="1137"/>
      <c r="L18" s="1137"/>
    </row>
    <row r="19" spans="2:12" ht="31.5" customHeight="1" x14ac:dyDescent="0.25">
      <c r="B19" s="932" t="s">
        <v>135</v>
      </c>
      <c r="C19" s="933"/>
      <c r="D19" s="933"/>
      <c r="E19" s="933"/>
      <c r="F19" s="934"/>
      <c r="G19" s="935">
        <v>3000</v>
      </c>
      <c r="H19" s="935">
        <v>9231</v>
      </c>
      <c r="I19" s="936">
        <v>4008</v>
      </c>
      <c r="J19" s="931">
        <f t="shared" si="0"/>
        <v>43.41891452713682</v>
      </c>
      <c r="K19" s="1137"/>
      <c r="L19" s="1137"/>
    </row>
    <row r="20" spans="2:12" ht="31.5" customHeight="1" x14ac:dyDescent="0.25">
      <c r="B20" s="932" t="s">
        <v>528</v>
      </c>
      <c r="C20" s="933"/>
      <c r="D20" s="933"/>
      <c r="E20" s="933"/>
      <c r="F20" s="934"/>
      <c r="G20" s="935">
        <v>2800</v>
      </c>
      <c r="H20" s="935">
        <v>3348</v>
      </c>
      <c r="I20" s="936">
        <v>2912</v>
      </c>
      <c r="J20" s="931">
        <f t="shared" ref="J20:J27" si="1">+I20/H20*100</f>
        <v>86.977299880525678</v>
      </c>
      <c r="K20" s="1137"/>
      <c r="L20" s="1137"/>
    </row>
    <row r="21" spans="2:12" ht="31.5" customHeight="1" x14ac:dyDescent="0.25">
      <c r="B21" s="932" t="s">
        <v>260</v>
      </c>
      <c r="C21" s="933"/>
      <c r="D21" s="933"/>
      <c r="E21" s="933"/>
      <c r="F21" s="934"/>
      <c r="G21" s="937">
        <v>3000</v>
      </c>
      <c r="H21" s="937">
        <v>413</v>
      </c>
      <c r="I21" s="854"/>
      <c r="J21" s="888">
        <f t="shared" si="1"/>
        <v>0</v>
      </c>
      <c r="K21" s="1137"/>
      <c r="L21" s="1137"/>
    </row>
    <row r="22" spans="2:12" ht="31.5" customHeight="1" x14ac:dyDescent="0.25">
      <c r="B22" s="938" t="s">
        <v>83</v>
      </c>
      <c r="C22" s="939"/>
      <c r="D22" s="939"/>
      <c r="E22" s="939"/>
      <c r="F22" s="940"/>
      <c r="G22" s="935">
        <v>51500</v>
      </c>
      <c r="H22" s="935">
        <v>71304</v>
      </c>
      <c r="I22" s="941">
        <v>59394</v>
      </c>
      <c r="J22" s="942">
        <f t="shared" si="1"/>
        <v>83.296869740828001</v>
      </c>
      <c r="K22" s="1137"/>
      <c r="L22" s="1137"/>
    </row>
    <row r="23" spans="2:12" ht="63" customHeight="1" thickBot="1" x14ac:dyDescent="0.3">
      <c r="B23" s="2739" t="s">
        <v>746</v>
      </c>
      <c r="C23" s="2740"/>
      <c r="D23" s="2740"/>
      <c r="E23" s="2740"/>
      <c r="F23" s="2741"/>
      <c r="G23" s="943">
        <v>1000</v>
      </c>
      <c r="H23" s="943">
        <v>3500</v>
      </c>
      <c r="I23" s="916">
        <v>812</v>
      </c>
      <c r="J23" s="944">
        <f t="shared" si="1"/>
        <v>23.200000000000003</v>
      </c>
      <c r="K23" s="1137"/>
      <c r="L23" s="1137"/>
    </row>
    <row r="24" spans="2:12" ht="31.5" customHeight="1" thickBot="1" x14ac:dyDescent="0.3">
      <c r="B24" s="2732" t="s">
        <v>149</v>
      </c>
      <c r="C24" s="2733"/>
      <c r="D24" s="2733"/>
      <c r="E24" s="2733"/>
      <c r="F24" s="2734"/>
      <c r="G24" s="906">
        <f>SUM(G7:G23)</f>
        <v>1167024</v>
      </c>
      <c r="H24" s="906">
        <f>SUM(H7:H23)</f>
        <v>1275455</v>
      </c>
      <c r="I24" s="906">
        <f>SUM(I7:I23)</f>
        <v>1065850</v>
      </c>
      <c r="J24" s="920">
        <f t="shared" si="1"/>
        <v>83.566256747592035</v>
      </c>
      <c r="K24" s="1137"/>
      <c r="L24" s="1137"/>
    </row>
    <row r="25" spans="2:12" ht="31.5" customHeight="1" x14ac:dyDescent="0.25">
      <c r="B25" s="945" t="s">
        <v>148</v>
      </c>
      <c r="C25" s="946"/>
      <c r="D25" s="946"/>
      <c r="E25" s="946"/>
      <c r="F25" s="946"/>
      <c r="G25" s="947">
        <v>3000</v>
      </c>
      <c r="H25" s="947">
        <v>1061</v>
      </c>
      <c r="I25" s="947">
        <v>621</v>
      </c>
      <c r="J25" s="948">
        <f t="shared" si="1"/>
        <v>58.529688972667294</v>
      </c>
      <c r="K25" s="1137"/>
      <c r="L25" s="1137"/>
    </row>
    <row r="26" spans="2:12" ht="31.5" customHeight="1" thickBot="1" x14ac:dyDescent="0.3">
      <c r="B26" s="915" t="s">
        <v>298</v>
      </c>
      <c r="C26" s="949"/>
      <c r="D26" s="949"/>
      <c r="E26" s="949"/>
      <c r="F26" s="949"/>
      <c r="G26" s="950">
        <v>2000</v>
      </c>
      <c r="H26" s="950">
        <v>1207</v>
      </c>
      <c r="I26" s="950">
        <v>965</v>
      </c>
      <c r="J26" s="951">
        <f t="shared" si="1"/>
        <v>79.950289975144983</v>
      </c>
      <c r="K26" s="1137"/>
      <c r="L26" s="1137"/>
    </row>
    <row r="27" spans="2:12" ht="47.25" customHeight="1" thickBot="1" x14ac:dyDescent="0.3">
      <c r="B27" s="2729" t="s">
        <v>747</v>
      </c>
      <c r="C27" s="2730"/>
      <c r="D27" s="2730"/>
      <c r="E27" s="2730"/>
      <c r="F27" s="2731"/>
      <c r="G27" s="952">
        <f>+G24+G25+G26</f>
        <v>1172024</v>
      </c>
      <c r="H27" s="952">
        <f t="shared" ref="H27:I27" si="2">+H24+H25+H26</f>
        <v>1277723</v>
      </c>
      <c r="I27" s="952">
        <f t="shared" si="2"/>
        <v>1067436</v>
      </c>
      <c r="J27" s="920">
        <f t="shared" si="1"/>
        <v>83.542050976620132</v>
      </c>
      <c r="K27" s="1137"/>
      <c r="L27" s="1137"/>
    </row>
    <row r="29" spans="2:12" ht="15" customHeight="1" x14ac:dyDescent="0.2">
      <c r="I29" s="5"/>
    </row>
    <row r="30" spans="2:12" ht="15" customHeight="1" x14ac:dyDescent="0.2">
      <c r="I30" s="5"/>
    </row>
    <row r="31" spans="2:12" ht="15" customHeight="1" x14ac:dyDescent="0.2">
      <c r="I31" s="5"/>
    </row>
    <row r="32" spans="2:12" ht="15" customHeight="1" x14ac:dyDescent="0.2">
      <c r="I32" s="5"/>
    </row>
    <row r="33" spans="9:9" ht="15" customHeight="1" x14ac:dyDescent="0.2">
      <c r="I33" s="5"/>
    </row>
    <row r="49" spans="7:7" ht="15" customHeight="1" x14ac:dyDescent="0.2">
      <c r="G49" s="41"/>
    </row>
    <row r="50" spans="7:7" ht="15" customHeight="1" x14ac:dyDescent="0.2">
      <c r="G50" s="41"/>
    </row>
  </sheetData>
  <mergeCells count="7">
    <mergeCell ref="B27:F27"/>
    <mergeCell ref="B24:F24"/>
    <mergeCell ref="B1:G1"/>
    <mergeCell ref="B5:F5"/>
    <mergeCell ref="G5:H5"/>
    <mergeCell ref="B2:J2"/>
    <mergeCell ref="B23:F23"/>
  </mergeCells>
  <phoneticPr fontId="0" type="noConversion"/>
  <printOptions horizontalCentered="1" verticalCentered="1"/>
  <pageMargins left="0.27559055118110237" right="0" top="0.59055118110236227" bottom="0.59055118110236227" header="0.31496062992125984" footer="0.31496062992125984"/>
  <pageSetup paperSize="9" scale="63" orientation="portrait" horizontalDpi="300" verticalDpi="300" r:id="rId1"/>
  <headerFooter alignWithMargins="0">
    <oddHeader xml:space="preserve">&amp;L
&amp;R&amp;"Arial,Félkövér"&amp;14 &amp;13 15. melléklet a ..../2020. (......) önkormányzati rendelethez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6"/>
  <dimension ref="A1:H150"/>
  <sheetViews>
    <sheetView zoomScale="75" zoomScaleNormal="75" workbookViewId="0">
      <selection activeCell="J20" sqref="J20"/>
    </sheetView>
  </sheetViews>
  <sheetFormatPr defaultColWidth="12" defaultRowHeight="15" customHeight="1" x14ac:dyDescent="0.2"/>
  <cols>
    <col min="1" max="1" width="12" style="29" bestFit="1" customWidth="1"/>
    <col min="2" max="2" width="92.1640625" style="6" customWidth="1"/>
    <col min="3" max="3" width="22.1640625" style="6" customWidth="1"/>
    <col min="4" max="5" width="22.1640625" style="4" customWidth="1"/>
    <col min="6" max="6" width="22.1640625" style="6" customWidth="1"/>
    <col min="7" max="16384" width="12" style="6"/>
  </cols>
  <sheetData>
    <row r="1" spans="2:8" ht="15" customHeight="1" x14ac:dyDescent="0.25">
      <c r="B1" s="2742"/>
      <c r="C1" s="2742"/>
      <c r="D1" s="2611"/>
      <c r="E1" s="2611"/>
      <c r="F1" s="1310"/>
      <c r="G1" s="1310"/>
    </row>
    <row r="2" spans="2:8" ht="30" customHeight="1" x14ac:dyDescent="0.35">
      <c r="B2" s="2743" t="s">
        <v>479</v>
      </c>
      <c r="C2" s="2743"/>
      <c r="D2" s="2743"/>
      <c r="E2" s="2743"/>
      <c r="F2" s="2743"/>
    </row>
    <row r="3" spans="2:8" ht="12" customHeight="1" x14ac:dyDescent="0.25">
      <c r="B3" s="22"/>
      <c r="C3" s="22"/>
    </row>
    <row r="4" spans="2:8" ht="15" customHeight="1" thickBot="1" x14ac:dyDescent="0.3">
      <c r="B4" s="12"/>
      <c r="C4" s="13"/>
      <c r="D4" s="20"/>
      <c r="E4" s="20"/>
      <c r="F4" s="13" t="s">
        <v>26</v>
      </c>
    </row>
    <row r="5" spans="2:8" ht="30.6" customHeight="1" x14ac:dyDescent="0.25">
      <c r="B5" s="956" t="s">
        <v>42</v>
      </c>
      <c r="C5" s="2737" t="s">
        <v>517</v>
      </c>
      <c r="D5" s="2738"/>
      <c r="E5" s="846" t="s">
        <v>685</v>
      </c>
      <c r="F5" s="847" t="s">
        <v>139</v>
      </c>
    </row>
    <row r="6" spans="2:8" ht="30.6" customHeight="1" thickBot="1" x14ac:dyDescent="0.3">
      <c r="B6" s="957"/>
      <c r="C6" s="849" t="s">
        <v>264</v>
      </c>
      <c r="D6" s="891" t="s">
        <v>137</v>
      </c>
      <c r="E6" s="759" t="s">
        <v>138</v>
      </c>
      <c r="F6" s="850" t="s">
        <v>140</v>
      </c>
    </row>
    <row r="7" spans="2:8" ht="30.6" customHeight="1" x14ac:dyDescent="0.25">
      <c r="B7" s="958" t="s">
        <v>86</v>
      </c>
      <c r="C7" s="937">
        <v>37500</v>
      </c>
      <c r="D7" s="937">
        <v>43102</v>
      </c>
      <c r="E7" s="854">
        <v>38613</v>
      </c>
      <c r="F7" s="888">
        <f>+E7/D7*100</f>
        <v>89.585170061714066</v>
      </c>
      <c r="G7" s="1138"/>
      <c r="H7" s="1138"/>
    </row>
    <row r="8" spans="2:8" ht="30.6" customHeight="1" x14ac:dyDescent="0.25">
      <c r="B8" s="959" t="s">
        <v>265</v>
      </c>
      <c r="C8" s="937">
        <v>5000</v>
      </c>
      <c r="D8" s="937">
        <v>5000</v>
      </c>
      <c r="E8" s="854">
        <v>5000</v>
      </c>
      <c r="F8" s="888">
        <f>+E8/D8*100</f>
        <v>100</v>
      </c>
      <c r="G8" s="1138"/>
      <c r="H8" s="1138"/>
    </row>
    <row r="9" spans="2:8" ht="30.6" customHeight="1" x14ac:dyDescent="0.25">
      <c r="B9" s="959" t="s">
        <v>266</v>
      </c>
      <c r="C9" s="937">
        <v>7300</v>
      </c>
      <c r="D9" s="937">
        <v>8023</v>
      </c>
      <c r="E9" s="854">
        <v>4584</v>
      </c>
      <c r="F9" s="888">
        <f>+E9/D9*100</f>
        <v>57.135734762557647</v>
      </c>
      <c r="G9" s="1138"/>
      <c r="H9" s="1138"/>
    </row>
    <row r="10" spans="2:8" ht="30.6" customHeight="1" x14ac:dyDescent="0.25">
      <c r="B10" s="959" t="s">
        <v>54</v>
      </c>
      <c r="C10" s="937">
        <v>3000</v>
      </c>
      <c r="D10" s="937">
        <v>6002</v>
      </c>
      <c r="E10" s="854"/>
      <c r="F10" s="888">
        <f t="shared" ref="F10:F16" si="0">+E10/D10*100</f>
        <v>0</v>
      </c>
      <c r="G10" s="1138"/>
      <c r="H10" s="1138"/>
    </row>
    <row r="11" spans="2:8" ht="30.6" customHeight="1" x14ac:dyDescent="0.25">
      <c r="B11" s="959" t="s">
        <v>704</v>
      </c>
      <c r="C11" s="937">
        <v>80000</v>
      </c>
      <c r="D11" s="937">
        <v>83011</v>
      </c>
      <c r="E11" s="854">
        <v>82517</v>
      </c>
      <c r="F11" s="888">
        <f t="shared" si="0"/>
        <v>99.404898146028842</v>
      </c>
      <c r="G11" s="1138"/>
      <c r="H11" s="1138"/>
    </row>
    <row r="12" spans="2:8" ht="30.6" customHeight="1" x14ac:dyDescent="0.25">
      <c r="B12" s="959" t="s">
        <v>529</v>
      </c>
      <c r="C12" s="937">
        <v>11000</v>
      </c>
      <c r="D12" s="937">
        <v>19757</v>
      </c>
      <c r="E12" s="854">
        <v>15013</v>
      </c>
      <c r="F12" s="888">
        <f t="shared" si="0"/>
        <v>75.988257326517186</v>
      </c>
      <c r="G12" s="1138"/>
      <c r="H12" s="1138"/>
    </row>
    <row r="13" spans="2:8" ht="41.25" customHeight="1" x14ac:dyDescent="0.25">
      <c r="B13" s="960" t="s">
        <v>530</v>
      </c>
      <c r="C13" s="937">
        <v>10000</v>
      </c>
      <c r="D13" s="937">
        <v>11201</v>
      </c>
      <c r="E13" s="854">
        <v>5651</v>
      </c>
      <c r="F13" s="888">
        <f t="shared" si="0"/>
        <v>50.450852602446204</v>
      </c>
      <c r="G13" s="1138"/>
      <c r="H13" s="1138"/>
    </row>
    <row r="14" spans="2:8" ht="30.6" customHeight="1" x14ac:dyDescent="0.25">
      <c r="B14" s="960" t="s">
        <v>351</v>
      </c>
      <c r="C14" s="937">
        <v>0</v>
      </c>
      <c r="D14" s="937">
        <v>2509</v>
      </c>
      <c r="E14" s="854">
        <v>285</v>
      </c>
      <c r="F14" s="888">
        <f t="shared" si="0"/>
        <v>11.359107214029494</v>
      </c>
      <c r="G14" s="1138"/>
      <c r="H14" s="1138"/>
    </row>
    <row r="15" spans="2:8" ht="30.6" customHeight="1" x14ac:dyDescent="0.25">
      <c r="B15" s="959" t="s">
        <v>11</v>
      </c>
      <c r="C15" s="937"/>
      <c r="D15" s="937">
        <v>100</v>
      </c>
      <c r="E15" s="854"/>
      <c r="F15" s="888">
        <f t="shared" si="0"/>
        <v>0</v>
      </c>
      <c r="G15" s="1138"/>
      <c r="H15" s="1138"/>
    </row>
    <row r="16" spans="2:8" ht="30.6" customHeight="1" x14ac:dyDescent="0.25">
      <c r="B16" s="961" t="s">
        <v>220</v>
      </c>
      <c r="C16" s="937"/>
      <c r="D16" s="937">
        <v>2</v>
      </c>
      <c r="E16" s="854"/>
      <c r="F16" s="888">
        <f t="shared" si="0"/>
        <v>0</v>
      </c>
      <c r="G16" s="1138"/>
      <c r="H16" s="1138"/>
    </row>
    <row r="17" spans="1:8" ht="30.6" customHeight="1" x14ac:dyDescent="0.25">
      <c r="B17" s="959" t="s">
        <v>147</v>
      </c>
      <c r="C17" s="937"/>
      <c r="D17" s="937">
        <v>2207</v>
      </c>
      <c r="E17" s="854">
        <v>676</v>
      </c>
      <c r="F17" s="888">
        <f t="shared" ref="F17:F23" si="1">+E17/D17*100</f>
        <v>30.629814227458084</v>
      </c>
      <c r="G17" s="1138"/>
      <c r="H17" s="1138"/>
    </row>
    <row r="18" spans="1:8" ht="30.6" customHeight="1" x14ac:dyDescent="0.25">
      <c r="B18" s="959" t="s">
        <v>267</v>
      </c>
      <c r="C18" s="937">
        <v>400</v>
      </c>
      <c r="D18" s="2926">
        <v>1484</v>
      </c>
      <c r="E18" s="854"/>
      <c r="F18" s="888">
        <f t="shared" si="1"/>
        <v>0</v>
      </c>
      <c r="G18" s="1138"/>
      <c r="H18" s="1138"/>
    </row>
    <row r="19" spans="1:8" ht="30.6" customHeight="1" x14ac:dyDescent="0.25">
      <c r="B19" s="959" t="s">
        <v>56</v>
      </c>
      <c r="C19" s="937">
        <v>3500</v>
      </c>
      <c r="D19" s="937">
        <v>3500</v>
      </c>
      <c r="E19" s="854">
        <v>1944</v>
      </c>
      <c r="F19" s="888">
        <f t="shared" si="1"/>
        <v>55.542857142857137</v>
      </c>
      <c r="G19" s="1138"/>
      <c r="H19" s="1138"/>
    </row>
    <row r="20" spans="1:8" s="10" customFormat="1" ht="30.6" customHeight="1" x14ac:dyDescent="0.25">
      <c r="A20" s="31"/>
      <c r="B20" s="959" t="s">
        <v>71</v>
      </c>
      <c r="C20" s="937">
        <v>2000</v>
      </c>
      <c r="D20" s="937">
        <v>5188</v>
      </c>
      <c r="E20" s="854">
        <v>2159</v>
      </c>
      <c r="F20" s="888">
        <f t="shared" si="1"/>
        <v>41.615265998457978</v>
      </c>
      <c r="G20" s="1138"/>
      <c r="H20" s="1138"/>
    </row>
    <row r="21" spans="1:8" ht="30.6" customHeight="1" x14ac:dyDescent="0.25">
      <c r="B21" s="959" t="s">
        <v>268</v>
      </c>
      <c r="C21" s="937">
        <v>41000</v>
      </c>
      <c r="D21" s="937">
        <v>69936</v>
      </c>
      <c r="E21" s="854">
        <v>69936</v>
      </c>
      <c r="F21" s="888">
        <f t="shared" si="1"/>
        <v>100</v>
      </c>
      <c r="G21" s="1138"/>
      <c r="H21" s="1138"/>
    </row>
    <row r="22" spans="1:8" ht="30.6" customHeight="1" x14ac:dyDescent="0.25">
      <c r="B22" s="959" t="s">
        <v>85</v>
      </c>
      <c r="C22" s="937">
        <v>17000</v>
      </c>
      <c r="D22" s="937">
        <v>32657</v>
      </c>
      <c r="E22" s="854">
        <v>14087</v>
      </c>
      <c r="F22" s="888">
        <f t="shared" si="1"/>
        <v>43.136234191750624</v>
      </c>
      <c r="G22" s="1138"/>
      <c r="H22" s="1138"/>
    </row>
    <row r="23" spans="1:8" ht="30.6" customHeight="1" x14ac:dyDescent="0.25">
      <c r="B23" s="959" t="s">
        <v>146</v>
      </c>
      <c r="C23" s="937">
        <v>18000</v>
      </c>
      <c r="D23" s="937">
        <v>23834</v>
      </c>
      <c r="E23" s="854">
        <v>22959</v>
      </c>
      <c r="F23" s="888">
        <f t="shared" si="1"/>
        <v>96.328774020307122</v>
      </c>
      <c r="G23" s="1138"/>
      <c r="H23" s="1138"/>
    </row>
    <row r="24" spans="1:8" ht="41.25" customHeight="1" x14ac:dyDescent="0.25">
      <c r="B24" s="960" t="s">
        <v>177</v>
      </c>
      <c r="C24" s="937">
        <v>5000</v>
      </c>
      <c r="D24" s="937">
        <v>8929</v>
      </c>
      <c r="E24" s="854">
        <v>8678</v>
      </c>
      <c r="F24" s="888">
        <f t="shared" ref="F24:F31" si="2">+E24/D24*100</f>
        <v>97.188934931123299</v>
      </c>
      <c r="G24" s="1138"/>
      <c r="H24" s="1138"/>
    </row>
    <row r="25" spans="1:8" ht="30.6" customHeight="1" x14ac:dyDescent="0.25">
      <c r="B25" s="959" t="s">
        <v>55</v>
      </c>
      <c r="C25" s="937">
        <v>6500</v>
      </c>
      <c r="D25" s="937">
        <v>9980</v>
      </c>
      <c r="E25" s="854">
        <v>6927</v>
      </c>
      <c r="F25" s="888">
        <f t="shared" si="2"/>
        <v>69.408817635270537</v>
      </c>
      <c r="G25" s="1138"/>
      <c r="H25" s="1138"/>
    </row>
    <row r="26" spans="1:8" ht="61.5" customHeight="1" x14ac:dyDescent="0.25">
      <c r="B26" s="960" t="s">
        <v>749</v>
      </c>
      <c r="C26" s="937"/>
      <c r="D26" s="937">
        <v>3289</v>
      </c>
      <c r="E26" s="854">
        <v>3239</v>
      </c>
      <c r="F26" s="888">
        <f t="shared" si="2"/>
        <v>98.479781088476742</v>
      </c>
      <c r="G26" s="1138"/>
      <c r="H26" s="1138"/>
    </row>
    <row r="27" spans="1:8" ht="41.25" customHeight="1" x14ac:dyDescent="0.25">
      <c r="B27" s="960" t="s">
        <v>531</v>
      </c>
      <c r="C27" s="937">
        <v>4000</v>
      </c>
      <c r="D27" s="937">
        <v>10245</v>
      </c>
      <c r="E27" s="854">
        <v>3527</v>
      </c>
      <c r="F27" s="888">
        <f t="shared" si="2"/>
        <v>34.426549536359204</v>
      </c>
      <c r="G27" s="1138"/>
      <c r="H27" s="1138"/>
    </row>
    <row r="28" spans="1:8" ht="30.6" customHeight="1" x14ac:dyDescent="0.25">
      <c r="B28" s="962" t="s">
        <v>352</v>
      </c>
      <c r="C28" s="935">
        <v>15000</v>
      </c>
      <c r="D28" s="935">
        <v>32059</v>
      </c>
      <c r="E28" s="854">
        <v>23466</v>
      </c>
      <c r="F28" s="888">
        <f t="shared" si="2"/>
        <v>73.196294332324769</v>
      </c>
      <c r="G28" s="1138"/>
      <c r="H28" s="1138"/>
    </row>
    <row r="29" spans="1:8" ht="30.6" customHeight="1" x14ac:dyDescent="0.25">
      <c r="B29" s="959" t="s">
        <v>237</v>
      </c>
      <c r="C29" s="937">
        <v>10000</v>
      </c>
      <c r="D29" s="937">
        <v>10909</v>
      </c>
      <c r="E29" s="854">
        <v>9093</v>
      </c>
      <c r="F29" s="888">
        <f t="shared" si="2"/>
        <v>83.353194609955082</v>
      </c>
      <c r="G29" s="1138"/>
      <c r="H29" s="1138"/>
    </row>
    <row r="30" spans="1:8" ht="30.6" customHeight="1" x14ac:dyDescent="0.25">
      <c r="B30" s="959" t="s">
        <v>705</v>
      </c>
      <c r="C30" s="937"/>
      <c r="D30" s="937">
        <v>10000</v>
      </c>
      <c r="E30" s="854"/>
      <c r="F30" s="888">
        <f t="shared" si="2"/>
        <v>0</v>
      </c>
      <c r="G30" s="1138"/>
      <c r="H30" s="1138"/>
    </row>
    <row r="31" spans="1:8" ht="30.6" customHeight="1" thickBot="1" x14ac:dyDescent="0.3">
      <c r="B31" s="963" t="s">
        <v>192</v>
      </c>
      <c r="C31" s="964">
        <v>2000</v>
      </c>
      <c r="D31" s="964">
        <v>6073</v>
      </c>
      <c r="E31" s="905"/>
      <c r="F31" s="885">
        <f t="shared" si="2"/>
        <v>0</v>
      </c>
      <c r="G31" s="1138"/>
      <c r="H31" s="1138"/>
    </row>
    <row r="32" spans="1:8" ht="30.6" customHeight="1" thickBot="1" x14ac:dyDescent="0.35">
      <c r="B32" s="953" t="s">
        <v>748</v>
      </c>
      <c r="C32" s="954">
        <f>SUM(C7:C31)</f>
        <v>278200</v>
      </c>
      <c r="D32" s="954">
        <f>SUM(D7:D31)</f>
        <v>408997</v>
      </c>
      <c r="E32" s="954">
        <f>SUM(E7:E31)</f>
        <v>318354</v>
      </c>
      <c r="F32" s="955">
        <f>E32/D32*100</f>
        <v>77.837734751110645</v>
      </c>
      <c r="G32" s="1138"/>
      <c r="H32" s="1138"/>
    </row>
    <row r="33" spans="3:3" ht="15" customHeight="1" x14ac:dyDescent="0.2">
      <c r="C33" s="9"/>
    </row>
    <row r="34" spans="3:3" ht="15" hidden="1" customHeight="1" x14ac:dyDescent="0.2"/>
    <row r="36" spans="3:3" ht="15" customHeight="1" x14ac:dyDescent="0.2">
      <c r="C36" s="4"/>
    </row>
    <row r="37" spans="3:3" ht="15" customHeight="1" x14ac:dyDescent="0.2">
      <c r="C37" s="4"/>
    </row>
    <row r="38" spans="3:3" ht="15" customHeight="1" x14ac:dyDescent="0.2">
      <c r="C38" s="4"/>
    </row>
    <row r="39" spans="3:3" ht="15" customHeight="1" x14ac:dyDescent="0.2">
      <c r="C39" s="4"/>
    </row>
    <row r="40" spans="3:3" ht="15" customHeight="1" x14ac:dyDescent="0.2">
      <c r="C40" s="4"/>
    </row>
    <row r="41" spans="3:3" ht="15" customHeight="1" x14ac:dyDescent="0.2">
      <c r="C41" s="4"/>
    </row>
    <row r="42" spans="3:3" ht="15" customHeight="1" x14ac:dyDescent="0.2">
      <c r="C42" s="4"/>
    </row>
    <row r="43" spans="3:3" ht="15" customHeight="1" x14ac:dyDescent="0.2">
      <c r="C43" s="4"/>
    </row>
    <row r="44" spans="3:3" ht="15" customHeight="1" x14ac:dyDescent="0.2">
      <c r="C44" s="4"/>
    </row>
    <row r="45" spans="3:3" ht="15" customHeight="1" x14ac:dyDescent="0.2">
      <c r="C45" s="4"/>
    </row>
    <row r="46" spans="3:3" ht="15" customHeight="1" x14ac:dyDescent="0.2">
      <c r="C46" s="4"/>
    </row>
    <row r="47" spans="3:3" ht="15" customHeight="1" x14ac:dyDescent="0.2">
      <c r="C47" s="4"/>
    </row>
    <row r="48" spans="3:3" ht="15" customHeight="1" x14ac:dyDescent="0.2">
      <c r="C48" s="4"/>
    </row>
    <row r="49" spans="3:3" ht="15" customHeight="1" x14ac:dyDescent="0.2">
      <c r="C49" s="4"/>
    </row>
    <row r="50" spans="3:3" ht="15" customHeight="1" x14ac:dyDescent="0.2">
      <c r="C50" s="4"/>
    </row>
    <row r="51" spans="3:3" ht="15" customHeight="1" x14ac:dyDescent="0.2">
      <c r="C51" s="4"/>
    </row>
    <row r="52" spans="3:3" ht="15" customHeight="1" x14ac:dyDescent="0.2">
      <c r="C52" s="4"/>
    </row>
    <row r="53" spans="3:3" ht="15" customHeight="1" x14ac:dyDescent="0.2">
      <c r="C53" s="4"/>
    </row>
    <row r="54" spans="3:3" ht="15" customHeight="1" x14ac:dyDescent="0.2">
      <c r="C54" s="4"/>
    </row>
    <row r="55" spans="3:3" ht="15" customHeight="1" x14ac:dyDescent="0.2">
      <c r="C55" s="4"/>
    </row>
    <row r="56" spans="3:3" ht="15" customHeight="1" x14ac:dyDescent="0.2">
      <c r="C56" s="4"/>
    </row>
    <row r="57" spans="3:3" ht="15" customHeight="1" x14ac:dyDescent="0.2">
      <c r="C57" s="4"/>
    </row>
    <row r="58" spans="3:3" ht="15" customHeight="1" x14ac:dyDescent="0.2">
      <c r="C58" s="4"/>
    </row>
    <row r="59" spans="3:3" ht="15" customHeight="1" x14ac:dyDescent="0.2">
      <c r="C59" s="4"/>
    </row>
    <row r="60" spans="3:3" ht="15" customHeight="1" x14ac:dyDescent="0.2">
      <c r="C60" s="4"/>
    </row>
    <row r="61" spans="3:3" ht="15" customHeight="1" x14ac:dyDescent="0.2">
      <c r="C61" s="4"/>
    </row>
    <row r="62" spans="3:3" ht="15" customHeight="1" x14ac:dyDescent="0.2">
      <c r="C62" s="4"/>
    </row>
    <row r="63" spans="3:3" ht="15" customHeight="1" x14ac:dyDescent="0.2">
      <c r="C63" s="4"/>
    </row>
    <row r="64" spans="3:3" ht="15" customHeight="1" x14ac:dyDescent="0.2">
      <c r="C64" s="4"/>
    </row>
    <row r="65" spans="3:3" ht="15" customHeight="1" x14ac:dyDescent="0.2">
      <c r="C65" s="4"/>
    </row>
    <row r="66" spans="3:3" ht="15" customHeight="1" x14ac:dyDescent="0.2">
      <c r="C66" s="4"/>
    </row>
    <row r="67" spans="3:3" ht="15" customHeight="1" x14ac:dyDescent="0.2">
      <c r="C67" s="4"/>
    </row>
    <row r="68" spans="3:3" ht="15" customHeight="1" x14ac:dyDescent="0.2">
      <c r="C68" s="4"/>
    </row>
    <row r="69" spans="3:3" ht="15" customHeight="1" x14ac:dyDescent="0.2">
      <c r="C69" s="4"/>
    </row>
    <row r="70" spans="3:3" ht="15" customHeight="1" x14ac:dyDescent="0.2">
      <c r="C70" s="4"/>
    </row>
    <row r="71" spans="3:3" ht="15" customHeight="1" x14ac:dyDescent="0.2">
      <c r="C71" s="4"/>
    </row>
    <row r="72" spans="3:3" ht="15" customHeight="1" x14ac:dyDescent="0.2">
      <c r="C72" s="4"/>
    </row>
    <row r="73" spans="3:3" ht="15" customHeight="1" x14ac:dyDescent="0.2">
      <c r="C73" s="4"/>
    </row>
    <row r="74" spans="3:3" ht="15" customHeight="1" x14ac:dyDescent="0.2">
      <c r="C74" s="4"/>
    </row>
    <row r="75" spans="3:3" ht="15" customHeight="1" x14ac:dyDescent="0.2">
      <c r="C75" s="4"/>
    </row>
    <row r="76" spans="3:3" ht="15" customHeight="1" x14ac:dyDescent="0.2">
      <c r="C76" s="4"/>
    </row>
    <row r="77" spans="3:3" ht="15" customHeight="1" x14ac:dyDescent="0.2">
      <c r="C77" s="4"/>
    </row>
    <row r="78" spans="3:3" ht="15" customHeight="1" x14ac:dyDescent="0.2">
      <c r="C78" s="4"/>
    </row>
    <row r="79" spans="3:3" ht="15" customHeight="1" x14ac:dyDescent="0.2">
      <c r="C79" s="4"/>
    </row>
    <row r="80" spans="3:3" ht="15" customHeight="1" x14ac:dyDescent="0.2">
      <c r="C80" s="4"/>
    </row>
    <row r="81" spans="3:3" ht="15" customHeight="1" x14ac:dyDescent="0.2">
      <c r="C81" s="4"/>
    </row>
    <row r="82" spans="3:3" ht="15" customHeight="1" x14ac:dyDescent="0.2">
      <c r="C82" s="4"/>
    </row>
    <row r="83" spans="3:3" ht="15" customHeight="1" x14ac:dyDescent="0.2">
      <c r="C83" s="4"/>
    </row>
    <row r="84" spans="3:3" ht="15" customHeight="1" x14ac:dyDescent="0.2">
      <c r="C84" s="4"/>
    </row>
    <row r="85" spans="3:3" ht="15" customHeight="1" x14ac:dyDescent="0.2">
      <c r="C85" s="4"/>
    </row>
    <row r="86" spans="3:3" ht="15" customHeight="1" x14ac:dyDescent="0.2">
      <c r="C86" s="4"/>
    </row>
    <row r="87" spans="3:3" ht="15" customHeight="1" x14ac:dyDescent="0.2">
      <c r="C87" s="4"/>
    </row>
    <row r="88" spans="3:3" ht="15" customHeight="1" x14ac:dyDescent="0.2">
      <c r="C88" s="4"/>
    </row>
    <row r="89" spans="3:3" ht="15" customHeight="1" x14ac:dyDescent="0.2">
      <c r="C89" s="4"/>
    </row>
    <row r="90" spans="3:3" ht="15" customHeight="1" x14ac:dyDescent="0.2">
      <c r="C90" s="4"/>
    </row>
    <row r="91" spans="3:3" ht="15" customHeight="1" x14ac:dyDescent="0.2">
      <c r="C91" s="4"/>
    </row>
    <row r="92" spans="3:3" ht="15" customHeight="1" x14ac:dyDescent="0.2">
      <c r="C92" s="4"/>
    </row>
    <row r="93" spans="3:3" ht="15" customHeight="1" x14ac:dyDescent="0.2">
      <c r="C93" s="4"/>
    </row>
    <row r="94" spans="3:3" ht="15" customHeight="1" x14ac:dyDescent="0.2">
      <c r="C94" s="4"/>
    </row>
    <row r="95" spans="3:3" ht="15" customHeight="1" x14ac:dyDescent="0.2">
      <c r="C95" s="4"/>
    </row>
    <row r="96" spans="3:3" ht="15" customHeight="1" x14ac:dyDescent="0.2">
      <c r="C96" s="4"/>
    </row>
    <row r="97" spans="3:3" ht="15" customHeight="1" x14ac:dyDescent="0.2">
      <c r="C97" s="4"/>
    </row>
    <row r="98" spans="3:3" ht="15" customHeight="1" x14ac:dyDescent="0.2">
      <c r="C98" s="4"/>
    </row>
    <row r="99" spans="3:3" ht="15" customHeight="1" x14ac:dyDescent="0.2">
      <c r="C99" s="4"/>
    </row>
    <row r="100" spans="3:3" ht="15" customHeight="1" x14ac:dyDescent="0.2">
      <c r="C100" s="4"/>
    </row>
    <row r="101" spans="3:3" ht="15" customHeight="1" x14ac:dyDescent="0.2">
      <c r="C101" s="4"/>
    </row>
    <row r="102" spans="3:3" ht="15" customHeight="1" x14ac:dyDescent="0.2">
      <c r="C102" s="4"/>
    </row>
    <row r="103" spans="3:3" ht="15" customHeight="1" x14ac:dyDescent="0.2">
      <c r="C103" s="4"/>
    </row>
    <row r="104" spans="3:3" ht="15" customHeight="1" x14ac:dyDescent="0.2">
      <c r="C104" s="4"/>
    </row>
    <row r="105" spans="3:3" ht="15" customHeight="1" x14ac:dyDescent="0.2">
      <c r="C105" s="4"/>
    </row>
    <row r="106" spans="3:3" ht="15" customHeight="1" x14ac:dyDescent="0.2">
      <c r="C106" s="4"/>
    </row>
    <row r="107" spans="3:3" ht="15" customHeight="1" x14ac:dyDescent="0.2">
      <c r="C107" s="4"/>
    </row>
    <row r="108" spans="3:3" ht="15" customHeight="1" x14ac:dyDescent="0.2">
      <c r="C108" s="4"/>
    </row>
    <row r="109" spans="3:3" ht="15" customHeight="1" x14ac:dyDescent="0.2">
      <c r="C109" s="4"/>
    </row>
    <row r="110" spans="3:3" ht="15" customHeight="1" x14ac:dyDescent="0.2">
      <c r="C110" s="4"/>
    </row>
    <row r="111" spans="3:3" ht="15" customHeight="1" x14ac:dyDescent="0.2">
      <c r="C111" s="4"/>
    </row>
    <row r="112" spans="3:3" ht="15" customHeight="1" x14ac:dyDescent="0.2">
      <c r="C112" s="4"/>
    </row>
    <row r="113" spans="3:3" ht="15" customHeight="1" x14ac:dyDescent="0.2">
      <c r="C113" s="4"/>
    </row>
    <row r="114" spans="3:3" ht="15" customHeight="1" x14ac:dyDescent="0.2">
      <c r="C114" s="4"/>
    </row>
    <row r="115" spans="3:3" ht="15" customHeight="1" x14ac:dyDescent="0.2">
      <c r="C115" s="4"/>
    </row>
    <row r="116" spans="3:3" ht="15" customHeight="1" x14ac:dyDescent="0.2">
      <c r="C116" s="4"/>
    </row>
    <row r="117" spans="3:3" ht="15" customHeight="1" x14ac:dyDescent="0.2">
      <c r="C117" s="4"/>
    </row>
    <row r="118" spans="3:3" ht="15" customHeight="1" x14ac:dyDescent="0.2">
      <c r="C118" s="4"/>
    </row>
    <row r="119" spans="3:3" ht="15" customHeight="1" x14ac:dyDescent="0.2">
      <c r="C119" s="4"/>
    </row>
    <row r="120" spans="3:3" ht="15" customHeight="1" x14ac:dyDescent="0.2">
      <c r="C120" s="4"/>
    </row>
    <row r="121" spans="3:3" ht="15" customHeight="1" x14ac:dyDescent="0.2">
      <c r="C121" s="4"/>
    </row>
    <row r="122" spans="3:3" ht="15" customHeight="1" x14ac:dyDescent="0.2">
      <c r="C122" s="4"/>
    </row>
    <row r="123" spans="3:3" ht="15" customHeight="1" x14ac:dyDescent="0.2">
      <c r="C123" s="4"/>
    </row>
    <row r="124" spans="3:3" ht="15" customHeight="1" x14ac:dyDescent="0.2">
      <c r="C124" s="4"/>
    </row>
    <row r="125" spans="3:3" ht="15" customHeight="1" x14ac:dyDescent="0.2">
      <c r="C125" s="4"/>
    </row>
    <row r="126" spans="3:3" ht="15" customHeight="1" x14ac:dyDescent="0.2">
      <c r="C126" s="4"/>
    </row>
    <row r="127" spans="3:3" ht="15" customHeight="1" x14ac:dyDescent="0.2">
      <c r="C127" s="4"/>
    </row>
    <row r="128" spans="3:3" ht="15" customHeight="1" x14ac:dyDescent="0.2">
      <c r="C128" s="4"/>
    </row>
    <row r="129" spans="3:3" ht="15" customHeight="1" x14ac:dyDescent="0.2">
      <c r="C129" s="4"/>
    </row>
    <row r="130" spans="3:3" ht="15" customHeight="1" x14ac:dyDescent="0.2">
      <c r="C130" s="4"/>
    </row>
    <row r="131" spans="3:3" ht="15" customHeight="1" x14ac:dyDescent="0.2">
      <c r="C131" s="4"/>
    </row>
    <row r="132" spans="3:3" ht="15" customHeight="1" x14ac:dyDescent="0.2">
      <c r="C132" s="4"/>
    </row>
    <row r="133" spans="3:3" ht="15" customHeight="1" x14ac:dyDescent="0.2">
      <c r="C133" s="4"/>
    </row>
    <row r="134" spans="3:3" ht="15" customHeight="1" x14ac:dyDescent="0.2">
      <c r="C134" s="4"/>
    </row>
    <row r="135" spans="3:3" ht="15" customHeight="1" x14ac:dyDescent="0.2">
      <c r="C135" s="4"/>
    </row>
    <row r="136" spans="3:3" ht="15" customHeight="1" x14ac:dyDescent="0.2">
      <c r="C136" s="4"/>
    </row>
    <row r="137" spans="3:3" ht="15" customHeight="1" x14ac:dyDescent="0.2">
      <c r="C137" s="4"/>
    </row>
    <row r="138" spans="3:3" ht="15" customHeight="1" x14ac:dyDescent="0.2">
      <c r="C138" s="4"/>
    </row>
    <row r="139" spans="3:3" ht="15" customHeight="1" x14ac:dyDescent="0.2">
      <c r="C139" s="4"/>
    </row>
    <row r="140" spans="3:3" ht="15" customHeight="1" x14ac:dyDescent="0.2">
      <c r="C140" s="4"/>
    </row>
    <row r="141" spans="3:3" ht="15" customHeight="1" x14ac:dyDescent="0.2">
      <c r="C141" s="4"/>
    </row>
    <row r="142" spans="3:3" ht="15" customHeight="1" x14ac:dyDescent="0.2">
      <c r="C142" s="4"/>
    </row>
    <row r="143" spans="3:3" ht="15" customHeight="1" x14ac:dyDescent="0.2">
      <c r="C143" s="4"/>
    </row>
    <row r="144" spans="3:3" ht="15" customHeight="1" x14ac:dyDescent="0.2">
      <c r="C144" s="4"/>
    </row>
    <row r="145" spans="3:3" ht="15" customHeight="1" x14ac:dyDescent="0.2">
      <c r="C145" s="4"/>
    </row>
    <row r="146" spans="3:3" ht="15" customHeight="1" x14ac:dyDescent="0.2">
      <c r="C146" s="4"/>
    </row>
    <row r="147" spans="3:3" ht="15" customHeight="1" x14ac:dyDescent="0.2">
      <c r="C147" s="4"/>
    </row>
    <row r="148" spans="3:3" ht="15" customHeight="1" x14ac:dyDescent="0.2">
      <c r="C148" s="4"/>
    </row>
    <row r="149" spans="3:3" ht="15" customHeight="1" x14ac:dyDescent="0.2">
      <c r="C149" s="4"/>
    </row>
    <row r="150" spans="3:3" ht="15" customHeight="1" x14ac:dyDescent="0.2">
      <c r="C150" s="4"/>
    </row>
  </sheetData>
  <mergeCells count="3">
    <mergeCell ref="B1:C1"/>
    <mergeCell ref="C5:D5"/>
    <mergeCell ref="B2:F2"/>
  </mergeCells>
  <phoneticPr fontId="0" type="noConversion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65" orientation="portrait" r:id="rId1"/>
  <headerFooter alignWithMargins="0">
    <oddHeader xml:space="preserve">&amp;R&amp;"Cambria,Félkövér"&amp;13 &amp;"Arial,Félkövér" 16. melléklet a ..../2020. (......) önkormányzati rendelethez
</oddHeader>
    <oddFooter xml:space="preserve">&amp;C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92"/>
  <sheetViews>
    <sheetView zoomScaleNormal="100" workbookViewId="0">
      <selection activeCell="J20" sqref="J20"/>
    </sheetView>
  </sheetViews>
  <sheetFormatPr defaultColWidth="10.6640625" defaultRowHeight="15" x14ac:dyDescent="0.2"/>
  <cols>
    <col min="1" max="1" width="13.33203125" style="24" customWidth="1"/>
    <col min="2" max="2" width="6" style="24" customWidth="1"/>
    <col min="3" max="3" width="126.83203125" style="24" customWidth="1"/>
    <col min="4" max="7" width="22.83203125" style="24" customWidth="1"/>
    <col min="8" max="8" width="21.6640625" style="1132" bestFit="1" customWidth="1"/>
    <col min="9" max="9" width="21.6640625" style="24" bestFit="1" customWidth="1"/>
    <col min="10" max="16384" width="10.6640625" style="24"/>
  </cols>
  <sheetData>
    <row r="1" spans="1:9" ht="28.5" customHeight="1" x14ac:dyDescent="0.3">
      <c r="B1" s="2744" t="s">
        <v>785</v>
      </c>
      <c r="C1" s="2744"/>
      <c r="D1" s="2744"/>
      <c r="E1" s="2744"/>
      <c r="F1" s="2744"/>
      <c r="G1" s="2744"/>
    </row>
    <row r="2" spans="1:9" ht="16.5" thickBot="1" x14ac:dyDescent="0.3">
      <c r="C2" s="52"/>
      <c r="D2" s="53"/>
      <c r="G2" s="53" t="s">
        <v>26</v>
      </c>
    </row>
    <row r="3" spans="1:9" ht="24" customHeight="1" x14ac:dyDescent="0.25">
      <c r="B3" s="965"/>
      <c r="C3" s="966" t="s">
        <v>42</v>
      </c>
      <c r="D3" s="2747" t="s">
        <v>517</v>
      </c>
      <c r="E3" s="2748"/>
      <c r="F3" s="846" t="s">
        <v>685</v>
      </c>
      <c r="G3" s="755" t="s">
        <v>139</v>
      </c>
    </row>
    <row r="4" spans="1:9" ht="24" customHeight="1" thickBot="1" x14ac:dyDescent="0.3">
      <c r="B4" s="967"/>
      <c r="C4" s="968"/>
      <c r="D4" s="969" t="s">
        <v>264</v>
      </c>
      <c r="E4" s="969" t="s">
        <v>137</v>
      </c>
      <c r="F4" s="901" t="s">
        <v>138</v>
      </c>
      <c r="G4" s="758" t="s">
        <v>140</v>
      </c>
    </row>
    <row r="5" spans="1:9" ht="24" customHeight="1" x14ac:dyDescent="0.25">
      <c r="B5" s="970" t="s">
        <v>395</v>
      </c>
      <c r="C5" s="971"/>
      <c r="D5" s="972"/>
      <c r="E5" s="972"/>
      <c r="F5" s="972"/>
      <c r="G5" s="972"/>
    </row>
    <row r="6" spans="1:9" ht="24" customHeight="1" x14ac:dyDescent="0.25">
      <c r="B6" s="970"/>
      <c r="C6" s="973"/>
      <c r="D6" s="974"/>
      <c r="E6" s="974"/>
      <c r="F6" s="974"/>
      <c r="G6" s="974"/>
    </row>
    <row r="7" spans="1:9" s="112" customFormat="1" ht="24" customHeight="1" x14ac:dyDescent="0.25">
      <c r="B7" s="975"/>
      <c r="C7" s="976" t="s">
        <v>158</v>
      </c>
      <c r="D7" s="977">
        <f>SUM(D8:D9)</f>
        <v>0</v>
      </c>
      <c r="E7" s="977">
        <f t="shared" ref="E7:F7" si="0">SUM(E8:E9)</f>
        <v>3600</v>
      </c>
      <c r="F7" s="977">
        <f t="shared" si="0"/>
        <v>3600</v>
      </c>
      <c r="G7" s="979">
        <f t="shared" ref="G7:G9" si="1">+F7/E7*100</f>
        <v>100</v>
      </c>
      <c r="H7" s="1133"/>
      <c r="I7" s="1131"/>
    </row>
    <row r="8" spans="1:9" s="112" customFormat="1" ht="24" customHeight="1" x14ac:dyDescent="0.25">
      <c r="B8" s="975"/>
      <c r="C8" s="2285" t="s">
        <v>763</v>
      </c>
      <c r="D8" s="2286"/>
      <c r="E8" s="1214">
        <v>1600</v>
      </c>
      <c r="F8" s="1214">
        <v>1600</v>
      </c>
      <c r="G8" s="2287">
        <f t="shared" si="1"/>
        <v>100</v>
      </c>
      <c r="H8" s="1133"/>
      <c r="I8" s="1131"/>
    </row>
    <row r="9" spans="1:9" s="112" customFormat="1" ht="24" customHeight="1" x14ac:dyDescent="0.25">
      <c r="B9" s="975"/>
      <c r="C9" s="2280" t="s">
        <v>762</v>
      </c>
      <c r="D9" s="2281"/>
      <c r="E9" s="2282">
        <v>2000</v>
      </c>
      <c r="F9" s="2283">
        <v>2000</v>
      </c>
      <c r="G9" s="2284">
        <f t="shared" si="1"/>
        <v>100</v>
      </c>
      <c r="H9" s="1133"/>
      <c r="I9" s="1131"/>
    </row>
    <row r="10" spans="1:9" s="26" customFormat="1" ht="42.75" customHeight="1" x14ac:dyDescent="0.25">
      <c r="B10" s="980"/>
      <c r="C10" s="981" t="s">
        <v>184</v>
      </c>
      <c r="D10" s="978">
        <f>SUM(D11)</f>
        <v>0</v>
      </c>
      <c r="E10" s="978">
        <f>SUM(E11)</f>
        <v>0</v>
      </c>
      <c r="F10" s="978">
        <f>SUM(F11)</f>
        <v>0</v>
      </c>
      <c r="G10" s="2279"/>
      <c r="H10" s="1133"/>
      <c r="I10" s="1131"/>
    </row>
    <row r="11" spans="1:9" s="26" customFormat="1" ht="24" customHeight="1" x14ac:dyDescent="0.25">
      <c r="B11" s="980"/>
      <c r="C11" s="982"/>
      <c r="D11" s="983"/>
      <c r="E11" s="983"/>
      <c r="F11" s="983"/>
      <c r="G11" s="2278"/>
      <c r="H11" s="1133"/>
      <c r="I11" s="1131"/>
    </row>
    <row r="12" spans="1:9" s="113" customFormat="1" ht="24" customHeight="1" x14ac:dyDescent="0.25">
      <c r="A12" s="24"/>
      <c r="B12" s="984"/>
      <c r="C12" s="985" t="s">
        <v>339</v>
      </c>
      <c r="D12" s="986"/>
      <c r="E12" s="762">
        <v>2000</v>
      </c>
      <c r="F12" s="1175">
        <v>2000</v>
      </c>
      <c r="G12" s="987">
        <f t="shared" ref="G12:G38" si="2">+F12/E12*100</f>
        <v>100</v>
      </c>
      <c r="H12" s="1133"/>
      <c r="I12" s="1131"/>
    </row>
    <row r="13" spans="1:9" ht="24" customHeight="1" x14ac:dyDescent="0.25">
      <c r="B13" s="989"/>
      <c r="C13" s="990" t="s">
        <v>380</v>
      </c>
      <c r="D13" s="988"/>
      <c r="E13" s="988">
        <v>359295</v>
      </c>
      <c r="F13" s="1173">
        <v>345042</v>
      </c>
      <c r="G13" s="987">
        <f t="shared" si="2"/>
        <v>96.033064751805625</v>
      </c>
      <c r="H13" s="1133"/>
      <c r="I13" s="1131"/>
    </row>
    <row r="14" spans="1:9" ht="40.5" customHeight="1" x14ac:dyDescent="0.25">
      <c r="B14" s="989"/>
      <c r="C14" s="991" t="s">
        <v>368</v>
      </c>
      <c r="D14" s="988"/>
      <c r="E14" s="988">
        <v>7242</v>
      </c>
      <c r="F14" s="1173"/>
      <c r="G14" s="987">
        <f t="shared" si="2"/>
        <v>0</v>
      </c>
      <c r="H14" s="1133"/>
      <c r="I14" s="1131"/>
    </row>
    <row r="15" spans="1:9" ht="24" customHeight="1" x14ac:dyDescent="0.25">
      <c r="B15" s="989"/>
      <c r="C15" s="990" t="s">
        <v>377</v>
      </c>
      <c r="D15" s="988"/>
      <c r="E15" s="988">
        <v>6871</v>
      </c>
      <c r="F15" s="1173"/>
      <c r="G15" s="987">
        <f t="shared" si="2"/>
        <v>0</v>
      </c>
      <c r="H15" s="1133"/>
      <c r="I15" s="1131"/>
    </row>
    <row r="16" spans="1:9" ht="24" customHeight="1" x14ac:dyDescent="0.25">
      <c r="B16" s="989"/>
      <c r="C16" s="992" t="s">
        <v>378</v>
      </c>
      <c r="D16" s="988"/>
      <c r="E16" s="988">
        <v>12295</v>
      </c>
      <c r="F16" s="1173"/>
      <c r="G16" s="987">
        <f t="shared" si="2"/>
        <v>0</v>
      </c>
      <c r="H16" s="1133"/>
      <c r="I16" s="1131"/>
    </row>
    <row r="17" spans="2:9" ht="24" customHeight="1" x14ac:dyDescent="0.25">
      <c r="B17" s="989"/>
      <c r="C17" s="991" t="s">
        <v>370</v>
      </c>
      <c r="D17" s="988"/>
      <c r="E17" s="988">
        <v>495165</v>
      </c>
      <c r="F17" s="1173">
        <v>444415</v>
      </c>
      <c r="G17" s="987">
        <f t="shared" si="2"/>
        <v>89.750891117102384</v>
      </c>
      <c r="H17" s="1133"/>
      <c r="I17" s="1131"/>
    </row>
    <row r="18" spans="2:9" ht="24" customHeight="1" x14ac:dyDescent="0.25">
      <c r="B18" s="989"/>
      <c r="C18" s="991" t="s">
        <v>376</v>
      </c>
      <c r="D18" s="2925"/>
      <c r="E18" s="988">
        <v>431482</v>
      </c>
      <c r="F18" s="1173">
        <v>399192</v>
      </c>
      <c r="G18" s="987">
        <f t="shared" si="2"/>
        <v>92.516489679754883</v>
      </c>
      <c r="H18" s="1133"/>
      <c r="I18" s="1131"/>
    </row>
    <row r="19" spans="2:9" ht="24" customHeight="1" x14ac:dyDescent="0.25">
      <c r="B19" s="989"/>
      <c r="C19" s="991" t="s">
        <v>384</v>
      </c>
      <c r="D19" s="988"/>
      <c r="E19" s="988">
        <v>1791</v>
      </c>
      <c r="F19" s="1173">
        <v>933</v>
      </c>
      <c r="G19" s="987">
        <f t="shared" si="2"/>
        <v>52.093802345058627</v>
      </c>
      <c r="H19" s="1133"/>
      <c r="I19" s="1131"/>
    </row>
    <row r="20" spans="2:9" ht="24" customHeight="1" x14ac:dyDescent="0.25">
      <c r="B20" s="989"/>
      <c r="C20" s="991" t="s">
        <v>371</v>
      </c>
      <c r="D20" s="988"/>
      <c r="E20" s="988">
        <v>549764</v>
      </c>
      <c r="F20" s="1173">
        <v>492014</v>
      </c>
      <c r="G20" s="987">
        <f t="shared" si="2"/>
        <v>89.495492611375056</v>
      </c>
      <c r="H20" s="1133"/>
      <c r="I20" s="1131"/>
    </row>
    <row r="21" spans="2:9" ht="24" customHeight="1" x14ac:dyDescent="0.25">
      <c r="B21" s="989"/>
      <c r="C21" s="991" t="s">
        <v>379</v>
      </c>
      <c r="D21" s="988"/>
      <c r="E21" s="988">
        <v>342683</v>
      </c>
      <c r="F21" s="1173">
        <v>342683</v>
      </c>
      <c r="G21" s="987">
        <f t="shared" si="2"/>
        <v>100</v>
      </c>
      <c r="H21" s="1133"/>
      <c r="I21" s="1131"/>
    </row>
    <row r="22" spans="2:9" ht="40.5" customHeight="1" x14ac:dyDescent="0.25">
      <c r="B22" s="989"/>
      <c r="C22" s="991" t="s">
        <v>460</v>
      </c>
      <c r="D22" s="988"/>
      <c r="E22" s="988">
        <v>179738</v>
      </c>
      <c r="F22" s="1173"/>
      <c r="G22" s="987">
        <f t="shared" si="2"/>
        <v>0</v>
      </c>
      <c r="H22" s="1133"/>
      <c r="I22" s="1131"/>
    </row>
    <row r="23" spans="2:9" ht="40.5" customHeight="1" x14ac:dyDescent="0.25">
      <c r="B23" s="989"/>
      <c r="C23" s="991" t="s">
        <v>626</v>
      </c>
      <c r="D23" s="988"/>
      <c r="E23" s="988">
        <v>18000</v>
      </c>
      <c r="F23" s="1173"/>
      <c r="G23" s="987">
        <f t="shared" si="2"/>
        <v>0</v>
      </c>
      <c r="H23" s="1133"/>
      <c r="I23" s="1131"/>
    </row>
    <row r="24" spans="2:9" ht="24" customHeight="1" x14ac:dyDescent="0.25">
      <c r="B24" s="989"/>
      <c r="C24" s="990" t="s">
        <v>389</v>
      </c>
      <c r="D24" s="988"/>
      <c r="E24" s="988">
        <v>760479</v>
      </c>
      <c r="F24" s="988">
        <v>680429</v>
      </c>
      <c r="G24" s="987">
        <f t="shared" si="2"/>
        <v>89.473739577292733</v>
      </c>
      <c r="H24" s="1133"/>
      <c r="I24" s="1131"/>
    </row>
    <row r="25" spans="2:9" ht="24" customHeight="1" x14ac:dyDescent="0.25">
      <c r="B25" s="989"/>
      <c r="C25" s="991" t="s">
        <v>388</v>
      </c>
      <c r="D25" s="988"/>
      <c r="E25" s="988">
        <v>105649</v>
      </c>
      <c r="F25" s="988"/>
      <c r="G25" s="987">
        <f t="shared" si="2"/>
        <v>0</v>
      </c>
      <c r="H25" s="1133"/>
      <c r="I25" s="1131"/>
    </row>
    <row r="26" spans="2:9" ht="24" customHeight="1" x14ac:dyDescent="0.25">
      <c r="B26" s="989"/>
      <c r="C26" s="991" t="s">
        <v>383</v>
      </c>
      <c r="D26" s="988"/>
      <c r="E26" s="988">
        <v>14478</v>
      </c>
      <c r="F26" s="988"/>
      <c r="G26" s="987">
        <f t="shared" si="2"/>
        <v>0</v>
      </c>
      <c r="H26" s="1133"/>
      <c r="I26" s="1131"/>
    </row>
    <row r="27" spans="2:9" ht="24" customHeight="1" x14ac:dyDescent="0.25">
      <c r="B27" s="989"/>
      <c r="C27" s="991" t="s">
        <v>372</v>
      </c>
      <c r="D27" s="988"/>
      <c r="E27" s="988">
        <v>13653</v>
      </c>
      <c r="F27" s="988">
        <v>8233</v>
      </c>
      <c r="G27" s="987">
        <f t="shared" si="2"/>
        <v>60.301765179813962</v>
      </c>
      <c r="H27" s="1133"/>
      <c r="I27" s="1131"/>
    </row>
    <row r="28" spans="2:9" ht="24" customHeight="1" x14ac:dyDescent="0.25">
      <c r="B28" s="989"/>
      <c r="C28" s="991" t="s">
        <v>381</v>
      </c>
      <c r="D28" s="988"/>
      <c r="E28" s="988">
        <v>8319</v>
      </c>
      <c r="F28" s="988"/>
      <c r="G28" s="987">
        <f t="shared" si="2"/>
        <v>0</v>
      </c>
      <c r="H28" s="1133"/>
      <c r="I28" s="1131"/>
    </row>
    <row r="29" spans="2:9" ht="24" customHeight="1" x14ac:dyDescent="0.25">
      <c r="B29" s="989"/>
      <c r="C29" s="991" t="s">
        <v>382</v>
      </c>
      <c r="D29" s="988"/>
      <c r="E29" s="988">
        <v>13462</v>
      </c>
      <c r="F29" s="988">
        <v>9161</v>
      </c>
      <c r="G29" s="987">
        <f t="shared" si="2"/>
        <v>68.050809686525042</v>
      </c>
      <c r="H29" s="1133"/>
      <c r="I29" s="1131"/>
    </row>
    <row r="30" spans="2:9" ht="42" customHeight="1" x14ac:dyDescent="0.25">
      <c r="B30" s="989"/>
      <c r="C30" s="993" t="s">
        <v>578</v>
      </c>
      <c r="D30" s="988"/>
      <c r="E30" s="988">
        <v>686500</v>
      </c>
      <c r="F30" s="1173">
        <v>686500</v>
      </c>
      <c r="G30" s="994">
        <f t="shared" si="2"/>
        <v>100</v>
      </c>
      <c r="H30" s="1133"/>
      <c r="I30" s="1131"/>
    </row>
    <row r="31" spans="2:9" ht="42" customHeight="1" x14ac:dyDescent="0.25">
      <c r="B31" s="989"/>
      <c r="C31" s="993" t="s">
        <v>579</v>
      </c>
      <c r="D31" s="988"/>
      <c r="E31" s="988">
        <v>13500</v>
      </c>
      <c r="F31" s="1173">
        <v>13500</v>
      </c>
      <c r="G31" s="994">
        <f t="shared" si="2"/>
        <v>100</v>
      </c>
      <c r="H31" s="1133"/>
      <c r="I31" s="1131"/>
    </row>
    <row r="32" spans="2:9" ht="42" customHeight="1" x14ac:dyDescent="0.25">
      <c r="B32" s="989"/>
      <c r="C32" s="993" t="s">
        <v>580</v>
      </c>
      <c r="D32" s="988"/>
      <c r="E32" s="988">
        <v>231030</v>
      </c>
      <c r="F32" s="1173">
        <v>227230</v>
      </c>
      <c r="G32" s="994">
        <f t="shared" si="2"/>
        <v>98.355191966411297</v>
      </c>
      <c r="H32" s="1133"/>
      <c r="I32" s="1131"/>
    </row>
    <row r="33" spans="1:18" ht="42" customHeight="1" x14ac:dyDescent="0.25">
      <c r="B33" s="989"/>
      <c r="C33" s="993" t="s">
        <v>581</v>
      </c>
      <c r="D33" s="988"/>
      <c r="E33" s="988">
        <v>404613</v>
      </c>
      <c r="F33" s="1173">
        <v>395613</v>
      </c>
      <c r="G33" s="994">
        <f t="shared" si="2"/>
        <v>97.775652289965961</v>
      </c>
      <c r="H33" s="1133"/>
      <c r="I33" s="1131"/>
    </row>
    <row r="34" spans="1:18" ht="24" customHeight="1" x14ac:dyDescent="0.25">
      <c r="B34" s="989"/>
      <c r="C34" s="995" t="s">
        <v>385</v>
      </c>
      <c r="D34" s="988"/>
      <c r="E34" s="988">
        <v>39769</v>
      </c>
      <c r="F34" s="1173">
        <v>17934</v>
      </c>
      <c r="G34" s="994">
        <f t="shared" si="2"/>
        <v>45.095426085644597</v>
      </c>
      <c r="H34" s="1133"/>
      <c r="I34" s="1131"/>
    </row>
    <row r="35" spans="1:18" ht="24" customHeight="1" x14ac:dyDescent="0.25">
      <c r="B35" s="989"/>
      <c r="C35" s="996" t="s">
        <v>706</v>
      </c>
      <c r="D35" s="988"/>
      <c r="E35" s="988">
        <v>30000</v>
      </c>
      <c r="F35" s="1173">
        <v>30000</v>
      </c>
      <c r="G35" s="994">
        <f t="shared" si="2"/>
        <v>100</v>
      </c>
      <c r="H35" s="1133"/>
      <c r="I35" s="1131"/>
    </row>
    <row r="36" spans="1:18" ht="25.5" customHeight="1" x14ac:dyDescent="0.25">
      <c r="B36" s="989"/>
      <c r="C36" s="991" t="s">
        <v>463</v>
      </c>
      <c r="D36" s="988"/>
      <c r="E36" s="988">
        <v>145500</v>
      </c>
      <c r="F36" s="1173">
        <v>145500</v>
      </c>
      <c r="G36" s="994">
        <f t="shared" si="2"/>
        <v>100</v>
      </c>
      <c r="H36" s="1133"/>
      <c r="I36" s="1131"/>
    </row>
    <row r="37" spans="1:18" ht="25.5" customHeight="1" x14ac:dyDescent="0.25">
      <c r="B37" s="997"/>
      <c r="C37" s="998" t="s">
        <v>712</v>
      </c>
      <c r="D37" s="999"/>
      <c r="E37" s="999">
        <v>260580</v>
      </c>
      <c r="F37" s="1174">
        <v>260580</v>
      </c>
      <c r="G37" s="1000">
        <f t="shared" si="2"/>
        <v>100</v>
      </c>
      <c r="H37" s="1133"/>
      <c r="I37" s="1131"/>
    </row>
    <row r="38" spans="1:18" ht="21.75" customHeight="1" x14ac:dyDescent="0.25">
      <c r="B38" s="989"/>
      <c r="C38" s="1001" t="s">
        <v>159</v>
      </c>
      <c r="D38" s="1002">
        <f>SUM(D12:D37)</f>
        <v>0</v>
      </c>
      <c r="E38" s="1002">
        <f>SUM(E12:E37)</f>
        <v>5133858</v>
      </c>
      <c r="F38" s="1002">
        <f>SUM(F12:F37)</f>
        <v>4500959</v>
      </c>
      <c r="G38" s="1003">
        <f t="shared" si="2"/>
        <v>87.672058712960123</v>
      </c>
      <c r="H38" s="1133"/>
      <c r="I38" s="1131"/>
    </row>
    <row r="39" spans="1:18" ht="22.5" customHeight="1" x14ac:dyDescent="0.25">
      <c r="B39" s="1004" t="s">
        <v>362</v>
      </c>
      <c r="C39" s="1005"/>
      <c r="D39" s="1006">
        <f>+D38+D10+D7</f>
        <v>0</v>
      </c>
      <c r="E39" s="1006">
        <f>+E38+E10+E7</f>
        <v>5137458</v>
      </c>
      <c r="F39" s="1006">
        <f>+F38+F10+F7</f>
        <v>4504559</v>
      </c>
      <c r="G39" s="1007">
        <f>+F39/E39*100</f>
        <v>87.6806973409807</v>
      </c>
      <c r="H39" s="1133"/>
      <c r="I39" s="1131"/>
    </row>
    <row r="40" spans="1:18" ht="24" customHeight="1" x14ac:dyDescent="0.25">
      <c r="B40" s="970" t="s">
        <v>356</v>
      </c>
      <c r="C40" s="971"/>
      <c r="D40" s="972"/>
      <c r="E40" s="972"/>
      <c r="F40" s="972"/>
      <c r="G40" s="972"/>
      <c r="H40" s="1133"/>
      <c r="I40" s="1131"/>
    </row>
    <row r="41" spans="1:18" ht="24" customHeight="1" x14ac:dyDescent="0.25">
      <c r="A41" s="124"/>
      <c r="B41" s="989"/>
      <c r="C41" s="1008" t="s">
        <v>310</v>
      </c>
      <c r="D41" s="1009">
        <v>200000</v>
      </c>
      <c r="E41" s="1009">
        <v>2154899</v>
      </c>
      <c r="F41" s="1009">
        <v>2154899</v>
      </c>
      <c r="G41" s="1010">
        <f t="shared" ref="G41:G43" si="3">+F41/E41*100</f>
        <v>100</v>
      </c>
      <c r="H41" s="1133"/>
      <c r="I41" s="1131"/>
      <c r="J41" s="605"/>
      <c r="K41" s="605"/>
      <c r="L41" s="605"/>
      <c r="M41" s="605"/>
      <c r="N41" s="605"/>
      <c r="O41" s="605"/>
      <c r="P41" s="605"/>
      <c r="Q41" s="605"/>
      <c r="R41" s="605"/>
    </row>
    <row r="42" spans="1:18" ht="24" customHeight="1" thickBot="1" x14ac:dyDescent="0.3">
      <c r="B42" s="989"/>
      <c r="C42" s="990" t="s">
        <v>51</v>
      </c>
      <c r="D42" s="1009"/>
      <c r="E42" s="1009">
        <v>49950</v>
      </c>
      <c r="F42" s="1009">
        <v>49950</v>
      </c>
      <c r="G42" s="1010">
        <f t="shared" si="3"/>
        <v>100</v>
      </c>
      <c r="H42" s="1133"/>
      <c r="I42" s="1131"/>
    </row>
    <row r="43" spans="1:18" ht="24" customHeight="1" thickBot="1" x14ac:dyDescent="0.3">
      <c r="B43" s="1011" t="s">
        <v>357</v>
      </c>
      <c r="C43" s="1012"/>
      <c r="D43" s="1013">
        <f>SUM(D41:D42)</f>
        <v>200000</v>
      </c>
      <c r="E43" s="1013">
        <f>SUM(E41:E42)</f>
        <v>2204849</v>
      </c>
      <c r="F43" s="1013">
        <f>SUM(F41:F42)</f>
        <v>2204849</v>
      </c>
      <c r="G43" s="1014">
        <f t="shared" si="3"/>
        <v>100</v>
      </c>
      <c r="H43" s="1133"/>
      <c r="I43" s="1131"/>
    </row>
    <row r="44" spans="1:18" ht="24" customHeight="1" x14ac:dyDescent="0.25">
      <c r="B44" s="1015" t="s">
        <v>363</v>
      </c>
      <c r="C44" s="1016"/>
      <c r="D44" s="1017"/>
      <c r="E44" s="1017"/>
      <c r="F44" s="1017"/>
      <c r="G44" s="1017"/>
      <c r="H44" s="1133"/>
      <c r="I44" s="1131"/>
    </row>
    <row r="45" spans="1:18" ht="33.75" customHeight="1" x14ac:dyDescent="0.25">
      <c r="B45" s="1015"/>
      <c r="C45" s="1018" t="s">
        <v>115</v>
      </c>
      <c r="D45" s="1019"/>
      <c r="E45" s="1019"/>
      <c r="F45" s="1019"/>
      <c r="G45" s="1019"/>
      <c r="H45" s="1133"/>
      <c r="I45" s="1131"/>
    </row>
    <row r="46" spans="1:18" ht="24" customHeight="1" x14ac:dyDescent="0.25">
      <c r="B46" s="989"/>
      <c r="C46" s="1020" t="s">
        <v>303</v>
      </c>
      <c r="D46" s="1021">
        <v>10000</v>
      </c>
      <c r="E46" s="1021">
        <v>15240</v>
      </c>
      <c r="F46" s="1021">
        <f>17175-1</f>
        <v>17174</v>
      </c>
      <c r="G46" s="1010">
        <f>+F46/E46*100</f>
        <v>112.69028871391076</v>
      </c>
      <c r="H46" s="1133"/>
      <c r="I46" s="1131"/>
    </row>
    <row r="47" spans="1:18" ht="24" customHeight="1" x14ac:dyDescent="0.25">
      <c r="B47" s="989"/>
      <c r="C47" s="1022" t="s">
        <v>50</v>
      </c>
      <c r="D47" s="1009">
        <v>10000</v>
      </c>
      <c r="E47" s="1009">
        <v>9185</v>
      </c>
      <c r="F47" s="1009">
        <v>9185</v>
      </c>
      <c r="G47" s="1010">
        <f>+F47/E47*100</f>
        <v>100</v>
      </c>
      <c r="H47" s="1133"/>
      <c r="I47" s="1131"/>
    </row>
    <row r="48" spans="1:18" ht="24" customHeight="1" x14ac:dyDescent="0.25">
      <c r="B48" s="989"/>
      <c r="C48" s="1023" t="s">
        <v>160</v>
      </c>
      <c r="D48" s="1009"/>
      <c r="E48" s="1009"/>
      <c r="F48" s="1009"/>
      <c r="G48" s="1010"/>
      <c r="H48" s="1133"/>
      <c r="I48" s="1131"/>
    </row>
    <row r="49" spans="2:9" ht="24" customHeight="1" x14ac:dyDescent="0.25">
      <c r="B49" s="989"/>
      <c r="C49" s="1024"/>
      <c r="D49" s="1025"/>
      <c r="E49" s="1025"/>
      <c r="F49" s="1025"/>
      <c r="G49" s="1010"/>
      <c r="H49" s="1133"/>
      <c r="I49" s="1131"/>
    </row>
    <row r="50" spans="2:9" ht="24" customHeight="1" x14ac:dyDescent="0.25">
      <c r="B50" s="2745" t="s">
        <v>0</v>
      </c>
      <c r="C50" s="2746"/>
      <c r="D50" s="1006">
        <f t="shared" ref="D50:E50" si="4">SUM(D44:D49)</f>
        <v>20000</v>
      </c>
      <c r="E50" s="1006">
        <f t="shared" si="4"/>
        <v>24425</v>
      </c>
      <c r="F50" s="1006">
        <f>SUM(F44:F49)</f>
        <v>26359</v>
      </c>
      <c r="G50" s="1026">
        <f>+F50/E50*100</f>
        <v>107.91811668372569</v>
      </c>
      <c r="H50" s="1133"/>
      <c r="I50" s="1131"/>
    </row>
    <row r="51" spans="2:9" ht="24" customHeight="1" x14ac:dyDescent="0.25">
      <c r="B51" s="1029" t="s">
        <v>347</v>
      </c>
      <c r="C51" s="1030"/>
      <c r="D51" s="1017"/>
      <c r="E51" s="1017"/>
      <c r="F51" s="1017"/>
      <c r="G51" s="1017"/>
      <c r="H51" s="1133"/>
      <c r="I51" s="1131"/>
    </row>
    <row r="52" spans="2:9" ht="24" customHeight="1" x14ac:dyDescent="0.25">
      <c r="B52" s="1015"/>
      <c r="C52" s="1031" t="s">
        <v>108</v>
      </c>
      <c r="D52" s="1032"/>
      <c r="E52" s="1032">
        <v>628</v>
      </c>
      <c r="F52" s="1032">
        <v>627</v>
      </c>
      <c r="G52" s="1010">
        <f t="shared" ref="G52:G59" si="5">+F52/E52*100</f>
        <v>99.840764331210181</v>
      </c>
      <c r="H52" s="1133"/>
      <c r="I52" s="1131"/>
    </row>
    <row r="53" spans="2:9" ht="24" customHeight="1" x14ac:dyDescent="0.25">
      <c r="B53" s="1015"/>
      <c r="C53" s="1033" t="s">
        <v>398</v>
      </c>
      <c r="D53" s="1009"/>
      <c r="E53" s="1009">
        <v>90</v>
      </c>
      <c r="F53" s="1009">
        <v>90</v>
      </c>
      <c r="G53" s="1010">
        <f t="shared" si="5"/>
        <v>100</v>
      </c>
      <c r="H53" s="1133"/>
      <c r="I53" s="1131"/>
    </row>
    <row r="54" spans="2:9" ht="24" customHeight="1" x14ac:dyDescent="0.25">
      <c r="B54" s="1015"/>
      <c r="C54" s="1034" t="s">
        <v>348</v>
      </c>
      <c r="D54" s="1009"/>
      <c r="E54" s="1009">
        <v>20858</v>
      </c>
      <c r="F54" s="1009">
        <v>20858</v>
      </c>
      <c r="G54" s="1010">
        <f t="shared" si="5"/>
        <v>100</v>
      </c>
      <c r="H54" s="1133"/>
      <c r="I54" s="1131"/>
    </row>
    <row r="55" spans="2:9" ht="24" customHeight="1" x14ac:dyDescent="0.25">
      <c r="B55" s="1015"/>
      <c r="C55" s="1034" t="s">
        <v>304</v>
      </c>
      <c r="D55" s="988"/>
      <c r="E55" s="988">
        <v>2000</v>
      </c>
      <c r="F55" s="988">
        <v>2000</v>
      </c>
      <c r="G55" s="1010">
        <f t="shared" si="5"/>
        <v>100</v>
      </c>
      <c r="H55" s="1133"/>
      <c r="I55" s="1131"/>
    </row>
    <row r="56" spans="2:9" ht="24" customHeight="1" x14ac:dyDescent="0.25">
      <c r="B56" s="1015"/>
      <c r="C56" s="1034" t="s">
        <v>305</v>
      </c>
      <c r="D56" s="1017"/>
      <c r="E56" s="1035">
        <v>29387</v>
      </c>
      <c r="F56" s="1035">
        <v>29387</v>
      </c>
      <c r="G56" s="1010">
        <f t="shared" si="5"/>
        <v>100</v>
      </c>
      <c r="H56" s="1133"/>
      <c r="I56" s="1131"/>
    </row>
    <row r="57" spans="2:9" ht="24" customHeight="1" x14ac:dyDescent="0.25">
      <c r="B57" s="1015"/>
      <c r="C57" s="1034" t="s">
        <v>349</v>
      </c>
      <c r="D57" s="1021"/>
      <c r="E57" s="1021">
        <v>6600</v>
      </c>
      <c r="F57" s="1021">
        <v>6600</v>
      </c>
      <c r="G57" s="1010">
        <f t="shared" si="5"/>
        <v>100</v>
      </c>
      <c r="H57" s="1133"/>
      <c r="I57" s="1131"/>
    </row>
    <row r="58" spans="2:9" ht="24" customHeight="1" x14ac:dyDescent="0.25">
      <c r="B58" s="1015"/>
      <c r="C58" s="1034" t="s">
        <v>350</v>
      </c>
      <c r="D58" s="1017"/>
      <c r="E58" s="1035">
        <v>9995</v>
      </c>
      <c r="F58" s="1035">
        <v>9995</v>
      </c>
      <c r="G58" s="1010">
        <f t="shared" si="5"/>
        <v>100</v>
      </c>
      <c r="H58" s="1133"/>
      <c r="I58" s="1131"/>
    </row>
    <row r="59" spans="2:9" ht="24" customHeight="1" x14ac:dyDescent="0.25">
      <c r="B59" s="1015"/>
      <c r="C59" s="1036" t="s">
        <v>60</v>
      </c>
      <c r="D59" s="1021"/>
      <c r="E59" s="1021">
        <v>4</v>
      </c>
      <c r="F59" s="1021">
        <v>4</v>
      </c>
      <c r="G59" s="1010">
        <f t="shared" si="5"/>
        <v>100</v>
      </c>
      <c r="H59" s="1133"/>
      <c r="I59" s="1131"/>
    </row>
    <row r="60" spans="2:9" ht="24" customHeight="1" x14ac:dyDescent="0.25">
      <c r="B60" s="1015"/>
      <c r="C60" s="1036" t="s">
        <v>299</v>
      </c>
      <c r="D60" s="1009">
        <v>1990</v>
      </c>
      <c r="E60" s="1009">
        <v>10922</v>
      </c>
      <c r="F60" s="1009">
        <v>10922</v>
      </c>
      <c r="G60" s="1010">
        <f>+F60/E60*100</f>
        <v>100</v>
      </c>
      <c r="H60" s="1133"/>
      <c r="I60" s="1131"/>
    </row>
    <row r="61" spans="2:9" ht="24" customHeight="1" x14ac:dyDescent="0.25">
      <c r="B61" s="1015"/>
      <c r="C61" s="1034" t="s">
        <v>88</v>
      </c>
      <c r="D61" s="1017"/>
      <c r="E61" s="1035">
        <v>489</v>
      </c>
      <c r="F61" s="1035">
        <v>515</v>
      </c>
      <c r="G61" s="1010">
        <f>+F61/E61*100</f>
        <v>105.31697341513294</v>
      </c>
      <c r="H61" s="1133"/>
      <c r="I61" s="1131"/>
    </row>
    <row r="62" spans="2:9" ht="24" customHeight="1" x14ac:dyDescent="0.25">
      <c r="B62" s="1015"/>
      <c r="C62" s="1036" t="s">
        <v>89</v>
      </c>
      <c r="D62" s="1021"/>
      <c r="E62" s="1021">
        <v>125</v>
      </c>
      <c r="F62" s="1021">
        <v>125</v>
      </c>
      <c r="G62" s="1010">
        <f>+F62/E62*100</f>
        <v>100</v>
      </c>
      <c r="H62" s="1133"/>
      <c r="I62" s="1131"/>
    </row>
    <row r="63" spans="2:9" ht="24" customHeight="1" x14ac:dyDescent="0.25">
      <c r="B63" s="1015"/>
      <c r="C63" s="1037" t="s">
        <v>80</v>
      </c>
      <c r="D63" s="1038"/>
      <c r="E63" s="1038"/>
      <c r="F63" s="1038">
        <v>70</v>
      </c>
      <c r="G63" s="1010"/>
      <c r="H63" s="1133"/>
      <c r="I63" s="1131"/>
    </row>
    <row r="64" spans="2:9" ht="24" customHeight="1" x14ac:dyDescent="0.25">
      <c r="B64" s="1015"/>
      <c r="C64" s="1031" t="s">
        <v>58</v>
      </c>
      <c r="D64" s="1039"/>
      <c r="E64" s="1039">
        <v>1939</v>
      </c>
      <c r="F64" s="1039">
        <v>1939</v>
      </c>
      <c r="G64" s="1010">
        <f t="shared" ref="G64" si="6">+F64/E64*100</f>
        <v>100</v>
      </c>
      <c r="H64" s="1133"/>
      <c r="I64" s="1131"/>
    </row>
    <row r="65" spans="2:9" ht="24" customHeight="1" x14ac:dyDescent="0.25">
      <c r="B65" s="2745" t="s">
        <v>141</v>
      </c>
      <c r="C65" s="2746"/>
      <c r="D65" s="1006">
        <f>SUM(D52:D64)</f>
        <v>1990</v>
      </c>
      <c r="E65" s="1006">
        <f t="shared" ref="E65:F65" si="7">SUM(E52:E64)</f>
        <v>83037</v>
      </c>
      <c r="F65" s="1006">
        <f t="shared" si="7"/>
        <v>83132</v>
      </c>
      <c r="G65" s="1026">
        <f>+F65/E65*100</f>
        <v>100.11440683068993</v>
      </c>
      <c r="H65" s="1133"/>
      <c r="I65" s="1131"/>
    </row>
    <row r="66" spans="2:9" ht="24" customHeight="1" thickBot="1" x14ac:dyDescent="0.3">
      <c r="B66" s="2751" t="s">
        <v>627</v>
      </c>
      <c r="C66" s="2752"/>
      <c r="D66" s="1027">
        <f>+D39+D43+D50+D65</f>
        <v>221990</v>
      </c>
      <c r="E66" s="1027">
        <f t="shared" ref="E66:F66" si="8">+E39+E43+E50+E65</f>
        <v>7449769</v>
      </c>
      <c r="F66" s="1027">
        <f t="shared" si="8"/>
        <v>6818899</v>
      </c>
      <c r="G66" s="1028">
        <f>+F66/E66*100</f>
        <v>91.531683734086258</v>
      </c>
      <c r="H66" s="1133"/>
      <c r="I66" s="1131"/>
    </row>
    <row r="68" spans="2:9" x14ac:dyDescent="0.2">
      <c r="F68" s="55">
        <f>+F43+F39+F50</f>
        <v>6735767</v>
      </c>
    </row>
    <row r="69" spans="2:9" x14ac:dyDescent="0.2">
      <c r="F69" s="55"/>
    </row>
    <row r="70" spans="2:9" x14ac:dyDescent="0.2">
      <c r="F70" s="55"/>
    </row>
    <row r="72" spans="2:9" x14ac:dyDescent="0.2">
      <c r="F72" s="55"/>
    </row>
    <row r="73" spans="2:9" x14ac:dyDescent="0.2">
      <c r="F73" s="55"/>
    </row>
    <row r="74" spans="2:9" x14ac:dyDescent="0.2">
      <c r="F74" s="55"/>
    </row>
    <row r="75" spans="2:9" x14ac:dyDescent="0.2">
      <c r="F75" s="55"/>
    </row>
    <row r="76" spans="2:9" x14ac:dyDescent="0.2">
      <c r="F76" s="55"/>
    </row>
    <row r="77" spans="2:9" x14ac:dyDescent="0.2">
      <c r="F77" s="55"/>
    </row>
    <row r="78" spans="2:9" x14ac:dyDescent="0.2">
      <c r="F78" s="55"/>
    </row>
    <row r="84" spans="3:7" ht="15.75" x14ac:dyDescent="0.25">
      <c r="C84" s="2749"/>
      <c r="D84" s="2749"/>
      <c r="E84" s="2749"/>
      <c r="F84" s="39"/>
      <c r="G84" s="39"/>
    </row>
    <row r="85" spans="3:7" ht="15.75" x14ac:dyDescent="0.25">
      <c r="C85" s="39"/>
      <c r="D85" s="125"/>
      <c r="E85" s="126"/>
      <c r="F85" s="39"/>
      <c r="G85" s="39"/>
    </row>
    <row r="86" spans="3:7" ht="15.75" x14ac:dyDescent="0.25">
      <c r="C86" s="39"/>
      <c r="D86" s="56"/>
      <c r="E86" s="2750"/>
      <c r="F86" s="2750"/>
      <c r="G86" s="38"/>
    </row>
    <row r="87" spans="3:7" ht="15.75" x14ac:dyDescent="0.25">
      <c r="C87" s="39"/>
      <c r="D87" s="54"/>
      <c r="E87" s="25"/>
      <c r="F87" s="25"/>
      <c r="G87" s="38"/>
    </row>
    <row r="88" spans="3:7" ht="15.75" x14ac:dyDescent="0.25">
      <c r="C88" s="127"/>
      <c r="D88" s="54"/>
      <c r="E88" s="78"/>
      <c r="F88" s="78"/>
      <c r="G88" s="78"/>
    </row>
    <row r="89" spans="3:7" x14ac:dyDescent="0.2">
      <c r="C89" s="128"/>
      <c r="D89" s="119"/>
      <c r="E89" s="129"/>
      <c r="F89" s="129"/>
      <c r="G89" s="129"/>
    </row>
    <row r="90" spans="3:7" x14ac:dyDescent="0.2">
      <c r="C90" s="26"/>
      <c r="D90" s="118"/>
      <c r="E90" s="130"/>
      <c r="F90" s="130"/>
      <c r="G90" s="130"/>
    </row>
    <row r="91" spans="3:7" x14ac:dyDescent="0.2">
      <c r="C91" s="26"/>
      <c r="D91" s="118"/>
      <c r="E91" s="130"/>
      <c r="F91" s="130"/>
      <c r="G91" s="130"/>
    </row>
    <row r="92" spans="3:7" x14ac:dyDescent="0.2">
      <c r="C92" s="26"/>
      <c r="D92" s="118"/>
      <c r="E92" s="130"/>
      <c r="F92" s="130"/>
      <c r="G92" s="130"/>
    </row>
  </sheetData>
  <mergeCells count="7">
    <mergeCell ref="B1:G1"/>
    <mergeCell ref="B50:C50"/>
    <mergeCell ref="D3:E3"/>
    <mergeCell ref="C84:E84"/>
    <mergeCell ref="E86:F86"/>
    <mergeCell ref="B65:C65"/>
    <mergeCell ref="B66:C66"/>
  </mergeCells>
  <phoneticPr fontId="0" type="noConversion"/>
  <printOptions horizontalCentered="1" verticalCentered="1"/>
  <pageMargins left="0.39370078740157483" right="0" top="0.78740157480314965" bottom="0" header="0.51181102362204722" footer="0"/>
  <pageSetup paperSize="9" scale="55" orientation="portrait" r:id="rId1"/>
  <headerFooter alignWithMargins="0">
    <oddHeader>&amp;R&amp;"Arial,Félkövér"&amp;14 17. melléklet a ..../2020. (......) önkormányzati rendelethez</oddHeader>
  </headerFooter>
  <rowBreaks count="1" manualBreakCount="1">
    <brk id="43" min="1" max="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E1144"/>
  <sheetViews>
    <sheetView zoomScale="75" zoomScaleNormal="75" workbookViewId="0">
      <selection activeCell="J20" sqref="J20"/>
    </sheetView>
  </sheetViews>
  <sheetFormatPr defaultColWidth="10.6640625" defaultRowHeight="15" customHeight="1" x14ac:dyDescent="0.25"/>
  <cols>
    <col min="1" max="1" width="15.33203125" style="23" customWidth="1"/>
    <col min="2" max="2" width="17.5" style="520" customWidth="1"/>
    <col min="3" max="3" width="5.6640625" style="23" customWidth="1"/>
    <col min="4" max="4" width="132.6640625" style="23" customWidth="1"/>
    <col min="5" max="5" width="24.83203125" style="23" customWidth="1"/>
    <col min="6" max="6" width="24.83203125" style="28" customWidth="1"/>
    <col min="7" max="7" width="24" style="28" customWidth="1"/>
    <col min="8" max="8" width="27.5" style="23" customWidth="1"/>
    <col min="9" max="31" width="10.6640625" style="24"/>
    <col min="32" max="16384" width="10.6640625" style="23"/>
  </cols>
  <sheetData>
    <row r="1" spans="3:8" ht="24" customHeight="1" x14ac:dyDescent="0.25">
      <c r="C1" s="2753"/>
      <c r="D1" s="2753"/>
      <c r="E1" s="2753"/>
      <c r="F1" s="2753"/>
      <c r="G1" s="2753"/>
      <c r="H1" s="2753"/>
    </row>
    <row r="2" spans="3:8" ht="24" customHeight="1" x14ac:dyDescent="0.35">
      <c r="C2" s="2758" t="s">
        <v>320</v>
      </c>
      <c r="D2" s="2758"/>
      <c r="E2" s="2758"/>
      <c r="F2" s="2758"/>
      <c r="G2" s="2758"/>
      <c r="H2" s="2758"/>
    </row>
    <row r="3" spans="3:8" ht="24.75" customHeight="1" thickBot="1" x14ac:dyDescent="0.3">
      <c r="C3" s="451" t="s">
        <v>76</v>
      </c>
      <c r="D3" s="453"/>
      <c r="E3" s="451"/>
      <c r="F3" s="452"/>
      <c r="G3" s="452"/>
      <c r="H3" s="1040" t="s">
        <v>26</v>
      </c>
    </row>
    <row r="4" spans="3:8" ht="26.1" customHeight="1" x14ac:dyDescent="0.25">
      <c r="C4" s="2754" t="s">
        <v>42</v>
      </c>
      <c r="D4" s="2755"/>
      <c r="E4" s="2756" t="s">
        <v>517</v>
      </c>
      <c r="F4" s="2757"/>
      <c r="G4" s="454" t="s">
        <v>685</v>
      </c>
      <c r="H4" s="455" t="s">
        <v>139</v>
      </c>
    </row>
    <row r="5" spans="3:8" ht="26.1" customHeight="1" thickBot="1" x14ac:dyDescent="0.3">
      <c r="C5" s="456"/>
      <c r="D5" s="457"/>
      <c r="E5" s="458" t="s">
        <v>264</v>
      </c>
      <c r="F5" s="459" t="s">
        <v>137</v>
      </c>
      <c r="G5" s="460" t="s">
        <v>138</v>
      </c>
      <c r="H5" s="461" t="s">
        <v>140</v>
      </c>
    </row>
    <row r="6" spans="3:8" ht="26.1" customHeight="1" x14ac:dyDescent="0.25">
      <c r="C6" s="462" t="s">
        <v>243</v>
      </c>
      <c r="D6" s="463" t="s">
        <v>119</v>
      </c>
      <c r="E6" s="464"/>
      <c r="F6" s="465"/>
      <c r="G6" s="465"/>
      <c r="H6" s="2563"/>
    </row>
    <row r="7" spans="3:8" ht="26.1" customHeight="1" x14ac:dyDescent="0.25">
      <c r="C7" s="466"/>
      <c r="D7" s="469" t="s">
        <v>128</v>
      </c>
      <c r="E7" s="399">
        <v>50000</v>
      </c>
      <c r="F7" s="399">
        <v>100000</v>
      </c>
      <c r="G7" s="1140">
        <v>100000</v>
      </c>
      <c r="H7" s="2564">
        <f t="shared" ref="H7:H21" si="0">+G7/F7*100</f>
        <v>100</v>
      </c>
    </row>
    <row r="8" spans="3:8" ht="26.1" customHeight="1" x14ac:dyDescent="0.25">
      <c r="C8" s="466"/>
      <c r="D8" s="143" t="s">
        <v>786</v>
      </c>
      <c r="E8" s="399"/>
      <c r="F8" s="399">
        <v>1500</v>
      </c>
      <c r="G8" s="1140">
        <v>1500</v>
      </c>
      <c r="H8" s="2564">
        <f t="shared" si="0"/>
        <v>100</v>
      </c>
    </row>
    <row r="9" spans="3:8" ht="26.1" customHeight="1" x14ac:dyDescent="0.25">
      <c r="C9" s="466"/>
      <c r="D9" s="143" t="s">
        <v>683</v>
      </c>
      <c r="E9" s="399"/>
      <c r="F9" s="399">
        <v>10000</v>
      </c>
      <c r="G9" s="1140">
        <v>10000</v>
      </c>
      <c r="H9" s="2564">
        <f t="shared" si="0"/>
        <v>100</v>
      </c>
    </row>
    <row r="10" spans="3:8" ht="26.1" customHeight="1" x14ac:dyDescent="0.25">
      <c r="C10" s="466"/>
      <c r="D10" s="143" t="s">
        <v>707</v>
      </c>
      <c r="E10" s="399"/>
      <c r="F10" s="399">
        <v>32400</v>
      </c>
      <c r="G10" s="1140">
        <v>32400</v>
      </c>
      <c r="H10" s="2564">
        <f t="shared" si="0"/>
        <v>100</v>
      </c>
    </row>
    <row r="11" spans="3:8" ht="26.1" customHeight="1" x14ac:dyDescent="0.25">
      <c r="C11" s="466"/>
      <c r="D11" s="143" t="s">
        <v>476</v>
      </c>
      <c r="E11" s="399"/>
      <c r="F11" s="399">
        <v>9600</v>
      </c>
      <c r="G11" s="1140"/>
      <c r="H11" s="2564">
        <f t="shared" si="0"/>
        <v>0</v>
      </c>
    </row>
    <row r="12" spans="3:8" ht="26.1" customHeight="1" x14ac:dyDescent="0.25">
      <c r="C12" s="466"/>
      <c r="D12" s="143" t="s">
        <v>477</v>
      </c>
      <c r="E12" s="399">
        <v>150000</v>
      </c>
      <c r="F12" s="399"/>
      <c r="G12" s="1140"/>
      <c r="H12" s="2564"/>
    </row>
    <row r="13" spans="3:8" ht="26.1" customHeight="1" x14ac:dyDescent="0.25">
      <c r="C13" s="466"/>
      <c r="D13" s="469" t="s">
        <v>513</v>
      </c>
      <c r="E13" s="399"/>
      <c r="F13" s="399">
        <v>5000</v>
      </c>
      <c r="G13" s="1140">
        <v>5000</v>
      </c>
      <c r="H13" s="2564">
        <f t="shared" si="0"/>
        <v>100</v>
      </c>
    </row>
    <row r="14" spans="3:8" ht="26.1" customHeight="1" x14ac:dyDescent="0.25">
      <c r="C14" s="466"/>
      <c r="D14" s="469" t="s">
        <v>515</v>
      </c>
      <c r="E14" s="399"/>
      <c r="F14" s="399">
        <v>18000</v>
      </c>
      <c r="G14" s="1140">
        <v>18000</v>
      </c>
      <c r="H14" s="2564">
        <f t="shared" si="0"/>
        <v>100</v>
      </c>
    </row>
    <row r="15" spans="3:8" ht="39.75" customHeight="1" x14ac:dyDescent="0.25">
      <c r="C15" s="466"/>
      <c r="D15" s="469" t="s">
        <v>600</v>
      </c>
      <c r="E15" s="399"/>
      <c r="F15" s="399">
        <v>15000</v>
      </c>
      <c r="G15" s="1140">
        <v>15000</v>
      </c>
      <c r="H15" s="2564">
        <f t="shared" si="0"/>
        <v>100</v>
      </c>
    </row>
    <row r="16" spans="3:8" ht="26.1" customHeight="1" x14ac:dyDescent="0.25">
      <c r="C16" s="466"/>
      <c r="D16" s="469" t="s">
        <v>535</v>
      </c>
      <c r="E16" s="399">
        <v>35000</v>
      </c>
      <c r="F16" s="399">
        <v>35000</v>
      </c>
      <c r="G16" s="1140">
        <v>35000</v>
      </c>
      <c r="H16" s="2564">
        <f t="shared" si="0"/>
        <v>100</v>
      </c>
    </row>
    <row r="17" spans="2:8" ht="26.1" customHeight="1" x14ac:dyDescent="0.25">
      <c r="C17" s="466"/>
      <c r="D17" s="469" t="s">
        <v>536</v>
      </c>
      <c r="E17" s="399">
        <v>14000</v>
      </c>
      <c r="F17" s="399">
        <v>14000</v>
      </c>
      <c r="G17" s="1140">
        <v>14000</v>
      </c>
      <c r="H17" s="2564">
        <f t="shared" si="0"/>
        <v>100</v>
      </c>
    </row>
    <row r="18" spans="2:8" ht="25.5" customHeight="1" x14ac:dyDescent="0.25">
      <c r="C18" s="466"/>
      <c r="D18" s="469" t="s">
        <v>582</v>
      </c>
      <c r="E18" s="399"/>
      <c r="F18" s="399">
        <v>520</v>
      </c>
      <c r="G18" s="1140">
        <v>520</v>
      </c>
      <c r="H18" s="2564">
        <f t="shared" si="0"/>
        <v>100</v>
      </c>
    </row>
    <row r="19" spans="2:8" ht="42.75" customHeight="1" x14ac:dyDescent="0.25">
      <c r="B19" s="1216"/>
      <c r="C19" s="466"/>
      <c r="D19" s="469" t="s">
        <v>769</v>
      </c>
      <c r="E19" s="399"/>
      <c r="F19" s="399">
        <v>1664</v>
      </c>
      <c r="G19" s="1140"/>
      <c r="H19" s="2564">
        <f t="shared" si="0"/>
        <v>0</v>
      </c>
    </row>
    <row r="20" spans="2:8" ht="26.1" customHeight="1" x14ac:dyDescent="0.25">
      <c r="C20" s="466"/>
      <c r="D20" s="144" t="s">
        <v>583</v>
      </c>
      <c r="E20" s="400"/>
      <c r="F20" s="400">
        <v>7987</v>
      </c>
      <c r="G20" s="1201">
        <v>7987</v>
      </c>
      <c r="H20" s="2565">
        <f t="shared" si="0"/>
        <v>100</v>
      </c>
    </row>
    <row r="21" spans="2:8" ht="26.1" customHeight="1" x14ac:dyDescent="0.25">
      <c r="C21" s="471"/>
      <c r="D21" s="472" t="s">
        <v>248</v>
      </c>
      <c r="E21" s="473">
        <f>SUM(E7:E20)</f>
        <v>249000</v>
      </c>
      <c r="F21" s="473">
        <f>SUM(F7:F20)</f>
        <v>250671</v>
      </c>
      <c r="G21" s="473">
        <f>SUM(G7:G20)</f>
        <v>239407</v>
      </c>
      <c r="H21" s="2566">
        <f t="shared" si="0"/>
        <v>95.506460659589663</v>
      </c>
    </row>
    <row r="22" spans="2:8" ht="26.1" customHeight="1" x14ac:dyDescent="0.25">
      <c r="C22" s="474" t="s">
        <v>46</v>
      </c>
      <c r="D22" s="475" t="s">
        <v>45</v>
      </c>
      <c r="E22" s="476"/>
      <c r="F22" s="476"/>
      <c r="G22" s="476"/>
      <c r="H22" s="2567"/>
    </row>
    <row r="23" spans="2:8" ht="26.1" customHeight="1" x14ac:dyDescent="0.25">
      <c r="C23" s="435"/>
      <c r="D23" s="598" t="s">
        <v>537</v>
      </c>
      <c r="E23" s="394">
        <v>60000</v>
      </c>
      <c r="F23" s="394">
        <v>2946</v>
      </c>
      <c r="G23" s="394">
        <v>75</v>
      </c>
      <c r="H23" s="2568">
        <f>+G23/F23*100</f>
        <v>2.5458248472505094</v>
      </c>
    </row>
    <row r="24" spans="2:8" ht="26.1" customHeight="1" x14ac:dyDescent="0.25">
      <c r="C24" s="466"/>
      <c r="D24" s="598" t="s">
        <v>538</v>
      </c>
      <c r="E24" s="399">
        <v>16272</v>
      </c>
      <c r="F24" s="399"/>
      <c r="G24" s="395"/>
      <c r="H24" s="2568"/>
    </row>
    <row r="25" spans="2:8" ht="26.1" customHeight="1" x14ac:dyDescent="0.25">
      <c r="C25" s="466"/>
      <c r="D25" s="598" t="s">
        <v>539</v>
      </c>
      <c r="E25" s="399">
        <v>5000</v>
      </c>
      <c r="F25" s="399"/>
      <c r="G25" s="395"/>
      <c r="H25" s="2568"/>
    </row>
    <row r="26" spans="2:8" ht="26.1" customHeight="1" x14ac:dyDescent="0.25">
      <c r="C26" s="466"/>
      <c r="D26" s="598" t="s">
        <v>540</v>
      </c>
      <c r="E26" s="399">
        <v>3300</v>
      </c>
      <c r="F26" s="399"/>
      <c r="G26" s="395"/>
      <c r="H26" s="2568"/>
    </row>
    <row r="27" spans="2:8" ht="26.1" customHeight="1" x14ac:dyDescent="0.25">
      <c r="C27" s="471"/>
      <c r="D27" s="472" t="s">
        <v>193</v>
      </c>
      <c r="E27" s="473">
        <f>SUM(E23:E26)</f>
        <v>84572</v>
      </c>
      <c r="F27" s="473">
        <f t="shared" ref="F27:G27" si="1">SUM(F23:F26)</f>
        <v>2946</v>
      </c>
      <c r="G27" s="473">
        <f t="shared" si="1"/>
        <v>75</v>
      </c>
      <c r="H27" s="2569">
        <f>+G27/F27*100</f>
        <v>2.5458248472505094</v>
      </c>
    </row>
    <row r="28" spans="2:8" ht="26.1" customHeight="1" x14ac:dyDescent="0.25">
      <c r="C28" s="474" t="s">
        <v>244</v>
      </c>
      <c r="D28" s="475" t="s">
        <v>242</v>
      </c>
      <c r="E28" s="464"/>
      <c r="F28" s="465"/>
      <c r="G28" s="465"/>
      <c r="H28" s="2570"/>
    </row>
    <row r="29" spans="2:8" ht="26.1" customHeight="1" x14ac:dyDescent="0.25">
      <c r="C29" s="466"/>
      <c r="D29" s="468" t="s">
        <v>194</v>
      </c>
      <c r="E29" s="479">
        <v>70000</v>
      </c>
      <c r="F29" s="479">
        <v>102294</v>
      </c>
      <c r="G29" s="395">
        <v>58546</v>
      </c>
      <c r="H29" s="2568">
        <f>+G29/F29*100</f>
        <v>57.233073298531679</v>
      </c>
    </row>
    <row r="30" spans="2:8" ht="26.1" customHeight="1" x14ac:dyDescent="0.25">
      <c r="C30" s="471"/>
      <c r="D30" s="472" t="s">
        <v>249</v>
      </c>
      <c r="E30" s="473">
        <f>SUM(E29:E29)</f>
        <v>70000</v>
      </c>
      <c r="F30" s="473">
        <f>SUM(F29:F29)</f>
        <v>102294</v>
      </c>
      <c r="G30" s="473">
        <f>SUM(G29:G29)</f>
        <v>58546</v>
      </c>
      <c r="H30" s="2571">
        <f>+G30/F30*100</f>
        <v>57.233073298531679</v>
      </c>
    </row>
    <row r="31" spans="2:8" ht="26.1" customHeight="1" x14ac:dyDescent="0.25">
      <c r="C31" s="435" t="s">
        <v>245</v>
      </c>
      <c r="D31" s="436" t="s">
        <v>246</v>
      </c>
      <c r="E31" s="464"/>
      <c r="F31" s="465"/>
      <c r="G31" s="465"/>
      <c r="H31" s="2572"/>
    </row>
    <row r="32" spans="2:8" ht="26.1" customHeight="1" x14ac:dyDescent="0.25">
      <c r="C32" s="466"/>
      <c r="D32" s="481" t="s">
        <v>179</v>
      </c>
      <c r="E32" s="478">
        <v>40000</v>
      </c>
      <c r="F32" s="478">
        <v>64100</v>
      </c>
      <c r="G32" s="395">
        <v>34244</v>
      </c>
      <c r="H32" s="2568">
        <f>+G32/F32*100</f>
        <v>53.42277691107644</v>
      </c>
    </row>
    <row r="33" spans="2:8" ht="26.1" customHeight="1" x14ac:dyDescent="0.25">
      <c r="C33" s="466"/>
      <c r="D33" s="481" t="s">
        <v>461</v>
      </c>
      <c r="E33" s="478"/>
      <c r="F33" s="478">
        <v>69</v>
      </c>
      <c r="G33" s="395"/>
      <c r="H33" s="2568">
        <f>+G33/F33*100</f>
        <v>0</v>
      </c>
    </row>
    <row r="34" spans="2:8" s="24" customFormat="1" ht="26.1" customHeight="1" x14ac:dyDescent="0.25">
      <c r="B34" s="520"/>
      <c r="C34" s="482"/>
      <c r="D34" s="481" t="s">
        <v>353</v>
      </c>
      <c r="E34" s="399"/>
      <c r="F34" s="399">
        <v>19500</v>
      </c>
      <c r="G34" s="395"/>
      <c r="H34" s="2573">
        <f t="shared" ref="H34:H35" si="2">+G34/F34*100</f>
        <v>0</v>
      </c>
    </row>
    <row r="35" spans="2:8" ht="26.1" customHeight="1" x14ac:dyDescent="0.25">
      <c r="C35" s="471"/>
      <c r="D35" s="480" t="s">
        <v>250</v>
      </c>
      <c r="E35" s="473">
        <f>SUM(E32:E34)</f>
        <v>40000</v>
      </c>
      <c r="F35" s="473">
        <f>SUM(F32:F34)</f>
        <v>83669</v>
      </c>
      <c r="G35" s="473">
        <f>SUM(G32:G34)</f>
        <v>34244</v>
      </c>
      <c r="H35" s="2571">
        <f t="shared" si="2"/>
        <v>40.92794224862255</v>
      </c>
    </row>
    <row r="36" spans="2:8" ht="26.1" customHeight="1" x14ac:dyDescent="0.25">
      <c r="C36" s="435" t="s">
        <v>247</v>
      </c>
      <c r="D36" s="436" t="s">
        <v>251</v>
      </c>
      <c r="E36" s="464"/>
      <c r="F36" s="465"/>
      <c r="G36" s="394"/>
      <c r="H36" s="2572"/>
    </row>
    <row r="37" spans="2:8" ht="26.1" customHeight="1" x14ac:dyDescent="0.3">
      <c r="C37" s="483" t="s">
        <v>240</v>
      </c>
      <c r="D37" s="484"/>
      <c r="E37" s="464"/>
      <c r="F37" s="465"/>
      <c r="G37" s="394"/>
      <c r="H37" s="2572"/>
    </row>
    <row r="38" spans="2:8" s="146" customFormat="1" ht="26.1" customHeight="1" x14ac:dyDescent="0.25">
      <c r="B38" s="520"/>
      <c r="C38" s="482"/>
      <c r="D38" s="468" t="s">
        <v>12</v>
      </c>
      <c r="E38" s="399"/>
      <c r="F38" s="399">
        <v>3920</v>
      </c>
      <c r="G38" s="395"/>
      <c r="H38" s="2573">
        <f t="shared" ref="H38:H101" si="3">+G38/F38*100</f>
        <v>0</v>
      </c>
    </row>
    <row r="39" spans="2:8" s="146" customFormat="1" ht="25.5" customHeight="1" x14ac:dyDescent="0.25">
      <c r="B39" s="520"/>
      <c r="C39" s="482"/>
      <c r="D39" s="468" t="s">
        <v>787</v>
      </c>
      <c r="E39" s="400"/>
      <c r="F39" s="400">
        <v>54734</v>
      </c>
      <c r="G39" s="394"/>
      <c r="H39" s="2573">
        <f t="shared" si="3"/>
        <v>0</v>
      </c>
    </row>
    <row r="40" spans="2:8" ht="27" customHeight="1" x14ac:dyDescent="0.25">
      <c r="B40" s="1048"/>
      <c r="C40" s="466"/>
      <c r="D40" s="468" t="s">
        <v>393</v>
      </c>
      <c r="E40" s="399"/>
      <c r="F40" s="399">
        <f>500383-33243</f>
        <v>467140</v>
      </c>
      <c r="G40" s="395">
        <v>461126</v>
      </c>
      <c r="H40" s="2573">
        <f t="shared" si="3"/>
        <v>98.71259151432119</v>
      </c>
    </row>
    <row r="41" spans="2:8" ht="26.1" customHeight="1" x14ac:dyDescent="0.3">
      <c r="C41" s="483" t="s">
        <v>239</v>
      </c>
      <c r="D41" s="484"/>
      <c r="E41" s="479"/>
      <c r="F41" s="479"/>
      <c r="G41" s="485"/>
      <c r="H41" s="2573"/>
    </row>
    <row r="42" spans="2:8" ht="26.1" customHeight="1" x14ac:dyDescent="0.25">
      <c r="C42" s="466"/>
      <c r="D42" s="486" t="s">
        <v>788</v>
      </c>
      <c r="E42" s="487"/>
      <c r="F42" s="487">
        <v>407575</v>
      </c>
      <c r="G42" s="488">
        <v>399671</v>
      </c>
      <c r="H42" s="2573">
        <f t="shared" si="3"/>
        <v>98.060725019934978</v>
      </c>
    </row>
    <row r="43" spans="2:8" ht="37.5" customHeight="1" x14ac:dyDescent="0.25">
      <c r="C43" s="466"/>
      <c r="D43" s="613" t="s">
        <v>789</v>
      </c>
      <c r="E43" s="487"/>
      <c r="F43" s="487">
        <v>79625</v>
      </c>
      <c r="G43" s="488"/>
      <c r="H43" s="2573">
        <f t="shared" si="3"/>
        <v>0</v>
      </c>
    </row>
    <row r="44" spans="2:8" ht="26.1" customHeight="1" x14ac:dyDescent="0.25">
      <c r="C44" s="466"/>
      <c r="D44" s="486" t="s">
        <v>790</v>
      </c>
      <c r="E44" s="487">
        <v>1020000</v>
      </c>
      <c r="F44" s="487">
        <v>567233</v>
      </c>
      <c r="G44" s="488">
        <v>30070</v>
      </c>
      <c r="H44" s="2573">
        <f t="shared" si="3"/>
        <v>5.3011725340380407</v>
      </c>
    </row>
    <row r="45" spans="2:8" ht="40.5" customHeight="1" x14ac:dyDescent="0.25">
      <c r="C45" s="466"/>
      <c r="D45" s="613" t="s">
        <v>791</v>
      </c>
      <c r="E45" s="487"/>
      <c r="F45" s="487">
        <v>9208</v>
      </c>
      <c r="G45" s="488"/>
      <c r="H45" s="2573">
        <f t="shared" si="3"/>
        <v>0</v>
      </c>
    </row>
    <row r="46" spans="2:8" ht="26.1" customHeight="1" x14ac:dyDescent="0.25">
      <c r="C46" s="466"/>
      <c r="D46" s="486" t="s">
        <v>541</v>
      </c>
      <c r="E46" s="487">
        <v>30000</v>
      </c>
      <c r="F46" s="487">
        <v>30000</v>
      </c>
      <c r="G46" s="488"/>
      <c r="H46" s="2573">
        <f t="shared" si="3"/>
        <v>0</v>
      </c>
    </row>
    <row r="47" spans="2:8" ht="26.1" customHeight="1" x14ac:dyDescent="0.25">
      <c r="C47" s="466"/>
      <c r="D47" s="1158" t="s">
        <v>708</v>
      </c>
      <c r="E47" s="487"/>
      <c r="F47" s="487">
        <v>2500</v>
      </c>
      <c r="G47" s="488"/>
      <c r="H47" s="2573">
        <f t="shared" si="3"/>
        <v>0</v>
      </c>
    </row>
    <row r="48" spans="2:8" ht="38.25" customHeight="1" x14ac:dyDescent="0.25">
      <c r="C48" s="466"/>
      <c r="D48" s="1158" t="s">
        <v>709</v>
      </c>
      <c r="E48" s="487"/>
      <c r="F48" s="487">
        <v>12000</v>
      </c>
      <c r="G48" s="488"/>
      <c r="H48" s="2573">
        <f t="shared" si="3"/>
        <v>0</v>
      </c>
    </row>
    <row r="49" spans="2:8" ht="26.1" customHeight="1" x14ac:dyDescent="0.25">
      <c r="C49" s="466"/>
      <c r="D49" s="481" t="s">
        <v>129</v>
      </c>
      <c r="E49" s="491">
        <v>10000</v>
      </c>
      <c r="F49" s="491">
        <v>31542</v>
      </c>
      <c r="G49" s="485">
        <v>8683</v>
      </c>
      <c r="H49" s="2573">
        <f t="shared" si="3"/>
        <v>27.528374865259021</v>
      </c>
    </row>
    <row r="50" spans="2:8" ht="26.1" customHeight="1" x14ac:dyDescent="0.25">
      <c r="C50" s="466"/>
      <c r="D50" s="489" t="s">
        <v>484</v>
      </c>
      <c r="E50" s="491"/>
      <c r="F50" s="491">
        <v>102</v>
      </c>
      <c r="G50" s="485"/>
      <c r="H50" s="2573">
        <f t="shared" si="3"/>
        <v>0</v>
      </c>
    </row>
    <row r="51" spans="2:8" ht="26.1" customHeight="1" x14ac:dyDescent="0.25">
      <c r="C51" s="466"/>
      <c r="D51" s="397" t="s">
        <v>792</v>
      </c>
      <c r="E51" s="491"/>
      <c r="F51" s="491">
        <v>16438</v>
      </c>
      <c r="G51" s="485">
        <v>16438</v>
      </c>
      <c r="H51" s="2573">
        <f t="shared" si="3"/>
        <v>100</v>
      </c>
    </row>
    <row r="52" spans="2:8" ht="26.1" customHeight="1" x14ac:dyDescent="0.25">
      <c r="C52" s="466"/>
      <c r="D52" s="397" t="s">
        <v>793</v>
      </c>
      <c r="E52" s="491"/>
      <c r="F52" s="491">
        <v>4423</v>
      </c>
      <c r="G52" s="485"/>
      <c r="H52" s="2573">
        <f t="shared" si="3"/>
        <v>0</v>
      </c>
    </row>
    <row r="53" spans="2:8" ht="26.1" customHeight="1" x14ac:dyDescent="0.25">
      <c r="C53" s="466"/>
      <c r="D53" s="489" t="s">
        <v>341</v>
      </c>
      <c r="E53" s="491"/>
      <c r="F53" s="491">
        <v>63</v>
      </c>
      <c r="G53" s="485"/>
      <c r="H53" s="2573">
        <f t="shared" si="3"/>
        <v>0</v>
      </c>
    </row>
    <row r="54" spans="2:8" ht="26.1" customHeight="1" x14ac:dyDescent="0.25">
      <c r="C54" s="466"/>
      <c r="D54" s="481" t="s">
        <v>340</v>
      </c>
      <c r="E54" s="491"/>
      <c r="F54" s="491">
        <v>749</v>
      </c>
      <c r="G54" s="485"/>
      <c r="H54" s="2573">
        <f t="shared" si="3"/>
        <v>0</v>
      </c>
    </row>
    <row r="55" spans="2:8" ht="26.25" customHeight="1" x14ac:dyDescent="0.25">
      <c r="C55" s="466"/>
      <c r="D55" s="396" t="s">
        <v>462</v>
      </c>
      <c r="E55" s="491"/>
      <c r="F55" s="491">
        <v>31</v>
      </c>
      <c r="G55" s="485">
        <v>31</v>
      </c>
      <c r="H55" s="2573">
        <f t="shared" si="3"/>
        <v>100</v>
      </c>
    </row>
    <row r="56" spans="2:8" ht="35.25" customHeight="1" x14ac:dyDescent="0.25">
      <c r="C56" s="466"/>
      <c r="D56" s="396" t="s">
        <v>493</v>
      </c>
      <c r="E56" s="487"/>
      <c r="F56" s="487">
        <v>7275</v>
      </c>
      <c r="G56" s="488"/>
      <c r="H56" s="2573">
        <f t="shared" si="3"/>
        <v>0</v>
      </c>
    </row>
    <row r="57" spans="2:8" ht="26.25" customHeight="1" x14ac:dyDescent="0.25">
      <c r="C57" s="466"/>
      <c r="D57" s="397" t="s">
        <v>628</v>
      </c>
      <c r="E57" s="487"/>
      <c r="F57" s="487">
        <v>1500</v>
      </c>
      <c r="G57" s="488"/>
      <c r="H57" s="2573">
        <f t="shared" si="3"/>
        <v>0</v>
      </c>
    </row>
    <row r="58" spans="2:8" ht="26.1" customHeight="1" x14ac:dyDescent="0.3">
      <c r="C58" s="483" t="s">
        <v>241</v>
      </c>
      <c r="D58" s="490"/>
      <c r="E58" s="516"/>
      <c r="F58" s="516"/>
      <c r="G58" s="488"/>
      <c r="H58" s="2573"/>
    </row>
    <row r="59" spans="2:8" ht="26.1" customHeight="1" x14ac:dyDescent="0.25">
      <c r="C59" s="466"/>
      <c r="D59" s="492" t="s">
        <v>150</v>
      </c>
      <c r="E59" s="399">
        <v>155650</v>
      </c>
      <c r="F59" s="399">
        <v>234282</v>
      </c>
      <c r="G59" s="395">
        <v>128301</v>
      </c>
      <c r="H59" s="2573">
        <f t="shared" si="3"/>
        <v>54.763490152892672</v>
      </c>
    </row>
    <row r="60" spans="2:8" ht="26.1" customHeight="1" x14ac:dyDescent="0.25">
      <c r="C60" s="466"/>
      <c r="D60" s="492" t="s">
        <v>710</v>
      </c>
      <c r="E60" s="401"/>
      <c r="F60" s="401">
        <v>637</v>
      </c>
      <c r="G60" s="467"/>
      <c r="H60" s="2573">
        <f t="shared" si="3"/>
        <v>0</v>
      </c>
    </row>
    <row r="61" spans="2:8" s="24" customFormat="1" ht="26.1" customHeight="1" x14ac:dyDescent="0.25">
      <c r="B61" s="520"/>
      <c r="C61" s="482"/>
      <c r="D61" s="403" t="s">
        <v>750</v>
      </c>
      <c r="E61" s="401">
        <v>8000</v>
      </c>
      <c r="F61" s="401">
        <v>10525</v>
      </c>
      <c r="G61" s="467">
        <v>2480</v>
      </c>
      <c r="H61" s="2573">
        <f t="shared" si="3"/>
        <v>23.562945368171022</v>
      </c>
    </row>
    <row r="62" spans="2:8" ht="40.5" customHeight="1" x14ac:dyDescent="0.25">
      <c r="C62" s="482"/>
      <c r="D62" s="470" t="s">
        <v>794</v>
      </c>
      <c r="E62" s="399"/>
      <c r="F62" s="399">
        <v>18422</v>
      </c>
      <c r="G62" s="493">
        <v>14053</v>
      </c>
      <c r="H62" s="2573">
        <f t="shared" si="3"/>
        <v>76.283791119313861</v>
      </c>
    </row>
    <row r="63" spans="2:8" ht="25.5" customHeight="1" x14ac:dyDescent="0.25">
      <c r="C63" s="482"/>
      <c r="D63" s="403" t="s">
        <v>514</v>
      </c>
      <c r="E63" s="399"/>
      <c r="F63" s="399">
        <v>36263</v>
      </c>
      <c r="G63" s="493">
        <v>100</v>
      </c>
      <c r="H63" s="2573">
        <f t="shared" si="3"/>
        <v>0.27576317458566579</v>
      </c>
    </row>
    <row r="64" spans="2:8" ht="25.5" customHeight="1" x14ac:dyDescent="0.25">
      <c r="C64" s="482"/>
      <c r="D64" s="403" t="s">
        <v>584</v>
      </c>
      <c r="E64" s="399"/>
      <c r="F64" s="399">
        <v>9537</v>
      </c>
      <c r="G64" s="493"/>
      <c r="H64" s="2573">
        <f t="shared" si="3"/>
        <v>0</v>
      </c>
    </row>
    <row r="65" spans="3:8" ht="25.5" customHeight="1" x14ac:dyDescent="0.25">
      <c r="C65" s="482"/>
      <c r="D65" s="615" t="s">
        <v>542</v>
      </c>
      <c r="E65" s="399">
        <v>2000</v>
      </c>
      <c r="F65" s="399">
        <v>2000</v>
      </c>
      <c r="G65" s="493"/>
      <c r="H65" s="2573">
        <f t="shared" si="3"/>
        <v>0</v>
      </c>
    </row>
    <row r="66" spans="3:8" ht="25.5" customHeight="1" x14ac:dyDescent="0.25">
      <c r="C66" s="482"/>
      <c r="D66" s="599" t="s">
        <v>543</v>
      </c>
      <c r="E66" s="399">
        <v>4475</v>
      </c>
      <c r="F66" s="399">
        <v>4156</v>
      </c>
      <c r="G66" s="493"/>
      <c r="H66" s="2573">
        <f t="shared" si="3"/>
        <v>0</v>
      </c>
    </row>
    <row r="67" spans="3:8" ht="25.5" customHeight="1" x14ac:dyDescent="0.25">
      <c r="C67" s="482"/>
      <c r="D67" s="599" t="s">
        <v>629</v>
      </c>
      <c r="E67" s="399"/>
      <c r="F67" s="399">
        <v>7260</v>
      </c>
      <c r="G67" s="493">
        <v>7237</v>
      </c>
      <c r="H67" s="2573">
        <f t="shared" si="3"/>
        <v>99.683195592286495</v>
      </c>
    </row>
    <row r="68" spans="3:8" ht="25.5" customHeight="1" x14ac:dyDescent="0.25">
      <c r="C68" s="482"/>
      <c r="D68" s="599" t="s">
        <v>544</v>
      </c>
      <c r="E68" s="399">
        <v>15000</v>
      </c>
      <c r="F68" s="399">
        <v>15000</v>
      </c>
      <c r="G68" s="493">
        <v>494</v>
      </c>
      <c r="H68" s="2573">
        <f t="shared" si="3"/>
        <v>3.2933333333333334</v>
      </c>
    </row>
    <row r="69" spans="3:8" ht="25.5" customHeight="1" x14ac:dyDescent="0.25">
      <c r="C69" s="482"/>
      <c r="D69" s="615" t="s">
        <v>545</v>
      </c>
      <c r="E69" s="399">
        <v>57138</v>
      </c>
      <c r="F69" s="399">
        <v>56810</v>
      </c>
      <c r="G69" s="493">
        <v>5</v>
      </c>
      <c r="H69" s="2573">
        <f t="shared" si="3"/>
        <v>8.8012673825030811E-3</v>
      </c>
    </row>
    <row r="70" spans="3:8" ht="25.5" customHeight="1" x14ac:dyDescent="0.25">
      <c r="C70" s="482"/>
      <c r="D70" s="615" t="s">
        <v>598</v>
      </c>
      <c r="E70" s="399"/>
      <c r="F70" s="399">
        <v>15015</v>
      </c>
      <c r="G70" s="493"/>
      <c r="H70" s="2573">
        <f t="shared" si="3"/>
        <v>0</v>
      </c>
    </row>
    <row r="71" spans="3:8" ht="25.5" customHeight="1" x14ac:dyDescent="0.25">
      <c r="C71" s="482"/>
      <c r="D71" s="615" t="s">
        <v>706</v>
      </c>
      <c r="E71" s="399"/>
      <c r="F71" s="399">
        <v>30000</v>
      </c>
      <c r="G71" s="493"/>
      <c r="H71" s="2573">
        <f t="shared" si="3"/>
        <v>0</v>
      </c>
    </row>
    <row r="72" spans="3:8" ht="25.5" customHeight="1" x14ac:dyDescent="0.25">
      <c r="C72" s="482"/>
      <c r="D72" s="615" t="s">
        <v>711</v>
      </c>
      <c r="E72" s="399"/>
      <c r="F72" s="399">
        <v>120000</v>
      </c>
      <c r="G72" s="493">
        <v>44882</v>
      </c>
      <c r="H72" s="2573">
        <f t="shared" si="3"/>
        <v>37.401666666666664</v>
      </c>
    </row>
    <row r="73" spans="3:8" ht="25.5" customHeight="1" x14ac:dyDescent="0.25">
      <c r="C73" s="482"/>
      <c r="D73" s="615" t="s">
        <v>770</v>
      </c>
      <c r="E73" s="399"/>
      <c r="F73" s="399">
        <v>1362</v>
      </c>
      <c r="G73" s="493"/>
      <c r="H73" s="2573">
        <f t="shared" si="3"/>
        <v>0</v>
      </c>
    </row>
    <row r="74" spans="3:8" ht="25.5" customHeight="1" x14ac:dyDescent="0.25">
      <c r="C74" s="482"/>
      <c r="D74" s="615" t="s">
        <v>771</v>
      </c>
      <c r="E74" s="399"/>
      <c r="F74" s="399">
        <v>3998</v>
      </c>
      <c r="G74" s="493"/>
      <c r="H74" s="2573">
        <f t="shared" si="3"/>
        <v>0</v>
      </c>
    </row>
    <row r="75" spans="3:8" ht="26.1" customHeight="1" x14ac:dyDescent="0.25">
      <c r="C75" s="494" t="s">
        <v>279</v>
      </c>
      <c r="D75" s="492"/>
      <c r="E75" s="495"/>
      <c r="F75" s="495"/>
      <c r="G75" s="395"/>
      <c r="H75" s="2573"/>
    </row>
    <row r="76" spans="3:8" ht="26.1" customHeight="1" x14ac:dyDescent="0.25">
      <c r="C76" s="466"/>
      <c r="D76" s="492" t="s">
        <v>354</v>
      </c>
      <c r="E76" s="399">
        <v>3000</v>
      </c>
      <c r="F76" s="399">
        <v>3150</v>
      </c>
      <c r="G76" s="395">
        <v>508</v>
      </c>
      <c r="H76" s="2573">
        <f t="shared" si="3"/>
        <v>16.126984126984127</v>
      </c>
    </row>
    <row r="77" spans="3:8" ht="26.1" customHeight="1" x14ac:dyDescent="0.25">
      <c r="C77" s="466"/>
      <c r="D77" s="438" t="s">
        <v>342</v>
      </c>
      <c r="E77" s="399"/>
      <c r="F77" s="399">
        <v>1073</v>
      </c>
      <c r="G77" s="395"/>
      <c r="H77" s="2573">
        <f t="shared" si="3"/>
        <v>0</v>
      </c>
    </row>
    <row r="78" spans="3:8" ht="26.1" customHeight="1" x14ac:dyDescent="0.25">
      <c r="C78" s="494" t="s">
        <v>29</v>
      </c>
      <c r="D78" s="494"/>
      <c r="E78" s="467"/>
      <c r="F78" s="467"/>
      <c r="G78" s="395"/>
      <c r="H78" s="2573"/>
    </row>
    <row r="79" spans="3:8" ht="26.1" customHeight="1" x14ac:dyDescent="0.25">
      <c r="C79" s="494"/>
      <c r="D79" s="492" t="s">
        <v>488</v>
      </c>
      <c r="E79" s="467"/>
      <c r="F79" s="467">
        <v>5058</v>
      </c>
      <c r="G79" s="395">
        <v>1982</v>
      </c>
      <c r="H79" s="2573">
        <f t="shared" si="3"/>
        <v>39.185448793989721</v>
      </c>
    </row>
    <row r="80" spans="3:8" ht="26.1" customHeight="1" x14ac:dyDescent="0.25">
      <c r="C80" s="494"/>
      <c r="D80" s="601" t="s">
        <v>551</v>
      </c>
      <c r="E80" s="467">
        <v>1500</v>
      </c>
      <c r="F80" s="467">
        <v>1500</v>
      </c>
      <c r="G80" s="395">
        <v>1489</v>
      </c>
      <c r="H80" s="2573">
        <f t="shared" si="3"/>
        <v>99.266666666666666</v>
      </c>
    </row>
    <row r="81" spans="2:31" ht="26.1" customHeight="1" x14ac:dyDescent="0.25">
      <c r="C81" s="494"/>
      <c r="D81" s="492" t="s">
        <v>432</v>
      </c>
      <c r="E81" s="467">
        <v>4500</v>
      </c>
      <c r="F81" s="467">
        <v>4500</v>
      </c>
      <c r="G81" s="395">
        <v>4338</v>
      </c>
      <c r="H81" s="2573">
        <f t="shared" si="3"/>
        <v>96.399999999999991</v>
      </c>
    </row>
    <row r="82" spans="2:31" ht="26.1" customHeight="1" x14ac:dyDescent="0.25">
      <c r="C82" s="494"/>
      <c r="D82" s="497" t="s">
        <v>437</v>
      </c>
      <c r="E82" s="467"/>
      <c r="F82" s="467">
        <v>4500</v>
      </c>
      <c r="G82" s="395">
        <v>4491</v>
      </c>
      <c r="H82" s="2573">
        <f t="shared" si="3"/>
        <v>99.8</v>
      </c>
    </row>
    <row r="83" spans="2:31" ht="26.1" customHeight="1" x14ac:dyDescent="0.25">
      <c r="C83" s="494"/>
      <c r="D83" s="496" t="s">
        <v>130</v>
      </c>
      <c r="E83" s="467"/>
      <c r="F83" s="467">
        <v>5000</v>
      </c>
      <c r="G83" s="395">
        <v>4346</v>
      </c>
      <c r="H83" s="2573">
        <f t="shared" si="3"/>
        <v>86.92</v>
      </c>
    </row>
    <row r="84" spans="2:31" ht="26.1" customHeight="1" x14ac:dyDescent="0.25">
      <c r="C84" s="494"/>
      <c r="D84" s="600" t="s">
        <v>546</v>
      </c>
      <c r="E84" s="467">
        <v>5000</v>
      </c>
      <c r="F84" s="467"/>
      <c r="G84" s="467"/>
      <c r="H84" s="2573"/>
    </row>
    <row r="85" spans="2:31" ht="26.1" customHeight="1" x14ac:dyDescent="0.25">
      <c r="C85" s="494"/>
      <c r="D85" s="600" t="s">
        <v>547</v>
      </c>
      <c r="E85" s="467">
        <v>5000</v>
      </c>
      <c r="F85" s="467"/>
      <c r="G85" s="467"/>
      <c r="H85" s="2573"/>
    </row>
    <row r="86" spans="2:31" ht="26.1" customHeight="1" x14ac:dyDescent="0.25">
      <c r="C86" s="494"/>
      <c r="D86" s="600" t="s">
        <v>548</v>
      </c>
      <c r="E86" s="467">
        <v>4500</v>
      </c>
      <c r="F86" s="467"/>
      <c r="G86" s="467"/>
      <c r="H86" s="2573"/>
    </row>
    <row r="87" spans="2:31" ht="26.1" customHeight="1" x14ac:dyDescent="0.25">
      <c r="C87" s="494"/>
      <c r="D87" s="600" t="s">
        <v>549</v>
      </c>
      <c r="E87" s="467">
        <v>5000</v>
      </c>
      <c r="F87" s="467">
        <v>5000</v>
      </c>
      <c r="G87" s="467">
        <v>2407</v>
      </c>
      <c r="H87" s="2573">
        <f t="shared" si="3"/>
        <v>48.14</v>
      </c>
    </row>
    <row r="88" spans="2:31" ht="26.1" customHeight="1" x14ac:dyDescent="0.25">
      <c r="C88" s="494"/>
      <c r="D88" s="600" t="s">
        <v>550</v>
      </c>
      <c r="E88" s="467">
        <v>3000</v>
      </c>
      <c r="F88" s="467">
        <v>3000</v>
      </c>
      <c r="G88" s="467"/>
      <c r="H88" s="2573">
        <f t="shared" si="3"/>
        <v>0</v>
      </c>
    </row>
    <row r="89" spans="2:31" ht="26.1" customHeight="1" x14ac:dyDescent="0.25">
      <c r="C89" s="494"/>
      <c r="D89" s="600" t="s">
        <v>444</v>
      </c>
      <c r="E89" s="467">
        <v>920</v>
      </c>
      <c r="F89" s="467">
        <v>920</v>
      </c>
      <c r="G89" s="467">
        <v>705</v>
      </c>
      <c r="H89" s="2573">
        <f t="shared" si="3"/>
        <v>76.630434782608688</v>
      </c>
    </row>
    <row r="90" spans="2:31" ht="26.1" customHeight="1" x14ac:dyDescent="0.25">
      <c r="C90" s="498" t="s">
        <v>47</v>
      </c>
      <c r="D90" s="499"/>
      <c r="E90" s="401"/>
      <c r="F90" s="401"/>
      <c r="G90" s="467"/>
      <c r="H90" s="2573"/>
    </row>
    <row r="91" spans="2:31" ht="29.25" customHeight="1" x14ac:dyDescent="0.25">
      <c r="C91" s="482"/>
      <c r="D91" s="501" t="s">
        <v>463</v>
      </c>
      <c r="E91" s="467">
        <v>201238</v>
      </c>
      <c r="F91" s="467">
        <v>200117</v>
      </c>
      <c r="G91" s="467">
        <v>100430</v>
      </c>
      <c r="H91" s="2573">
        <f t="shared" si="3"/>
        <v>50.185641399781133</v>
      </c>
    </row>
    <row r="92" spans="2:31" ht="36" x14ac:dyDescent="0.25">
      <c r="C92" s="482"/>
      <c r="D92" s="501" t="s">
        <v>795</v>
      </c>
      <c r="E92" s="467">
        <v>51228</v>
      </c>
      <c r="F92" s="467">
        <v>52349</v>
      </c>
      <c r="G92" s="467"/>
      <c r="H92" s="2573">
        <f t="shared" si="3"/>
        <v>0</v>
      </c>
    </row>
    <row r="93" spans="2:31" ht="36" x14ac:dyDescent="0.25">
      <c r="C93" s="482"/>
      <c r="D93" s="501" t="s">
        <v>516</v>
      </c>
      <c r="E93" s="467"/>
      <c r="F93" s="467">
        <v>4424</v>
      </c>
      <c r="G93" s="467">
        <v>1417</v>
      </c>
      <c r="H93" s="2573">
        <f t="shared" si="3"/>
        <v>32.029837251356241</v>
      </c>
    </row>
    <row r="94" spans="2:31" s="532" customFormat="1" ht="35.25" customHeight="1" x14ac:dyDescent="0.25">
      <c r="B94" s="520"/>
      <c r="C94" s="529"/>
      <c r="D94" s="530" t="s">
        <v>465</v>
      </c>
      <c r="E94" s="531">
        <v>83515</v>
      </c>
      <c r="F94" s="531">
        <v>83515</v>
      </c>
      <c r="G94" s="531">
        <v>6985</v>
      </c>
      <c r="H94" s="2573">
        <f t="shared" si="3"/>
        <v>8.3637669879662333</v>
      </c>
      <c r="I94" s="595"/>
      <c r="J94" s="595"/>
      <c r="K94" s="595"/>
      <c r="L94" s="595"/>
      <c r="M94" s="595"/>
      <c r="N94" s="595"/>
      <c r="O94" s="595"/>
      <c r="P94" s="595"/>
      <c r="Q94" s="595"/>
      <c r="R94" s="595"/>
      <c r="S94" s="595"/>
      <c r="T94" s="595"/>
      <c r="U94" s="595"/>
      <c r="V94" s="595"/>
      <c r="W94" s="595"/>
      <c r="X94" s="595"/>
      <c r="Y94" s="595"/>
      <c r="Z94" s="595"/>
      <c r="AA94" s="595"/>
      <c r="AB94" s="595"/>
      <c r="AC94" s="595"/>
      <c r="AD94" s="595"/>
      <c r="AE94" s="595"/>
    </row>
    <row r="95" spans="2:31" ht="25.5" customHeight="1" x14ac:dyDescent="0.25">
      <c r="C95" s="482"/>
      <c r="D95" s="502" t="s">
        <v>464</v>
      </c>
      <c r="E95" s="467">
        <v>335875</v>
      </c>
      <c r="F95" s="467">
        <v>335875</v>
      </c>
      <c r="G95" s="467">
        <v>28636</v>
      </c>
      <c r="H95" s="2573">
        <f t="shared" si="3"/>
        <v>8.5257908448083377</v>
      </c>
    </row>
    <row r="96" spans="2:31" s="523" customFormat="1" ht="27.75" customHeight="1" x14ac:dyDescent="0.25">
      <c r="B96" s="520"/>
      <c r="C96" s="521"/>
      <c r="D96" s="585" t="s">
        <v>712</v>
      </c>
      <c r="E96" s="522">
        <v>377381</v>
      </c>
      <c r="F96" s="522">
        <v>376991</v>
      </c>
      <c r="G96" s="522">
        <v>309964</v>
      </c>
      <c r="H96" s="2573">
        <f t="shared" si="3"/>
        <v>82.22053046359197</v>
      </c>
      <c r="I96" s="587"/>
      <c r="J96" s="587"/>
      <c r="K96" s="587"/>
      <c r="L96" s="587"/>
      <c r="M96" s="587"/>
      <c r="N96" s="587"/>
      <c r="O96" s="587"/>
      <c r="P96" s="587"/>
      <c r="Q96" s="587"/>
      <c r="R96" s="587"/>
      <c r="S96" s="587"/>
      <c r="T96" s="587"/>
      <c r="U96" s="587"/>
      <c r="V96" s="587"/>
      <c r="W96" s="587"/>
      <c r="X96" s="587"/>
      <c r="Y96" s="587"/>
      <c r="Z96" s="587"/>
      <c r="AA96" s="587"/>
      <c r="AB96" s="587"/>
      <c r="AC96" s="587"/>
      <c r="AD96" s="587"/>
      <c r="AE96" s="587"/>
    </row>
    <row r="97" spans="2:31" s="523" customFormat="1" ht="28.5" customHeight="1" x14ac:dyDescent="0.25">
      <c r="B97" s="520"/>
      <c r="C97" s="521"/>
      <c r="D97" s="585" t="s">
        <v>796</v>
      </c>
      <c r="E97" s="522">
        <v>20055</v>
      </c>
      <c r="F97" s="522">
        <v>20055</v>
      </c>
      <c r="G97" s="586"/>
      <c r="H97" s="2573">
        <f t="shared" si="3"/>
        <v>0</v>
      </c>
      <c r="I97" s="587"/>
      <c r="J97" s="587"/>
      <c r="K97" s="587"/>
      <c r="L97" s="587"/>
      <c r="M97" s="587"/>
      <c r="N97" s="587"/>
      <c r="O97" s="587"/>
      <c r="P97" s="587"/>
      <c r="Q97" s="587"/>
      <c r="R97" s="587"/>
      <c r="S97" s="587"/>
      <c r="T97" s="587"/>
      <c r="U97" s="587"/>
      <c r="V97" s="587"/>
      <c r="W97" s="587"/>
      <c r="X97" s="587"/>
      <c r="Y97" s="587"/>
      <c r="Z97" s="587"/>
      <c r="AA97" s="587"/>
      <c r="AB97" s="587"/>
      <c r="AC97" s="587"/>
      <c r="AD97" s="587"/>
      <c r="AE97" s="587"/>
    </row>
    <row r="98" spans="2:31" s="587" customFormat="1" ht="25.5" customHeight="1" x14ac:dyDescent="0.25">
      <c r="B98" s="520"/>
      <c r="C98" s="521"/>
      <c r="D98" s="585" t="s">
        <v>180</v>
      </c>
      <c r="E98" s="588">
        <v>18800</v>
      </c>
      <c r="F98" s="588">
        <v>27728</v>
      </c>
      <c r="G98" s="589">
        <v>9233</v>
      </c>
      <c r="H98" s="2573">
        <f t="shared" si="3"/>
        <v>33.298470859780728</v>
      </c>
    </row>
    <row r="99" spans="2:31" s="523" customFormat="1" ht="25.5" customHeight="1" x14ac:dyDescent="0.25">
      <c r="B99" s="520"/>
      <c r="C99" s="521"/>
      <c r="D99" s="591" t="s">
        <v>221</v>
      </c>
      <c r="E99" s="588"/>
      <c r="F99" s="588">
        <v>18074</v>
      </c>
      <c r="G99" s="589">
        <v>5334</v>
      </c>
      <c r="H99" s="2573">
        <f t="shared" si="3"/>
        <v>29.512006196746711</v>
      </c>
      <c r="I99" s="587"/>
      <c r="J99" s="587"/>
      <c r="K99" s="587"/>
      <c r="L99" s="587"/>
      <c r="M99" s="587"/>
      <c r="N99" s="587"/>
      <c r="O99" s="587"/>
      <c r="P99" s="587"/>
      <c r="Q99" s="587"/>
      <c r="R99" s="587"/>
      <c r="S99" s="587"/>
      <c r="T99" s="587"/>
      <c r="U99" s="587"/>
      <c r="V99" s="587"/>
      <c r="W99" s="587"/>
      <c r="X99" s="587"/>
      <c r="Y99" s="587"/>
      <c r="Z99" s="587"/>
      <c r="AA99" s="587"/>
      <c r="AB99" s="587"/>
      <c r="AC99" s="587"/>
      <c r="AD99" s="587"/>
      <c r="AE99" s="587"/>
    </row>
    <row r="100" spans="2:31" s="523" customFormat="1" ht="25.5" customHeight="1" x14ac:dyDescent="0.25">
      <c r="B100" s="520"/>
      <c r="C100" s="521"/>
      <c r="D100" s="590" t="s">
        <v>396</v>
      </c>
      <c r="E100" s="592">
        <v>12376</v>
      </c>
      <c r="F100" s="592">
        <v>12376</v>
      </c>
      <c r="G100" s="589"/>
      <c r="H100" s="2573">
        <f t="shared" si="3"/>
        <v>0</v>
      </c>
      <c r="I100" s="587"/>
      <c r="J100" s="587"/>
      <c r="K100" s="587"/>
      <c r="L100" s="587"/>
      <c r="M100" s="587"/>
      <c r="N100" s="587"/>
      <c r="O100" s="587"/>
      <c r="P100" s="587"/>
      <c r="Q100" s="587"/>
      <c r="R100" s="587"/>
      <c r="S100" s="587"/>
      <c r="T100" s="587"/>
      <c r="U100" s="587"/>
      <c r="V100" s="587"/>
      <c r="W100" s="587"/>
      <c r="X100" s="587"/>
      <c r="Y100" s="587"/>
      <c r="Z100" s="587"/>
      <c r="AA100" s="587"/>
      <c r="AB100" s="587"/>
      <c r="AC100" s="587"/>
      <c r="AD100" s="587"/>
      <c r="AE100" s="587"/>
    </row>
    <row r="101" spans="2:31" s="523" customFormat="1" ht="25.5" customHeight="1" x14ac:dyDescent="0.25">
      <c r="B101" s="520"/>
      <c r="C101" s="521"/>
      <c r="D101" s="591" t="s">
        <v>797</v>
      </c>
      <c r="E101" s="592">
        <v>355027</v>
      </c>
      <c r="F101" s="592">
        <v>350417</v>
      </c>
      <c r="G101" s="589">
        <f>177267-35+1</f>
        <v>177233</v>
      </c>
      <c r="H101" s="2573">
        <f t="shared" si="3"/>
        <v>50.577740235205482</v>
      </c>
      <c r="I101" s="587"/>
      <c r="J101" s="587"/>
      <c r="K101" s="587"/>
      <c r="L101" s="587"/>
      <c r="M101" s="587"/>
      <c r="N101" s="587"/>
      <c r="O101" s="587"/>
      <c r="P101" s="587"/>
      <c r="Q101" s="587"/>
      <c r="R101" s="587"/>
      <c r="S101" s="587"/>
      <c r="T101" s="587"/>
      <c r="U101" s="587"/>
      <c r="V101" s="587"/>
      <c r="W101" s="587"/>
      <c r="X101" s="587"/>
      <c r="Y101" s="587"/>
      <c r="Z101" s="587"/>
      <c r="AA101" s="587"/>
      <c r="AB101" s="587"/>
      <c r="AC101" s="587"/>
      <c r="AD101" s="587"/>
      <c r="AE101" s="587"/>
    </row>
    <row r="102" spans="2:31" s="523" customFormat="1" ht="25.5" customHeight="1" x14ac:dyDescent="0.25">
      <c r="B102" s="520"/>
      <c r="C102" s="521"/>
      <c r="D102" s="591" t="s">
        <v>798</v>
      </c>
      <c r="E102" s="592">
        <v>93930</v>
      </c>
      <c r="F102" s="592">
        <v>93256</v>
      </c>
      <c r="G102" s="589"/>
      <c r="H102" s="2573">
        <f t="shared" ref="H102:H156" si="4">+G102/F102*100</f>
        <v>0</v>
      </c>
      <c r="I102" s="587"/>
      <c r="J102" s="587"/>
      <c r="K102" s="587"/>
      <c r="L102" s="587"/>
      <c r="M102" s="587"/>
      <c r="N102" s="587"/>
      <c r="O102" s="587"/>
      <c r="P102" s="587"/>
      <c r="Q102" s="587"/>
      <c r="R102" s="587"/>
      <c r="S102" s="587"/>
      <c r="T102" s="587"/>
      <c r="U102" s="587"/>
      <c r="V102" s="587"/>
      <c r="W102" s="587"/>
      <c r="X102" s="587"/>
      <c r="Y102" s="587"/>
      <c r="Z102" s="587"/>
      <c r="AA102" s="587"/>
      <c r="AB102" s="587"/>
      <c r="AC102" s="587"/>
      <c r="AD102" s="587"/>
      <c r="AE102" s="587"/>
    </row>
    <row r="103" spans="2:31" s="523" customFormat="1" ht="25.5" customHeight="1" x14ac:dyDescent="0.25">
      <c r="B103" s="520"/>
      <c r="C103" s="521"/>
      <c r="D103" s="591" t="s">
        <v>799</v>
      </c>
      <c r="E103" s="588">
        <v>10576</v>
      </c>
      <c r="F103" s="588">
        <v>9602</v>
      </c>
      <c r="G103" s="589">
        <v>1085</v>
      </c>
      <c r="H103" s="2573">
        <f t="shared" si="4"/>
        <v>11.299729223078526</v>
      </c>
      <c r="I103" s="587"/>
      <c r="J103" s="587"/>
      <c r="K103" s="587"/>
      <c r="L103" s="587"/>
      <c r="M103" s="587"/>
      <c r="N103" s="587"/>
      <c r="O103" s="587"/>
      <c r="P103" s="587"/>
      <c r="Q103" s="587"/>
      <c r="R103" s="587"/>
      <c r="S103" s="587"/>
      <c r="T103" s="587"/>
      <c r="U103" s="587"/>
      <c r="V103" s="587"/>
      <c r="W103" s="587"/>
      <c r="X103" s="587"/>
      <c r="Y103" s="587"/>
      <c r="Z103" s="587"/>
      <c r="AA103" s="587"/>
      <c r="AB103" s="587"/>
      <c r="AC103" s="587"/>
      <c r="AD103" s="587"/>
      <c r="AE103" s="587"/>
    </row>
    <row r="104" spans="2:31" s="523" customFormat="1" ht="39" customHeight="1" x14ac:dyDescent="0.25">
      <c r="B104" s="520"/>
      <c r="C104" s="521"/>
      <c r="D104" s="591" t="s">
        <v>800</v>
      </c>
      <c r="E104" s="588"/>
      <c r="F104" s="588">
        <v>920</v>
      </c>
      <c r="G104" s="589"/>
      <c r="H104" s="2573">
        <f t="shared" si="4"/>
        <v>0</v>
      </c>
      <c r="I104" s="587"/>
      <c r="J104" s="587"/>
      <c r="K104" s="587"/>
      <c r="L104" s="587"/>
      <c r="M104" s="587"/>
      <c r="N104" s="587"/>
      <c r="O104" s="587"/>
      <c r="P104" s="587"/>
      <c r="Q104" s="587"/>
      <c r="R104" s="587"/>
      <c r="S104" s="587"/>
      <c r="T104" s="587"/>
      <c r="U104" s="587"/>
      <c r="V104" s="587"/>
      <c r="W104" s="587"/>
      <c r="X104" s="587"/>
      <c r="Y104" s="587"/>
      <c r="Z104" s="587"/>
      <c r="AA104" s="587"/>
      <c r="AB104" s="587"/>
      <c r="AC104" s="587"/>
      <c r="AD104" s="587"/>
      <c r="AE104" s="587"/>
    </row>
    <row r="105" spans="2:31" ht="25.5" customHeight="1" x14ac:dyDescent="0.25">
      <c r="C105" s="482"/>
      <c r="D105" s="470"/>
      <c r="E105" s="395"/>
      <c r="F105" s="395"/>
      <c r="G105" s="493"/>
      <c r="H105" s="2573"/>
    </row>
    <row r="106" spans="2:31" ht="25.5" customHeight="1" x14ac:dyDescent="0.25">
      <c r="C106" s="482"/>
      <c r="D106" s="501" t="s">
        <v>375</v>
      </c>
      <c r="E106" s="399">
        <v>1219733</v>
      </c>
      <c r="F106" s="399">
        <v>1240948</v>
      </c>
      <c r="G106" s="493"/>
      <c r="H106" s="2573">
        <f t="shared" si="4"/>
        <v>0</v>
      </c>
    </row>
    <row r="107" spans="2:31" ht="25.5" customHeight="1" x14ac:dyDescent="0.25">
      <c r="C107" s="482"/>
      <c r="D107" s="501" t="s">
        <v>445</v>
      </c>
      <c r="E107" s="399">
        <v>292606</v>
      </c>
      <c r="F107" s="399">
        <v>271391</v>
      </c>
      <c r="G107" s="493"/>
      <c r="H107" s="2573">
        <f t="shared" si="4"/>
        <v>0</v>
      </c>
    </row>
    <row r="108" spans="2:31" ht="25.5" customHeight="1" x14ac:dyDescent="0.25">
      <c r="C108" s="482"/>
      <c r="D108" s="501" t="s">
        <v>449</v>
      </c>
      <c r="E108" s="395"/>
      <c r="F108" s="395">
        <v>360</v>
      </c>
      <c r="G108" s="493">
        <v>360</v>
      </c>
      <c r="H108" s="2573">
        <f t="shared" si="4"/>
        <v>100</v>
      </c>
    </row>
    <row r="109" spans="2:31" ht="25.5" customHeight="1" x14ac:dyDescent="0.25">
      <c r="C109" s="482"/>
      <c r="D109" s="470"/>
      <c r="E109" s="395"/>
      <c r="F109" s="395"/>
      <c r="G109" s="493"/>
      <c r="H109" s="2573"/>
    </row>
    <row r="110" spans="2:31" ht="25.5" customHeight="1" x14ac:dyDescent="0.25">
      <c r="C110" s="482"/>
      <c r="D110" s="501" t="s">
        <v>801</v>
      </c>
      <c r="E110" s="399">
        <v>1360752</v>
      </c>
      <c r="F110" s="399">
        <v>1360752</v>
      </c>
      <c r="G110" s="493">
        <v>15072</v>
      </c>
      <c r="H110" s="2573">
        <f t="shared" si="4"/>
        <v>1.1076228438392888</v>
      </c>
    </row>
    <row r="111" spans="2:31" ht="25.5" customHeight="1" x14ac:dyDescent="0.25">
      <c r="C111" s="482"/>
      <c r="D111" s="470"/>
      <c r="E111" s="395"/>
      <c r="F111" s="395"/>
      <c r="G111" s="493"/>
      <c r="H111" s="2573"/>
    </row>
    <row r="112" spans="2:31" ht="27.75" customHeight="1" x14ac:dyDescent="0.25">
      <c r="C112" s="482"/>
      <c r="D112" s="501" t="s">
        <v>802</v>
      </c>
      <c r="E112" s="399">
        <v>395373</v>
      </c>
      <c r="F112" s="399">
        <v>395777</v>
      </c>
      <c r="G112" s="493">
        <v>4603</v>
      </c>
      <c r="H112" s="2573">
        <f t="shared" si="4"/>
        <v>1.1630286752388339</v>
      </c>
    </row>
    <row r="113" spans="3:8" ht="46.5" customHeight="1" x14ac:dyDescent="0.25">
      <c r="C113" s="482"/>
      <c r="D113" s="501" t="s">
        <v>803</v>
      </c>
      <c r="E113" s="399">
        <v>79724</v>
      </c>
      <c r="F113" s="399">
        <v>79320</v>
      </c>
      <c r="G113" s="493"/>
      <c r="H113" s="2573">
        <f t="shared" si="4"/>
        <v>0</v>
      </c>
    </row>
    <row r="114" spans="3:8" ht="25.5" customHeight="1" x14ac:dyDescent="0.25">
      <c r="C114" s="482"/>
      <c r="D114" s="470"/>
      <c r="E114" s="395"/>
      <c r="F114" s="395"/>
      <c r="G114" s="493"/>
      <c r="H114" s="2573"/>
    </row>
    <row r="115" spans="3:8" ht="28.5" customHeight="1" x14ac:dyDescent="0.25">
      <c r="C115" s="482"/>
      <c r="D115" s="501" t="s">
        <v>459</v>
      </c>
      <c r="E115" s="399">
        <v>269110</v>
      </c>
      <c r="F115" s="399">
        <v>220183</v>
      </c>
      <c r="G115" s="493">
        <v>7909</v>
      </c>
      <c r="H115" s="2573">
        <f t="shared" si="4"/>
        <v>3.5920120990267188</v>
      </c>
    </row>
    <row r="116" spans="3:8" ht="39.75" customHeight="1" x14ac:dyDescent="0.25">
      <c r="C116" s="482"/>
      <c r="D116" s="501" t="s">
        <v>686</v>
      </c>
      <c r="E116" s="399"/>
      <c r="F116" s="399">
        <v>48427</v>
      </c>
      <c r="G116" s="493"/>
      <c r="H116" s="2573">
        <f t="shared" si="4"/>
        <v>0</v>
      </c>
    </row>
    <row r="117" spans="3:8" ht="28.5" customHeight="1" x14ac:dyDescent="0.25">
      <c r="C117" s="482"/>
      <c r="D117" s="470"/>
      <c r="E117" s="395"/>
      <c r="F117" s="395"/>
      <c r="G117" s="493"/>
      <c r="H117" s="2573"/>
    </row>
    <row r="118" spans="3:8" ht="25.5" customHeight="1" x14ac:dyDescent="0.25">
      <c r="C118" s="482"/>
      <c r="D118" s="503" t="s">
        <v>376</v>
      </c>
      <c r="E118" s="400">
        <v>685933</v>
      </c>
      <c r="F118" s="400">
        <v>681386</v>
      </c>
      <c r="G118" s="504">
        <f>674429-260</f>
        <v>674169</v>
      </c>
      <c r="H118" s="2573">
        <f t="shared" si="4"/>
        <v>98.940835297467217</v>
      </c>
    </row>
    <row r="119" spans="3:8" ht="36" x14ac:dyDescent="0.25">
      <c r="C119" s="482"/>
      <c r="D119" s="497" t="s">
        <v>751</v>
      </c>
      <c r="E119" s="399">
        <v>159625</v>
      </c>
      <c r="F119" s="399">
        <v>165461</v>
      </c>
      <c r="G119" s="493"/>
      <c r="H119" s="2573">
        <f t="shared" si="4"/>
        <v>0</v>
      </c>
    </row>
    <row r="120" spans="3:8" ht="26.25" customHeight="1" x14ac:dyDescent="0.25">
      <c r="C120" s="482"/>
      <c r="D120" s="497"/>
      <c r="E120" s="399"/>
      <c r="F120" s="399"/>
      <c r="G120" s="493"/>
      <c r="H120" s="2573"/>
    </row>
    <row r="121" spans="3:8" ht="25.5" customHeight="1" x14ac:dyDescent="0.25">
      <c r="C121" s="482"/>
      <c r="D121" s="503" t="s">
        <v>388</v>
      </c>
      <c r="E121" s="399">
        <v>427279</v>
      </c>
      <c r="F121" s="399">
        <v>496828</v>
      </c>
      <c r="G121" s="493">
        <f>272330-1410-330</f>
        <v>270590</v>
      </c>
      <c r="H121" s="2573">
        <f t="shared" si="4"/>
        <v>54.463516548986767</v>
      </c>
    </row>
    <row r="122" spans="3:8" ht="25.5" customHeight="1" x14ac:dyDescent="0.25">
      <c r="C122" s="482"/>
      <c r="D122" s="503" t="s">
        <v>804</v>
      </c>
      <c r="E122" s="399">
        <v>94084</v>
      </c>
      <c r="F122" s="399">
        <v>104792</v>
      </c>
      <c r="G122" s="493"/>
      <c r="H122" s="2573">
        <f t="shared" si="4"/>
        <v>0</v>
      </c>
    </row>
    <row r="123" spans="3:8" ht="26.25" customHeight="1" x14ac:dyDescent="0.25">
      <c r="C123" s="482"/>
      <c r="D123" s="503" t="s">
        <v>805</v>
      </c>
      <c r="E123" s="399">
        <v>34274</v>
      </c>
      <c r="F123" s="399">
        <v>55835</v>
      </c>
      <c r="G123" s="493">
        <v>416</v>
      </c>
      <c r="H123" s="2573">
        <f t="shared" si="4"/>
        <v>0.74505238649592553</v>
      </c>
    </row>
    <row r="124" spans="3:8" ht="26.25" customHeight="1" x14ac:dyDescent="0.25">
      <c r="C124" s="482"/>
      <c r="D124" s="503" t="s">
        <v>1803</v>
      </c>
      <c r="E124" s="399">
        <v>3614</v>
      </c>
      <c r="F124" s="399">
        <v>12754</v>
      </c>
      <c r="G124" s="493"/>
      <c r="H124" s="2573">
        <f t="shared" si="4"/>
        <v>0</v>
      </c>
    </row>
    <row r="125" spans="3:8" ht="26.25" customHeight="1" x14ac:dyDescent="0.25">
      <c r="C125" s="482"/>
      <c r="D125" s="497"/>
      <c r="E125" s="399"/>
      <c r="F125" s="399"/>
      <c r="G125" s="493"/>
      <c r="H125" s="2573"/>
    </row>
    <row r="126" spans="3:8" ht="36.75" customHeight="1" x14ac:dyDescent="0.25">
      <c r="C126" s="482"/>
      <c r="D126" s="497" t="s">
        <v>368</v>
      </c>
      <c r="E126" s="399">
        <v>100</v>
      </c>
      <c r="F126" s="399">
        <v>100</v>
      </c>
      <c r="G126" s="493"/>
      <c r="H126" s="2573">
        <f t="shared" si="4"/>
        <v>0</v>
      </c>
    </row>
    <row r="127" spans="3:8" ht="36" customHeight="1" x14ac:dyDescent="0.25">
      <c r="C127" s="482"/>
      <c r="D127" s="497" t="s">
        <v>450</v>
      </c>
      <c r="E127" s="399">
        <v>506</v>
      </c>
      <c r="F127" s="399">
        <v>506</v>
      </c>
      <c r="G127" s="493"/>
      <c r="H127" s="2573">
        <f t="shared" si="4"/>
        <v>0</v>
      </c>
    </row>
    <row r="128" spans="3:8" ht="25.5" customHeight="1" x14ac:dyDescent="0.25">
      <c r="C128" s="482"/>
      <c r="D128" s="497" t="s">
        <v>367</v>
      </c>
      <c r="E128" s="399">
        <v>270</v>
      </c>
      <c r="F128" s="399">
        <v>270</v>
      </c>
      <c r="G128" s="493">
        <v>86</v>
      </c>
      <c r="H128" s="2573">
        <f t="shared" si="4"/>
        <v>31.851851851851855</v>
      </c>
    </row>
    <row r="129" spans="3:8" ht="53.25" customHeight="1" x14ac:dyDescent="0.25">
      <c r="C129" s="482"/>
      <c r="D129" s="497" t="s">
        <v>753</v>
      </c>
      <c r="E129" s="399">
        <v>28953</v>
      </c>
      <c r="F129" s="399"/>
      <c r="G129" s="493"/>
      <c r="H129" s="2573"/>
    </row>
    <row r="130" spans="3:8" ht="36" x14ac:dyDescent="0.25">
      <c r="C130" s="482"/>
      <c r="D130" s="497" t="s">
        <v>451</v>
      </c>
      <c r="E130" s="399">
        <v>88</v>
      </c>
      <c r="F130" s="399">
        <v>88</v>
      </c>
      <c r="G130" s="493">
        <v>88</v>
      </c>
      <c r="H130" s="2573">
        <f t="shared" si="4"/>
        <v>100</v>
      </c>
    </row>
    <row r="131" spans="3:8" ht="41.25" customHeight="1" x14ac:dyDescent="0.25">
      <c r="C131" s="482"/>
      <c r="D131" s="497" t="s">
        <v>754</v>
      </c>
      <c r="E131" s="399">
        <v>3648</v>
      </c>
      <c r="F131" s="399"/>
      <c r="G131" s="493"/>
      <c r="H131" s="2573"/>
    </row>
    <row r="132" spans="3:8" ht="26.25" customHeight="1" x14ac:dyDescent="0.25">
      <c r="C132" s="482"/>
      <c r="D132" s="497"/>
      <c r="E132" s="399"/>
      <c r="F132" s="399"/>
      <c r="G132" s="493"/>
      <c r="H132" s="2573"/>
    </row>
    <row r="133" spans="3:8" ht="25.5" customHeight="1" x14ac:dyDescent="0.25">
      <c r="C133" s="482"/>
      <c r="D133" s="497" t="s">
        <v>387</v>
      </c>
      <c r="E133" s="399">
        <v>148698</v>
      </c>
      <c r="F133" s="399">
        <v>148698</v>
      </c>
      <c r="G133" s="493">
        <f>144323-86-1</f>
        <v>144236</v>
      </c>
      <c r="H133" s="2573">
        <f t="shared" si="4"/>
        <v>96.999287145758515</v>
      </c>
    </row>
    <row r="134" spans="3:8" ht="26.25" customHeight="1" x14ac:dyDescent="0.25">
      <c r="C134" s="482"/>
      <c r="D134" s="497" t="s">
        <v>446</v>
      </c>
      <c r="E134" s="399">
        <v>12543</v>
      </c>
      <c r="F134" s="399">
        <v>12543</v>
      </c>
      <c r="G134" s="493"/>
      <c r="H134" s="2573">
        <f t="shared" si="4"/>
        <v>0</v>
      </c>
    </row>
    <row r="135" spans="3:8" ht="26.25" customHeight="1" x14ac:dyDescent="0.25">
      <c r="C135" s="482"/>
      <c r="D135" s="497" t="s">
        <v>452</v>
      </c>
      <c r="E135" s="399">
        <v>3640</v>
      </c>
      <c r="F135" s="399">
        <v>3640</v>
      </c>
      <c r="G135" s="493">
        <v>100</v>
      </c>
      <c r="H135" s="2573">
        <f t="shared" si="4"/>
        <v>2.7472527472527473</v>
      </c>
    </row>
    <row r="136" spans="3:8" ht="26.25" customHeight="1" x14ac:dyDescent="0.25">
      <c r="C136" s="482"/>
      <c r="D136" s="497"/>
      <c r="E136" s="399"/>
      <c r="F136" s="399"/>
      <c r="G136" s="493"/>
      <c r="H136" s="2573"/>
    </row>
    <row r="137" spans="3:8" ht="30.75" customHeight="1" x14ac:dyDescent="0.25">
      <c r="C137" s="482"/>
      <c r="D137" s="402" t="s">
        <v>379</v>
      </c>
      <c r="E137" s="399">
        <v>706648</v>
      </c>
      <c r="F137" s="399">
        <v>706648</v>
      </c>
      <c r="G137" s="493">
        <f>698612-503+1</f>
        <v>698110</v>
      </c>
      <c r="H137" s="2573">
        <f t="shared" si="4"/>
        <v>98.7917605370708</v>
      </c>
    </row>
    <row r="138" spans="3:8" ht="48" customHeight="1" x14ac:dyDescent="0.25">
      <c r="C138" s="482"/>
      <c r="D138" s="497" t="s">
        <v>392</v>
      </c>
      <c r="E138" s="399">
        <v>186282</v>
      </c>
      <c r="F138" s="399">
        <v>186282</v>
      </c>
      <c r="G138" s="493"/>
      <c r="H138" s="2573">
        <f t="shared" si="4"/>
        <v>0</v>
      </c>
    </row>
    <row r="139" spans="3:8" ht="48" customHeight="1" x14ac:dyDescent="0.25">
      <c r="C139" s="482"/>
      <c r="D139" s="497" t="s">
        <v>494</v>
      </c>
      <c r="E139" s="399">
        <v>24913</v>
      </c>
      <c r="F139" s="399">
        <v>24913</v>
      </c>
      <c r="G139" s="493">
        <v>24913</v>
      </c>
      <c r="H139" s="2573">
        <f t="shared" si="4"/>
        <v>100</v>
      </c>
    </row>
    <row r="140" spans="3:8" ht="48" customHeight="1" x14ac:dyDescent="0.25">
      <c r="C140" s="482"/>
      <c r="D140" s="497" t="s">
        <v>502</v>
      </c>
      <c r="E140" s="399">
        <v>6726</v>
      </c>
      <c r="F140" s="399">
        <v>6726</v>
      </c>
      <c r="G140" s="493"/>
      <c r="H140" s="2573">
        <f t="shared" si="4"/>
        <v>0</v>
      </c>
    </row>
    <row r="141" spans="3:8" ht="48" customHeight="1" x14ac:dyDescent="0.25">
      <c r="C141" s="482"/>
      <c r="D141" s="497" t="s">
        <v>495</v>
      </c>
      <c r="E141" s="399">
        <v>49825</v>
      </c>
      <c r="F141" s="399">
        <v>49825</v>
      </c>
      <c r="G141" s="493">
        <v>49825</v>
      </c>
      <c r="H141" s="2573">
        <f t="shared" si="4"/>
        <v>100</v>
      </c>
    </row>
    <row r="142" spans="3:8" ht="48" customHeight="1" x14ac:dyDescent="0.25">
      <c r="C142" s="482"/>
      <c r="D142" s="497" t="s">
        <v>503</v>
      </c>
      <c r="E142" s="399">
        <v>13453</v>
      </c>
      <c r="F142" s="399">
        <v>13453</v>
      </c>
      <c r="G142" s="493"/>
      <c r="H142" s="2573">
        <f t="shared" si="4"/>
        <v>0</v>
      </c>
    </row>
    <row r="143" spans="3:8" ht="48" customHeight="1" x14ac:dyDescent="0.25">
      <c r="C143" s="482"/>
      <c r="D143" s="497" t="s">
        <v>496</v>
      </c>
      <c r="E143" s="399">
        <v>25000</v>
      </c>
      <c r="F143" s="399">
        <v>25000</v>
      </c>
      <c r="G143" s="493">
        <v>25000</v>
      </c>
      <c r="H143" s="2573">
        <f t="shared" si="4"/>
        <v>100</v>
      </c>
    </row>
    <row r="144" spans="3:8" ht="48" customHeight="1" x14ac:dyDescent="0.25">
      <c r="C144" s="482"/>
      <c r="D144" s="497" t="s">
        <v>504</v>
      </c>
      <c r="E144" s="399">
        <v>6750</v>
      </c>
      <c r="F144" s="399">
        <v>6750</v>
      </c>
      <c r="G144" s="493"/>
      <c r="H144" s="2573">
        <f t="shared" si="4"/>
        <v>0</v>
      </c>
    </row>
    <row r="145" spans="3:8" ht="48" customHeight="1" x14ac:dyDescent="0.25">
      <c r="C145" s="482"/>
      <c r="D145" s="497" t="s">
        <v>497</v>
      </c>
      <c r="E145" s="399">
        <v>70000</v>
      </c>
      <c r="F145" s="399">
        <v>70000</v>
      </c>
      <c r="G145" s="493">
        <v>70000</v>
      </c>
      <c r="H145" s="2573">
        <f t="shared" si="4"/>
        <v>100</v>
      </c>
    </row>
    <row r="146" spans="3:8" ht="48" customHeight="1" x14ac:dyDescent="0.25">
      <c r="C146" s="482"/>
      <c r="D146" s="497" t="s">
        <v>505</v>
      </c>
      <c r="E146" s="399">
        <v>18900</v>
      </c>
      <c r="F146" s="399">
        <v>18900</v>
      </c>
      <c r="G146" s="493"/>
      <c r="H146" s="2573">
        <f t="shared" si="4"/>
        <v>0</v>
      </c>
    </row>
    <row r="147" spans="3:8" ht="48" customHeight="1" x14ac:dyDescent="0.25">
      <c r="C147" s="482"/>
      <c r="D147" s="497" t="s">
        <v>626</v>
      </c>
      <c r="E147" s="399"/>
      <c r="F147" s="399">
        <v>22847</v>
      </c>
      <c r="G147" s="493"/>
      <c r="H147" s="2573">
        <f t="shared" si="4"/>
        <v>0</v>
      </c>
    </row>
    <row r="148" spans="3:8" ht="48" customHeight="1" x14ac:dyDescent="0.25">
      <c r="C148" s="482"/>
      <c r="D148" s="497" t="s">
        <v>806</v>
      </c>
      <c r="E148" s="400">
        <v>52</v>
      </c>
      <c r="F148" s="400">
        <v>52</v>
      </c>
      <c r="G148" s="504"/>
      <c r="H148" s="2574">
        <f t="shared" si="4"/>
        <v>0</v>
      </c>
    </row>
    <row r="149" spans="3:8" ht="48" customHeight="1" x14ac:dyDescent="0.25">
      <c r="C149" s="482"/>
      <c r="D149" s="497" t="s">
        <v>506</v>
      </c>
      <c r="E149" s="399">
        <v>119450</v>
      </c>
      <c r="F149" s="399">
        <v>135157</v>
      </c>
      <c r="G149" s="493">
        <v>111775</v>
      </c>
      <c r="H149" s="2573">
        <f t="shared" si="4"/>
        <v>82.700119120726271</v>
      </c>
    </row>
    <row r="150" spans="3:8" ht="48" customHeight="1" x14ac:dyDescent="0.25">
      <c r="C150" s="482"/>
      <c r="D150" s="497" t="s">
        <v>507</v>
      </c>
      <c r="E150" s="399">
        <v>29128</v>
      </c>
      <c r="F150" s="399">
        <v>29128</v>
      </c>
      <c r="G150" s="493"/>
      <c r="H150" s="2573">
        <f t="shared" si="4"/>
        <v>0</v>
      </c>
    </row>
    <row r="151" spans="3:8" ht="25.5" customHeight="1" x14ac:dyDescent="0.25">
      <c r="C151" s="482"/>
      <c r="D151" s="497" t="s">
        <v>371</v>
      </c>
      <c r="E151" s="399"/>
      <c r="F151" s="399">
        <v>966465</v>
      </c>
      <c r="G151" s="493">
        <f>899540-238</f>
        <v>899302</v>
      </c>
      <c r="H151" s="2573">
        <f t="shared" si="4"/>
        <v>93.050653670852029</v>
      </c>
    </row>
    <row r="152" spans="3:8" ht="25.5" customHeight="1" x14ac:dyDescent="0.25">
      <c r="C152" s="482"/>
      <c r="D152" s="497" t="s">
        <v>447</v>
      </c>
      <c r="E152" s="399">
        <v>105848</v>
      </c>
      <c r="F152" s="399">
        <v>105848</v>
      </c>
      <c r="G152" s="493"/>
      <c r="H152" s="2573">
        <f t="shared" si="4"/>
        <v>0</v>
      </c>
    </row>
    <row r="153" spans="3:8" ht="50.25" customHeight="1" x14ac:dyDescent="0.25">
      <c r="C153" s="482"/>
      <c r="D153" s="602" t="s">
        <v>553</v>
      </c>
      <c r="E153" s="399">
        <v>2919</v>
      </c>
      <c r="F153" s="399">
        <v>2919</v>
      </c>
      <c r="G153" s="493">
        <v>3</v>
      </c>
      <c r="H153" s="2573">
        <f t="shared" si="4"/>
        <v>0.10277492291880781</v>
      </c>
    </row>
    <row r="154" spans="3:8" ht="50.25" customHeight="1" x14ac:dyDescent="0.25">
      <c r="C154" s="482"/>
      <c r="D154" s="599" t="s">
        <v>552</v>
      </c>
      <c r="E154" s="399">
        <v>26000</v>
      </c>
      <c r="F154" s="399">
        <v>26000</v>
      </c>
      <c r="G154" s="493"/>
      <c r="H154" s="2573">
        <f t="shared" si="4"/>
        <v>0</v>
      </c>
    </row>
    <row r="155" spans="3:8" ht="26.25" customHeight="1" x14ac:dyDescent="0.25">
      <c r="C155" s="482"/>
      <c r="D155" s="497"/>
      <c r="E155" s="399"/>
      <c r="F155" s="399"/>
      <c r="G155" s="493"/>
      <c r="H155" s="2573"/>
    </row>
    <row r="156" spans="3:8" ht="30.75" customHeight="1" x14ac:dyDescent="0.25">
      <c r="C156" s="482"/>
      <c r="D156" s="501" t="s">
        <v>380</v>
      </c>
      <c r="E156" s="400">
        <v>552622</v>
      </c>
      <c r="F156" s="400">
        <v>526781</v>
      </c>
      <c r="G156" s="504">
        <v>270981</v>
      </c>
      <c r="H156" s="2573">
        <f t="shared" si="4"/>
        <v>51.440921369601412</v>
      </c>
    </row>
    <row r="157" spans="3:8" ht="47.25" customHeight="1" x14ac:dyDescent="0.25">
      <c r="C157" s="482"/>
      <c r="D157" s="497" t="s">
        <v>755</v>
      </c>
      <c r="E157" s="399">
        <v>137794</v>
      </c>
      <c r="F157" s="399">
        <v>134843</v>
      </c>
      <c r="G157" s="493"/>
      <c r="H157" s="2573">
        <f t="shared" ref="H157:H194" si="5">+G157/F157*100</f>
        <v>0</v>
      </c>
    </row>
    <row r="158" spans="3:8" ht="36" x14ac:dyDescent="0.25">
      <c r="C158" s="482"/>
      <c r="D158" s="497" t="s">
        <v>687</v>
      </c>
      <c r="E158" s="399"/>
      <c r="F158" s="399">
        <v>2706</v>
      </c>
      <c r="G158" s="493">
        <v>1076</v>
      </c>
      <c r="H158" s="2573">
        <f t="shared" si="5"/>
        <v>39.763488543976351</v>
      </c>
    </row>
    <row r="159" spans="3:8" ht="25.5" customHeight="1" x14ac:dyDescent="0.25">
      <c r="C159" s="482"/>
      <c r="D159" s="497" t="s">
        <v>370</v>
      </c>
      <c r="E159" s="401">
        <v>951276</v>
      </c>
      <c r="F159" s="401">
        <v>776347</v>
      </c>
      <c r="G159" s="500">
        <f>8593-276</f>
        <v>8317</v>
      </c>
      <c r="H159" s="2573">
        <f t="shared" si="5"/>
        <v>1.0712993030178515</v>
      </c>
    </row>
    <row r="160" spans="3:8" ht="26.25" customHeight="1" x14ac:dyDescent="0.25">
      <c r="C160" s="482"/>
      <c r="D160" s="497" t="s">
        <v>756</v>
      </c>
      <c r="E160" s="399"/>
      <c r="F160" s="399">
        <v>174929</v>
      </c>
      <c r="G160" s="493"/>
      <c r="H160" s="2573">
        <f t="shared" si="5"/>
        <v>0</v>
      </c>
    </row>
    <row r="161" spans="1:8" ht="26.25" customHeight="1" x14ac:dyDescent="0.25">
      <c r="C161" s="482"/>
      <c r="D161" s="497" t="s">
        <v>453</v>
      </c>
      <c r="E161" s="399">
        <v>2400</v>
      </c>
      <c r="F161" s="399">
        <v>2400</v>
      </c>
      <c r="G161" s="493">
        <v>0</v>
      </c>
      <c r="H161" s="2573">
        <f t="shared" si="5"/>
        <v>0</v>
      </c>
    </row>
    <row r="162" spans="1:8" ht="25.5" customHeight="1" x14ac:dyDescent="0.25">
      <c r="C162" s="482"/>
      <c r="D162" s="468"/>
      <c r="E162" s="401"/>
      <c r="F162" s="401"/>
      <c r="G162" s="500"/>
      <c r="H162" s="2573"/>
    </row>
    <row r="163" spans="1:8" ht="25.5" customHeight="1" x14ac:dyDescent="0.25">
      <c r="C163" s="482"/>
      <c r="D163" s="402" t="s">
        <v>383</v>
      </c>
      <c r="E163" s="401">
        <v>82928</v>
      </c>
      <c r="F163" s="401">
        <v>82928</v>
      </c>
      <c r="G163" s="500">
        <v>68194</v>
      </c>
      <c r="H163" s="2573">
        <f t="shared" si="5"/>
        <v>82.232780243102454</v>
      </c>
    </row>
    <row r="164" spans="1:8" ht="26.25" customHeight="1" x14ac:dyDescent="0.25">
      <c r="C164" s="482"/>
      <c r="D164" s="402" t="s">
        <v>454</v>
      </c>
      <c r="E164" s="399">
        <v>111</v>
      </c>
      <c r="F164" s="399"/>
      <c r="G164" s="493"/>
      <c r="H164" s="2573"/>
    </row>
    <row r="165" spans="1:8" ht="26.25" customHeight="1" x14ac:dyDescent="0.25">
      <c r="C165" s="482"/>
      <c r="D165" s="497"/>
      <c r="E165" s="399"/>
      <c r="F165" s="399"/>
      <c r="G165" s="493"/>
      <c r="H165" s="2573"/>
    </row>
    <row r="166" spans="1:8" ht="25.5" customHeight="1" x14ac:dyDescent="0.25">
      <c r="C166" s="482"/>
      <c r="D166" s="402" t="s">
        <v>372</v>
      </c>
      <c r="E166" s="401">
        <v>41085</v>
      </c>
      <c r="F166" s="401">
        <v>42071</v>
      </c>
      <c r="G166" s="500">
        <v>36852</v>
      </c>
      <c r="H166" s="2573">
        <f t="shared" si="5"/>
        <v>87.594780252430411</v>
      </c>
    </row>
    <row r="167" spans="1:8" ht="26.25" customHeight="1" x14ac:dyDescent="0.25">
      <c r="C167" s="482"/>
      <c r="D167" s="402" t="s">
        <v>448</v>
      </c>
      <c r="E167" s="399">
        <v>56582</v>
      </c>
      <c r="F167" s="399">
        <v>13899</v>
      </c>
      <c r="G167" s="493"/>
      <c r="H167" s="2573">
        <f t="shared" si="5"/>
        <v>0</v>
      </c>
    </row>
    <row r="168" spans="1:8" ht="26.25" customHeight="1" x14ac:dyDescent="0.25">
      <c r="C168" s="482"/>
      <c r="D168" s="402" t="s">
        <v>455</v>
      </c>
      <c r="E168" s="399"/>
      <c r="F168" s="399"/>
      <c r="G168" s="493"/>
      <c r="H168" s="2573"/>
    </row>
    <row r="169" spans="1:8" ht="26.25" customHeight="1" x14ac:dyDescent="0.25">
      <c r="C169" s="482"/>
      <c r="D169" s="497"/>
      <c r="E169" s="399"/>
      <c r="F169" s="399"/>
      <c r="G169" s="493"/>
      <c r="H169" s="2573"/>
    </row>
    <row r="170" spans="1:8" ht="25.5" customHeight="1" x14ac:dyDescent="0.25">
      <c r="C170" s="482"/>
      <c r="D170" s="497" t="s">
        <v>374</v>
      </c>
      <c r="E170" s="401">
        <v>75522</v>
      </c>
      <c r="F170" s="401">
        <v>75522</v>
      </c>
      <c r="G170" s="500">
        <v>71221</v>
      </c>
      <c r="H170" s="2573">
        <f t="shared" si="5"/>
        <v>94.304970737003785</v>
      </c>
    </row>
    <row r="171" spans="1:8" ht="26.25" customHeight="1" x14ac:dyDescent="0.25">
      <c r="C171" s="482"/>
      <c r="D171" s="497" t="s">
        <v>456</v>
      </c>
      <c r="E171" s="399">
        <v>4590</v>
      </c>
      <c r="F171" s="399"/>
      <c r="G171" s="493"/>
      <c r="H171" s="2573"/>
    </row>
    <row r="172" spans="1:8" ht="26.25" customHeight="1" x14ac:dyDescent="0.25">
      <c r="C172" s="482"/>
      <c r="D172" s="497"/>
      <c r="E172" s="399"/>
      <c r="F172" s="399"/>
      <c r="G172" s="493"/>
      <c r="H172" s="2573"/>
    </row>
    <row r="173" spans="1:8" ht="25.5" customHeight="1" x14ac:dyDescent="0.25">
      <c r="C173" s="482"/>
      <c r="D173" s="402" t="s">
        <v>381</v>
      </c>
      <c r="E173" s="399">
        <v>46577</v>
      </c>
      <c r="F173" s="399">
        <v>46577</v>
      </c>
      <c r="G173" s="493">
        <v>44325</v>
      </c>
      <c r="H173" s="2573">
        <f t="shared" si="5"/>
        <v>95.164995598686048</v>
      </c>
    </row>
    <row r="174" spans="1:8" ht="45.75" customHeight="1" x14ac:dyDescent="0.25">
      <c r="C174" s="482"/>
      <c r="D174" s="402" t="s">
        <v>457</v>
      </c>
      <c r="E174" s="399">
        <v>3795</v>
      </c>
      <c r="F174" s="399"/>
      <c r="G174" s="493"/>
      <c r="H174" s="2573"/>
    </row>
    <row r="175" spans="1:8" ht="26.25" customHeight="1" x14ac:dyDescent="0.25">
      <c r="C175" s="482"/>
      <c r="D175" s="497"/>
      <c r="E175" s="399"/>
      <c r="F175" s="399"/>
      <c r="G175" s="493"/>
      <c r="H175" s="2573"/>
    </row>
    <row r="176" spans="1:8" ht="25.5" customHeight="1" x14ac:dyDescent="0.35">
      <c r="A176" s="574"/>
      <c r="B176" s="1049"/>
      <c r="C176" s="482"/>
      <c r="D176" s="501" t="s">
        <v>369</v>
      </c>
      <c r="E176" s="399">
        <v>432</v>
      </c>
      <c r="F176" s="399"/>
      <c r="G176" s="493"/>
      <c r="H176" s="2573"/>
    </row>
    <row r="177" spans="1:31" s="576" customFormat="1" ht="36" x14ac:dyDescent="0.25">
      <c r="A177" s="577"/>
      <c r="B177" s="520"/>
      <c r="C177" s="575"/>
      <c r="D177" s="578" t="s">
        <v>478</v>
      </c>
      <c r="E177" s="593">
        <v>46662</v>
      </c>
      <c r="F177" s="593">
        <v>37709</v>
      </c>
      <c r="G177" s="594">
        <v>64</v>
      </c>
      <c r="H177" s="2575">
        <f t="shared" si="5"/>
        <v>0.16972075631812034</v>
      </c>
      <c r="I177" s="1047"/>
      <c r="J177" s="1047"/>
      <c r="K177" s="1047"/>
      <c r="L177" s="1047"/>
      <c r="M177" s="1047"/>
      <c r="N177" s="1047"/>
      <c r="O177" s="1047"/>
      <c r="P177" s="1047"/>
      <c r="Q177" s="1047"/>
      <c r="R177" s="1047"/>
      <c r="S177" s="1047"/>
      <c r="T177" s="1047"/>
      <c r="U177" s="1047"/>
      <c r="V177" s="1047"/>
      <c r="W177" s="1047"/>
      <c r="X177" s="1047"/>
      <c r="Y177" s="1047"/>
      <c r="Z177" s="1047"/>
      <c r="AA177" s="1047"/>
      <c r="AB177" s="1047"/>
      <c r="AC177" s="1047"/>
      <c r="AD177" s="1047"/>
      <c r="AE177" s="1047"/>
    </row>
    <row r="178" spans="1:31" s="576" customFormat="1" ht="36" x14ac:dyDescent="0.25">
      <c r="A178" s="577"/>
      <c r="B178" s="520"/>
      <c r="C178" s="575"/>
      <c r="D178" s="578" t="s">
        <v>772</v>
      </c>
      <c r="E178" s="593"/>
      <c r="F178" s="593">
        <v>8953</v>
      </c>
      <c r="G178" s="594"/>
      <c r="H178" s="2575">
        <f t="shared" si="5"/>
        <v>0</v>
      </c>
      <c r="I178" s="1047"/>
      <c r="J178" s="1047"/>
      <c r="K178" s="1047"/>
      <c r="L178" s="1047"/>
      <c r="M178" s="1047"/>
      <c r="N178" s="1047"/>
      <c r="O178" s="1047"/>
      <c r="P178" s="1047"/>
      <c r="Q178" s="1047"/>
      <c r="R178" s="1047"/>
      <c r="S178" s="1047"/>
      <c r="T178" s="1047"/>
      <c r="U178" s="1047"/>
      <c r="V178" s="1047"/>
      <c r="W178" s="1047"/>
      <c r="X178" s="1047"/>
      <c r="Y178" s="1047"/>
      <c r="Z178" s="1047"/>
      <c r="AA178" s="1047"/>
      <c r="AB178" s="1047"/>
      <c r="AC178" s="1047"/>
      <c r="AD178" s="1047"/>
      <c r="AE178" s="1047"/>
    </row>
    <row r="179" spans="1:31" ht="37.5" x14ac:dyDescent="0.35">
      <c r="A179" s="574"/>
      <c r="C179" s="482"/>
      <c r="D179" s="503" t="s">
        <v>757</v>
      </c>
      <c r="E179" s="399"/>
      <c r="F179" s="399">
        <v>546705</v>
      </c>
      <c r="G179" s="493">
        <v>3814</v>
      </c>
      <c r="H179" s="2573">
        <f t="shared" si="5"/>
        <v>0.69763400737143433</v>
      </c>
    </row>
    <row r="180" spans="1:31" ht="37.5" x14ac:dyDescent="0.35">
      <c r="A180" s="574"/>
      <c r="C180" s="482"/>
      <c r="D180" s="503" t="s">
        <v>758</v>
      </c>
      <c r="E180" s="400"/>
      <c r="F180" s="400">
        <v>139223</v>
      </c>
      <c r="G180" s="504"/>
      <c r="H180" s="2573">
        <f t="shared" si="5"/>
        <v>0</v>
      </c>
    </row>
    <row r="181" spans="1:31" ht="37.5" x14ac:dyDescent="0.35">
      <c r="A181" s="574"/>
      <c r="C181" s="482"/>
      <c r="D181" s="497" t="s">
        <v>587</v>
      </c>
      <c r="E181" s="399"/>
      <c r="F181" s="399">
        <v>13329</v>
      </c>
      <c r="G181" s="493">
        <v>12835</v>
      </c>
      <c r="H181" s="2573">
        <f t="shared" si="5"/>
        <v>96.293795483532151</v>
      </c>
    </row>
    <row r="182" spans="1:31" ht="25.5" customHeight="1" x14ac:dyDescent="0.25">
      <c r="C182" s="482"/>
      <c r="D182" s="497"/>
      <c r="E182" s="399"/>
      <c r="F182" s="399"/>
      <c r="G182" s="493"/>
      <c r="H182" s="2573"/>
    </row>
    <row r="183" spans="1:31" ht="25.5" customHeight="1" x14ac:dyDescent="0.25">
      <c r="C183" s="482"/>
      <c r="D183" s="497" t="s">
        <v>384</v>
      </c>
      <c r="E183" s="401">
        <v>17434</v>
      </c>
      <c r="F183" s="401">
        <v>17434</v>
      </c>
      <c r="G183" s="500">
        <v>17434</v>
      </c>
      <c r="H183" s="2573">
        <f t="shared" si="5"/>
        <v>100</v>
      </c>
    </row>
    <row r="184" spans="1:31" ht="27" customHeight="1" x14ac:dyDescent="0.25">
      <c r="C184" s="482"/>
      <c r="D184" s="497" t="s">
        <v>458</v>
      </c>
      <c r="E184" s="399">
        <v>5948</v>
      </c>
      <c r="F184" s="399">
        <v>8259</v>
      </c>
      <c r="G184" s="493">
        <v>2395</v>
      </c>
      <c r="H184" s="2573">
        <f t="shared" si="5"/>
        <v>28.998668119627073</v>
      </c>
    </row>
    <row r="185" spans="1:31" ht="25.5" customHeight="1" x14ac:dyDescent="0.25">
      <c r="C185" s="482"/>
      <c r="D185" s="497"/>
      <c r="E185" s="399"/>
      <c r="F185" s="399"/>
      <c r="G185" s="493"/>
      <c r="H185" s="2573"/>
    </row>
    <row r="186" spans="1:31" ht="25.5" customHeight="1" x14ac:dyDescent="0.25">
      <c r="C186" s="482"/>
      <c r="D186" s="402" t="s">
        <v>385</v>
      </c>
      <c r="E186" s="400">
        <v>144758</v>
      </c>
      <c r="F186" s="400">
        <v>164258</v>
      </c>
      <c r="G186" s="504">
        <v>143364</v>
      </c>
      <c r="H186" s="2573">
        <f t="shared" si="5"/>
        <v>87.279767195509507</v>
      </c>
    </row>
    <row r="187" spans="1:31" ht="25.5" customHeight="1" x14ac:dyDescent="0.25">
      <c r="C187" s="482"/>
      <c r="D187" s="402" t="s">
        <v>807</v>
      </c>
      <c r="E187" s="399">
        <v>26590</v>
      </c>
      <c r="F187" s="399">
        <v>4320</v>
      </c>
      <c r="G187" s="493"/>
      <c r="H187" s="2573">
        <f t="shared" si="5"/>
        <v>0</v>
      </c>
    </row>
    <row r="188" spans="1:31" ht="27.75" customHeight="1" x14ac:dyDescent="0.25">
      <c r="C188" s="482"/>
      <c r="D188" s="402" t="s">
        <v>759</v>
      </c>
      <c r="E188" s="399"/>
      <c r="F188" s="399">
        <v>74</v>
      </c>
      <c r="G188" s="493">
        <v>74</v>
      </c>
      <c r="H188" s="2573">
        <f t="shared" si="5"/>
        <v>100</v>
      </c>
    </row>
    <row r="189" spans="1:31" ht="29.25" customHeight="1" x14ac:dyDescent="0.25">
      <c r="C189" s="482"/>
      <c r="D189" s="402"/>
      <c r="E189" s="399"/>
      <c r="F189" s="399"/>
      <c r="G189" s="493"/>
      <c r="H189" s="2573"/>
    </row>
    <row r="190" spans="1:31" ht="36" x14ac:dyDescent="0.25">
      <c r="C190" s="482"/>
      <c r="D190" s="398" t="s">
        <v>585</v>
      </c>
      <c r="E190" s="399"/>
      <c r="F190" s="399">
        <v>399955</v>
      </c>
      <c r="G190" s="493">
        <v>16962</v>
      </c>
      <c r="H190" s="2573">
        <f t="shared" si="5"/>
        <v>4.2409771099248665</v>
      </c>
    </row>
    <row r="191" spans="1:31" ht="39.75" customHeight="1" x14ac:dyDescent="0.25">
      <c r="C191" s="482"/>
      <c r="D191" s="398" t="s">
        <v>586</v>
      </c>
      <c r="E191" s="399"/>
      <c r="F191" s="399">
        <v>229975</v>
      </c>
      <c r="G191" s="493">
        <v>11140</v>
      </c>
      <c r="H191" s="2573">
        <f t="shared" si="5"/>
        <v>4.8440047831286011</v>
      </c>
    </row>
    <row r="192" spans="1:31" ht="29.25" customHeight="1" x14ac:dyDescent="0.25">
      <c r="C192" s="482"/>
      <c r="D192" s="398" t="s">
        <v>554</v>
      </c>
      <c r="E192" s="399">
        <v>24000</v>
      </c>
      <c r="F192" s="399">
        <v>0</v>
      </c>
      <c r="G192" s="493"/>
      <c r="H192" s="2573"/>
    </row>
    <row r="193" spans="2:31" ht="29.25" customHeight="1" x14ac:dyDescent="0.25">
      <c r="C193" s="482"/>
      <c r="D193" s="1128" t="s">
        <v>713</v>
      </c>
      <c r="E193" s="399"/>
      <c r="F193" s="399">
        <v>4364</v>
      </c>
      <c r="G193" s="493">
        <v>3556</v>
      </c>
      <c r="H193" s="2573">
        <f t="shared" si="5"/>
        <v>81.484876260311651</v>
      </c>
    </row>
    <row r="194" spans="2:31" ht="39" customHeight="1" x14ac:dyDescent="0.25">
      <c r="C194" s="482"/>
      <c r="D194" s="1128" t="s">
        <v>714</v>
      </c>
      <c r="E194" s="399"/>
      <c r="F194" s="399">
        <v>10085</v>
      </c>
      <c r="G194" s="493"/>
      <c r="H194" s="2573">
        <f t="shared" si="5"/>
        <v>0</v>
      </c>
    </row>
    <row r="195" spans="2:31" ht="25.5" customHeight="1" x14ac:dyDescent="0.25">
      <c r="C195" s="482"/>
      <c r="D195" s="497"/>
      <c r="E195" s="399"/>
      <c r="F195" s="399"/>
      <c r="G195" s="493"/>
      <c r="H195" s="2576"/>
    </row>
    <row r="196" spans="2:31" ht="26.1" customHeight="1" x14ac:dyDescent="0.25">
      <c r="C196" s="471"/>
      <c r="D196" s="480" t="s">
        <v>52</v>
      </c>
      <c r="E196" s="505">
        <f>SUM(E38:E195)</f>
        <v>11728237</v>
      </c>
      <c r="F196" s="505">
        <f>SUM(F38:F195)</f>
        <v>15041343</v>
      </c>
      <c r="G196" s="505">
        <f>SUM(G38:G195)</f>
        <v>5483315</v>
      </c>
      <c r="H196" s="2577">
        <f>+G196/F196*100</f>
        <v>36.454956183101466</v>
      </c>
    </row>
    <row r="197" spans="2:31" ht="26.1" customHeight="1" x14ac:dyDescent="0.25">
      <c r="C197" s="435" t="s">
        <v>808</v>
      </c>
      <c r="D197" s="436" t="s">
        <v>20</v>
      </c>
      <c r="E197" s="434"/>
      <c r="F197" s="465"/>
      <c r="G197" s="465"/>
      <c r="H197" s="477"/>
    </row>
    <row r="198" spans="2:31" ht="26.1" customHeight="1" x14ac:dyDescent="0.25">
      <c r="C198" s="435"/>
      <c r="D198" s="438" t="s">
        <v>775</v>
      </c>
      <c r="E198" s="395"/>
      <c r="F198" s="395">
        <v>2000000</v>
      </c>
      <c r="G198" s="485"/>
      <c r="H198" s="2563">
        <f t="shared" ref="H198:H199" si="6">+G198/F198*100</f>
        <v>0</v>
      </c>
    </row>
    <row r="199" spans="2:31" s="437" customFormat="1" ht="26.1" customHeight="1" x14ac:dyDescent="0.25">
      <c r="B199" s="1050"/>
      <c r="C199" s="435"/>
      <c r="D199" s="436" t="s">
        <v>433</v>
      </c>
      <c r="E199" s="434">
        <f>SUM(E198:E198)</f>
        <v>0</v>
      </c>
      <c r="F199" s="434">
        <f>SUM(F198:F198)</f>
        <v>2000000</v>
      </c>
      <c r="G199" s="434">
        <f>SUM(G198:G198)</f>
        <v>0</v>
      </c>
      <c r="H199" s="2578">
        <f t="shared" si="6"/>
        <v>0</v>
      </c>
      <c r="I199" s="605"/>
      <c r="J199" s="605"/>
      <c r="K199" s="605"/>
      <c r="L199" s="605"/>
      <c r="M199" s="605"/>
      <c r="N199" s="605"/>
      <c r="O199" s="605"/>
      <c r="P199" s="605"/>
      <c r="Q199" s="605"/>
      <c r="R199" s="605"/>
      <c r="S199" s="605"/>
      <c r="T199" s="605"/>
      <c r="U199" s="605"/>
      <c r="V199" s="605"/>
      <c r="W199" s="605"/>
      <c r="X199" s="605"/>
      <c r="Y199" s="605"/>
      <c r="Z199" s="605"/>
      <c r="AA199" s="605"/>
      <c r="AB199" s="605"/>
      <c r="AC199" s="605"/>
      <c r="AD199" s="605"/>
      <c r="AE199" s="605"/>
    </row>
    <row r="200" spans="2:31" s="145" customFormat="1" ht="24.75" customHeight="1" thickBot="1" x14ac:dyDescent="0.3">
      <c r="B200" s="520"/>
      <c r="C200" s="506" t="s">
        <v>809</v>
      </c>
      <c r="D200" s="507" t="s">
        <v>78</v>
      </c>
      <c r="E200" s="508">
        <v>10000</v>
      </c>
      <c r="F200" s="508">
        <v>13569</v>
      </c>
      <c r="G200" s="508">
        <v>6204</v>
      </c>
      <c r="H200" s="2579">
        <f>+G200/F200*100</f>
        <v>45.72186601812956</v>
      </c>
      <c r="I200" s="146"/>
      <c r="J200" s="146"/>
      <c r="K200" s="146"/>
      <c r="L200" s="146"/>
      <c r="M200" s="146"/>
      <c r="N200" s="146"/>
      <c r="O200" s="146"/>
      <c r="P200" s="146"/>
      <c r="Q200" s="146"/>
      <c r="R200" s="146"/>
      <c r="S200" s="146"/>
      <c r="T200" s="146"/>
      <c r="U200" s="146"/>
      <c r="V200" s="146"/>
      <c r="W200" s="146"/>
      <c r="X200" s="146"/>
      <c r="Y200" s="146"/>
      <c r="Z200" s="146"/>
      <c r="AA200" s="146"/>
      <c r="AB200" s="146"/>
      <c r="AC200" s="146"/>
      <c r="AD200" s="146"/>
      <c r="AE200" s="146"/>
    </row>
    <row r="201" spans="2:31" ht="26.1" customHeight="1" thickBot="1" x14ac:dyDescent="0.3">
      <c r="C201" s="509"/>
      <c r="D201" s="510" t="s">
        <v>210</v>
      </c>
      <c r="E201" s="511">
        <f>E21+E22+E30+E35+E196+E200+E27+E197+E199</f>
        <v>12181809</v>
      </c>
      <c r="F201" s="511">
        <f>F21+F22+F30+F35+F196+F200+F27+F197+F199</f>
        <v>17494492</v>
      </c>
      <c r="G201" s="511">
        <f>G21+G22+G30+G35+G196+G200+G27+G197+G199</f>
        <v>5821791</v>
      </c>
      <c r="H201" s="512">
        <f>+G201/F201*100</f>
        <v>33.2778511087947</v>
      </c>
    </row>
    <row r="202" spans="2:31" ht="30.75" customHeight="1" x14ac:dyDescent="0.25">
      <c r="C202" s="513"/>
      <c r="D202" s="513"/>
      <c r="E202" s="514"/>
      <c r="F202" s="515"/>
      <c r="G202" s="515"/>
      <c r="H202" s="513"/>
    </row>
    <row r="203" spans="2:31" ht="15" customHeight="1" x14ac:dyDescent="0.25">
      <c r="C203" s="513"/>
      <c r="D203" s="513"/>
      <c r="E203" s="514"/>
      <c r="F203" s="515"/>
      <c r="G203" s="515"/>
      <c r="H203" s="513"/>
    </row>
    <row r="204" spans="2:31" ht="45" customHeight="1" x14ac:dyDescent="0.25">
      <c r="C204" s="513"/>
      <c r="D204" s="513"/>
      <c r="E204" s="514"/>
      <c r="F204" s="607"/>
      <c r="G204" s="608"/>
      <c r="H204" s="513"/>
    </row>
    <row r="205" spans="2:31" ht="15" customHeight="1" x14ac:dyDescent="0.25">
      <c r="C205" s="513"/>
      <c r="D205" s="513"/>
      <c r="E205" s="514"/>
      <c r="F205" s="515"/>
      <c r="G205" s="515"/>
      <c r="H205" s="513"/>
    </row>
    <row r="206" spans="2:31" ht="15" customHeight="1" x14ac:dyDescent="0.25">
      <c r="C206" s="513"/>
      <c r="D206" s="513"/>
      <c r="E206" s="514"/>
      <c r="F206" s="515"/>
      <c r="G206" s="515"/>
      <c r="H206" s="513"/>
    </row>
    <row r="207" spans="2:31" ht="15" customHeight="1" x14ac:dyDescent="0.25">
      <c r="C207" s="513"/>
      <c r="D207" s="513"/>
      <c r="E207" s="514"/>
      <c r="F207" s="515"/>
      <c r="G207" s="515"/>
      <c r="H207" s="513"/>
    </row>
    <row r="208" spans="2:31" ht="15" customHeight="1" x14ac:dyDescent="0.25">
      <c r="C208" s="513"/>
      <c r="D208" s="513"/>
      <c r="E208" s="514"/>
      <c r="F208" s="515"/>
      <c r="G208" s="515"/>
      <c r="H208" s="513"/>
    </row>
    <row r="209" spans="2:31" ht="15" customHeight="1" x14ac:dyDescent="0.25">
      <c r="C209" s="513"/>
      <c r="D209" s="513"/>
      <c r="E209" s="514"/>
      <c r="F209" s="515"/>
      <c r="G209" s="515"/>
      <c r="H209" s="513"/>
    </row>
    <row r="210" spans="2:31" ht="15" customHeight="1" x14ac:dyDescent="0.25">
      <c r="C210" s="513"/>
      <c r="D210" s="513"/>
      <c r="E210" s="514"/>
      <c r="F210" s="515"/>
      <c r="G210" s="515"/>
      <c r="H210" s="513"/>
    </row>
    <row r="211" spans="2:31" ht="15" customHeight="1" x14ac:dyDescent="0.25">
      <c r="C211" s="513"/>
      <c r="D211" s="513"/>
      <c r="E211" s="514"/>
      <c r="F211" s="515"/>
      <c r="G211" s="515"/>
      <c r="H211" s="513"/>
    </row>
    <row r="212" spans="2:31" ht="15" customHeight="1" x14ac:dyDescent="0.25">
      <c r="C212" s="513"/>
      <c r="D212" s="513"/>
      <c r="E212" s="514"/>
      <c r="F212" s="515"/>
      <c r="G212" s="515"/>
      <c r="H212" s="513"/>
    </row>
    <row r="213" spans="2:31" ht="15" customHeight="1" x14ac:dyDescent="0.25">
      <c r="E213" s="24"/>
      <c r="G213" s="515"/>
    </row>
    <row r="214" spans="2:31" ht="15" customHeight="1" x14ac:dyDescent="0.25">
      <c r="E214" s="24"/>
    </row>
    <row r="215" spans="2:31" ht="15" customHeight="1" x14ac:dyDescent="0.25">
      <c r="E215" s="24"/>
    </row>
    <row r="216" spans="2:31" ht="15" customHeight="1" x14ac:dyDescent="0.25">
      <c r="E216" s="24"/>
      <c r="H216" s="28"/>
    </row>
    <row r="217" spans="2:31" ht="15" customHeight="1" x14ac:dyDescent="0.25">
      <c r="E217" s="24"/>
    </row>
    <row r="218" spans="2:31" s="28" customFormat="1" ht="15" customHeight="1" x14ac:dyDescent="0.25">
      <c r="B218" s="520"/>
      <c r="C218" s="23"/>
      <c r="D218" s="23"/>
      <c r="E218" s="24"/>
      <c r="H218" s="23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</row>
    <row r="219" spans="2:31" s="28" customFormat="1" ht="15" customHeight="1" x14ac:dyDescent="0.25">
      <c r="B219" s="520"/>
      <c r="C219" s="23"/>
      <c r="D219" s="23"/>
      <c r="E219" s="24"/>
      <c r="H219" s="23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</row>
    <row r="220" spans="2:31" s="28" customFormat="1" ht="15" customHeight="1" x14ac:dyDescent="0.25">
      <c r="B220" s="520"/>
      <c r="C220" s="23"/>
      <c r="D220" s="23"/>
      <c r="E220" s="24"/>
      <c r="H220" s="23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</row>
    <row r="221" spans="2:31" s="28" customFormat="1" ht="15" customHeight="1" x14ac:dyDescent="0.25">
      <c r="B221" s="520"/>
      <c r="C221" s="23"/>
      <c r="D221" s="23"/>
      <c r="E221" s="24"/>
      <c r="H221" s="23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</row>
    <row r="222" spans="2:31" s="28" customFormat="1" ht="15" customHeight="1" x14ac:dyDescent="0.25">
      <c r="B222" s="520"/>
      <c r="C222" s="23"/>
      <c r="D222" s="23"/>
      <c r="E222" s="24"/>
      <c r="H222" s="23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</row>
    <row r="223" spans="2:31" s="28" customFormat="1" ht="15" customHeight="1" x14ac:dyDescent="0.25">
      <c r="B223" s="520"/>
      <c r="C223" s="23"/>
      <c r="D223" s="23"/>
      <c r="E223" s="24"/>
      <c r="H223" s="23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</row>
    <row r="224" spans="2:31" s="28" customFormat="1" ht="15" customHeight="1" x14ac:dyDescent="0.25">
      <c r="B224" s="520"/>
      <c r="C224" s="23"/>
      <c r="D224" s="23"/>
      <c r="E224" s="24"/>
      <c r="H224" s="23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</row>
    <row r="225" spans="2:31" s="28" customFormat="1" ht="15" customHeight="1" x14ac:dyDescent="0.25">
      <c r="B225" s="520"/>
      <c r="C225" s="23"/>
      <c r="D225" s="23"/>
      <c r="E225" s="24"/>
      <c r="H225" s="23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</row>
    <row r="226" spans="2:31" s="28" customFormat="1" ht="15" customHeight="1" x14ac:dyDescent="0.25">
      <c r="B226" s="520"/>
      <c r="C226" s="23"/>
      <c r="D226" s="23"/>
      <c r="E226" s="24"/>
      <c r="H226" s="23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</row>
    <row r="227" spans="2:31" s="28" customFormat="1" ht="15" customHeight="1" x14ac:dyDescent="0.25">
      <c r="B227" s="520"/>
      <c r="C227" s="23"/>
      <c r="D227" s="23"/>
      <c r="E227" s="24"/>
      <c r="H227" s="23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</row>
    <row r="228" spans="2:31" s="28" customFormat="1" ht="15" customHeight="1" x14ac:dyDescent="0.25">
      <c r="B228" s="520"/>
      <c r="C228" s="23"/>
      <c r="D228" s="23"/>
      <c r="E228" s="24"/>
      <c r="H228" s="23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</row>
    <row r="229" spans="2:31" s="28" customFormat="1" ht="15" customHeight="1" x14ac:dyDescent="0.25">
      <c r="B229" s="520"/>
      <c r="C229" s="23"/>
      <c r="D229" s="23"/>
      <c r="E229" s="24"/>
      <c r="H229" s="23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</row>
    <row r="230" spans="2:31" s="28" customFormat="1" ht="15" customHeight="1" x14ac:dyDescent="0.25">
      <c r="B230" s="520"/>
      <c r="C230" s="23"/>
      <c r="D230" s="23"/>
      <c r="E230" s="24"/>
      <c r="H230" s="23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</row>
    <row r="231" spans="2:31" s="28" customFormat="1" ht="15" customHeight="1" x14ac:dyDescent="0.25">
      <c r="B231" s="520"/>
      <c r="C231" s="23"/>
      <c r="D231" s="23"/>
      <c r="E231" s="24"/>
      <c r="H231" s="23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</row>
    <row r="232" spans="2:31" s="28" customFormat="1" ht="15" customHeight="1" x14ac:dyDescent="0.25">
      <c r="B232" s="520"/>
      <c r="C232" s="23"/>
      <c r="D232" s="23"/>
      <c r="E232" s="24"/>
      <c r="H232" s="23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</row>
    <row r="233" spans="2:31" s="28" customFormat="1" ht="15" customHeight="1" x14ac:dyDescent="0.25">
      <c r="B233" s="520"/>
      <c r="C233" s="23"/>
      <c r="D233" s="23"/>
      <c r="E233" s="24"/>
      <c r="H233" s="23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</row>
    <row r="234" spans="2:31" s="28" customFormat="1" ht="15" customHeight="1" x14ac:dyDescent="0.25">
      <c r="B234" s="520"/>
      <c r="C234" s="23"/>
      <c r="D234" s="23"/>
      <c r="E234" s="24"/>
      <c r="H234" s="23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</row>
    <row r="235" spans="2:31" s="28" customFormat="1" ht="15" customHeight="1" x14ac:dyDescent="0.25">
      <c r="B235" s="520"/>
      <c r="C235" s="23"/>
      <c r="D235" s="23"/>
      <c r="E235" s="24"/>
      <c r="H235" s="23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</row>
    <row r="236" spans="2:31" s="28" customFormat="1" ht="15" customHeight="1" x14ac:dyDescent="0.25">
      <c r="B236" s="520"/>
      <c r="C236" s="23"/>
      <c r="D236" s="23"/>
      <c r="E236" s="24"/>
      <c r="H236" s="23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</row>
    <row r="237" spans="2:31" s="28" customFormat="1" ht="15" customHeight="1" x14ac:dyDescent="0.25">
      <c r="B237" s="520"/>
      <c r="C237" s="23"/>
      <c r="D237" s="23"/>
      <c r="E237" s="24"/>
      <c r="H237" s="23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</row>
    <row r="238" spans="2:31" s="28" customFormat="1" ht="15" customHeight="1" x14ac:dyDescent="0.25">
      <c r="B238" s="520"/>
      <c r="C238" s="23"/>
      <c r="D238" s="23"/>
      <c r="E238" s="24"/>
      <c r="H238" s="23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</row>
    <row r="239" spans="2:31" s="28" customFormat="1" ht="15" customHeight="1" x14ac:dyDescent="0.25">
      <c r="B239" s="520"/>
      <c r="C239" s="23"/>
      <c r="D239" s="23"/>
      <c r="E239" s="24"/>
      <c r="H239" s="23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</row>
    <row r="240" spans="2:31" s="28" customFormat="1" ht="15" customHeight="1" x14ac:dyDescent="0.25">
      <c r="B240" s="520"/>
      <c r="C240" s="23"/>
      <c r="D240" s="23"/>
      <c r="E240" s="24"/>
      <c r="H240" s="23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</row>
    <row r="241" spans="2:31" s="28" customFormat="1" ht="15" customHeight="1" x14ac:dyDescent="0.25">
      <c r="B241" s="520"/>
      <c r="C241" s="23"/>
      <c r="D241" s="23"/>
      <c r="E241" s="24"/>
      <c r="H241" s="23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</row>
    <row r="242" spans="2:31" s="28" customFormat="1" ht="15" customHeight="1" x14ac:dyDescent="0.25">
      <c r="B242" s="520"/>
      <c r="C242" s="23"/>
      <c r="D242" s="23"/>
      <c r="E242" s="24"/>
      <c r="H242" s="23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</row>
    <row r="243" spans="2:31" s="28" customFormat="1" ht="15" customHeight="1" x14ac:dyDescent="0.25">
      <c r="B243" s="520"/>
      <c r="C243" s="23"/>
      <c r="D243" s="23"/>
      <c r="E243" s="24"/>
      <c r="H243" s="23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</row>
    <row r="244" spans="2:31" s="28" customFormat="1" ht="15" customHeight="1" x14ac:dyDescent="0.25">
      <c r="B244" s="520"/>
      <c r="C244" s="23"/>
      <c r="D244" s="23"/>
      <c r="E244" s="24"/>
      <c r="H244" s="23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</row>
    <row r="245" spans="2:31" s="28" customFormat="1" ht="15" customHeight="1" x14ac:dyDescent="0.25">
      <c r="B245" s="520"/>
      <c r="C245" s="23"/>
      <c r="D245" s="23"/>
      <c r="E245" s="24"/>
      <c r="H245" s="23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</row>
    <row r="246" spans="2:31" s="28" customFormat="1" ht="15" customHeight="1" x14ac:dyDescent="0.25">
      <c r="B246" s="520"/>
      <c r="C246" s="23"/>
      <c r="D246" s="23"/>
      <c r="E246" s="24"/>
      <c r="H246" s="23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</row>
    <row r="247" spans="2:31" s="28" customFormat="1" ht="15" customHeight="1" x14ac:dyDescent="0.25">
      <c r="B247" s="520"/>
      <c r="C247" s="23"/>
      <c r="D247" s="23"/>
      <c r="E247" s="24"/>
      <c r="H247" s="23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</row>
    <row r="248" spans="2:31" s="28" customFormat="1" ht="15" customHeight="1" x14ac:dyDescent="0.25">
      <c r="B248" s="520"/>
      <c r="C248" s="23"/>
      <c r="D248" s="23"/>
      <c r="E248" s="24"/>
      <c r="H248" s="23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</row>
    <row r="249" spans="2:31" s="28" customFormat="1" ht="15" customHeight="1" x14ac:dyDescent="0.25">
      <c r="B249" s="520"/>
      <c r="C249" s="23"/>
      <c r="D249" s="23"/>
      <c r="E249" s="24"/>
      <c r="H249" s="23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</row>
    <row r="250" spans="2:31" s="28" customFormat="1" ht="15" customHeight="1" x14ac:dyDescent="0.25">
      <c r="B250" s="520"/>
      <c r="C250" s="23"/>
      <c r="D250" s="23"/>
      <c r="E250" s="24"/>
      <c r="H250" s="23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</row>
    <row r="251" spans="2:31" s="28" customFormat="1" ht="15" customHeight="1" x14ac:dyDescent="0.25">
      <c r="B251" s="520"/>
      <c r="C251" s="23"/>
      <c r="D251" s="23"/>
      <c r="E251" s="24"/>
      <c r="H251" s="23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</row>
    <row r="252" spans="2:31" s="28" customFormat="1" ht="15" customHeight="1" x14ac:dyDescent="0.25">
      <c r="B252" s="520"/>
      <c r="C252" s="23"/>
      <c r="D252" s="23"/>
      <c r="E252" s="24"/>
      <c r="H252" s="23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</row>
    <row r="253" spans="2:31" s="28" customFormat="1" ht="15" customHeight="1" x14ac:dyDescent="0.25">
      <c r="B253" s="520"/>
      <c r="C253" s="23"/>
      <c r="D253" s="23"/>
      <c r="E253" s="24"/>
      <c r="H253" s="23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</row>
    <row r="254" spans="2:31" s="28" customFormat="1" ht="15" customHeight="1" x14ac:dyDescent="0.25">
      <c r="B254" s="520"/>
      <c r="C254" s="23"/>
      <c r="D254" s="23"/>
      <c r="E254" s="24"/>
      <c r="H254" s="23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</row>
    <row r="255" spans="2:31" s="28" customFormat="1" ht="15" customHeight="1" x14ac:dyDescent="0.25">
      <c r="B255" s="520"/>
      <c r="C255" s="23"/>
      <c r="D255" s="23"/>
      <c r="E255" s="24"/>
      <c r="H255" s="23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</row>
    <row r="256" spans="2:31" s="28" customFormat="1" ht="15" customHeight="1" x14ac:dyDescent="0.25">
      <c r="B256" s="520"/>
      <c r="C256" s="23"/>
      <c r="D256" s="23"/>
      <c r="E256" s="24"/>
      <c r="H256" s="23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</row>
    <row r="257" spans="2:31" s="28" customFormat="1" ht="15" customHeight="1" x14ac:dyDescent="0.25">
      <c r="B257" s="520"/>
      <c r="C257" s="23"/>
      <c r="D257" s="23"/>
      <c r="E257" s="24"/>
      <c r="H257" s="23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</row>
    <row r="258" spans="2:31" s="28" customFormat="1" ht="15" customHeight="1" x14ac:dyDescent="0.25">
      <c r="B258" s="520"/>
      <c r="C258" s="23"/>
      <c r="D258" s="23"/>
      <c r="E258" s="24"/>
      <c r="H258" s="23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</row>
    <row r="259" spans="2:31" s="28" customFormat="1" ht="15" customHeight="1" x14ac:dyDescent="0.25">
      <c r="B259" s="520"/>
      <c r="C259" s="23"/>
      <c r="D259" s="23"/>
      <c r="E259" s="24"/>
      <c r="H259" s="23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</row>
    <row r="260" spans="2:31" s="28" customFormat="1" ht="15" customHeight="1" x14ac:dyDescent="0.25">
      <c r="B260" s="520"/>
      <c r="C260" s="23"/>
      <c r="D260" s="23"/>
      <c r="E260" s="24"/>
      <c r="H260" s="23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</row>
    <row r="261" spans="2:31" s="28" customFormat="1" ht="15" customHeight="1" x14ac:dyDescent="0.25">
      <c r="B261" s="520"/>
      <c r="C261" s="23"/>
      <c r="D261" s="23"/>
      <c r="E261" s="24"/>
      <c r="H261" s="23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</row>
    <row r="262" spans="2:31" s="28" customFormat="1" ht="15" customHeight="1" x14ac:dyDescent="0.25">
      <c r="B262" s="520"/>
      <c r="C262" s="23"/>
      <c r="D262" s="23"/>
      <c r="E262" s="24"/>
      <c r="H262" s="23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</row>
    <row r="263" spans="2:31" s="28" customFormat="1" ht="15" customHeight="1" x14ac:dyDescent="0.25">
      <c r="B263" s="520"/>
      <c r="C263" s="23"/>
      <c r="D263" s="23"/>
      <c r="E263" s="24"/>
      <c r="H263" s="23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</row>
    <row r="264" spans="2:31" s="28" customFormat="1" ht="15" customHeight="1" x14ac:dyDescent="0.25">
      <c r="B264" s="520"/>
      <c r="C264" s="23"/>
      <c r="D264" s="23"/>
      <c r="E264" s="24"/>
      <c r="H264" s="23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</row>
    <row r="265" spans="2:31" s="28" customFormat="1" ht="15" customHeight="1" x14ac:dyDescent="0.25">
      <c r="B265" s="520"/>
      <c r="C265" s="23"/>
      <c r="D265" s="23"/>
      <c r="E265" s="24"/>
      <c r="H265" s="23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</row>
    <row r="266" spans="2:31" s="28" customFormat="1" ht="15" customHeight="1" x14ac:dyDescent="0.25">
      <c r="B266" s="520"/>
      <c r="C266" s="23"/>
      <c r="D266" s="23"/>
      <c r="E266" s="24"/>
      <c r="H266" s="23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</row>
    <row r="267" spans="2:31" s="28" customFormat="1" ht="15" customHeight="1" x14ac:dyDescent="0.25">
      <c r="B267" s="520"/>
      <c r="C267" s="23"/>
      <c r="D267" s="23"/>
      <c r="E267" s="24"/>
      <c r="H267" s="23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</row>
    <row r="268" spans="2:31" s="28" customFormat="1" ht="15" customHeight="1" x14ac:dyDescent="0.25">
      <c r="B268" s="520"/>
      <c r="C268" s="23"/>
      <c r="D268" s="23"/>
      <c r="E268" s="24"/>
      <c r="H268" s="23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</row>
    <row r="269" spans="2:31" s="28" customFormat="1" ht="15" customHeight="1" x14ac:dyDescent="0.25">
      <c r="B269" s="520"/>
      <c r="C269" s="23"/>
      <c r="D269" s="23"/>
      <c r="E269" s="24"/>
      <c r="H269" s="23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</row>
    <row r="270" spans="2:31" s="28" customFormat="1" ht="15" customHeight="1" x14ac:dyDescent="0.25">
      <c r="B270" s="520"/>
      <c r="C270" s="23"/>
      <c r="D270" s="23"/>
      <c r="E270" s="24"/>
      <c r="H270" s="23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</row>
    <row r="271" spans="2:31" s="28" customFormat="1" ht="15" customHeight="1" x14ac:dyDescent="0.25">
      <c r="B271" s="520"/>
      <c r="C271" s="23"/>
      <c r="D271" s="23"/>
      <c r="E271" s="24"/>
      <c r="H271" s="23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</row>
    <row r="272" spans="2:31" s="28" customFormat="1" ht="15" customHeight="1" x14ac:dyDescent="0.25">
      <c r="B272" s="520"/>
      <c r="C272" s="23"/>
      <c r="D272" s="23"/>
      <c r="E272" s="24"/>
      <c r="H272" s="23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</row>
    <row r="273" spans="2:31" s="28" customFormat="1" ht="15" customHeight="1" x14ac:dyDescent="0.25">
      <c r="B273" s="520"/>
      <c r="C273" s="23"/>
      <c r="D273" s="23"/>
      <c r="E273" s="24"/>
      <c r="H273" s="23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</row>
    <row r="274" spans="2:31" s="28" customFormat="1" ht="15" customHeight="1" x14ac:dyDescent="0.25">
      <c r="B274" s="520"/>
      <c r="C274" s="23"/>
      <c r="D274" s="23"/>
      <c r="E274" s="24"/>
      <c r="H274" s="23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</row>
    <row r="275" spans="2:31" s="28" customFormat="1" ht="15" customHeight="1" x14ac:dyDescent="0.25">
      <c r="B275" s="520"/>
      <c r="C275" s="23"/>
      <c r="D275" s="23"/>
      <c r="E275" s="24"/>
      <c r="H275" s="23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</row>
    <row r="276" spans="2:31" s="28" customFormat="1" ht="15" customHeight="1" x14ac:dyDescent="0.25">
      <c r="B276" s="520"/>
      <c r="C276" s="23"/>
      <c r="D276" s="23"/>
      <c r="E276" s="24"/>
      <c r="H276" s="23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</row>
    <row r="277" spans="2:31" s="28" customFormat="1" ht="15" customHeight="1" x14ac:dyDescent="0.25">
      <c r="B277" s="520"/>
      <c r="C277" s="23"/>
      <c r="D277" s="23"/>
      <c r="E277" s="24"/>
      <c r="H277" s="23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</row>
    <row r="278" spans="2:31" s="28" customFormat="1" ht="15" customHeight="1" x14ac:dyDescent="0.25">
      <c r="B278" s="520"/>
      <c r="C278" s="23"/>
      <c r="D278" s="23"/>
      <c r="E278" s="24"/>
      <c r="H278" s="23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</row>
    <row r="279" spans="2:31" s="28" customFormat="1" ht="15" customHeight="1" x14ac:dyDescent="0.25">
      <c r="B279" s="520"/>
      <c r="C279" s="23"/>
      <c r="D279" s="23"/>
      <c r="E279" s="24"/>
      <c r="H279" s="23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</row>
    <row r="280" spans="2:31" s="28" customFormat="1" ht="15" customHeight="1" x14ac:dyDescent="0.25">
      <c r="B280" s="520"/>
      <c r="C280" s="23"/>
      <c r="D280" s="23"/>
      <c r="E280" s="24"/>
      <c r="H280" s="23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</row>
    <row r="281" spans="2:31" s="28" customFormat="1" ht="15" customHeight="1" x14ac:dyDescent="0.25">
      <c r="B281" s="520"/>
      <c r="C281" s="23"/>
      <c r="D281" s="23"/>
      <c r="E281" s="24"/>
      <c r="H281" s="23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</row>
    <row r="282" spans="2:31" s="28" customFormat="1" ht="15" customHeight="1" x14ac:dyDescent="0.25">
      <c r="B282" s="520"/>
      <c r="C282" s="23"/>
      <c r="D282" s="23"/>
      <c r="E282" s="24"/>
      <c r="H282" s="23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</row>
    <row r="283" spans="2:31" s="28" customFormat="1" ht="15" customHeight="1" x14ac:dyDescent="0.25">
      <c r="B283" s="520"/>
      <c r="C283" s="23"/>
      <c r="D283" s="23"/>
      <c r="E283" s="24"/>
      <c r="H283" s="23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</row>
    <row r="284" spans="2:31" s="28" customFormat="1" ht="15" customHeight="1" x14ac:dyDescent="0.25">
      <c r="B284" s="520"/>
      <c r="C284" s="23"/>
      <c r="D284" s="23"/>
      <c r="E284" s="24"/>
      <c r="H284" s="23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</row>
    <row r="285" spans="2:31" s="28" customFormat="1" ht="15" customHeight="1" x14ac:dyDescent="0.25">
      <c r="B285" s="520"/>
      <c r="C285" s="23"/>
      <c r="D285" s="23"/>
      <c r="E285" s="24"/>
      <c r="H285" s="23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</row>
    <row r="286" spans="2:31" s="28" customFormat="1" ht="15" customHeight="1" x14ac:dyDescent="0.25">
      <c r="B286" s="520"/>
      <c r="C286" s="23"/>
      <c r="D286" s="23"/>
      <c r="E286" s="24"/>
      <c r="H286" s="23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</row>
    <row r="287" spans="2:31" s="28" customFormat="1" ht="15" customHeight="1" x14ac:dyDescent="0.25">
      <c r="B287" s="520"/>
      <c r="C287" s="23"/>
      <c r="D287" s="23"/>
      <c r="E287" s="24"/>
      <c r="H287" s="23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</row>
    <row r="288" spans="2:31" s="28" customFormat="1" ht="15" customHeight="1" x14ac:dyDescent="0.25">
      <c r="B288" s="520"/>
      <c r="C288" s="23"/>
      <c r="D288" s="23"/>
      <c r="E288" s="24"/>
      <c r="H288" s="23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</row>
    <row r="289" spans="2:31" s="28" customFormat="1" ht="15" customHeight="1" x14ac:dyDescent="0.25">
      <c r="B289" s="520"/>
      <c r="C289" s="23"/>
      <c r="D289" s="23"/>
      <c r="E289" s="24"/>
      <c r="H289" s="23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</row>
    <row r="290" spans="2:31" s="28" customFormat="1" ht="15" customHeight="1" x14ac:dyDescent="0.25">
      <c r="B290" s="520"/>
      <c r="C290" s="23"/>
      <c r="D290" s="23"/>
      <c r="E290" s="24"/>
      <c r="H290" s="23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</row>
    <row r="291" spans="2:31" s="28" customFormat="1" ht="15" customHeight="1" x14ac:dyDescent="0.25">
      <c r="B291" s="520"/>
      <c r="C291" s="23"/>
      <c r="D291" s="23"/>
      <c r="E291" s="24"/>
      <c r="H291" s="23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</row>
    <row r="292" spans="2:31" s="28" customFormat="1" ht="15" customHeight="1" x14ac:dyDescent="0.25">
      <c r="B292" s="520"/>
      <c r="C292" s="23"/>
      <c r="D292" s="23"/>
      <c r="E292" s="24"/>
      <c r="H292" s="23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</row>
    <row r="293" spans="2:31" s="28" customFormat="1" ht="15" customHeight="1" x14ac:dyDescent="0.25">
      <c r="B293" s="520"/>
      <c r="C293" s="23"/>
      <c r="D293" s="23"/>
      <c r="E293" s="24"/>
      <c r="H293" s="23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</row>
    <row r="294" spans="2:31" s="28" customFormat="1" ht="15" customHeight="1" x14ac:dyDescent="0.25">
      <c r="B294" s="520"/>
      <c r="C294" s="23"/>
      <c r="D294" s="23"/>
      <c r="E294" s="24"/>
      <c r="H294" s="23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</row>
    <row r="295" spans="2:31" s="28" customFormat="1" ht="15" customHeight="1" x14ac:dyDescent="0.25">
      <c r="B295" s="520"/>
      <c r="C295" s="23"/>
      <c r="D295" s="23"/>
      <c r="E295" s="24"/>
      <c r="H295" s="23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</row>
    <row r="296" spans="2:31" s="28" customFormat="1" ht="15" customHeight="1" x14ac:dyDescent="0.25">
      <c r="B296" s="520"/>
      <c r="C296" s="23"/>
      <c r="D296" s="23"/>
      <c r="E296" s="24"/>
      <c r="H296" s="23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</row>
    <row r="297" spans="2:31" s="28" customFormat="1" ht="15" customHeight="1" x14ac:dyDescent="0.25">
      <c r="B297" s="520"/>
      <c r="C297" s="23"/>
      <c r="D297" s="23"/>
      <c r="E297" s="24"/>
      <c r="H297" s="23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</row>
    <row r="298" spans="2:31" s="28" customFormat="1" ht="15" customHeight="1" x14ac:dyDescent="0.25">
      <c r="B298" s="520"/>
      <c r="C298" s="23"/>
      <c r="D298" s="23"/>
      <c r="E298" s="24"/>
      <c r="H298" s="23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</row>
    <row r="299" spans="2:31" s="28" customFormat="1" ht="15" customHeight="1" x14ac:dyDescent="0.25">
      <c r="B299" s="520"/>
      <c r="C299" s="23"/>
      <c r="D299" s="23"/>
      <c r="E299" s="24"/>
      <c r="H299" s="23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</row>
    <row r="300" spans="2:31" s="28" customFormat="1" ht="15" customHeight="1" x14ac:dyDescent="0.25">
      <c r="B300" s="520"/>
      <c r="C300" s="23"/>
      <c r="D300" s="23"/>
      <c r="E300" s="24"/>
      <c r="H300" s="23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</row>
    <row r="301" spans="2:31" s="28" customFormat="1" ht="15" customHeight="1" x14ac:dyDescent="0.25">
      <c r="B301" s="520"/>
      <c r="C301" s="23"/>
      <c r="D301" s="23"/>
      <c r="E301" s="24"/>
      <c r="H301" s="23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</row>
    <row r="302" spans="2:31" s="28" customFormat="1" ht="15" customHeight="1" x14ac:dyDescent="0.25">
      <c r="B302" s="520"/>
      <c r="C302" s="23"/>
      <c r="D302" s="23"/>
      <c r="E302" s="24"/>
      <c r="H302" s="23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</row>
    <row r="303" spans="2:31" s="28" customFormat="1" ht="15" customHeight="1" x14ac:dyDescent="0.25">
      <c r="B303" s="520"/>
      <c r="C303" s="23"/>
      <c r="D303" s="23"/>
      <c r="E303" s="24"/>
      <c r="H303" s="23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</row>
    <row r="304" spans="2:31" s="28" customFormat="1" ht="15" customHeight="1" x14ac:dyDescent="0.25">
      <c r="B304" s="520"/>
      <c r="C304" s="23"/>
      <c r="D304" s="23"/>
      <c r="E304" s="24"/>
      <c r="H304" s="23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</row>
    <row r="305" spans="2:31" s="28" customFormat="1" ht="15" customHeight="1" x14ac:dyDescent="0.25">
      <c r="B305" s="520"/>
      <c r="C305" s="23"/>
      <c r="D305" s="23"/>
      <c r="E305" s="24"/>
      <c r="H305" s="23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</row>
    <row r="306" spans="2:31" s="28" customFormat="1" ht="15" customHeight="1" x14ac:dyDescent="0.25">
      <c r="B306" s="520"/>
      <c r="C306" s="23"/>
      <c r="D306" s="23"/>
      <c r="E306" s="24"/>
      <c r="H306" s="23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</row>
    <row r="307" spans="2:31" s="28" customFormat="1" ht="15" customHeight="1" x14ac:dyDescent="0.25">
      <c r="B307" s="520"/>
      <c r="C307" s="23"/>
      <c r="D307" s="23"/>
      <c r="E307" s="24"/>
      <c r="H307" s="23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</row>
    <row r="308" spans="2:31" s="28" customFormat="1" ht="15" customHeight="1" x14ac:dyDescent="0.25">
      <c r="B308" s="520"/>
      <c r="C308" s="23"/>
      <c r="D308" s="23"/>
      <c r="E308" s="24"/>
      <c r="H308" s="23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</row>
    <row r="309" spans="2:31" s="28" customFormat="1" ht="15" customHeight="1" x14ac:dyDescent="0.25">
      <c r="B309" s="520"/>
      <c r="C309" s="23"/>
      <c r="D309" s="23"/>
      <c r="E309" s="24"/>
      <c r="H309" s="23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</row>
    <row r="310" spans="2:31" s="28" customFormat="1" ht="15" customHeight="1" x14ac:dyDescent="0.25">
      <c r="B310" s="520"/>
      <c r="C310" s="23"/>
      <c r="D310" s="23"/>
      <c r="E310" s="24"/>
      <c r="H310" s="23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</row>
    <row r="311" spans="2:31" s="28" customFormat="1" ht="15" customHeight="1" x14ac:dyDescent="0.25">
      <c r="B311" s="520"/>
      <c r="C311" s="23"/>
      <c r="D311" s="23"/>
      <c r="E311" s="24"/>
      <c r="H311" s="23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</row>
    <row r="312" spans="2:31" s="28" customFormat="1" ht="15" customHeight="1" x14ac:dyDescent="0.25">
      <c r="B312" s="520"/>
      <c r="C312" s="23"/>
      <c r="D312" s="23"/>
      <c r="E312" s="24"/>
      <c r="H312" s="23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</row>
    <row r="313" spans="2:31" s="28" customFormat="1" ht="15" customHeight="1" x14ac:dyDescent="0.25">
      <c r="B313" s="520"/>
      <c r="C313" s="23"/>
      <c r="D313" s="23"/>
      <c r="E313" s="24"/>
      <c r="H313" s="23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</row>
    <row r="314" spans="2:31" s="28" customFormat="1" ht="15" customHeight="1" x14ac:dyDescent="0.25">
      <c r="B314" s="520"/>
      <c r="C314" s="23"/>
      <c r="D314" s="23"/>
      <c r="E314" s="24"/>
      <c r="H314" s="23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</row>
    <row r="315" spans="2:31" s="28" customFormat="1" ht="15" customHeight="1" x14ac:dyDescent="0.25">
      <c r="B315" s="520"/>
      <c r="C315" s="23"/>
      <c r="D315" s="23"/>
      <c r="E315" s="24"/>
      <c r="H315" s="23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</row>
    <row r="316" spans="2:31" s="28" customFormat="1" ht="15" customHeight="1" x14ac:dyDescent="0.25">
      <c r="B316" s="520"/>
      <c r="C316" s="23"/>
      <c r="D316" s="23"/>
      <c r="E316" s="24"/>
      <c r="H316" s="23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</row>
    <row r="317" spans="2:31" s="28" customFormat="1" ht="15" customHeight="1" x14ac:dyDescent="0.25">
      <c r="B317" s="520"/>
      <c r="C317" s="23"/>
      <c r="D317" s="23"/>
      <c r="E317" s="24"/>
      <c r="H317" s="23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</row>
    <row r="318" spans="2:31" s="28" customFormat="1" ht="15" customHeight="1" x14ac:dyDescent="0.25">
      <c r="B318" s="520"/>
      <c r="C318" s="23"/>
      <c r="D318" s="23"/>
      <c r="E318" s="24"/>
      <c r="H318" s="23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</row>
    <row r="319" spans="2:31" s="28" customFormat="1" ht="15" customHeight="1" x14ac:dyDescent="0.25">
      <c r="B319" s="520"/>
      <c r="C319" s="23"/>
      <c r="D319" s="23"/>
      <c r="E319" s="24"/>
      <c r="H319" s="23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</row>
    <row r="320" spans="2:31" s="28" customFormat="1" ht="15" customHeight="1" x14ac:dyDescent="0.25">
      <c r="B320" s="520"/>
      <c r="C320" s="23"/>
      <c r="D320" s="23"/>
      <c r="E320" s="24"/>
      <c r="H320" s="23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</row>
    <row r="321" spans="2:31" s="28" customFormat="1" ht="15" customHeight="1" x14ac:dyDescent="0.25">
      <c r="B321" s="520"/>
      <c r="C321" s="23"/>
      <c r="D321" s="23"/>
      <c r="E321" s="24"/>
      <c r="H321" s="23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</row>
    <row r="322" spans="2:31" s="28" customFormat="1" ht="15" customHeight="1" x14ac:dyDescent="0.25">
      <c r="B322" s="520"/>
      <c r="C322" s="23"/>
      <c r="D322" s="23"/>
      <c r="E322" s="24"/>
      <c r="H322" s="23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</row>
    <row r="323" spans="2:31" s="28" customFormat="1" ht="15" customHeight="1" x14ac:dyDescent="0.25">
      <c r="B323" s="520"/>
      <c r="C323" s="23"/>
      <c r="D323" s="23"/>
      <c r="E323" s="24"/>
      <c r="H323" s="23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</row>
    <row r="324" spans="2:31" s="28" customFormat="1" ht="15" customHeight="1" x14ac:dyDescent="0.25">
      <c r="B324" s="520"/>
      <c r="C324" s="23"/>
      <c r="D324" s="23"/>
      <c r="E324" s="24"/>
      <c r="H324" s="23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</row>
    <row r="325" spans="2:31" s="28" customFormat="1" ht="15" customHeight="1" x14ac:dyDescent="0.25">
      <c r="B325" s="520"/>
      <c r="C325" s="23"/>
      <c r="D325" s="23"/>
      <c r="E325" s="24"/>
      <c r="H325" s="23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</row>
    <row r="326" spans="2:31" s="28" customFormat="1" ht="15" customHeight="1" x14ac:dyDescent="0.25">
      <c r="B326" s="520"/>
      <c r="C326" s="23"/>
      <c r="D326" s="23"/>
      <c r="E326" s="24"/>
      <c r="H326" s="23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</row>
    <row r="327" spans="2:31" s="28" customFormat="1" ht="15" customHeight="1" x14ac:dyDescent="0.25">
      <c r="B327" s="520"/>
      <c r="C327" s="23"/>
      <c r="D327" s="23"/>
      <c r="E327" s="24"/>
      <c r="H327" s="23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</row>
    <row r="328" spans="2:31" s="28" customFormat="1" ht="15" customHeight="1" x14ac:dyDescent="0.25">
      <c r="B328" s="520"/>
      <c r="C328" s="23"/>
      <c r="D328" s="23"/>
      <c r="E328" s="24"/>
      <c r="H328" s="23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</row>
    <row r="329" spans="2:31" s="28" customFormat="1" ht="15" customHeight="1" x14ac:dyDescent="0.25">
      <c r="B329" s="520"/>
      <c r="C329" s="23"/>
      <c r="D329" s="23"/>
      <c r="E329" s="24"/>
      <c r="H329" s="23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</row>
    <row r="330" spans="2:31" s="28" customFormat="1" ht="15" customHeight="1" x14ac:dyDescent="0.25">
      <c r="B330" s="520"/>
      <c r="C330" s="23"/>
      <c r="D330" s="23"/>
      <c r="E330" s="24"/>
      <c r="H330" s="23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</row>
    <row r="331" spans="2:31" s="28" customFormat="1" ht="15" customHeight="1" x14ac:dyDescent="0.25">
      <c r="B331" s="520"/>
      <c r="C331" s="23"/>
      <c r="D331" s="23"/>
      <c r="E331" s="24"/>
      <c r="H331" s="23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</row>
    <row r="332" spans="2:31" s="28" customFormat="1" ht="15" customHeight="1" x14ac:dyDescent="0.25">
      <c r="B332" s="520"/>
      <c r="C332" s="23"/>
      <c r="D332" s="23"/>
      <c r="E332" s="24"/>
      <c r="H332" s="23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</row>
    <row r="333" spans="2:31" s="28" customFormat="1" ht="15" customHeight="1" x14ac:dyDescent="0.25">
      <c r="B333" s="520"/>
      <c r="C333" s="23"/>
      <c r="D333" s="23"/>
      <c r="E333" s="24"/>
      <c r="H333" s="23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</row>
    <row r="334" spans="2:31" s="28" customFormat="1" ht="15" customHeight="1" x14ac:dyDescent="0.25">
      <c r="B334" s="520"/>
      <c r="C334" s="23"/>
      <c r="D334" s="23"/>
      <c r="E334" s="24"/>
      <c r="H334" s="23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</row>
    <row r="335" spans="2:31" s="28" customFormat="1" ht="15" customHeight="1" x14ac:dyDescent="0.25">
      <c r="B335" s="520"/>
      <c r="C335" s="23"/>
      <c r="D335" s="23"/>
      <c r="E335" s="24"/>
      <c r="H335" s="23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</row>
    <row r="336" spans="2:31" s="28" customFormat="1" ht="15" customHeight="1" x14ac:dyDescent="0.25">
      <c r="B336" s="520"/>
      <c r="C336" s="23"/>
      <c r="D336" s="23"/>
      <c r="E336" s="24"/>
      <c r="H336" s="23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</row>
    <row r="337" spans="2:31" s="28" customFormat="1" ht="15" customHeight="1" x14ac:dyDescent="0.25">
      <c r="B337" s="520"/>
      <c r="C337" s="23"/>
      <c r="D337" s="23"/>
      <c r="E337" s="24"/>
      <c r="H337" s="23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</row>
    <row r="338" spans="2:31" s="28" customFormat="1" ht="15" customHeight="1" x14ac:dyDescent="0.25">
      <c r="B338" s="520"/>
      <c r="C338" s="23"/>
      <c r="D338" s="23"/>
      <c r="E338" s="24"/>
      <c r="H338" s="23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</row>
    <row r="339" spans="2:31" s="28" customFormat="1" ht="15" customHeight="1" x14ac:dyDescent="0.25">
      <c r="B339" s="520"/>
      <c r="C339" s="23"/>
      <c r="D339" s="23"/>
      <c r="E339" s="24"/>
      <c r="H339" s="23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</row>
    <row r="340" spans="2:31" s="28" customFormat="1" ht="15" customHeight="1" x14ac:dyDescent="0.25">
      <c r="B340" s="520"/>
      <c r="C340" s="23"/>
      <c r="D340" s="23"/>
      <c r="E340" s="24"/>
      <c r="H340" s="23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</row>
    <row r="341" spans="2:31" s="28" customFormat="1" ht="15" customHeight="1" x14ac:dyDescent="0.25">
      <c r="B341" s="520"/>
      <c r="C341" s="23"/>
      <c r="D341" s="23"/>
      <c r="E341" s="24"/>
      <c r="H341" s="23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</row>
    <row r="342" spans="2:31" s="28" customFormat="1" ht="15" customHeight="1" x14ac:dyDescent="0.25">
      <c r="B342" s="520"/>
      <c r="C342" s="23"/>
      <c r="D342" s="23"/>
      <c r="E342" s="24"/>
      <c r="H342" s="23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</row>
    <row r="343" spans="2:31" s="28" customFormat="1" ht="15" customHeight="1" x14ac:dyDescent="0.25">
      <c r="B343" s="520"/>
      <c r="C343" s="23"/>
      <c r="D343" s="23"/>
      <c r="E343" s="24"/>
      <c r="H343" s="23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</row>
    <row r="344" spans="2:31" s="28" customFormat="1" ht="15" customHeight="1" x14ac:dyDescent="0.25">
      <c r="B344" s="520"/>
      <c r="C344" s="23"/>
      <c r="D344" s="23"/>
      <c r="E344" s="24"/>
      <c r="H344" s="23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</row>
    <row r="345" spans="2:31" s="28" customFormat="1" ht="15" customHeight="1" x14ac:dyDescent="0.25">
      <c r="B345" s="520"/>
      <c r="C345" s="23"/>
      <c r="D345" s="23"/>
      <c r="E345" s="24"/>
      <c r="H345" s="23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</row>
    <row r="346" spans="2:31" s="28" customFormat="1" ht="15" customHeight="1" x14ac:dyDescent="0.25">
      <c r="B346" s="520"/>
      <c r="C346" s="23"/>
      <c r="D346" s="23"/>
      <c r="E346" s="24"/>
      <c r="H346" s="23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</row>
    <row r="347" spans="2:31" s="28" customFormat="1" ht="15" customHeight="1" x14ac:dyDescent="0.25">
      <c r="B347" s="520"/>
      <c r="C347" s="23"/>
      <c r="D347" s="23"/>
      <c r="E347" s="24"/>
      <c r="H347" s="23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</row>
    <row r="348" spans="2:31" s="28" customFormat="1" ht="15" customHeight="1" x14ac:dyDescent="0.25">
      <c r="B348" s="520"/>
      <c r="C348" s="23"/>
      <c r="D348" s="23"/>
      <c r="E348" s="24"/>
      <c r="H348" s="23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</row>
    <row r="349" spans="2:31" s="28" customFormat="1" ht="15" customHeight="1" x14ac:dyDescent="0.25">
      <c r="B349" s="520"/>
      <c r="C349" s="23"/>
      <c r="D349" s="23"/>
      <c r="E349" s="24"/>
      <c r="H349" s="23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</row>
    <row r="350" spans="2:31" s="28" customFormat="1" ht="15" customHeight="1" x14ac:dyDescent="0.25">
      <c r="B350" s="520"/>
      <c r="C350" s="23"/>
      <c r="D350" s="23"/>
      <c r="E350" s="24"/>
      <c r="H350" s="23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</row>
    <row r="351" spans="2:31" s="28" customFormat="1" ht="15" customHeight="1" x14ac:dyDescent="0.25">
      <c r="B351" s="520"/>
      <c r="C351" s="23"/>
      <c r="D351" s="23"/>
      <c r="E351" s="24"/>
      <c r="H351" s="23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</row>
    <row r="352" spans="2:31" s="28" customFormat="1" ht="15" customHeight="1" x14ac:dyDescent="0.25">
      <c r="B352" s="520"/>
      <c r="C352" s="23"/>
      <c r="D352" s="23"/>
      <c r="E352" s="24"/>
      <c r="H352" s="23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</row>
    <row r="353" spans="2:31" s="28" customFormat="1" ht="15" customHeight="1" x14ac:dyDescent="0.25">
      <c r="B353" s="520"/>
      <c r="C353" s="23"/>
      <c r="D353" s="23"/>
      <c r="E353" s="24"/>
      <c r="H353" s="23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</row>
    <row r="354" spans="2:31" s="28" customFormat="1" ht="15" customHeight="1" x14ac:dyDescent="0.25">
      <c r="B354" s="520"/>
      <c r="C354" s="23"/>
      <c r="D354" s="23"/>
      <c r="E354" s="24"/>
      <c r="H354" s="23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</row>
    <row r="355" spans="2:31" s="28" customFormat="1" ht="15" customHeight="1" x14ac:dyDescent="0.25">
      <c r="B355" s="520"/>
      <c r="C355" s="23"/>
      <c r="D355" s="23"/>
      <c r="E355" s="24"/>
      <c r="H355" s="23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</row>
    <row r="356" spans="2:31" s="28" customFormat="1" ht="15" customHeight="1" x14ac:dyDescent="0.25">
      <c r="B356" s="520"/>
      <c r="C356" s="23"/>
      <c r="D356" s="23"/>
      <c r="E356" s="24"/>
      <c r="H356" s="23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</row>
    <row r="357" spans="2:31" s="28" customFormat="1" ht="15" customHeight="1" x14ac:dyDescent="0.25">
      <c r="B357" s="520"/>
      <c r="C357" s="23"/>
      <c r="D357" s="23"/>
      <c r="E357" s="24"/>
      <c r="H357" s="23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</row>
    <row r="358" spans="2:31" s="28" customFormat="1" ht="15" customHeight="1" x14ac:dyDescent="0.25">
      <c r="B358" s="520"/>
      <c r="C358" s="23"/>
      <c r="D358" s="23"/>
      <c r="E358" s="24"/>
      <c r="H358" s="23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</row>
    <row r="359" spans="2:31" s="28" customFormat="1" ht="15" customHeight="1" x14ac:dyDescent="0.25">
      <c r="B359" s="520"/>
      <c r="C359" s="23"/>
      <c r="D359" s="23"/>
      <c r="E359" s="24"/>
      <c r="H359" s="23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</row>
    <row r="360" spans="2:31" s="28" customFormat="1" ht="15" customHeight="1" x14ac:dyDescent="0.25">
      <c r="B360" s="520"/>
      <c r="C360" s="23"/>
      <c r="D360" s="23"/>
      <c r="E360" s="24"/>
      <c r="H360" s="23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</row>
    <row r="361" spans="2:31" s="28" customFormat="1" ht="15" customHeight="1" x14ac:dyDescent="0.25">
      <c r="B361" s="520"/>
      <c r="C361" s="23"/>
      <c r="D361" s="23"/>
      <c r="E361" s="24"/>
      <c r="H361" s="23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</row>
    <row r="362" spans="2:31" s="28" customFormat="1" ht="15" customHeight="1" x14ac:dyDescent="0.25">
      <c r="B362" s="520"/>
      <c r="C362" s="23"/>
      <c r="D362" s="23"/>
      <c r="E362" s="24"/>
      <c r="H362" s="23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</row>
    <row r="363" spans="2:31" s="28" customFormat="1" ht="15" customHeight="1" x14ac:dyDescent="0.25">
      <c r="B363" s="520"/>
      <c r="C363" s="23"/>
      <c r="D363" s="23"/>
      <c r="E363" s="24"/>
      <c r="H363" s="23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</row>
    <row r="364" spans="2:31" s="28" customFormat="1" ht="15" customHeight="1" x14ac:dyDescent="0.25">
      <c r="B364" s="520"/>
      <c r="C364" s="23"/>
      <c r="D364" s="23"/>
      <c r="E364" s="24"/>
      <c r="H364" s="23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</row>
    <row r="365" spans="2:31" s="28" customFormat="1" ht="15" customHeight="1" x14ac:dyDescent="0.25">
      <c r="B365" s="520"/>
      <c r="C365" s="23"/>
      <c r="D365" s="23"/>
      <c r="E365" s="24"/>
      <c r="H365" s="23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</row>
    <row r="366" spans="2:31" s="28" customFormat="1" ht="15" customHeight="1" x14ac:dyDescent="0.25">
      <c r="B366" s="520"/>
      <c r="C366" s="23"/>
      <c r="D366" s="23"/>
      <c r="E366" s="24"/>
      <c r="H366" s="23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</row>
    <row r="367" spans="2:31" s="28" customFormat="1" ht="15" customHeight="1" x14ac:dyDescent="0.25">
      <c r="B367" s="520"/>
      <c r="C367" s="23"/>
      <c r="D367" s="23"/>
      <c r="E367" s="24"/>
      <c r="H367" s="23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</row>
    <row r="368" spans="2:31" s="28" customFormat="1" ht="15" customHeight="1" x14ac:dyDescent="0.25">
      <c r="B368" s="520"/>
      <c r="C368" s="23"/>
      <c r="D368" s="23"/>
      <c r="E368" s="24"/>
      <c r="H368" s="23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</row>
    <row r="369" spans="2:31" s="28" customFormat="1" ht="15" customHeight="1" x14ac:dyDescent="0.25">
      <c r="B369" s="520"/>
      <c r="C369" s="23"/>
      <c r="D369" s="23"/>
      <c r="E369" s="24"/>
      <c r="H369" s="23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</row>
    <row r="370" spans="2:31" s="28" customFormat="1" ht="15" customHeight="1" x14ac:dyDescent="0.25">
      <c r="B370" s="520"/>
      <c r="C370" s="23"/>
      <c r="D370" s="23"/>
      <c r="E370" s="24"/>
      <c r="H370" s="23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</row>
    <row r="371" spans="2:31" s="28" customFormat="1" ht="15" customHeight="1" x14ac:dyDescent="0.25">
      <c r="B371" s="520"/>
      <c r="C371" s="23"/>
      <c r="D371" s="23"/>
      <c r="E371" s="24"/>
      <c r="H371" s="23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</row>
    <row r="372" spans="2:31" s="28" customFormat="1" ht="15" customHeight="1" x14ac:dyDescent="0.25">
      <c r="B372" s="520"/>
      <c r="C372" s="23"/>
      <c r="D372" s="23"/>
      <c r="E372" s="24"/>
      <c r="H372" s="23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</row>
    <row r="373" spans="2:31" s="28" customFormat="1" ht="15" customHeight="1" x14ac:dyDescent="0.25">
      <c r="B373" s="520"/>
      <c r="C373" s="23"/>
      <c r="D373" s="23"/>
      <c r="E373" s="24"/>
      <c r="H373" s="23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</row>
    <row r="374" spans="2:31" s="28" customFormat="1" ht="15" customHeight="1" x14ac:dyDescent="0.25">
      <c r="B374" s="520"/>
      <c r="C374" s="23"/>
      <c r="D374" s="23"/>
      <c r="E374" s="24"/>
      <c r="H374" s="23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</row>
    <row r="375" spans="2:31" s="28" customFormat="1" ht="15" customHeight="1" x14ac:dyDescent="0.25">
      <c r="B375" s="520"/>
      <c r="C375" s="23"/>
      <c r="D375" s="23"/>
      <c r="E375" s="24"/>
      <c r="H375" s="23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</row>
    <row r="376" spans="2:31" s="28" customFormat="1" ht="15" customHeight="1" x14ac:dyDescent="0.25">
      <c r="B376" s="520"/>
      <c r="C376" s="23"/>
      <c r="D376" s="23"/>
      <c r="E376" s="24"/>
      <c r="H376" s="23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</row>
    <row r="377" spans="2:31" s="28" customFormat="1" ht="15" customHeight="1" x14ac:dyDescent="0.25">
      <c r="B377" s="520"/>
      <c r="C377" s="23"/>
      <c r="D377" s="23"/>
      <c r="E377" s="24"/>
      <c r="H377" s="23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</row>
    <row r="378" spans="2:31" s="28" customFormat="1" ht="15" customHeight="1" x14ac:dyDescent="0.25">
      <c r="B378" s="520"/>
      <c r="C378" s="23"/>
      <c r="D378" s="23"/>
      <c r="E378" s="24"/>
      <c r="H378" s="23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</row>
    <row r="379" spans="2:31" s="28" customFormat="1" ht="15" customHeight="1" x14ac:dyDescent="0.25">
      <c r="B379" s="520"/>
      <c r="C379" s="23"/>
      <c r="D379" s="23"/>
      <c r="E379" s="24"/>
      <c r="H379" s="23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</row>
    <row r="380" spans="2:31" s="28" customFormat="1" ht="15" customHeight="1" x14ac:dyDescent="0.25">
      <c r="B380" s="520"/>
      <c r="C380" s="23"/>
      <c r="D380" s="23"/>
      <c r="E380" s="24"/>
      <c r="H380" s="23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</row>
    <row r="381" spans="2:31" s="28" customFormat="1" ht="15" customHeight="1" x14ac:dyDescent="0.25">
      <c r="B381" s="520"/>
      <c r="C381" s="23"/>
      <c r="D381" s="23"/>
      <c r="E381" s="24"/>
      <c r="H381" s="23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</row>
    <row r="382" spans="2:31" s="28" customFormat="1" ht="15" customHeight="1" x14ac:dyDescent="0.25">
      <c r="B382" s="520"/>
      <c r="C382" s="23"/>
      <c r="D382" s="23"/>
      <c r="E382" s="24"/>
      <c r="H382" s="23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</row>
    <row r="383" spans="2:31" s="28" customFormat="1" ht="15" customHeight="1" x14ac:dyDescent="0.25">
      <c r="B383" s="520"/>
      <c r="C383" s="23"/>
      <c r="D383" s="23"/>
      <c r="E383" s="24"/>
      <c r="H383" s="23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</row>
    <row r="384" spans="2:31" s="28" customFormat="1" ht="15" customHeight="1" x14ac:dyDescent="0.25">
      <c r="B384" s="520"/>
      <c r="C384" s="23"/>
      <c r="D384" s="23"/>
      <c r="E384" s="24"/>
      <c r="H384" s="23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</row>
    <row r="385" spans="2:31" s="28" customFormat="1" ht="15" customHeight="1" x14ac:dyDescent="0.25">
      <c r="B385" s="520"/>
      <c r="C385" s="23"/>
      <c r="D385" s="23"/>
      <c r="E385" s="24"/>
      <c r="H385" s="23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</row>
    <row r="386" spans="2:31" s="28" customFormat="1" ht="15" customHeight="1" x14ac:dyDescent="0.25">
      <c r="B386" s="520"/>
      <c r="C386" s="23"/>
      <c r="D386" s="23"/>
      <c r="E386" s="24"/>
      <c r="H386" s="23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</row>
    <row r="387" spans="2:31" s="28" customFormat="1" ht="15" customHeight="1" x14ac:dyDescent="0.25">
      <c r="B387" s="520"/>
      <c r="C387" s="23"/>
      <c r="D387" s="23"/>
      <c r="E387" s="24"/>
      <c r="H387" s="23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</row>
    <row r="388" spans="2:31" s="28" customFormat="1" ht="15" customHeight="1" x14ac:dyDescent="0.25">
      <c r="B388" s="520"/>
      <c r="C388" s="23"/>
      <c r="D388" s="23"/>
      <c r="E388" s="24"/>
      <c r="H388" s="23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</row>
    <row r="389" spans="2:31" s="28" customFormat="1" ht="15" customHeight="1" x14ac:dyDescent="0.25">
      <c r="B389" s="520"/>
      <c r="C389" s="23"/>
      <c r="D389" s="23"/>
      <c r="E389" s="24"/>
      <c r="H389" s="23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</row>
    <row r="390" spans="2:31" s="28" customFormat="1" ht="15" customHeight="1" x14ac:dyDescent="0.25">
      <c r="B390" s="520"/>
      <c r="C390" s="23"/>
      <c r="D390" s="23"/>
      <c r="E390" s="24"/>
      <c r="H390" s="23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</row>
    <row r="391" spans="2:31" s="28" customFormat="1" ht="15" customHeight="1" x14ac:dyDescent="0.25">
      <c r="B391" s="520"/>
      <c r="C391" s="23"/>
      <c r="D391" s="23"/>
      <c r="E391" s="24"/>
      <c r="H391" s="23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</row>
    <row r="392" spans="2:31" s="28" customFormat="1" ht="15" customHeight="1" x14ac:dyDescent="0.25">
      <c r="B392" s="520"/>
      <c r="C392" s="23"/>
      <c r="D392" s="23"/>
      <c r="E392" s="24"/>
      <c r="H392" s="23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</row>
    <row r="393" spans="2:31" s="28" customFormat="1" ht="15" customHeight="1" x14ac:dyDescent="0.25">
      <c r="B393" s="520"/>
      <c r="C393" s="23"/>
      <c r="D393" s="23"/>
      <c r="E393" s="24"/>
      <c r="H393" s="23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</row>
    <row r="394" spans="2:31" s="28" customFormat="1" ht="15" customHeight="1" x14ac:dyDescent="0.25">
      <c r="B394" s="520"/>
      <c r="C394" s="23"/>
      <c r="D394" s="23"/>
      <c r="E394" s="24"/>
      <c r="H394" s="23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</row>
    <row r="395" spans="2:31" s="28" customFormat="1" ht="15" customHeight="1" x14ac:dyDescent="0.25">
      <c r="B395" s="520"/>
      <c r="C395" s="23"/>
      <c r="D395" s="23"/>
      <c r="E395" s="24"/>
      <c r="H395" s="23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</row>
    <row r="396" spans="2:31" s="28" customFormat="1" ht="15" customHeight="1" x14ac:dyDescent="0.25">
      <c r="B396" s="520"/>
      <c r="C396" s="23"/>
      <c r="D396" s="23"/>
      <c r="E396" s="24"/>
      <c r="H396" s="23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</row>
    <row r="397" spans="2:31" s="28" customFormat="1" ht="15" customHeight="1" x14ac:dyDescent="0.25">
      <c r="B397" s="520"/>
      <c r="C397" s="23"/>
      <c r="D397" s="23"/>
      <c r="E397" s="24"/>
      <c r="H397" s="23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</row>
    <row r="398" spans="2:31" s="28" customFormat="1" ht="15" customHeight="1" x14ac:dyDescent="0.25">
      <c r="B398" s="520"/>
      <c r="C398" s="23"/>
      <c r="D398" s="23"/>
      <c r="E398" s="24"/>
      <c r="H398" s="23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</row>
    <row r="399" spans="2:31" s="28" customFormat="1" ht="15" customHeight="1" x14ac:dyDescent="0.25">
      <c r="B399" s="520"/>
      <c r="C399" s="23"/>
      <c r="D399" s="23"/>
      <c r="E399" s="24"/>
      <c r="H399" s="23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</row>
    <row r="400" spans="2:31" s="28" customFormat="1" ht="15" customHeight="1" x14ac:dyDescent="0.25">
      <c r="B400" s="520"/>
      <c r="C400" s="23"/>
      <c r="D400" s="23"/>
      <c r="E400" s="24"/>
      <c r="H400" s="23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</row>
    <row r="401" spans="2:31" s="28" customFormat="1" ht="15" customHeight="1" x14ac:dyDescent="0.25">
      <c r="B401" s="520"/>
      <c r="C401" s="23"/>
      <c r="D401" s="23"/>
      <c r="E401" s="24"/>
      <c r="H401" s="23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</row>
    <row r="402" spans="2:31" s="28" customFormat="1" ht="15" customHeight="1" x14ac:dyDescent="0.25">
      <c r="B402" s="520"/>
      <c r="C402" s="23"/>
      <c r="D402" s="23"/>
      <c r="E402" s="24"/>
      <c r="H402" s="23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</row>
    <row r="403" spans="2:31" s="28" customFormat="1" ht="15" customHeight="1" x14ac:dyDescent="0.25">
      <c r="B403" s="520"/>
      <c r="C403" s="23"/>
      <c r="D403" s="23"/>
      <c r="E403" s="24"/>
      <c r="H403" s="23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</row>
    <row r="404" spans="2:31" s="28" customFormat="1" ht="15" customHeight="1" x14ac:dyDescent="0.25">
      <c r="B404" s="520"/>
      <c r="C404" s="23"/>
      <c r="D404" s="23"/>
      <c r="E404" s="24"/>
      <c r="H404" s="23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</row>
    <row r="405" spans="2:31" s="28" customFormat="1" ht="15" customHeight="1" x14ac:dyDescent="0.25">
      <c r="B405" s="520"/>
      <c r="C405" s="23"/>
      <c r="D405" s="23"/>
      <c r="E405" s="24"/>
      <c r="H405" s="23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</row>
    <row r="406" spans="2:31" s="28" customFormat="1" ht="15" customHeight="1" x14ac:dyDescent="0.25">
      <c r="B406" s="520"/>
      <c r="C406" s="23"/>
      <c r="D406" s="23"/>
      <c r="E406" s="24"/>
      <c r="H406" s="23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</row>
    <row r="407" spans="2:31" s="28" customFormat="1" ht="15" customHeight="1" x14ac:dyDescent="0.25">
      <c r="B407" s="520"/>
      <c r="C407" s="23"/>
      <c r="D407" s="23"/>
      <c r="E407" s="24"/>
      <c r="H407" s="23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</row>
    <row r="408" spans="2:31" s="28" customFormat="1" ht="15" customHeight="1" x14ac:dyDescent="0.25">
      <c r="B408" s="520"/>
      <c r="C408" s="23"/>
      <c r="D408" s="23"/>
      <c r="E408" s="24"/>
      <c r="H408" s="23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</row>
    <row r="409" spans="2:31" s="28" customFormat="1" ht="15" customHeight="1" x14ac:dyDescent="0.25">
      <c r="B409" s="520"/>
      <c r="C409" s="23"/>
      <c r="D409" s="23"/>
      <c r="E409" s="24"/>
      <c r="H409" s="23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</row>
    <row r="410" spans="2:31" s="28" customFormat="1" ht="15" customHeight="1" x14ac:dyDescent="0.25">
      <c r="B410" s="520"/>
      <c r="C410" s="23"/>
      <c r="D410" s="23"/>
      <c r="E410" s="24"/>
      <c r="H410" s="23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</row>
    <row r="411" spans="2:31" s="28" customFormat="1" ht="15" customHeight="1" x14ac:dyDescent="0.25">
      <c r="B411" s="520"/>
      <c r="C411" s="23"/>
      <c r="D411" s="23"/>
      <c r="E411" s="24"/>
      <c r="H411" s="23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</row>
    <row r="412" spans="2:31" s="28" customFormat="1" ht="15" customHeight="1" x14ac:dyDescent="0.25">
      <c r="B412" s="520"/>
      <c r="C412" s="23"/>
      <c r="D412" s="23"/>
      <c r="E412" s="24"/>
      <c r="H412" s="23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</row>
    <row r="413" spans="2:31" s="28" customFormat="1" ht="15" customHeight="1" x14ac:dyDescent="0.25">
      <c r="B413" s="520"/>
      <c r="C413" s="23"/>
      <c r="D413" s="23"/>
      <c r="E413" s="24"/>
      <c r="H413" s="23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</row>
    <row r="414" spans="2:31" s="28" customFormat="1" ht="15" customHeight="1" x14ac:dyDescent="0.25">
      <c r="B414" s="520"/>
      <c r="C414" s="23"/>
      <c r="D414" s="23"/>
      <c r="E414" s="24"/>
      <c r="H414" s="23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</row>
    <row r="415" spans="2:31" s="28" customFormat="1" ht="15" customHeight="1" x14ac:dyDescent="0.25">
      <c r="B415" s="520"/>
      <c r="C415" s="23"/>
      <c r="D415" s="23"/>
      <c r="E415" s="24"/>
      <c r="H415" s="23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</row>
    <row r="416" spans="2:31" s="28" customFormat="1" ht="15" customHeight="1" x14ac:dyDescent="0.25">
      <c r="B416" s="520"/>
      <c r="C416" s="23"/>
      <c r="D416" s="23"/>
      <c r="E416" s="24"/>
      <c r="H416" s="23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</row>
    <row r="417" spans="2:31" s="28" customFormat="1" ht="15" customHeight="1" x14ac:dyDescent="0.25">
      <c r="B417" s="520"/>
      <c r="C417" s="23"/>
      <c r="D417" s="23"/>
      <c r="E417" s="24"/>
      <c r="H417" s="23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</row>
    <row r="418" spans="2:31" s="28" customFormat="1" ht="15" customHeight="1" x14ac:dyDescent="0.25">
      <c r="B418" s="520"/>
      <c r="C418" s="23"/>
      <c r="D418" s="23"/>
      <c r="E418" s="24"/>
      <c r="H418" s="23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</row>
    <row r="419" spans="2:31" s="28" customFormat="1" ht="15" customHeight="1" x14ac:dyDescent="0.25">
      <c r="B419" s="520"/>
      <c r="C419" s="23"/>
      <c r="D419" s="23"/>
      <c r="E419" s="24"/>
      <c r="H419" s="23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</row>
    <row r="420" spans="2:31" s="28" customFormat="1" ht="15" customHeight="1" x14ac:dyDescent="0.25">
      <c r="B420" s="520"/>
      <c r="C420" s="23"/>
      <c r="D420" s="23"/>
      <c r="E420" s="24"/>
      <c r="H420" s="23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</row>
    <row r="421" spans="2:31" s="28" customFormat="1" ht="15" customHeight="1" x14ac:dyDescent="0.25">
      <c r="B421" s="520"/>
      <c r="C421" s="23"/>
      <c r="D421" s="23"/>
      <c r="E421" s="24"/>
      <c r="H421" s="23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</row>
    <row r="422" spans="2:31" s="28" customFormat="1" ht="15" customHeight="1" x14ac:dyDescent="0.25">
      <c r="B422" s="520"/>
      <c r="C422" s="23"/>
      <c r="D422" s="23"/>
      <c r="E422" s="24"/>
      <c r="H422" s="23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</row>
    <row r="423" spans="2:31" s="28" customFormat="1" ht="15" customHeight="1" x14ac:dyDescent="0.25">
      <c r="B423" s="520"/>
      <c r="C423" s="23"/>
      <c r="D423" s="23"/>
      <c r="E423" s="24"/>
      <c r="H423" s="23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</row>
    <row r="424" spans="2:31" s="28" customFormat="1" ht="15" customHeight="1" x14ac:dyDescent="0.25">
      <c r="B424" s="520"/>
      <c r="C424" s="23"/>
      <c r="D424" s="23"/>
      <c r="E424" s="24"/>
      <c r="H424" s="23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</row>
    <row r="425" spans="2:31" s="28" customFormat="1" ht="15" customHeight="1" x14ac:dyDescent="0.25">
      <c r="B425" s="520"/>
      <c r="C425" s="23"/>
      <c r="D425" s="23"/>
      <c r="E425" s="24"/>
      <c r="H425" s="23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</row>
    <row r="426" spans="2:31" s="28" customFormat="1" ht="15" customHeight="1" x14ac:dyDescent="0.25">
      <c r="B426" s="520"/>
      <c r="C426" s="23"/>
      <c r="D426" s="23"/>
      <c r="E426" s="24"/>
      <c r="H426" s="23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</row>
    <row r="427" spans="2:31" s="28" customFormat="1" ht="15" customHeight="1" x14ac:dyDescent="0.25">
      <c r="B427" s="520"/>
      <c r="C427" s="23"/>
      <c r="D427" s="23"/>
      <c r="E427" s="24"/>
      <c r="H427" s="23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</row>
    <row r="428" spans="2:31" s="28" customFormat="1" ht="15" customHeight="1" x14ac:dyDescent="0.25">
      <c r="B428" s="520"/>
      <c r="C428" s="23"/>
      <c r="D428" s="23"/>
      <c r="E428" s="24"/>
      <c r="H428" s="23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</row>
    <row r="429" spans="2:31" s="28" customFormat="1" ht="15" customHeight="1" x14ac:dyDescent="0.25">
      <c r="B429" s="520"/>
      <c r="C429" s="23"/>
      <c r="D429" s="23"/>
      <c r="E429" s="24"/>
      <c r="H429" s="23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</row>
    <row r="430" spans="2:31" s="28" customFormat="1" ht="15" customHeight="1" x14ac:dyDescent="0.25">
      <c r="B430" s="520"/>
      <c r="C430" s="23"/>
      <c r="D430" s="23"/>
      <c r="E430" s="24"/>
      <c r="H430" s="23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</row>
    <row r="431" spans="2:31" s="28" customFormat="1" ht="15" customHeight="1" x14ac:dyDescent="0.25">
      <c r="B431" s="520"/>
      <c r="C431" s="23"/>
      <c r="D431" s="23"/>
      <c r="E431" s="24"/>
      <c r="H431" s="23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</row>
    <row r="432" spans="2:31" s="28" customFormat="1" ht="15" customHeight="1" x14ac:dyDescent="0.25">
      <c r="B432" s="520"/>
      <c r="C432" s="23"/>
      <c r="D432" s="23"/>
      <c r="E432" s="24"/>
      <c r="H432" s="23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</row>
    <row r="433" spans="2:31" s="28" customFormat="1" ht="15" customHeight="1" x14ac:dyDescent="0.25">
      <c r="B433" s="520"/>
      <c r="C433" s="23"/>
      <c r="D433" s="23"/>
      <c r="E433" s="24"/>
      <c r="H433" s="23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</row>
    <row r="434" spans="2:31" s="28" customFormat="1" ht="15" customHeight="1" x14ac:dyDescent="0.25">
      <c r="B434" s="520"/>
      <c r="C434" s="23"/>
      <c r="D434" s="23"/>
      <c r="E434" s="24"/>
      <c r="H434" s="23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</row>
    <row r="435" spans="2:31" s="28" customFormat="1" ht="15" customHeight="1" x14ac:dyDescent="0.25">
      <c r="B435" s="520"/>
      <c r="C435" s="23"/>
      <c r="D435" s="23"/>
      <c r="E435" s="24"/>
      <c r="H435" s="23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</row>
    <row r="436" spans="2:31" s="28" customFormat="1" ht="15" customHeight="1" x14ac:dyDescent="0.25">
      <c r="B436" s="520"/>
      <c r="C436" s="23"/>
      <c r="D436" s="23"/>
      <c r="E436" s="24"/>
      <c r="H436" s="23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</row>
    <row r="437" spans="2:31" s="28" customFormat="1" ht="15" customHeight="1" x14ac:dyDescent="0.25">
      <c r="B437" s="520"/>
      <c r="C437" s="23"/>
      <c r="D437" s="23"/>
      <c r="E437" s="24"/>
      <c r="H437" s="23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</row>
    <row r="438" spans="2:31" s="28" customFormat="1" ht="15" customHeight="1" x14ac:dyDescent="0.25">
      <c r="B438" s="520"/>
      <c r="C438" s="23"/>
      <c r="D438" s="23"/>
      <c r="E438" s="24"/>
      <c r="H438" s="23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</row>
    <row r="439" spans="2:31" s="28" customFormat="1" ht="15" customHeight="1" x14ac:dyDescent="0.25">
      <c r="B439" s="520"/>
      <c r="C439" s="23"/>
      <c r="D439" s="23"/>
      <c r="E439" s="24"/>
      <c r="H439" s="23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</row>
    <row r="440" spans="2:31" s="28" customFormat="1" ht="15" customHeight="1" x14ac:dyDescent="0.25">
      <c r="B440" s="520"/>
      <c r="C440" s="23"/>
      <c r="D440" s="23"/>
      <c r="E440" s="24"/>
      <c r="H440" s="23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</row>
    <row r="441" spans="2:31" s="28" customFormat="1" ht="15" customHeight="1" x14ac:dyDescent="0.25">
      <c r="B441" s="520"/>
      <c r="C441" s="23"/>
      <c r="D441" s="23"/>
      <c r="E441" s="24"/>
      <c r="H441" s="23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</row>
    <row r="442" spans="2:31" s="28" customFormat="1" ht="15" customHeight="1" x14ac:dyDescent="0.25">
      <c r="B442" s="520"/>
      <c r="C442" s="23"/>
      <c r="D442" s="23"/>
      <c r="E442" s="24"/>
      <c r="H442" s="23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</row>
    <row r="443" spans="2:31" s="28" customFormat="1" ht="15" customHeight="1" x14ac:dyDescent="0.25">
      <c r="B443" s="520"/>
      <c r="C443" s="23"/>
      <c r="D443" s="23"/>
      <c r="E443" s="24"/>
      <c r="H443" s="23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</row>
    <row r="444" spans="2:31" s="28" customFormat="1" ht="15" customHeight="1" x14ac:dyDescent="0.25">
      <c r="B444" s="520"/>
      <c r="C444" s="23"/>
      <c r="D444" s="23"/>
      <c r="E444" s="24"/>
      <c r="H444" s="23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</row>
    <row r="445" spans="2:31" s="28" customFormat="1" ht="15" customHeight="1" x14ac:dyDescent="0.25">
      <c r="B445" s="520"/>
      <c r="C445" s="23"/>
      <c r="D445" s="23"/>
      <c r="E445" s="24"/>
      <c r="H445" s="23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</row>
    <row r="446" spans="2:31" s="28" customFormat="1" ht="15" customHeight="1" x14ac:dyDescent="0.25">
      <c r="B446" s="520"/>
      <c r="C446" s="23"/>
      <c r="D446" s="23"/>
      <c r="E446" s="24"/>
      <c r="H446" s="23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</row>
    <row r="447" spans="2:31" s="28" customFormat="1" ht="15" customHeight="1" x14ac:dyDescent="0.25">
      <c r="B447" s="520"/>
      <c r="C447" s="23"/>
      <c r="D447" s="23"/>
      <c r="E447" s="24"/>
      <c r="H447" s="23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</row>
    <row r="448" spans="2:31" s="28" customFormat="1" ht="15" customHeight="1" x14ac:dyDescent="0.25">
      <c r="B448" s="520"/>
      <c r="C448" s="23"/>
      <c r="D448" s="23"/>
      <c r="E448" s="24"/>
      <c r="H448" s="23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</row>
    <row r="449" spans="2:31" s="28" customFormat="1" ht="15" customHeight="1" x14ac:dyDescent="0.25">
      <c r="B449" s="520"/>
      <c r="C449" s="23"/>
      <c r="D449" s="23"/>
      <c r="E449" s="24"/>
      <c r="H449" s="23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</row>
    <row r="450" spans="2:31" s="28" customFormat="1" ht="15" customHeight="1" x14ac:dyDescent="0.25">
      <c r="B450" s="520"/>
      <c r="C450" s="23"/>
      <c r="D450" s="23"/>
      <c r="E450" s="24"/>
      <c r="H450" s="23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</row>
    <row r="451" spans="2:31" s="28" customFormat="1" ht="15" customHeight="1" x14ac:dyDescent="0.25">
      <c r="B451" s="520"/>
      <c r="C451" s="23"/>
      <c r="D451" s="23"/>
      <c r="E451" s="24"/>
      <c r="H451" s="23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</row>
    <row r="452" spans="2:31" s="28" customFormat="1" ht="15" customHeight="1" x14ac:dyDescent="0.25">
      <c r="B452" s="520"/>
      <c r="C452" s="23"/>
      <c r="D452" s="23"/>
      <c r="E452" s="24"/>
      <c r="H452" s="23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</row>
    <row r="453" spans="2:31" s="28" customFormat="1" ht="15" customHeight="1" x14ac:dyDescent="0.25">
      <c r="B453" s="520"/>
      <c r="C453" s="23"/>
      <c r="D453" s="23"/>
      <c r="E453" s="24"/>
      <c r="H453" s="23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</row>
    <row r="454" spans="2:31" s="28" customFormat="1" ht="15" customHeight="1" x14ac:dyDescent="0.25">
      <c r="B454" s="520"/>
      <c r="C454" s="23"/>
      <c r="D454" s="23"/>
      <c r="E454" s="24"/>
      <c r="H454" s="23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</row>
    <row r="455" spans="2:31" s="28" customFormat="1" ht="15" customHeight="1" x14ac:dyDescent="0.25">
      <c r="B455" s="520"/>
      <c r="C455" s="23"/>
      <c r="D455" s="23"/>
      <c r="E455" s="24"/>
      <c r="H455" s="23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</row>
    <row r="456" spans="2:31" s="28" customFormat="1" ht="15" customHeight="1" x14ac:dyDescent="0.25">
      <c r="B456" s="520"/>
      <c r="C456" s="23"/>
      <c r="D456" s="23"/>
      <c r="E456" s="24"/>
      <c r="H456" s="23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</row>
    <row r="457" spans="2:31" s="28" customFormat="1" ht="15" customHeight="1" x14ac:dyDescent="0.25">
      <c r="B457" s="520"/>
      <c r="C457" s="23"/>
      <c r="D457" s="23"/>
      <c r="E457" s="24"/>
      <c r="H457" s="23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</row>
    <row r="458" spans="2:31" s="28" customFormat="1" ht="15" customHeight="1" x14ac:dyDescent="0.25">
      <c r="B458" s="520"/>
      <c r="C458" s="23"/>
      <c r="D458" s="23"/>
      <c r="E458" s="24"/>
      <c r="H458" s="23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</row>
    <row r="459" spans="2:31" s="28" customFormat="1" ht="15" customHeight="1" x14ac:dyDescent="0.25">
      <c r="B459" s="520"/>
      <c r="C459" s="23"/>
      <c r="D459" s="23"/>
      <c r="E459" s="24"/>
      <c r="H459" s="23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</row>
    <row r="460" spans="2:31" s="28" customFormat="1" ht="15" customHeight="1" x14ac:dyDescent="0.25">
      <c r="B460" s="520"/>
      <c r="C460" s="23"/>
      <c r="D460" s="23"/>
      <c r="E460" s="24"/>
      <c r="H460" s="23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</row>
    <row r="461" spans="2:31" s="28" customFormat="1" ht="15" customHeight="1" x14ac:dyDescent="0.25">
      <c r="B461" s="520"/>
      <c r="C461" s="23"/>
      <c r="D461" s="23"/>
      <c r="E461" s="24"/>
      <c r="H461" s="23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</row>
    <row r="462" spans="2:31" s="28" customFormat="1" ht="15" customHeight="1" x14ac:dyDescent="0.25">
      <c r="B462" s="520"/>
      <c r="C462" s="23"/>
      <c r="D462" s="23"/>
      <c r="E462" s="24"/>
      <c r="H462" s="23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</row>
    <row r="463" spans="2:31" s="28" customFormat="1" ht="15" customHeight="1" x14ac:dyDescent="0.25">
      <c r="B463" s="520"/>
      <c r="C463" s="23"/>
      <c r="D463" s="23"/>
      <c r="E463" s="24"/>
      <c r="H463" s="23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</row>
    <row r="464" spans="2:31" s="28" customFormat="1" ht="15" customHeight="1" x14ac:dyDescent="0.25">
      <c r="B464" s="520"/>
      <c r="C464" s="23"/>
      <c r="D464" s="23"/>
      <c r="E464" s="24"/>
      <c r="H464" s="23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</row>
    <row r="465" spans="2:31" s="28" customFormat="1" ht="15" customHeight="1" x14ac:dyDescent="0.25">
      <c r="B465" s="520"/>
      <c r="C465" s="23"/>
      <c r="D465" s="23"/>
      <c r="E465" s="24"/>
      <c r="H465" s="23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</row>
    <row r="466" spans="2:31" s="28" customFormat="1" ht="15" customHeight="1" x14ac:dyDescent="0.25">
      <c r="B466" s="520"/>
      <c r="C466" s="23"/>
      <c r="D466" s="23"/>
      <c r="E466" s="24"/>
      <c r="H466" s="23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  <c r="AE466" s="55"/>
    </row>
    <row r="467" spans="2:31" s="28" customFormat="1" ht="15" customHeight="1" x14ac:dyDescent="0.25">
      <c r="B467" s="520"/>
      <c r="C467" s="23"/>
      <c r="D467" s="23"/>
      <c r="E467" s="24"/>
      <c r="H467" s="23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</row>
    <row r="468" spans="2:31" s="28" customFormat="1" ht="15" customHeight="1" x14ac:dyDescent="0.25">
      <c r="B468" s="520"/>
      <c r="C468" s="23"/>
      <c r="D468" s="23"/>
      <c r="E468" s="24"/>
      <c r="H468" s="23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</row>
    <row r="469" spans="2:31" s="28" customFormat="1" ht="15" customHeight="1" x14ac:dyDescent="0.25">
      <c r="B469" s="520"/>
      <c r="C469" s="23"/>
      <c r="D469" s="23"/>
      <c r="E469" s="24"/>
      <c r="H469" s="23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</row>
    <row r="470" spans="2:31" s="28" customFormat="1" ht="15" customHeight="1" x14ac:dyDescent="0.25">
      <c r="B470" s="520"/>
      <c r="C470" s="23"/>
      <c r="D470" s="23"/>
      <c r="E470" s="24"/>
      <c r="H470" s="23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</row>
    <row r="471" spans="2:31" s="28" customFormat="1" ht="15" customHeight="1" x14ac:dyDescent="0.25">
      <c r="B471" s="520"/>
      <c r="C471" s="23"/>
      <c r="D471" s="23"/>
      <c r="E471" s="24"/>
      <c r="H471" s="23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</row>
    <row r="472" spans="2:31" s="28" customFormat="1" ht="15" customHeight="1" x14ac:dyDescent="0.25">
      <c r="B472" s="520"/>
      <c r="C472" s="23"/>
      <c r="D472" s="23"/>
      <c r="E472" s="24"/>
      <c r="H472" s="23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</row>
    <row r="473" spans="2:31" s="28" customFormat="1" ht="15" customHeight="1" x14ac:dyDescent="0.25">
      <c r="B473" s="520"/>
      <c r="C473" s="23"/>
      <c r="D473" s="23"/>
      <c r="E473" s="24"/>
      <c r="H473" s="23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</row>
    <row r="474" spans="2:31" s="28" customFormat="1" ht="15" customHeight="1" x14ac:dyDescent="0.25">
      <c r="B474" s="520"/>
      <c r="C474" s="23"/>
      <c r="D474" s="23"/>
      <c r="E474" s="24"/>
      <c r="H474" s="23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</row>
    <row r="475" spans="2:31" s="28" customFormat="1" ht="15" customHeight="1" x14ac:dyDescent="0.25">
      <c r="B475" s="520"/>
      <c r="C475" s="23"/>
      <c r="D475" s="23"/>
      <c r="E475" s="24"/>
      <c r="H475" s="23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</row>
    <row r="476" spans="2:31" s="28" customFormat="1" ht="15" customHeight="1" x14ac:dyDescent="0.25">
      <c r="B476" s="520"/>
      <c r="C476" s="23"/>
      <c r="D476" s="23"/>
      <c r="E476" s="24"/>
      <c r="H476" s="23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</row>
    <row r="477" spans="2:31" s="28" customFormat="1" ht="15" customHeight="1" x14ac:dyDescent="0.25">
      <c r="B477" s="520"/>
      <c r="C477" s="23"/>
      <c r="D477" s="23"/>
      <c r="E477" s="24"/>
      <c r="H477" s="23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</row>
    <row r="478" spans="2:31" s="28" customFormat="1" ht="15" customHeight="1" x14ac:dyDescent="0.25">
      <c r="B478" s="520"/>
      <c r="C478" s="23"/>
      <c r="D478" s="23"/>
      <c r="E478" s="24"/>
      <c r="H478" s="23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</row>
    <row r="479" spans="2:31" s="28" customFormat="1" ht="15" customHeight="1" x14ac:dyDescent="0.25">
      <c r="B479" s="520"/>
      <c r="C479" s="23"/>
      <c r="D479" s="23"/>
      <c r="E479" s="24"/>
      <c r="H479" s="23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</row>
    <row r="480" spans="2:31" s="28" customFormat="1" ht="15" customHeight="1" x14ac:dyDescent="0.25">
      <c r="B480" s="520"/>
      <c r="C480" s="23"/>
      <c r="D480" s="23"/>
      <c r="E480" s="24"/>
      <c r="H480" s="23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</row>
    <row r="481" spans="2:31" s="28" customFormat="1" ht="15" customHeight="1" x14ac:dyDescent="0.25">
      <c r="B481" s="520"/>
      <c r="C481" s="23"/>
      <c r="D481" s="23"/>
      <c r="E481" s="24"/>
      <c r="H481" s="23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</row>
    <row r="482" spans="2:31" s="28" customFormat="1" ht="15" customHeight="1" x14ac:dyDescent="0.25">
      <c r="B482" s="520"/>
      <c r="C482" s="23"/>
      <c r="D482" s="23"/>
      <c r="E482" s="24"/>
      <c r="H482" s="23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</row>
    <row r="483" spans="2:31" s="28" customFormat="1" ht="15" customHeight="1" x14ac:dyDescent="0.25">
      <c r="B483" s="520"/>
      <c r="C483" s="23"/>
      <c r="D483" s="23"/>
      <c r="E483" s="24"/>
      <c r="H483" s="23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</row>
    <row r="484" spans="2:31" s="28" customFormat="1" ht="15" customHeight="1" x14ac:dyDescent="0.25">
      <c r="B484" s="520"/>
      <c r="C484" s="23"/>
      <c r="D484" s="23"/>
      <c r="E484" s="24"/>
      <c r="H484" s="23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</row>
    <row r="485" spans="2:31" s="28" customFormat="1" ht="15" customHeight="1" x14ac:dyDescent="0.25">
      <c r="B485" s="520"/>
      <c r="C485" s="23"/>
      <c r="D485" s="23"/>
      <c r="E485" s="24"/>
      <c r="H485" s="23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</row>
    <row r="486" spans="2:31" s="28" customFormat="1" ht="15" customHeight="1" x14ac:dyDescent="0.25">
      <c r="B486" s="520"/>
      <c r="C486" s="23"/>
      <c r="D486" s="23"/>
      <c r="E486" s="24"/>
      <c r="H486" s="23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</row>
    <row r="487" spans="2:31" s="28" customFormat="1" ht="15" customHeight="1" x14ac:dyDescent="0.25">
      <c r="B487" s="520"/>
      <c r="C487" s="23"/>
      <c r="D487" s="23"/>
      <c r="E487" s="24"/>
      <c r="H487" s="23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</row>
    <row r="488" spans="2:31" s="28" customFormat="1" ht="15" customHeight="1" x14ac:dyDescent="0.25">
      <c r="B488" s="520"/>
      <c r="C488" s="23"/>
      <c r="D488" s="23"/>
      <c r="E488" s="24"/>
      <c r="H488" s="23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</row>
    <row r="489" spans="2:31" s="28" customFormat="1" ht="15" customHeight="1" x14ac:dyDescent="0.25">
      <c r="B489" s="520"/>
      <c r="C489" s="23"/>
      <c r="D489" s="23"/>
      <c r="E489" s="24"/>
      <c r="H489" s="23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</row>
    <row r="490" spans="2:31" s="28" customFormat="1" ht="15" customHeight="1" x14ac:dyDescent="0.25">
      <c r="B490" s="520"/>
      <c r="C490" s="23"/>
      <c r="D490" s="23"/>
      <c r="E490" s="24"/>
      <c r="H490" s="23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</row>
    <row r="491" spans="2:31" s="28" customFormat="1" ht="15" customHeight="1" x14ac:dyDescent="0.25">
      <c r="B491" s="520"/>
      <c r="C491" s="23"/>
      <c r="D491" s="23"/>
      <c r="E491" s="24"/>
      <c r="H491" s="23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</row>
    <row r="492" spans="2:31" s="28" customFormat="1" ht="15" customHeight="1" x14ac:dyDescent="0.25">
      <c r="B492" s="520"/>
      <c r="C492" s="23"/>
      <c r="D492" s="23"/>
      <c r="E492" s="24"/>
      <c r="H492" s="23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</row>
    <row r="493" spans="2:31" s="28" customFormat="1" ht="15" customHeight="1" x14ac:dyDescent="0.25">
      <c r="B493" s="520"/>
      <c r="C493" s="23"/>
      <c r="D493" s="23"/>
      <c r="E493" s="24"/>
      <c r="H493" s="23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</row>
    <row r="494" spans="2:31" s="28" customFormat="1" ht="15" customHeight="1" x14ac:dyDescent="0.25">
      <c r="B494" s="520"/>
      <c r="C494" s="23"/>
      <c r="D494" s="23"/>
      <c r="E494" s="24"/>
      <c r="H494" s="23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</row>
    <row r="495" spans="2:31" s="28" customFormat="1" ht="15" customHeight="1" x14ac:dyDescent="0.25">
      <c r="B495" s="520"/>
      <c r="C495" s="23"/>
      <c r="D495" s="23"/>
      <c r="E495" s="24"/>
      <c r="H495" s="23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</row>
    <row r="496" spans="2:31" s="28" customFormat="1" ht="15" customHeight="1" x14ac:dyDescent="0.25">
      <c r="B496" s="520"/>
      <c r="C496" s="23"/>
      <c r="D496" s="23"/>
      <c r="E496" s="24"/>
      <c r="H496" s="23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</row>
    <row r="497" spans="2:31" s="28" customFormat="1" ht="15" customHeight="1" x14ac:dyDescent="0.25">
      <c r="B497" s="520"/>
      <c r="C497" s="23"/>
      <c r="D497" s="23"/>
      <c r="E497" s="24"/>
      <c r="H497" s="23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</row>
    <row r="498" spans="2:31" s="28" customFormat="1" ht="15" customHeight="1" x14ac:dyDescent="0.25">
      <c r="B498" s="520"/>
      <c r="C498" s="23"/>
      <c r="D498" s="23"/>
      <c r="E498" s="24"/>
      <c r="H498" s="23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</row>
    <row r="499" spans="2:31" s="28" customFormat="1" ht="15" customHeight="1" x14ac:dyDescent="0.25">
      <c r="B499" s="520"/>
      <c r="C499" s="23"/>
      <c r="D499" s="23"/>
      <c r="E499" s="24"/>
      <c r="H499" s="23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</row>
    <row r="500" spans="2:31" s="28" customFormat="1" ht="15" customHeight="1" x14ac:dyDescent="0.25">
      <c r="B500" s="520"/>
      <c r="C500" s="23"/>
      <c r="D500" s="23"/>
      <c r="E500" s="24"/>
      <c r="H500" s="23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</row>
    <row r="501" spans="2:31" s="28" customFormat="1" ht="15" customHeight="1" x14ac:dyDescent="0.25">
      <c r="B501" s="520"/>
      <c r="C501" s="23"/>
      <c r="D501" s="23"/>
      <c r="E501" s="24"/>
      <c r="H501" s="23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</row>
    <row r="502" spans="2:31" s="28" customFormat="1" ht="15" customHeight="1" x14ac:dyDescent="0.25">
      <c r="B502" s="520"/>
      <c r="C502" s="23"/>
      <c r="D502" s="23"/>
      <c r="E502" s="24"/>
      <c r="H502" s="23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</row>
    <row r="503" spans="2:31" s="28" customFormat="1" ht="15" customHeight="1" x14ac:dyDescent="0.25">
      <c r="B503" s="520"/>
      <c r="C503" s="23"/>
      <c r="D503" s="23"/>
      <c r="E503" s="24"/>
      <c r="H503" s="23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</row>
    <row r="504" spans="2:31" s="28" customFormat="1" ht="15" customHeight="1" x14ac:dyDescent="0.25">
      <c r="B504" s="520"/>
      <c r="C504" s="23"/>
      <c r="D504" s="23"/>
      <c r="E504" s="24"/>
      <c r="H504" s="23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</row>
    <row r="505" spans="2:31" s="28" customFormat="1" ht="15" customHeight="1" x14ac:dyDescent="0.25">
      <c r="B505" s="520"/>
      <c r="C505" s="23"/>
      <c r="D505" s="23"/>
      <c r="E505" s="24"/>
      <c r="H505" s="23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  <c r="AE505" s="55"/>
    </row>
    <row r="506" spans="2:31" s="28" customFormat="1" ht="15" customHeight="1" x14ac:dyDescent="0.25">
      <c r="B506" s="520"/>
      <c r="C506" s="23"/>
      <c r="D506" s="23"/>
      <c r="E506" s="24"/>
      <c r="H506" s="23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</row>
    <row r="507" spans="2:31" s="28" customFormat="1" ht="15" customHeight="1" x14ac:dyDescent="0.25">
      <c r="B507" s="520"/>
      <c r="C507" s="23"/>
      <c r="D507" s="23"/>
      <c r="E507" s="24"/>
      <c r="H507" s="23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</row>
    <row r="508" spans="2:31" s="28" customFormat="1" ht="15" customHeight="1" x14ac:dyDescent="0.25">
      <c r="B508" s="520"/>
      <c r="C508" s="23"/>
      <c r="D508" s="23"/>
      <c r="E508" s="24"/>
      <c r="H508" s="23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</row>
    <row r="509" spans="2:31" s="28" customFormat="1" ht="15" customHeight="1" x14ac:dyDescent="0.25">
      <c r="B509" s="520"/>
      <c r="C509" s="23"/>
      <c r="D509" s="23"/>
      <c r="E509" s="24"/>
      <c r="H509" s="23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</row>
    <row r="510" spans="2:31" s="28" customFormat="1" ht="15" customHeight="1" x14ac:dyDescent="0.25">
      <c r="B510" s="520"/>
      <c r="C510" s="23"/>
      <c r="D510" s="23"/>
      <c r="E510" s="24"/>
      <c r="H510" s="23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</row>
    <row r="511" spans="2:31" s="28" customFormat="1" ht="15" customHeight="1" x14ac:dyDescent="0.25">
      <c r="B511" s="520"/>
      <c r="C511" s="23"/>
      <c r="D511" s="23"/>
      <c r="E511" s="24"/>
      <c r="H511" s="23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</row>
    <row r="512" spans="2:31" s="28" customFormat="1" ht="15" customHeight="1" x14ac:dyDescent="0.25">
      <c r="B512" s="520"/>
      <c r="C512" s="23"/>
      <c r="D512" s="23"/>
      <c r="E512" s="24"/>
      <c r="H512" s="23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</row>
    <row r="513" spans="2:31" s="28" customFormat="1" ht="15" customHeight="1" x14ac:dyDescent="0.25">
      <c r="B513" s="520"/>
      <c r="C513" s="23"/>
      <c r="D513" s="23"/>
      <c r="E513" s="24"/>
      <c r="H513" s="23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</row>
    <row r="514" spans="2:31" s="28" customFormat="1" ht="15" customHeight="1" x14ac:dyDescent="0.25">
      <c r="B514" s="520"/>
      <c r="C514" s="23"/>
      <c r="D514" s="23"/>
      <c r="E514" s="24"/>
      <c r="H514" s="23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</row>
    <row r="515" spans="2:31" s="28" customFormat="1" ht="15" customHeight="1" x14ac:dyDescent="0.25">
      <c r="B515" s="520"/>
      <c r="C515" s="23"/>
      <c r="D515" s="23"/>
      <c r="E515" s="24"/>
      <c r="H515" s="23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</row>
    <row r="516" spans="2:31" s="28" customFormat="1" ht="15" customHeight="1" x14ac:dyDescent="0.25">
      <c r="B516" s="520"/>
      <c r="C516" s="23"/>
      <c r="D516" s="23"/>
      <c r="E516" s="24"/>
      <c r="H516" s="23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</row>
    <row r="517" spans="2:31" s="28" customFormat="1" ht="15" customHeight="1" x14ac:dyDescent="0.25">
      <c r="B517" s="520"/>
      <c r="C517" s="23"/>
      <c r="D517" s="23"/>
      <c r="E517" s="24"/>
      <c r="H517" s="23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</row>
    <row r="518" spans="2:31" s="28" customFormat="1" ht="15" customHeight="1" x14ac:dyDescent="0.25">
      <c r="B518" s="520"/>
      <c r="C518" s="23"/>
      <c r="D518" s="23"/>
      <c r="E518" s="24"/>
      <c r="H518" s="23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</row>
    <row r="519" spans="2:31" s="28" customFormat="1" ht="15" customHeight="1" x14ac:dyDescent="0.25">
      <c r="B519" s="520"/>
      <c r="C519" s="23"/>
      <c r="D519" s="23"/>
      <c r="E519" s="24"/>
      <c r="H519" s="23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</row>
    <row r="520" spans="2:31" s="28" customFormat="1" ht="15" customHeight="1" x14ac:dyDescent="0.25">
      <c r="B520" s="520"/>
      <c r="C520" s="23"/>
      <c r="D520" s="23"/>
      <c r="E520" s="24"/>
      <c r="H520" s="23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</row>
    <row r="521" spans="2:31" s="28" customFormat="1" ht="15" customHeight="1" x14ac:dyDescent="0.25">
      <c r="B521" s="520"/>
      <c r="C521" s="23"/>
      <c r="D521" s="23"/>
      <c r="E521" s="24"/>
      <c r="H521" s="23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</row>
    <row r="522" spans="2:31" s="28" customFormat="1" ht="15" customHeight="1" x14ac:dyDescent="0.25">
      <c r="B522" s="520"/>
      <c r="C522" s="23"/>
      <c r="D522" s="23"/>
      <c r="E522" s="24"/>
      <c r="H522" s="23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</row>
    <row r="523" spans="2:31" s="28" customFormat="1" ht="15" customHeight="1" x14ac:dyDescent="0.25">
      <c r="B523" s="520"/>
      <c r="C523" s="23"/>
      <c r="D523" s="23"/>
      <c r="E523" s="24"/>
      <c r="H523" s="23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</row>
    <row r="524" spans="2:31" s="28" customFormat="1" ht="15" customHeight="1" x14ac:dyDescent="0.25">
      <c r="B524" s="520"/>
      <c r="C524" s="23"/>
      <c r="D524" s="23"/>
      <c r="E524" s="24"/>
      <c r="H524" s="23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</row>
    <row r="525" spans="2:31" s="28" customFormat="1" ht="15" customHeight="1" x14ac:dyDescent="0.25">
      <c r="B525" s="520"/>
      <c r="C525" s="23"/>
      <c r="D525" s="23"/>
      <c r="E525" s="24"/>
      <c r="H525" s="23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</row>
    <row r="526" spans="2:31" s="28" customFormat="1" ht="15" customHeight="1" x14ac:dyDescent="0.25">
      <c r="B526" s="520"/>
      <c r="C526" s="23"/>
      <c r="D526" s="23"/>
      <c r="E526" s="24"/>
      <c r="H526" s="23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</row>
    <row r="527" spans="2:31" s="28" customFormat="1" ht="15" customHeight="1" x14ac:dyDescent="0.25">
      <c r="B527" s="520"/>
      <c r="C527" s="23"/>
      <c r="D527" s="23"/>
      <c r="E527" s="24"/>
      <c r="H527" s="23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</row>
    <row r="528" spans="2:31" s="28" customFormat="1" ht="15" customHeight="1" x14ac:dyDescent="0.25">
      <c r="B528" s="520"/>
      <c r="C528" s="23"/>
      <c r="D528" s="23"/>
      <c r="E528" s="24"/>
      <c r="H528" s="23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</row>
    <row r="529" spans="2:31" s="28" customFormat="1" ht="15" customHeight="1" x14ac:dyDescent="0.25">
      <c r="B529" s="520"/>
      <c r="C529" s="23"/>
      <c r="D529" s="23"/>
      <c r="E529" s="24"/>
      <c r="H529" s="23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</row>
    <row r="530" spans="2:31" s="28" customFormat="1" ht="15" customHeight="1" x14ac:dyDescent="0.25">
      <c r="B530" s="520"/>
      <c r="C530" s="23"/>
      <c r="D530" s="23"/>
      <c r="E530" s="24"/>
      <c r="H530" s="23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</row>
    <row r="531" spans="2:31" s="28" customFormat="1" ht="15" customHeight="1" x14ac:dyDescent="0.25">
      <c r="B531" s="520"/>
      <c r="C531" s="23"/>
      <c r="D531" s="23"/>
      <c r="E531" s="24"/>
      <c r="H531" s="23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</row>
    <row r="532" spans="2:31" s="28" customFormat="1" ht="15" customHeight="1" x14ac:dyDescent="0.25">
      <c r="B532" s="520"/>
      <c r="C532" s="23"/>
      <c r="D532" s="23"/>
      <c r="E532" s="24"/>
      <c r="H532" s="23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</row>
    <row r="533" spans="2:31" s="28" customFormat="1" ht="15" customHeight="1" x14ac:dyDescent="0.25">
      <c r="B533" s="520"/>
      <c r="C533" s="23"/>
      <c r="D533" s="23"/>
      <c r="E533" s="24"/>
      <c r="H533" s="23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</row>
    <row r="534" spans="2:31" s="28" customFormat="1" ht="15" customHeight="1" x14ac:dyDescent="0.25">
      <c r="B534" s="520"/>
      <c r="C534" s="23"/>
      <c r="D534" s="23"/>
      <c r="E534" s="24"/>
      <c r="H534" s="23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</row>
    <row r="535" spans="2:31" s="28" customFormat="1" ht="15" customHeight="1" x14ac:dyDescent="0.25">
      <c r="B535" s="520"/>
      <c r="C535" s="23"/>
      <c r="D535" s="23"/>
      <c r="E535" s="24"/>
      <c r="H535" s="23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</row>
    <row r="536" spans="2:31" s="28" customFormat="1" ht="15" customHeight="1" x14ac:dyDescent="0.25">
      <c r="B536" s="520"/>
      <c r="C536" s="23"/>
      <c r="D536" s="23"/>
      <c r="E536" s="24"/>
      <c r="H536" s="23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</row>
    <row r="537" spans="2:31" s="28" customFormat="1" ht="15" customHeight="1" x14ac:dyDescent="0.25">
      <c r="B537" s="520"/>
      <c r="C537" s="23"/>
      <c r="D537" s="23"/>
      <c r="E537" s="24"/>
      <c r="H537" s="23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</row>
    <row r="538" spans="2:31" s="28" customFormat="1" ht="15" customHeight="1" x14ac:dyDescent="0.25">
      <c r="B538" s="520"/>
      <c r="C538" s="23"/>
      <c r="D538" s="23"/>
      <c r="E538" s="24"/>
      <c r="H538" s="23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</row>
    <row r="539" spans="2:31" s="28" customFormat="1" ht="15" customHeight="1" x14ac:dyDescent="0.25">
      <c r="B539" s="520"/>
      <c r="C539" s="23"/>
      <c r="D539" s="23"/>
      <c r="E539" s="24"/>
      <c r="H539" s="23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</row>
    <row r="540" spans="2:31" s="28" customFormat="1" ht="15" customHeight="1" x14ac:dyDescent="0.25">
      <c r="B540" s="520"/>
      <c r="C540" s="23"/>
      <c r="D540" s="23"/>
      <c r="E540" s="24"/>
      <c r="H540" s="23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</row>
    <row r="541" spans="2:31" s="28" customFormat="1" ht="15" customHeight="1" x14ac:dyDescent="0.25">
      <c r="B541" s="520"/>
      <c r="C541" s="23"/>
      <c r="D541" s="23"/>
      <c r="E541" s="24"/>
      <c r="H541" s="23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</row>
    <row r="542" spans="2:31" s="28" customFormat="1" ht="15" customHeight="1" x14ac:dyDescent="0.25">
      <c r="B542" s="520"/>
      <c r="C542" s="23"/>
      <c r="D542" s="23"/>
      <c r="E542" s="24"/>
      <c r="H542" s="23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</row>
    <row r="543" spans="2:31" s="28" customFormat="1" ht="15" customHeight="1" x14ac:dyDescent="0.25">
      <c r="B543" s="520"/>
      <c r="C543" s="23"/>
      <c r="D543" s="23"/>
      <c r="E543" s="24"/>
      <c r="H543" s="23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</row>
    <row r="544" spans="2:31" s="28" customFormat="1" ht="15" customHeight="1" x14ac:dyDescent="0.25">
      <c r="B544" s="520"/>
      <c r="C544" s="23"/>
      <c r="D544" s="23"/>
      <c r="E544" s="24"/>
      <c r="H544" s="23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</row>
    <row r="545" spans="2:31" s="28" customFormat="1" ht="15" customHeight="1" x14ac:dyDescent="0.25">
      <c r="B545" s="520"/>
      <c r="C545" s="23"/>
      <c r="D545" s="23"/>
      <c r="E545" s="24"/>
      <c r="H545" s="23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</row>
    <row r="546" spans="2:31" s="28" customFormat="1" ht="15" customHeight="1" x14ac:dyDescent="0.25">
      <c r="B546" s="520"/>
      <c r="C546" s="23"/>
      <c r="D546" s="23"/>
      <c r="E546" s="24"/>
      <c r="H546" s="23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</row>
    <row r="547" spans="2:31" s="28" customFormat="1" ht="15" customHeight="1" x14ac:dyDescent="0.25">
      <c r="B547" s="520"/>
      <c r="C547" s="23"/>
      <c r="D547" s="23"/>
      <c r="E547" s="24"/>
      <c r="H547" s="23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</row>
    <row r="548" spans="2:31" s="28" customFormat="1" ht="15" customHeight="1" x14ac:dyDescent="0.25">
      <c r="B548" s="520"/>
      <c r="C548" s="23"/>
      <c r="D548" s="23"/>
      <c r="E548" s="24"/>
      <c r="H548" s="23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</row>
    <row r="549" spans="2:31" s="28" customFormat="1" ht="15" customHeight="1" x14ac:dyDescent="0.25">
      <c r="B549" s="520"/>
      <c r="C549" s="23"/>
      <c r="D549" s="23"/>
      <c r="E549" s="24"/>
      <c r="H549" s="23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</row>
    <row r="550" spans="2:31" s="28" customFormat="1" ht="15" customHeight="1" x14ac:dyDescent="0.25">
      <c r="B550" s="520"/>
      <c r="C550" s="23"/>
      <c r="D550" s="23"/>
      <c r="E550" s="24"/>
      <c r="H550" s="23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</row>
    <row r="551" spans="2:31" s="28" customFormat="1" ht="15" customHeight="1" x14ac:dyDescent="0.25">
      <c r="B551" s="520"/>
      <c r="C551" s="23"/>
      <c r="D551" s="23"/>
      <c r="E551" s="24"/>
      <c r="H551" s="23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</row>
    <row r="552" spans="2:31" s="28" customFormat="1" ht="15" customHeight="1" x14ac:dyDescent="0.25">
      <c r="B552" s="520"/>
      <c r="C552" s="23"/>
      <c r="D552" s="23"/>
      <c r="E552" s="24"/>
      <c r="H552" s="23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</row>
    <row r="553" spans="2:31" s="28" customFormat="1" ht="15" customHeight="1" x14ac:dyDescent="0.25">
      <c r="B553" s="520"/>
      <c r="C553" s="23"/>
      <c r="D553" s="23"/>
      <c r="E553" s="24"/>
      <c r="H553" s="23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</row>
    <row r="554" spans="2:31" s="28" customFormat="1" ht="15" customHeight="1" x14ac:dyDescent="0.25">
      <c r="B554" s="520"/>
      <c r="C554" s="23"/>
      <c r="D554" s="23"/>
      <c r="E554" s="24"/>
      <c r="H554" s="23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</row>
    <row r="555" spans="2:31" s="28" customFormat="1" ht="15" customHeight="1" x14ac:dyDescent="0.25">
      <c r="B555" s="520"/>
      <c r="C555" s="23"/>
      <c r="D555" s="23"/>
      <c r="E555" s="24"/>
      <c r="H555" s="23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</row>
    <row r="556" spans="2:31" s="28" customFormat="1" ht="15" customHeight="1" x14ac:dyDescent="0.25">
      <c r="B556" s="520"/>
      <c r="C556" s="23"/>
      <c r="D556" s="23"/>
      <c r="E556" s="24"/>
      <c r="H556" s="23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</row>
    <row r="557" spans="2:31" s="28" customFormat="1" ht="15" customHeight="1" x14ac:dyDescent="0.25">
      <c r="B557" s="520"/>
      <c r="C557" s="23"/>
      <c r="D557" s="23"/>
      <c r="E557" s="24"/>
      <c r="H557" s="23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</row>
    <row r="558" spans="2:31" s="28" customFormat="1" ht="15" customHeight="1" x14ac:dyDescent="0.25">
      <c r="B558" s="520"/>
      <c r="C558" s="23"/>
      <c r="D558" s="23"/>
      <c r="E558" s="24"/>
      <c r="H558" s="23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</row>
    <row r="559" spans="2:31" s="28" customFormat="1" ht="15" customHeight="1" x14ac:dyDescent="0.25">
      <c r="B559" s="520"/>
      <c r="C559" s="23"/>
      <c r="D559" s="23"/>
      <c r="E559" s="24"/>
      <c r="H559" s="23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</row>
    <row r="560" spans="2:31" s="28" customFormat="1" ht="15" customHeight="1" x14ac:dyDescent="0.25">
      <c r="B560" s="520"/>
      <c r="C560" s="23"/>
      <c r="D560" s="23"/>
      <c r="E560" s="24"/>
      <c r="H560" s="23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</row>
    <row r="561" spans="2:31" s="28" customFormat="1" ht="15" customHeight="1" x14ac:dyDescent="0.25">
      <c r="B561" s="520"/>
      <c r="C561" s="23"/>
      <c r="D561" s="23"/>
      <c r="E561" s="24"/>
      <c r="H561" s="23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5"/>
      <c r="AE561" s="55"/>
    </row>
    <row r="562" spans="2:31" s="28" customFormat="1" ht="15" customHeight="1" x14ac:dyDescent="0.25">
      <c r="B562" s="520"/>
      <c r="C562" s="23"/>
      <c r="D562" s="23"/>
      <c r="E562" s="24"/>
      <c r="H562" s="23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  <c r="AE562" s="55"/>
    </row>
    <row r="563" spans="2:31" s="28" customFormat="1" ht="15" customHeight="1" x14ac:dyDescent="0.25">
      <c r="B563" s="520"/>
      <c r="C563" s="23"/>
      <c r="D563" s="23"/>
      <c r="E563" s="24"/>
      <c r="H563" s="23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</row>
    <row r="564" spans="2:31" s="28" customFormat="1" ht="15" customHeight="1" x14ac:dyDescent="0.25">
      <c r="B564" s="520"/>
      <c r="C564" s="23"/>
      <c r="D564" s="23"/>
      <c r="E564" s="24"/>
      <c r="H564" s="23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</row>
    <row r="565" spans="2:31" s="28" customFormat="1" ht="15" customHeight="1" x14ac:dyDescent="0.25">
      <c r="B565" s="520"/>
      <c r="C565" s="23"/>
      <c r="D565" s="23"/>
      <c r="E565" s="24"/>
      <c r="H565" s="23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</row>
    <row r="566" spans="2:31" s="28" customFormat="1" ht="15" customHeight="1" x14ac:dyDescent="0.25">
      <c r="B566" s="520"/>
      <c r="C566" s="23"/>
      <c r="D566" s="23"/>
      <c r="E566" s="24"/>
      <c r="H566" s="23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</row>
    <row r="567" spans="2:31" s="28" customFormat="1" ht="15" customHeight="1" x14ac:dyDescent="0.25">
      <c r="B567" s="520"/>
      <c r="C567" s="23"/>
      <c r="D567" s="23"/>
      <c r="E567" s="24"/>
      <c r="H567" s="23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</row>
    <row r="568" spans="2:31" s="28" customFormat="1" ht="15" customHeight="1" x14ac:dyDescent="0.25">
      <c r="B568" s="520"/>
      <c r="C568" s="23"/>
      <c r="D568" s="23"/>
      <c r="E568" s="24"/>
      <c r="H568" s="23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</row>
    <row r="569" spans="2:31" s="28" customFormat="1" ht="15" customHeight="1" x14ac:dyDescent="0.25">
      <c r="B569" s="520"/>
      <c r="C569" s="23"/>
      <c r="D569" s="23"/>
      <c r="E569" s="24"/>
      <c r="H569" s="23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</row>
    <row r="570" spans="2:31" s="28" customFormat="1" ht="15" customHeight="1" x14ac:dyDescent="0.25">
      <c r="B570" s="520"/>
      <c r="C570" s="23"/>
      <c r="D570" s="23"/>
      <c r="E570" s="24"/>
      <c r="H570" s="23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  <c r="AE570" s="55"/>
    </row>
    <row r="571" spans="2:31" s="28" customFormat="1" ht="15" customHeight="1" x14ac:dyDescent="0.25">
      <c r="B571" s="520"/>
      <c r="C571" s="23"/>
      <c r="D571" s="23"/>
      <c r="E571" s="24"/>
      <c r="H571" s="23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</row>
    <row r="572" spans="2:31" s="28" customFormat="1" ht="15" customHeight="1" x14ac:dyDescent="0.25">
      <c r="B572" s="520"/>
      <c r="C572" s="23"/>
      <c r="D572" s="23"/>
      <c r="E572" s="24"/>
      <c r="H572" s="23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</row>
    <row r="573" spans="2:31" s="28" customFormat="1" ht="15" customHeight="1" x14ac:dyDescent="0.25">
      <c r="B573" s="520"/>
      <c r="C573" s="23"/>
      <c r="D573" s="23"/>
      <c r="E573" s="24"/>
      <c r="H573" s="23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</row>
    <row r="574" spans="2:31" s="28" customFormat="1" ht="15" customHeight="1" x14ac:dyDescent="0.25">
      <c r="B574" s="520"/>
      <c r="C574" s="23"/>
      <c r="D574" s="23"/>
      <c r="E574" s="24"/>
      <c r="H574" s="23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5"/>
      <c r="AE574" s="55"/>
    </row>
    <row r="575" spans="2:31" s="28" customFormat="1" ht="15" customHeight="1" x14ac:dyDescent="0.25">
      <c r="B575" s="520"/>
      <c r="C575" s="23"/>
      <c r="D575" s="23"/>
      <c r="E575" s="24"/>
      <c r="H575" s="23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  <c r="AB575" s="55"/>
      <c r="AC575" s="55"/>
      <c r="AD575" s="55"/>
      <c r="AE575" s="55"/>
    </row>
    <row r="576" spans="2:31" s="28" customFormat="1" ht="15" customHeight="1" x14ac:dyDescent="0.25">
      <c r="B576" s="520"/>
      <c r="C576" s="23"/>
      <c r="D576" s="23"/>
      <c r="E576" s="24"/>
      <c r="H576" s="23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</row>
    <row r="577" spans="2:31" s="28" customFormat="1" ht="15" customHeight="1" x14ac:dyDescent="0.25">
      <c r="B577" s="520"/>
      <c r="C577" s="23"/>
      <c r="D577" s="23"/>
      <c r="E577" s="24"/>
      <c r="H577" s="23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</row>
    <row r="578" spans="2:31" s="28" customFormat="1" ht="15" customHeight="1" x14ac:dyDescent="0.25">
      <c r="B578" s="520"/>
      <c r="C578" s="23"/>
      <c r="D578" s="23"/>
      <c r="E578" s="24"/>
      <c r="H578" s="23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5"/>
      <c r="AE578" s="55"/>
    </row>
    <row r="579" spans="2:31" s="28" customFormat="1" ht="15" customHeight="1" x14ac:dyDescent="0.25">
      <c r="B579" s="520"/>
      <c r="C579" s="23"/>
      <c r="D579" s="23"/>
      <c r="E579" s="24"/>
      <c r="H579" s="23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</row>
    <row r="580" spans="2:31" s="28" customFormat="1" ht="15" customHeight="1" x14ac:dyDescent="0.25">
      <c r="B580" s="520"/>
      <c r="C580" s="23"/>
      <c r="D580" s="23"/>
      <c r="E580" s="24"/>
      <c r="H580" s="23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</row>
    <row r="581" spans="2:31" s="28" customFormat="1" ht="15" customHeight="1" x14ac:dyDescent="0.25">
      <c r="B581" s="520"/>
      <c r="C581" s="23"/>
      <c r="D581" s="23"/>
      <c r="E581" s="24"/>
      <c r="H581" s="23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</row>
    <row r="582" spans="2:31" s="28" customFormat="1" ht="15" customHeight="1" x14ac:dyDescent="0.25">
      <c r="B582" s="520"/>
      <c r="C582" s="23"/>
      <c r="D582" s="23"/>
      <c r="E582" s="24"/>
      <c r="H582" s="23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</row>
    <row r="583" spans="2:31" s="28" customFormat="1" ht="15" customHeight="1" x14ac:dyDescent="0.25">
      <c r="B583" s="520"/>
      <c r="C583" s="23"/>
      <c r="D583" s="23"/>
      <c r="E583" s="24"/>
      <c r="H583" s="23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</row>
    <row r="584" spans="2:31" s="28" customFormat="1" ht="15" customHeight="1" x14ac:dyDescent="0.25">
      <c r="B584" s="520"/>
      <c r="C584" s="23"/>
      <c r="D584" s="23"/>
      <c r="E584" s="24"/>
      <c r="H584" s="23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</row>
    <row r="585" spans="2:31" s="28" customFormat="1" ht="15" customHeight="1" x14ac:dyDescent="0.25">
      <c r="B585" s="520"/>
      <c r="C585" s="23"/>
      <c r="D585" s="23"/>
      <c r="E585" s="24"/>
      <c r="H585" s="23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</row>
    <row r="586" spans="2:31" s="28" customFormat="1" ht="15" customHeight="1" x14ac:dyDescent="0.25">
      <c r="B586" s="520"/>
      <c r="C586" s="23"/>
      <c r="D586" s="23"/>
      <c r="E586" s="24"/>
      <c r="H586" s="23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  <c r="AE586" s="55"/>
    </row>
    <row r="587" spans="2:31" s="28" customFormat="1" ht="15" customHeight="1" x14ac:dyDescent="0.25">
      <c r="B587" s="520"/>
      <c r="C587" s="23"/>
      <c r="D587" s="23"/>
      <c r="E587" s="24"/>
      <c r="H587" s="23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</row>
    <row r="588" spans="2:31" s="28" customFormat="1" ht="15" customHeight="1" x14ac:dyDescent="0.25">
      <c r="B588" s="520"/>
      <c r="C588" s="23"/>
      <c r="D588" s="23"/>
      <c r="E588" s="24"/>
      <c r="H588" s="23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</row>
    <row r="589" spans="2:31" s="28" customFormat="1" ht="15" customHeight="1" x14ac:dyDescent="0.25">
      <c r="B589" s="520"/>
      <c r="C589" s="23"/>
      <c r="D589" s="23"/>
      <c r="E589" s="24"/>
      <c r="H589" s="23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</row>
    <row r="590" spans="2:31" s="28" customFormat="1" ht="15" customHeight="1" x14ac:dyDescent="0.25">
      <c r="B590" s="520"/>
      <c r="C590" s="23"/>
      <c r="D590" s="23"/>
      <c r="E590" s="24"/>
      <c r="H590" s="23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</row>
    <row r="591" spans="2:31" s="28" customFormat="1" ht="15" customHeight="1" x14ac:dyDescent="0.25">
      <c r="B591" s="520"/>
      <c r="C591" s="23"/>
      <c r="D591" s="23"/>
      <c r="E591" s="24"/>
      <c r="H591" s="23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</row>
    <row r="592" spans="2:31" s="28" customFormat="1" ht="15" customHeight="1" x14ac:dyDescent="0.25">
      <c r="B592" s="520"/>
      <c r="C592" s="23"/>
      <c r="D592" s="23"/>
      <c r="E592" s="24"/>
      <c r="H592" s="23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  <c r="AE592" s="55"/>
    </row>
    <row r="593" spans="2:31" s="28" customFormat="1" ht="15" customHeight="1" x14ac:dyDescent="0.25">
      <c r="B593" s="520"/>
      <c r="C593" s="23"/>
      <c r="D593" s="23"/>
      <c r="E593" s="24"/>
      <c r="H593" s="23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</row>
    <row r="594" spans="2:31" s="28" customFormat="1" ht="15" customHeight="1" x14ac:dyDescent="0.25">
      <c r="B594" s="520"/>
      <c r="C594" s="23"/>
      <c r="D594" s="23"/>
      <c r="E594" s="24"/>
      <c r="H594" s="23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</row>
    <row r="595" spans="2:31" s="28" customFormat="1" ht="15" customHeight="1" x14ac:dyDescent="0.25">
      <c r="B595" s="520"/>
      <c r="C595" s="23"/>
      <c r="D595" s="23"/>
      <c r="E595" s="24"/>
      <c r="H595" s="23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</row>
    <row r="596" spans="2:31" s="28" customFormat="1" ht="15" customHeight="1" x14ac:dyDescent="0.25">
      <c r="B596" s="520"/>
      <c r="C596" s="23"/>
      <c r="D596" s="23"/>
      <c r="E596" s="24"/>
      <c r="H596" s="23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  <c r="AE596" s="55"/>
    </row>
    <row r="597" spans="2:31" s="28" customFormat="1" ht="15" customHeight="1" x14ac:dyDescent="0.25">
      <c r="B597" s="520"/>
      <c r="C597" s="23"/>
      <c r="D597" s="23"/>
      <c r="E597" s="24"/>
      <c r="H597" s="23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</row>
    <row r="598" spans="2:31" s="28" customFormat="1" ht="15" customHeight="1" x14ac:dyDescent="0.25">
      <c r="B598" s="520"/>
      <c r="C598" s="23"/>
      <c r="D598" s="23"/>
      <c r="E598" s="24"/>
      <c r="H598" s="23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</row>
    <row r="599" spans="2:31" s="28" customFormat="1" ht="15" customHeight="1" x14ac:dyDescent="0.25">
      <c r="B599" s="520"/>
      <c r="C599" s="23"/>
      <c r="D599" s="23"/>
      <c r="E599" s="24"/>
      <c r="H599" s="23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</row>
    <row r="600" spans="2:31" s="28" customFormat="1" ht="15" customHeight="1" x14ac:dyDescent="0.25">
      <c r="B600" s="520"/>
      <c r="C600" s="23"/>
      <c r="D600" s="23"/>
      <c r="E600" s="24"/>
      <c r="H600" s="23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</row>
    <row r="601" spans="2:31" s="28" customFormat="1" ht="15" customHeight="1" x14ac:dyDescent="0.25">
      <c r="B601" s="520"/>
      <c r="C601" s="23"/>
      <c r="D601" s="23"/>
      <c r="E601" s="24"/>
      <c r="H601" s="23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</row>
    <row r="602" spans="2:31" s="28" customFormat="1" ht="15" customHeight="1" x14ac:dyDescent="0.25">
      <c r="B602" s="520"/>
      <c r="C602" s="23"/>
      <c r="D602" s="23"/>
      <c r="E602" s="24"/>
      <c r="H602" s="23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</row>
    <row r="603" spans="2:31" s="28" customFormat="1" ht="15" customHeight="1" x14ac:dyDescent="0.25">
      <c r="B603" s="520"/>
      <c r="C603" s="23"/>
      <c r="D603" s="23"/>
      <c r="E603" s="24"/>
      <c r="H603" s="23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</row>
    <row r="604" spans="2:31" s="28" customFormat="1" ht="15" customHeight="1" x14ac:dyDescent="0.25">
      <c r="B604" s="520"/>
      <c r="C604" s="23"/>
      <c r="D604" s="23"/>
      <c r="E604" s="24"/>
      <c r="H604" s="23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</row>
    <row r="605" spans="2:31" s="28" customFormat="1" ht="15" customHeight="1" x14ac:dyDescent="0.25">
      <c r="B605" s="520"/>
      <c r="C605" s="23"/>
      <c r="D605" s="23"/>
      <c r="E605" s="24"/>
      <c r="H605" s="23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</row>
    <row r="606" spans="2:31" s="28" customFormat="1" ht="15" customHeight="1" x14ac:dyDescent="0.25">
      <c r="B606" s="520"/>
      <c r="C606" s="23"/>
      <c r="D606" s="23"/>
      <c r="E606" s="24"/>
      <c r="H606" s="23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</row>
    <row r="607" spans="2:31" s="28" customFormat="1" ht="15" customHeight="1" x14ac:dyDescent="0.25">
      <c r="B607" s="520"/>
      <c r="C607" s="23"/>
      <c r="D607" s="23"/>
      <c r="E607" s="24"/>
      <c r="H607" s="23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</row>
    <row r="608" spans="2:31" s="28" customFormat="1" ht="15" customHeight="1" x14ac:dyDescent="0.25">
      <c r="B608" s="520"/>
      <c r="C608" s="23"/>
      <c r="D608" s="23"/>
      <c r="E608" s="24"/>
      <c r="H608" s="23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</row>
    <row r="609" spans="2:31" s="28" customFormat="1" ht="15" customHeight="1" x14ac:dyDescent="0.25">
      <c r="B609" s="520"/>
      <c r="C609" s="23"/>
      <c r="D609" s="23"/>
      <c r="E609" s="24"/>
      <c r="H609" s="23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</row>
    <row r="610" spans="2:31" s="28" customFormat="1" ht="15" customHeight="1" x14ac:dyDescent="0.25">
      <c r="B610" s="520"/>
      <c r="C610" s="23"/>
      <c r="D610" s="23"/>
      <c r="E610" s="24"/>
      <c r="H610" s="23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</row>
    <row r="611" spans="2:31" s="28" customFormat="1" ht="15" customHeight="1" x14ac:dyDescent="0.25">
      <c r="B611" s="520"/>
      <c r="C611" s="23"/>
      <c r="D611" s="23"/>
      <c r="E611" s="24"/>
      <c r="H611" s="23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</row>
    <row r="612" spans="2:31" s="28" customFormat="1" ht="15" customHeight="1" x14ac:dyDescent="0.25">
      <c r="B612" s="520"/>
      <c r="C612" s="23"/>
      <c r="D612" s="23"/>
      <c r="E612" s="24"/>
      <c r="H612" s="23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</row>
    <row r="613" spans="2:31" s="28" customFormat="1" ht="15" customHeight="1" x14ac:dyDescent="0.25">
      <c r="B613" s="520"/>
      <c r="C613" s="23"/>
      <c r="D613" s="23"/>
      <c r="E613" s="24"/>
      <c r="H613" s="23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</row>
    <row r="614" spans="2:31" s="28" customFormat="1" ht="15" customHeight="1" x14ac:dyDescent="0.25">
      <c r="B614" s="520"/>
      <c r="C614" s="23"/>
      <c r="D614" s="23"/>
      <c r="E614" s="24"/>
      <c r="H614" s="23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</row>
    <row r="615" spans="2:31" s="28" customFormat="1" ht="15" customHeight="1" x14ac:dyDescent="0.25">
      <c r="B615" s="520"/>
      <c r="C615" s="23"/>
      <c r="D615" s="23"/>
      <c r="E615" s="24"/>
      <c r="H615" s="23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</row>
    <row r="616" spans="2:31" s="28" customFormat="1" ht="15" customHeight="1" x14ac:dyDescent="0.25">
      <c r="B616" s="520"/>
      <c r="C616" s="23"/>
      <c r="D616" s="23"/>
      <c r="E616" s="24"/>
      <c r="H616" s="23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</row>
    <row r="617" spans="2:31" s="28" customFormat="1" ht="15" customHeight="1" x14ac:dyDescent="0.25">
      <c r="B617" s="520"/>
      <c r="C617" s="23"/>
      <c r="D617" s="23"/>
      <c r="E617" s="24"/>
      <c r="H617" s="23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</row>
    <row r="618" spans="2:31" s="28" customFormat="1" ht="15" customHeight="1" x14ac:dyDescent="0.25">
      <c r="B618" s="520"/>
      <c r="C618" s="23"/>
      <c r="D618" s="23"/>
      <c r="E618" s="24"/>
      <c r="H618" s="23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</row>
    <row r="619" spans="2:31" s="28" customFormat="1" ht="15" customHeight="1" x14ac:dyDescent="0.25">
      <c r="B619" s="520"/>
      <c r="C619" s="23"/>
      <c r="D619" s="23"/>
      <c r="E619" s="24"/>
      <c r="H619" s="23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</row>
    <row r="620" spans="2:31" s="28" customFormat="1" ht="15" customHeight="1" x14ac:dyDescent="0.25">
      <c r="B620" s="520"/>
      <c r="C620" s="23"/>
      <c r="D620" s="23"/>
      <c r="E620" s="24"/>
      <c r="H620" s="23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</row>
    <row r="621" spans="2:31" s="28" customFormat="1" ht="15" customHeight="1" x14ac:dyDescent="0.25">
      <c r="B621" s="520"/>
      <c r="C621" s="23"/>
      <c r="D621" s="23"/>
      <c r="E621" s="24"/>
      <c r="H621" s="23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</row>
    <row r="622" spans="2:31" s="28" customFormat="1" ht="15" customHeight="1" x14ac:dyDescent="0.25">
      <c r="B622" s="520"/>
      <c r="C622" s="23"/>
      <c r="D622" s="23"/>
      <c r="E622" s="24"/>
      <c r="H622" s="23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</row>
    <row r="623" spans="2:31" s="28" customFormat="1" ht="15" customHeight="1" x14ac:dyDescent="0.25">
      <c r="B623" s="520"/>
      <c r="C623" s="23"/>
      <c r="D623" s="23"/>
      <c r="E623" s="24"/>
      <c r="H623" s="23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</row>
    <row r="624" spans="2:31" s="28" customFormat="1" ht="15" customHeight="1" x14ac:dyDescent="0.25">
      <c r="B624" s="520"/>
      <c r="C624" s="23"/>
      <c r="D624" s="23"/>
      <c r="E624" s="24"/>
      <c r="H624" s="23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</row>
    <row r="625" spans="2:31" s="28" customFormat="1" ht="15" customHeight="1" x14ac:dyDescent="0.25">
      <c r="B625" s="520"/>
      <c r="C625" s="23"/>
      <c r="D625" s="23"/>
      <c r="E625" s="24"/>
      <c r="H625" s="23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</row>
    <row r="626" spans="2:31" s="28" customFormat="1" ht="15" customHeight="1" x14ac:dyDescent="0.25">
      <c r="B626" s="520"/>
      <c r="C626" s="23"/>
      <c r="D626" s="23"/>
      <c r="E626" s="24"/>
      <c r="H626" s="23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5"/>
      <c r="AE626" s="55"/>
    </row>
    <row r="627" spans="2:31" s="28" customFormat="1" ht="15" customHeight="1" x14ac:dyDescent="0.25">
      <c r="B627" s="520"/>
      <c r="C627" s="23"/>
      <c r="D627" s="23"/>
      <c r="E627" s="24"/>
      <c r="H627" s="23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</row>
    <row r="628" spans="2:31" s="28" customFormat="1" ht="15" customHeight="1" x14ac:dyDescent="0.25">
      <c r="B628" s="520"/>
      <c r="C628" s="23"/>
      <c r="D628" s="23"/>
      <c r="E628" s="24"/>
      <c r="H628" s="23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</row>
    <row r="629" spans="2:31" s="28" customFormat="1" ht="15" customHeight="1" x14ac:dyDescent="0.25">
      <c r="B629" s="520"/>
      <c r="C629" s="23"/>
      <c r="D629" s="23"/>
      <c r="E629" s="24"/>
      <c r="H629" s="23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</row>
    <row r="630" spans="2:31" s="28" customFormat="1" ht="15" customHeight="1" x14ac:dyDescent="0.25">
      <c r="B630" s="520"/>
      <c r="C630" s="23"/>
      <c r="D630" s="23"/>
      <c r="E630" s="24"/>
      <c r="H630" s="23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</row>
    <row r="631" spans="2:31" s="28" customFormat="1" ht="15" customHeight="1" x14ac:dyDescent="0.25">
      <c r="B631" s="520"/>
      <c r="C631" s="23"/>
      <c r="D631" s="23"/>
      <c r="E631" s="24"/>
      <c r="H631" s="23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</row>
    <row r="632" spans="2:31" s="28" customFormat="1" ht="15" customHeight="1" x14ac:dyDescent="0.25">
      <c r="B632" s="520"/>
      <c r="C632" s="23"/>
      <c r="D632" s="23"/>
      <c r="E632" s="24"/>
      <c r="H632" s="23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</row>
    <row r="633" spans="2:31" s="28" customFormat="1" ht="15" customHeight="1" x14ac:dyDescent="0.25">
      <c r="B633" s="520"/>
      <c r="C633" s="23"/>
      <c r="D633" s="23"/>
      <c r="E633" s="24"/>
      <c r="H633" s="23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</row>
    <row r="634" spans="2:31" s="28" customFormat="1" ht="15" customHeight="1" x14ac:dyDescent="0.25">
      <c r="B634" s="520"/>
      <c r="C634" s="23"/>
      <c r="D634" s="23"/>
      <c r="E634" s="24"/>
      <c r="H634" s="23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</row>
    <row r="635" spans="2:31" s="28" customFormat="1" ht="15" customHeight="1" x14ac:dyDescent="0.25">
      <c r="B635" s="520"/>
      <c r="C635" s="23"/>
      <c r="D635" s="23"/>
      <c r="E635" s="24"/>
      <c r="H635" s="23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  <c r="AE635" s="55"/>
    </row>
    <row r="636" spans="2:31" s="28" customFormat="1" ht="15" customHeight="1" x14ac:dyDescent="0.25">
      <c r="B636" s="520"/>
      <c r="C636" s="23"/>
      <c r="D636" s="23"/>
      <c r="E636" s="24"/>
      <c r="H636" s="23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</row>
    <row r="637" spans="2:31" s="28" customFormat="1" ht="15" customHeight="1" x14ac:dyDescent="0.25">
      <c r="B637" s="520"/>
      <c r="C637" s="23"/>
      <c r="D637" s="23"/>
      <c r="E637" s="24"/>
      <c r="H637" s="23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</row>
    <row r="638" spans="2:31" s="28" customFormat="1" ht="15" customHeight="1" x14ac:dyDescent="0.25">
      <c r="B638" s="520"/>
      <c r="C638" s="23"/>
      <c r="D638" s="23"/>
      <c r="E638" s="24"/>
      <c r="H638" s="23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  <c r="AE638" s="55"/>
    </row>
    <row r="639" spans="2:31" s="28" customFormat="1" ht="15" customHeight="1" x14ac:dyDescent="0.25">
      <c r="B639" s="520"/>
      <c r="C639" s="23"/>
      <c r="D639" s="23"/>
      <c r="E639" s="24"/>
      <c r="H639" s="23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</row>
    <row r="640" spans="2:31" s="28" customFormat="1" ht="15" customHeight="1" x14ac:dyDescent="0.25">
      <c r="B640" s="520"/>
      <c r="C640" s="23"/>
      <c r="D640" s="23"/>
      <c r="E640" s="24"/>
      <c r="H640" s="23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  <c r="AE640" s="55"/>
    </row>
    <row r="641" spans="2:31" s="28" customFormat="1" ht="15" customHeight="1" x14ac:dyDescent="0.25">
      <c r="B641" s="520"/>
      <c r="C641" s="23"/>
      <c r="D641" s="23"/>
      <c r="E641" s="24"/>
      <c r="H641" s="23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</row>
    <row r="642" spans="2:31" s="28" customFormat="1" ht="15" customHeight="1" x14ac:dyDescent="0.25">
      <c r="B642" s="520"/>
      <c r="C642" s="23"/>
      <c r="D642" s="23"/>
      <c r="E642" s="24"/>
      <c r="H642" s="23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  <c r="AD642" s="55"/>
      <c r="AE642" s="55"/>
    </row>
    <row r="643" spans="2:31" s="28" customFormat="1" ht="15" customHeight="1" x14ac:dyDescent="0.25">
      <c r="B643" s="520"/>
      <c r="C643" s="23"/>
      <c r="D643" s="23"/>
      <c r="E643" s="24"/>
      <c r="H643" s="23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  <c r="AE643" s="55"/>
    </row>
    <row r="644" spans="2:31" s="28" customFormat="1" ht="15" customHeight="1" x14ac:dyDescent="0.25">
      <c r="B644" s="520"/>
      <c r="C644" s="23"/>
      <c r="D644" s="23"/>
      <c r="E644" s="24"/>
      <c r="H644" s="23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  <c r="AE644" s="55"/>
    </row>
    <row r="645" spans="2:31" s="28" customFormat="1" ht="15" customHeight="1" x14ac:dyDescent="0.25">
      <c r="B645" s="520"/>
      <c r="C645" s="23"/>
      <c r="D645" s="23"/>
      <c r="E645" s="24"/>
      <c r="H645" s="23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  <c r="AE645" s="55"/>
    </row>
    <row r="646" spans="2:31" s="28" customFormat="1" ht="15" customHeight="1" x14ac:dyDescent="0.25">
      <c r="B646" s="520"/>
      <c r="C646" s="23"/>
      <c r="D646" s="23"/>
      <c r="E646" s="24"/>
      <c r="H646" s="23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  <c r="AE646" s="55"/>
    </row>
    <row r="647" spans="2:31" s="28" customFormat="1" ht="15" customHeight="1" x14ac:dyDescent="0.25">
      <c r="B647" s="520"/>
      <c r="C647" s="23"/>
      <c r="D647" s="23"/>
      <c r="E647" s="24"/>
      <c r="H647" s="23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5"/>
      <c r="AE647" s="55"/>
    </row>
    <row r="648" spans="2:31" s="28" customFormat="1" ht="15" customHeight="1" x14ac:dyDescent="0.25">
      <c r="B648" s="520"/>
      <c r="C648" s="23"/>
      <c r="D648" s="23"/>
      <c r="E648" s="24"/>
      <c r="H648" s="23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  <c r="AE648" s="55"/>
    </row>
    <row r="649" spans="2:31" s="28" customFormat="1" ht="15" customHeight="1" x14ac:dyDescent="0.25">
      <c r="B649" s="520"/>
      <c r="C649" s="23"/>
      <c r="D649" s="23"/>
      <c r="E649" s="24"/>
      <c r="H649" s="23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/>
      <c r="AE649" s="55"/>
    </row>
    <row r="650" spans="2:31" s="28" customFormat="1" ht="15" customHeight="1" x14ac:dyDescent="0.25">
      <c r="B650" s="520"/>
      <c r="C650" s="23"/>
      <c r="D650" s="23"/>
      <c r="E650" s="24"/>
      <c r="H650" s="23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  <c r="AE650" s="55"/>
    </row>
    <row r="651" spans="2:31" s="28" customFormat="1" ht="15" customHeight="1" x14ac:dyDescent="0.25">
      <c r="B651" s="520"/>
      <c r="C651" s="23"/>
      <c r="D651" s="23"/>
      <c r="E651" s="24"/>
      <c r="H651" s="23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  <c r="AE651" s="55"/>
    </row>
    <row r="652" spans="2:31" s="28" customFormat="1" ht="15" customHeight="1" x14ac:dyDescent="0.25">
      <c r="B652" s="520"/>
      <c r="C652" s="23"/>
      <c r="D652" s="23"/>
      <c r="E652" s="24"/>
      <c r="H652" s="23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  <c r="AE652" s="55"/>
    </row>
    <row r="653" spans="2:31" s="28" customFormat="1" ht="15" customHeight="1" x14ac:dyDescent="0.25">
      <c r="B653" s="520"/>
      <c r="C653" s="23"/>
      <c r="D653" s="23"/>
      <c r="E653" s="24"/>
      <c r="H653" s="23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  <c r="AE653" s="55"/>
    </row>
    <row r="654" spans="2:31" s="28" customFormat="1" ht="15" customHeight="1" x14ac:dyDescent="0.25">
      <c r="B654" s="520"/>
      <c r="C654" s="23"/>
      <c r="D654" s="23"/>
      <c r="E654" s="24"/>
      <c r="H654" s="23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  <c r="AE654" s="55"/>
    </row>
    <row r="655" spans="2:31" s="28" customFormat="1" ht="15" customHeight="1" x14ac:dyDescent="0.25">
      <c r="B655" s="520"/>
      <c r="C655" s="23"/>
      <c r="D655" s="23"/>
      <c r="E655" s="24"/>
      <c r="H655" s="23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  <c r="AE655" s="55"/>
    </row>
    <row r="656" spans="2:31" s="28" customFormat="1" ht="15" customHeight="1" x14ac:dyDescent="0.25">
      <c r="B656" s="520"/>
      <c r="C656" s="23"/>
      <c r="D656" s="23"/>
      <c r="E656" s="24"/>
      <c r="H656" s="23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</row>
    <row r="657" spans="2:31" s="28" customFormat="1" ht="15" customHeight="1" x14ac:dyDescent="0.25">
      <c r="B657" s="520"/>
      <c r="C657" s="23"/>
      <c r="D657" s="23"/>
      <c r="E657" s="24"/>
      <c r="H657" s="23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5"/>
      <c r="AE657" s="55"/>
    </row>
    <row r="658" spans="2:31" s="28" customFormat="1" ht="15" customHeight="1" x14ac:dyDescent="0.25">
      <c r="B658" s="520"/>
      <c r="C658" s="23"/>
      <c r="D658" s="23"/>
      <c r="E658" s="24"/>
      <c r="H658" s="23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</row>
    <row r="659" spans="2:31" s="28" customFormat="1" ht="15" customHeight="1" x14ac:dyDescent="0.25">
      <c r="B659" s="520"/>
      <c r="C659" s="23"/>
      <c r="D659" s="23"/>
      <c r="E659" s="24"/>
      <c r="H659" s="23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</row>
    <row r="660" spans="2:31" s="28" customFormat="1" ht="15" customHeight="1" x14ac:dyDescent="0.25">
      <c r="B660" s="520"/>
      <c r="C660" s="23"/>
      <c r="D660" s="23"/>
      <c r="E660" s="24"/>
      <c r="H660" s="23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</row>
    <row r="661" spans="2:31" s="28" customFormat="1" ht="15" customHeight="1" x14ac:dyDescent="0.25">
      <c r="B661" s="520"/>
      <c r="C661" s="23"/>
      <c r="D661" s="23"/>
      <c r="E661" s="24"/>
      <c r="H661" s="23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5"/>
      <c r="AE661" s="55"/>
    </row>
    <row r="662" spans="2:31" s="28" customFormat="1" ht="15" customHeight="1" x14ac:dyDescent="0.25">
      <c r="B662" s="520"/>
      <c r="C662" s="23"/>
      <c r="D662" s="23"/>
      <c r="E662" s="24"/>
      <c r="H662" s="23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  <c r="AE662" s="55"/>
    </row>
    <row r="663" spans="2:31" s="28" customFormat="1" ht="15" customHeight="1" x14ac:dyDescent="0.25">
      <c r="B663" s="520"/>
      <c r="C663" s="23"/>
      <c r="D663" s="23"/>
      <c r="E663" s="24"/>
      <c r="H663" s="23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  <c r="AE663" s="55"/>
    </row>
    <row r="664" spans="2:31" s="28" customFormat="1" ht="15" customHeight="1" x14ac:dyDescent="0.25">
      <c r="B664" s="520"/>
      <c r="C664" s="23"/>
      <c r="D664" s="23"/>
      <c r="E664" s="24"/>
      <c r="H664" s="23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5"/>
      <c r="AE664" s="55"/>
    </row>
    <row r="665" spans="2:31" s="28" customFormat="1" ht="15" customHeight="1" x14ac:dyDescent="0.25">
      <c r="B665" s="520"/>
      <c r="C665" s="23"/>
      <c r="D665" s="23"/>
      <c r="E665" s="24"/>
      <c r="H665" s="23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  <c r="AE665" s="55"/>
    </row>
    <row r="666" spans="2:31" s="28" customFormat="1" ht="15" customHeight="1" x14ac:dyDescent="0.25">
      <c r="B666" s="520"/>
      <c r="C666" s="23"/>
      <c r="D666" s="23"/>
      <c r="E666" s="24"/>
      <c r="H666" s="23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  <c r="AE666" s="55"/>
    </row>
    <row r="667" spans="2:31" s="28" customFormat="1" ht="15" customHeight="1" x14ac:dyDescent="0.25">
      <c r="B667" s="520"/>
      <c r="C667" s="23"/>
      <c r="D667" s="23"/>
      <c r="E667" s="24"/>
      <c r="H667" s="23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  <c r="AE667" s="55"/>
    </row>
    <row r="668" spans="2:31" s="28" customFormat="1" ht="15" customHeight="1" x14ac:dyDescent="0.25">
      <c r="B668" s="520"/>
      <c r="C668" s="23"/>
      <c r="D668" s="23"/>
      <c r="E668" s="24"/>
      <c r="H668" s="23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  <c r="AE668" s="55"/>
    </row>
    <row r="669" spans="2:31" s="28" customFormat="1" ht="15" customHeight="1" x14ac:dyDescent="0.25">
      <c r="B669" s="520"/>
      <c r="C669" s="23"/>
      <c r="D669" s="23"/>
      <c r="E669" s="24"/>
      <c r="H669" s="23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  <c r="AE669" s="55"/>
    </row>
    <row r="670" spans="2:31" s="28" customFormat="1" ht="15" customHeight="1" x14ac:dyDescent="0.25">
      <c r="B670" s="520"/>
      <c r="C670" s="23"/>
      <c r="D670" s="23"/>
      <c r="E670" s="24"/>
      <c r="H670" s="23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  <c r="AE670" s="55"/>
    </row>
    <row r="671" spans="2:31" s="28" customFormat="1" ht="15" customHeight="1" x14ac:dyDescent="0.25">
      <c r="B671" s="520"/>
      <c r="C671" s="23"/>
      <c r="D671" s="23"/>
      <c r="E671" s="24"/>
      <c r="H671" s="23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  <c r="AE671" s="55"/>
    </row>
    <row r="672" spans="2:31" s="28" customFormat="1" ht="15" customHeight="1" x14ac:dyDescent="0.25">
      <c r="B672" s="520"/>
      <c r="C672" s="23"/>
      <c r="D672" s="23"/>
      <c r="E672" s="24"/>
      <c r="H672" s="23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  <c r="AE672" s="55"/>
    </row>
    <row r="673" spans="2:31" s="28" customFormat="1" ht="15" customHeight="1" x14ac:dyDescent="0.25">
      <c r="B673" s="520"/>
      <c r="C673" s="23"/>
      <c r="D673" s="23"/>
      <c r="E673" s="24"/>
      <c r="H673" s="23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5"/>
      <c r="AE673" s="55"/>
    </row>
    <row r="674" spans="2:31" s="28" customFormat="1" ht="15" customHeight="1" x14ac:dyDescent="0.25">
      <c r="B674" s="520"/>
      <c r="C674" s="23"/>
      <c r="D674" s="23"/>
      <c r="E674" s="24"/>
      <c r="H674" s="23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  <c r="AE674" s="55"/>
    </row>
    <row r="675" spans="2:31" s="28" customFormat="1" ht="15" customHeight="1" x14ac:dyDescent="0.25">
      <c r="B675" s="520"/>
      <c r="C675" s="23"/>
      <c r="D675" s="23"/>
      <c r="E675" s="24"/>
      <c r="H675" s="23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  <c r="AE675" s="55"/>
    </row>
    <row r="676" spans="2:31" s="28" customFormat="1" ht="15" customHeight="1" x14ac:dyDescent="0.25">
      <c r="B676" s="520"/>
      <c r="C676" s="23"/>
      <c r="D676" s="23"/>
      <c r="E676" s="24"/>
      <c r="H676" s="23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  <c r="AE676" s="55"/>
    </row>
    <row r="677" spans="2:31" s="28" customFormat="1" ht="15" customHeight="1" x14ac:dyDescent="0.25">
      <c r="B677" s="520"/>
      <c r="C677" s="23"/>
      <c r="D677" s="23"/>
      <c r="E677" s="24"/>
      <c r="H677" s="23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  <c r="AD677" s="55"/>
      <c r="AE677" s="55"/>
    </row>
    <row r="678" spans="2:31" s="28" customFormat="1" ht="15" customHeight="1" x14ac:dyDescent="0.25">
      <c r="B678" s="520"/>
      <c r="C678" s="23"/>
      <c r="D678" s="23"/>
      <c r="E678" s="24"/>
      <c r="H678" s="23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5"/>
      <c r="AE678" s="55"/>
    </row>
    <row r="679" spans="2:31" s="28" customFormat="1" ht="15" customHeight="1" x14ac:dyDescent="0.25">
      <c r="B679" s="520"/>
      <c r="C679" s="23"/>
      <c r="D679" s="23"/>
      <c r="E679" s="24"/>
      <c r="H679" s="23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  <c r="AE679" s="55"/>
    </row>
    <row r="680" spans="2:31" s="28" customFormat="1" ht="15" customHeight="1" x14ac:dyDescent="0.25">
      <c r="B680" s="520"/>
      <c r="C680" s="23"/>
      <c r="D680" s="23"/>
      <c r="E680" s="24"/>
      <c r="H680" s="23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  <c r="AE680" s="55"/>
    </row>
    <row r="681" spans="2:31" s="28" customFormat="1" ht="15" customHeight="1" x14ac:dyDescent="0.25">
      <c r="B681" s="520"/>
      <c r="C681" s="23"/>
      <c r="D681" s="23"/>
      <c r="E681" s="24"/>
      <c r="H681" s="23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  <c r="AD681" s="55"/>
      <c r="AE681" s="55"/>
    </row>
    <row r="682" spans="2:31" s="28" customFormat="1" ht="15" customHeight="1" x14ac:dyDescent="0.25">
      <c r="B682" s="520"/>
      <c r="C682" s="23"/>
      <c r="D682" s="23"/>
      <c r="E682" s="24"/>
      <c r="H682" s="23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  <c r="AE682" s="55"/>
    </row>
    <row r="683" spans="2:31" s="28" customFormat="1" ht="15" customHeight="1" x14ac:dyDescent="0.25">
      <c r="B683" s="520"/>
      <c r="C683" s="23"/>
      <c r="D683" s="23"/>
      <c r="E683" s="24"/>
      <c r="H683" s="23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  <c r="AE683" s="55"/>
    </row>
    <row r="684" spans="2:31" s="28" customFormat="1" ht="15" customHeight="1" x14ac:dyDescent="0.25">
      <c r="B684" s="520"/>
      <c r="C684" s="23"/>
      <c r="D684" s="23"/>
      <c r="E684" s="24"/>
      <c r="H684" s="23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  <c r="AE684" s="55"/>
    </row>
    <row r="685" spans="2:31" s="28" customFormat="1" ht="15" customHeight="1" x14ac:dyDescent="0.25">
      <c r="B685" s="520"/>
      <c r="C685" s="23"/>
      <c r="D685" s="23"/>
      <c r="E685" s="24"/>
      <c r="H685" s="23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  <c r="AE685" s="55"/>
    </row>
    <row r="686" spans="2:31" s="28" customFormat="1" ht="15" customHeight="1" x14ac:dyDescent="0.25">
      <c r="B686" s="520"/>
      <c r="C686" s="23"/>
      <c r="D686" s="23"/>
      <c r="E686" s="24"/>
      <c r="H686" s="23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  <c r="AE686" s="55"/>
    </row>
    <row r="687" spans="2:31" s="28" customFormat="1" ht="15" customHeight="1" x14ac:dyDescent="0.25">
      <c r="B687" s="520"/>
      <c r="C687" s="23"/>
      <c r="D687" s="23"/>
      <c r="E687" s="24"/>
      <c r="H687" s="23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  <c r="AE687" s="55"/>
    </row>
    <row r="688" spans="2:31" s="28" customFormat="1" ht="15" customHeight="1" x14ac:dyDescent="0.25">
      <c r="B688" s="520"/>
      <c r="C688" s="23"/>
      <c r="D688" s="23"/>
      <c r="E688" s="24"/>
      <c r="H688" s="23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  <c r="AE688" s="55"/>
    </row>
    <row r="689" spans="2:31" s="28" customFormat="1" ht="15" customHeight="1" x14ac:dyDescent="0.25">
      <c r="B689" s="520"/>
      <c r="C689" s="23"/>
      <c r="D689" s="23"/>
      <c r="E689" s="24"/>
      <c r="H689" s="23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  <c r="AE689" s="55"/>
    </row>
    <row r="690" spans="2:31" s="28" customFormat="1" ht="15" customHeight="1" x14ac:dyDescent="0.25">
      <c r="B690" s="520"/>
      <c r="C690" s="23"/>
      <c r="D690" s="23"/>
      <c r="E690" s="24"/>
      <c r="H690" s="23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</row>
    <row r="691" spans="2:31" s="28" customFormat="1" ht="15" customHeight="1" x14ac:dyDescent="0.25">
      <c r="B691" s="520"/>
      <c r="C691" s="23"/>
      <c r="D691" s="23"/>
      <c r="E691" s="24"/>
      <c r="H691" s="23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</row>
    <row r="692" spans="2:31" s="28" customFormat="1" ht="15" customHeight="1" x14ac:dyDescent="0.25">
      <c r="B692" s="520"/>
      <c r="C692" s="23"/>
      <c r="D692" s="23"/>
      <c r="E692" s="24"/>
      <c r="H692" s="23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</row>
    <row r="693" spans="2:31" s="28" customFormat="1" ht="15" customHeight="1" x14ac:dyDescent="0.25">
      <c r="B693" s="520"/>
      <c r="C693" s="23"/>
      <c r="D693" s="23"/>
      <c r="E693" s="24"/>
      <c r="H693" s="23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</row>
    <row r="694" spans="2:31" s="28" customFormat="1" ht="15" customHeight="1" x14ac:dyDescent="0.25">
      <c r="B694" s="520"/>
      <c r="C694" s="23"/>
      <c r="D694" s="23"/>
      <c r="E694" s="24"/>
      <c r="H694" s="23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</row>
    <row r="695" spans="2:31" s="28" customFormat="1" ht="15" customHeight="1" x14ac:dyDescent="0.25">
      <c r="B695" s="520"/>
      <c r="C695" s="23"/>
      <c r="D695" s="23"/>
      <c r="E695" s="24"/>
      <c r="H695" s="23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  <c r="AE695" s="55"/>
    </row>
    <row r="696" spans="2:31" s="28" customFormat="1" ht="15" customHeight="1" x14ac:dyDescent="0.25">
      <c r="B696" s="520"/>
      <c r="C696" s="23"/>
      <c r="D696" s="23"/>
      <c r="E696" s="24"/>
      <c r="H696" s="23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  <c r="AE696" s="55"/>
    </row>
    <row r="697" spans="2:31" s="28" customFormat="1" ht="15" customHeight="1" x14ac:dyDescent="0.25">
      <c r="B697" s="520"/>
      <c r="C697" s="23"/>
      <c r="D697" s="23"/>
      <c r="E697" s="24"/>
      <c r="H697" s="23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  <c r="AE697" s="55"/>
    </row>
    <row r="698" spans="2:31" s="28" customFormat="1" ht="15" customHeight="1" x14ac:dyDescent="0.25">
      <c r="B698" s="520"/>
      <c r="C698" s="23"/>
      <c r="D698" s="23"/>
      <c r="E698" s="24"/>
      <c r="H698" s="23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</row>
    <row r="699" spans="2:31" s="28" customFormat="1" ht="15" customHeight="1" x14ac:dyDescent="0.25">
      <c r="B699" s="520"/>
      <c r="C699" s="23"/>
      <c r="D699" s="23"/>
      <c r="E699" s="24"/>
      <c r="H699" s="23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</row>
    <row r="700" spans="2:31" s="28" customFormat="1" ht="15" customHeight="1" x14ac:dyDescent="0.25">
      <c r="B700" s="520"/>
      <c r="C700" s="23"/>
      <c r="D700" s="23"/>
      <c r="E700" s="24"/>
      <c r="H700" s="23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  <c r="AE700" s="55"/>
    </row>
    <row r="701" spans="2:31" s="28" customFormat="1" ht="15" customHeight="1" x14ac:dyDescent="0.25">
      <c r="B701" s="520"/>
      <c r="C701" s="23"/>
      <c r="D701" s="23"/>
      <c r="E701" s="24"/>
      <c r="H701" s="23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</row>
    <row r="702" spans="2:31" s="28" customFormat="1" ht="15" customHeight="1" x14ac:dyDescent="0.25">
      <c r="B702" s="520"/>
      <c r="C702" s="23"/>
      <c r="D702" s="23"/>
      <c r="E702" s="24"/>
      <c r="H702" s="23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  <c r="AE702" s="55"/>
    </row>
    <row r="703" spans="2:31" s="28" customFormat="1" ht="15" customHeight="1" x14ac:dyDescent="0.25">
      <c r="B703" s="520"/>
      <c r="C703" s="23"/>
      <c r="D703" s="23"/>
      <c r="E703" s="24"/>
      <c r="H703" s="23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  <c r="AE703" s="55"/>
    </row>
    <row r="704" spans="2:31" s="28" customFormat="1" ht="15" customHeight="1" x14ac:dyDescent="0.25">
      <c r="B704" s="520"/>
      <c r="C704" s="23"/>
      <c r="D704" s="23"/>
      <c r="E704" s="24"/>
      <c r="H704" s="23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  <c r="AD704" s="55"/>
      <c r="AE704" s="55"/>
    </row>
    <row r="705" spans="2:31" s="28" customFormat="1" ht="15" customHeight="1" x14ac:dyDescent="0.25">
      <c r="B705" s="520"/>
      <c r="C705" s="23"/>
      <c r="D705" s="23"/>
      <c r="E705" s="24"/>
      <c r="H705" s="23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  <c r="AD705" s="55"/>
      <c r="AE705" s="55"/>
    </row>
    <row r="706" spans="2:31" s="28" customFormat="1" ht="15" customHeight="1" x14ac:dyDescent="0.25">
      <c r="B706" s="520"/>
      <c r="C706" s="23"/>
      <c r="D706" s="23"/>
      <c r="E706" s="24"/>
      <c r="H706" s="23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  <c r="AE706" s="55"/>
    </row>
    <row r="707" spans="2:31" s="28" customFormat="1" ht="15" customHeight="1" x14ac:dyDescent="0.25">
      <c r="B707" s="520"/>
      <c r="C707" s="23"/>
      <c r="D707" s="23"/>
      <c r="E707" s="24"/>
      <c r="H707" s="23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  <c r="AE707" s="55"/>
    </row>
    <row r="708" spans="2:31" s="28" customFormat="1" ht="15" customHeight="1" x14ac:dyDescent="0.25">
      <c r="B708" s="520"/>
      <c r="C708" s="23"/>
      <c r="D708" s="23"/>
      <c r="E708" s="24"/>
      <c r="H708" s="23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  <c r="AE708" s="55"/>
    </row>
    <row r="709" spans="2:31" s="28" customFormat="1" ht="15" customHeight="1" x14ac:dyDescent="0.25">
      <c r="B709" s="520"/>
      <c r="C709" s="23"/>
      <c r="D709" s="23"/>
      <c r="E709" s="24"/>
      <c r="H709" s="23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  <c r="AE709" s="55"/>
    </row>
    <row r="710" spans="2:31" s="28" customFormat="1" ht="15" customHeight="1" x14ac:dyDescent="0.25">
      <c r="B710" s="520"/>
      <c r="C710" s="23"/>
      <c r="D710" s="23"/>
      <c r="E710" s="24"/>
      <c r="H710" s="23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  <c r="AB710" s="55"/>
      <c r="AC710" s="55"/>
      <c r="AD710" s="55"/>
      <c r="AE710" s="55"/>
    </row>
    <row r="711" spans="2:31" s="28" customFormat="1" ht="15" customHeight="1" x14ac:dyDescent="0.25">
      <c r="B711" s="520"/>
      <c r="C711" s="23"/>
      <c r="D711" s="23"/>
      <c r="E711" s="24"/>
      <c r="H711" s="23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</row>
    <row r="712" spans="2:31" s="28" customFormat="1" ht="15" customHeight="1" x14ac:dyDescent="0.25">
      <c r="B712" s="520"/>
      <c r="C712" s="23"/>
      <c r="D712" s="23"/>
      <c r="E712" s="24"/>
      <c r="H712" s="23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</row>
    <row r="713" spans="2:31" s="28" customFormat="1" ht="15" customHeight="1" x14ac:dyDescent="0.25">
      <c r="B713" s="520"/>
      <c r="C713" s="23"/>
      <c r="D713" s="23"/>
      <c r="E713" s="24"/>
      <c r="H713" s="23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  <c r="AE713" s="55"/>
    </row>
    <row r="714" spans="2:31" s="28" customFormat="1" ht="15" customHeight="1" x14ac:dyDescent="0.25">
      <c r="B714" s="520"/>
      <c r="C714" s="23"/>
      <c r="D714" s="23"/>
      <c r="E714" s="24"/>
      <c r="H714" s="23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  <c r="AE714" s="55"/>
    </row>
    <row r="715" spans="2:31" s="28" customFormat="1" ht="15" customHeight="1" x14ac:dyDescent="0.25">
      <c r="B715" s="520"/>
      <c r="C715" s="23"/>
      <c r="D715" s="23"/>
      <c r="E715" s="24"/>
      <c r="H715" s="23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</row>
    <row r="716" spans="2:31" s="28" customFormat="1" ht="15" customHeight="1" x14ac:dyDescent="0.25">
      <c r="B716" s="520"/>
      <c r="C716" s="23"/>
      <c r="D716" s="23"/>
      <c r="E716" s="24"/>
      <c r="H716" s="23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</row>
    <row r="717" spans="2:31" s="28" customFormat="1" ht="15" customHeight="1" x14ac:dyDescent="0.25">
      <c r="B717" s="520"/>
      <c r="C717" s="23"/>
      <c r="D717" s="23"/>
      <c r="E717" s="24"/>
      <c r="H717" s="23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  <c r="AE717" s="55"/>
    </row>
    <row r="718" spans="2:31" s="28" customFormat="1" ht="15" customHeight="1" x14ac:dyDescent="0.25">
      <c r="B718" s="520"/>
      <c r="C718" s="23"/>
      <c r="D718" s="23"/>
      <c r="E718" s="24"/>
      <c r="H718" s="23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</row>
    <row r="719" spans="2:31" s="28" customFormat="1" ht="15" customHeight="1" x14ac:dyDescent="0.25">
      <c r="B719" s="520"/>
      <c r="C719" s="23"/>
      <c r="D719" s="23"/>
      <c r="E719" s="24"/>
      <c r="H719" s="23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</row>
    <row r="720" spans="2:31" s="28" customFormat="1" ht="15" customHeight="1" x14ac:dyDescent="0.25">
      <c r="B720" s="520"/>
      <c r="C720" s="23"/>
      <c r="D720" s="23"/>
      <c r="E720" s="24"/>
      <c r="H720" s="23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</row>
    <row r="721" spans="2:31" s="28" customFormat="1" ht="15" customHeight="1" x14ac:dyDescent="0.25">
      <c r="B721" s="520"/>
      <c r="C721" s="23"/>
      <c r="D721" s="23"/>
      <c r="E721" s="24"/>
      <c r="H721" s="23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  <c r="AE721" s="55"/>
    </row>
    <row r="722" spans="2:31" s="28" customFormat="1" ht="15" customHeight="1" x14ac:dyDescent="0.25">
      <c r="B722" s="520"/>
      <c r="C722" s="23"/>
      <c r="D722" s="23"/>
      <c r="E722" s="24"/>
      <c r="H722" s="23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  <c r="AD722" s="55"/>
      <c r="AE722" s="55"/>
    </row>
    <row r="723" spans="2:31" s="28" customFormat="1" ht="15" customHeight="1" x14ac:dyDescent="0.25">
      <c r="B723" s="520"/>
      <c r="C723" s="23"/>
      <c r="D723" s="23"/>
      <c r="E723" s="24"/>
      <c r="H723" s="23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  <c r="AB723" s="55"/>
      <c r="AC723" s="55"/>
      <c r="AD723" s="55"/>
      <c r="AE723" s="55"/>
    </row>
    <row r="724" spans="2:31" s="28" customFormat="1" ht="15" customHeight="1" x14ac:dyDescent="0.25">
      <c r="B724" s="520"/>
      <c r="C724" s="23"/>
      <c r="D724" s="23"/>
      <c r="E724" s="24"/>
      <c r="H724" s="23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  <c r="AE724" s="55"/>
    </row>
    <row r="725" spans="2:31" s="28" customFormat="1" ht="15" customHeight="1" x14ac:dyDescent="0.25">
      <c r="B725" s="520"/>
      <c r="C725" s="23"/>
      <c r="D725" s="23"/>
      <c r="E725" s="24"/>
      <c r="H725" s="23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</row>
    <row r="726" spans="2:31" s="28" customFormat="1" ht="15" customHeight="1" x14ac:dyDescent="0.25">
      <c r="B726" s="520"/>
      <c r="C726" s="23"/>
      <c r="D726" s="23"/>
      <c r="E726" s="24"/>
      <c r="H726" s="23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  <c r="AE726" s="55"/>
    </row>
    <row r="727" spans="2:31" s="28" customFormat="1" ht="15" customHeight="1" x14ac:dyDescent="0.25">
      <c r="B727" s="520"/>
      <c r="C727" s="23"/>
      <c r="D727" s="23"/>
      <c r="E727" s="24"/>
      <c r="H727" s="23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  <c r="AE727" s="55"/>
    </row>
    <row r="728" spans="2:31" s="28" customFormat="1" ht="15" customHeight="1" x14ac:dyDescent="0.25">
      <c r="B728" s="520"/>
      <c r="C728" s="23"/>
      <c r="D728" s="23"/>
      <c r="E728" s="24"/>
      <c r="H728" s="23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</row>
    <row r="729" spans="2:31" s="28" customFormat="1" ht="15" customHeight="1" x14ac:dyDescent="0.25">
      <c r="B729" s="520"/>
      <c r="C729" s="23"/>
      <c r="D729" s="23"/>
      <c r="E729" s="24"/>
      <c r="H729" s="23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</row>
    <row r="730" spans="2:31" s="28" customFormat="1" ht="15" customHeight="1" x14ac:dyDescent="0.25">
      <c r="B730" s="520"/>
      <c r="C730" s="23"/>
      <c r="D730" s="23"/>
      <c r="E730" s="24"/>
      <c r="H730" s="23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</row>
    <row r="731" spans="2:31" s="28" customFormat="1" ht="15" customHeight="1" x14ac:dyDescent="0.25">
      <c r="B731" s="520"/>
      <c r="C731" s="23"/>
      <c r="D731" s="23"/>
      <c r="E731" s="24"/>
      <c r="H731" s="23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</row>
    <row r="732" spans="2:31" s="28" customFormat="1" ht="15" customHeight="1" x14ac:dyDescent="0.25">
      <c r="B732" s="520"/>
      <c r="C732" s="23"/>
      <c r="D732" s="23"/>
      <c r="E732" s="24"/>
      <c r="H732" s="23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</row>
    <row r="733" spans="2:31" s="28" customFormat="1" ht="15" customHeight="1" x14ac:dyDescent="0.25">
      <c r="B733" s="520"/>
      <c r="C733" s="23"/>
      <c r="D733" s="23"/>
      <c r="E733" s="24"/>
      <c r="H733" s="23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</row>
    <row r="734" spans="2:31" s="28" customFormat="1" ht="15" customHeight="1" x14ac:dyDescent="0.25">
      <c r="B734" s="520"/>
      <c r="C734" s="23"/>
      <c r="D734" s="23"/>
      <c r="E734" s="24"/>
      <c r="H734" s="23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</row>
    <row r="735" spans="2:31" s="28" customFormat="1" ht="15" customHeight="1" x14ac:dyDescent="0.25">
      <c r="B735" s="520"/>
      <c r="C735" s="23"/>
      <c r="D735" s="23"/>
      <c r="E735" s="24"/>
      <c r="H735" s="23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</row>
    <row r="736" spans="2:31" s="28" customFormat="1" ht="15" customHeight="1" x14ac:dyDescent="0.25">
      <c r="B736" s="520"/>
      <c r="C736" s="23"/>
      <c r="D736" s="23"/>
      <c r="E736" s="24"/>
      <c r="H736" s="23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</row>
    <row r="737" spans="2:31" s="28" customFormat="1" ht="15" customHeight="1" x14ac:dyDescent="0.25">
      <c r="B737" s="520"/>
      <c r="C737" s="23"/>
      <c r="D737" s="23"/>
      <c r="E737" s="24"/>
      <c r="H737" s="23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</row>
    <row r="738" spans="2:31" s="28" customFormat="1" ht="15" customHeight="1" x14ac:dyDescent="0.25">
      <c r="B738" s="520"/>
      <c r="C738" s="23"/>
      <c r="D738" s="23"/>
      <c r="E738" s="24"/>
      <c r="H738" s="23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</row>
    <row r="739" spans="2:31" s="28" customFormat="1" ht="15" customHeight="1" x14ac:dyDescent="0.25">
      <c r="B739" s="520"/>
      <c r="C739" s="23"/>
      <c r="D739" s="23"/>
      <c r="E739" s="24"/>
      <c r="H739" s="23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</row>
    <row r="740" spans="2:31" s="28" customFormat="1" ht="15" customHeight="1" x14ac:dyDescent="0.25">
      <c r="B740" s="520"/>
      <c r="C740" s="23"/>
      <c r="D740" s="23"/>
      <c r="E740" s="24"/>
      <c r="H740" s="23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</row>
    <row r="741" spans="2:31" s="28" customFormat="1" ht="15" customHeight="1" x14ac:dyDescent="0.25">
      <c r="B741" s="520"/>
      <c r="C741" s="23"/>
      <c r="D741" s="23"/>
      <c r="E741" s="24"/>
      <c r="H741" s="23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  <c r="AE741" s="55"/>
    </row>
    <row r="742" spans="2:31" s="28" customFormat="1" ht="15" customHeight="1" x14ac:dyDescent="0.25">
      <c r="B742" s="520"/>
      <c r="C742" s="23"/>
      <c r="D742" s="23"/>
      <c r="E742" s="24"/>
      <c r="H742" s="23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  <c r="AE742" s="55"/>
    </row>
    <row r="743" spans="2:31" s="28" customFormat="1" ht="15" customHeight="1" x14ac:dyDescent="0.25">
      <c r="B743" s="520"/>
      <c r="C743" s="23"/>
      <c r="D743" s="23"/>
      <c r="E743" s="24"/>
      <c r="H743" s="23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</row>
    <row r="744" spans="2:31" s="28" customFormat="1" ht="15" customHeight="1" x14ac:dyDescent="0.25">
      <c r="B744" s="520"/>
      <c r="C744" s="23"/>
      <c r="D744" s="23"/>
      <c r="E744" s="24"/>
      <c r="H744" s="23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</row>
    <row r="745" spans="2:31" s="28" customFormat="1" ht="15" customHeight="1" x14ac:dyDescent="0.25">
      <c r="B745" s="520"/>
      <c r="C745" s="23"/>
      <c r="D745" s="23"/>
      <c r="E745" s="24"/>
      <c r="H745" s="23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</row>
    <row r="746" spans="2:31" s="28" customFormat="1" ht="15" customHeight="1" x14ac:dyDescent="0.25">
      <c r="B746" s="520"/>
      <c r="C746" s="23"/>
      <c r="D746" s="23"/>
      <c r="E746" s="24"/>
      <c r="H746" s="23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</row>
    <row r="747" spans="2:31" s="28" customFormat="1" ht="15" customHeight="1" x14ac:dyDescent="0.25">
      <c r="B747" s="520"/>
      <c r="C747" s="23"/>
      <c r="D747" s="23"/>
      <c r="E747" s="24"/>
      <c r="H747" s="23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  <c r="AE747" s="55"/>
    </row>
    <row r="748" spans="2:31" s="28" customFormat="1" ht="15" customHeight="1" x14ac:dyDescent="0.25">
      <c r="B748" s="520"/>
      <c r="C748" s="23"/>
      <c r="D748" s="23"/>
      <c r="E748" s="24"/>
      <c r="H748" s="23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</row>
    <row r="749" spans="2:31" s="28" customFormat="1" ht="15" customHeight="1" x14ac:dyDescent="0.25">
      <c r="B749" s="520"/>
      <c r="C749" s="23"/>
      <c r="D749" s="23"/>
      <c r="E749" s="24"/>
      <c r="H749" s="23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</row>
    <row r="750" spans="2:31" s="28" customFormat="1" ht="15" customHeight="1" x14ac:dyDescent="0.25">
      <c r="B750" s="520"/>
      <c r="C750" s="23"/>
      <c r="D750" s="23"/>
      <c r="E750" s="24"/>
      <c r="H750" s="23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</row>
    <row r="751" spans="2:31" s="28" customFormat="1" ht="15" customHeight="1" x14ac:dyDescent="0.25">
      <c r="B751" s="520"/>
      <c r="C751" s="23"/>
      <c r="D751" s="23"/>
      <c r="E751" s="24"/>
      <c r="H751" s="23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</row>
    <row r="752" spans="2:31" s="28" customFormat="1" ht="15" customHeight="1" x14ac:dyDescent="0.25">
      <c r="B752" s="520"/>
      <c r="C752" s="23"/>
      <c r="D752" s="23"/>
      <c r="E752" s="24"/>
      <c r="H752" s="23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</row>
    <row r="753" spans="2:31" s="28" customFormat="1" ht="15" customHeight="1" x14ac:dyDescent="0.25">
      <c r="B753" s="520"/>
      <c r="C753" s="23"/>
      <c r="D753" s="23"/>
      <c r="E753" s="24"/>
      <c r="H753" s="23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</row>
    <row r="754" spans="2:31" s="28" customFormat="1" ht="15" customHeight="1" x14ac:dyDescent="0.25">
      <c r="B754" s="520"/>
      <c r="C754" s="23"/>
      <c r="D754" s="23"/>
      <c r="E754" s="24"/>
      <c r="H754" s="23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</row>
    <row r="755" spans="2:31" s="28" customFormat="1" ht="15" customHeight="1" x14ac:dyDescent="0.25">
      <c r="B755" s="520"/>
      <c r="C755" s="23"/>
      <c r="D755" s="23"/>
      <c r="E755" s="24"/>
      <c r="H755" s="23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</row>
    <row r="756" spans="2:31" s="28" customFormat="1" ht="15" customHeight="1" x14ac:dyDescent="0.25">
      <c r="B756" s="520"/>
      <c r="C756" s="23"/>
      <c r="D756" s="23"/>
      <c r="E756" s="24"/>
      <c r="H756" s="23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</row>
    <row r="757" spans="2:31" s="28" customFormat="1" ht="15" customHeight="1" x14ac:dyDescent="0.25">
      <c r="B757" s="520"/>
      <c r="C757" s="23"/>
      <c r="D757" s="23"/>
      <c r="E757" s="24"/>
      <c r="H757" s="23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</row>
    <row r="758" spans="2:31" s="28" customFormat="1" ht="15" customHeight="1" x14ac:dyDescent="0.25">
      <c r="B758" s="520"/>
      <c r="C758" s="23"/>
      <c r="D758" s="23"/>
      <c r="E758" s="24"/>
      <c r="H758" s="23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</row>
    <row r="759" spans="2:31" s="28" customFormat="1" ht="15" customHeight="1" x14ac:dyDescent="0.25">
      <c r="B759" s="520"/>
      <c r="C759" s="23"/>
      <c r="D759" s="23"/>
      <c r="E759" s="24"/>
      <c r="H759" s="23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</row>
    <row r="760" spans="2:31" s="28" customFormat="1" ht="15" customHeight="1" x14ac:dyDescent="0.25">
      <c r="B760" s="520"/>
      <c r="C760" s="23"/>
      <c r="D760" s="23"/>
      <c r="E760" s="24"/>
      <c r="H760" s="23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</row>
    <row r="761" spans="2:31" s="28" customFormat="1" ht="15" customHeight="1" x14ac:dyDescent="0.25">
      <c r="B761" s="520"/>
      <c r="C761" s="23"/>
      <c r="D761" s="23"/>
      <c r="E761" s="24"/>
      <c r="H761" s="23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</row>
    <row r="762" spans="2:31" s="28" customFormat="1" ht="15" customHeight="1" x14ac:dyDescent="0.25">
      <c r="B762" s="520"/>
      <c r="C762" s="23"/>
      <c r="D762" s="23"/>
      <c r="E762" s="24"/>
      <c r="H762" s="23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</row>
    <row r="763" spans="2:31" s="28" customFormat="1" ht="15" customHeight="1" x14ac:dyDescent="0.25">
      <c r="B763" s="520"/>
      <c r="C763" s="23"/>
      <c r="D763" s="23"/>
      <c r="E763" s="24"/>
      <c r="H763" s="23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  <c r="AD763" s="55"/>
      <c r="AE763" s="55"/>
    </row>
    <row r="764" spans="2:31" s="28" customFormat="1" ht="15" customHeight="1" x14ac:dyDescent="0.25">
      <c r="B764" s="520"/>
      <c r="C764" s="23"/>
      <c r="D764" s="23"/>
      <c r="E764" s="24"/>
      <c r="H764" s="23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  <c r="AD764" s="55"/>
      <c r="AE764" s="55"/>
    </row>
    <row r="765" spans="2:31" s="28" customFormat="1" ht="15" customHeight="1" x14ac:dyDescent="0.25">
      <c r="B765" s="520"/>
      <c r="C765" s="23"/>
      <c r="D765" s="23"/>
      <c r="E765" s="24"/>
      <c r="H765" s="23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  <c r="AE765" s="55"/>
    </row>
    <row r="766" spans="2:31" s="28" customFormat="1" ht="15" customHeight="1" x14ac:dyDescent="0.25">
      <c r="B766" s="520"/>
      <c r="C766" s="23"/>
      <c r="D766" s="23"/>
      <c r="E766" s="24"/>
      <c r="H766" s="23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  <c r="AE766" s="55"/>
    </row>
    <row r="767" spans="2:31" s="28" customFormat="1" ht="15" customHeight="1" x14ac:dyDescent="0.25">
      <c r="B767" s="520"/>
      <c r="C767" s="23"/>
      <c r="D767" s="23"/>
      <c r="E767" s="24"/>
      <c r="H767" s="23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  <c r="AE767" s="55"/>
    </row>
    <row r="768" spans="2:31" s="28" customFormat="1" ht="15" customHeight="1" x14ac:dyDescent="0.25">
      <c r="B768" s="520"/>
      <c r="C768" s="23"/>
      <c r="D768" s="23"/>
      <c r="E768" s="24"/>
      <c r="H768" s="23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  <c r="AE768" s="55"/>
    </row>
    <row r="769" spans="2:31" s="28" customFormat="1" ht="15" customHeight="1" x14ac:dyDescent="0.25">
      <c r="B769" s="520"/>
      <c r="C769" s="23"/>
      <c r="D769" s="23"/>
      <c r="E769" s="24"/>
      <c r="H769" s="23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  <c r="AE769" s="55"/>
    </row>
    <row r="770" spans="2:31" s="28" customFormat="1" ht="15" customHeight="1" x14ac:dyDescent="0.25">
      <c r="B770" s="520"/>
      <c r="C770" s="23"/>
      <c r="D770" s="23"/>
      <c r="E770" s="24"/>
      <c r="H770" s="23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  <c r="AD770" s="55"/>
      <c r="AE770" s="55"/>
    </row>
    <row r="771" spans="2:31" s="28" customFormat="1" ht="15" customHeight="1" x14ac:dyDescent="0.25">
      <c r="B771" s="520"/>
      <c r="C771" s="23"/>
      <c r="D771" s="23"/>
      <c r="E771" s="24"/>
      <c r="H771" s="23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  <c r="AE771" s="55"/>
    </row>
    <row r="772" spans="2:31" s="28" customFormat="1" ht="15" customHeight="1" x14ac:dyDescent="0.25">
      <c r="B772" s="520"/>
      <c r="C772" s="23"/>
      <c r="D772" s="23"/>
      <c r="E772" s="24"/>
      <c r="H772" s="23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</row>
    <row r="773" spans="2:31" s="28" customFormat="1" ht="15" customHeight="1" x14ac:dyDescent="0.25">
      <c r="B773" s="520"/>
      <c r="C773" s="23"/>
      <c r="D773" s="23"/>
      <c r="E773" s="24"/>
      <c r="H773" s="23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</row>
    <row r="774" spans="2:31" s="28" customFormat="1" ht="15" customHeight="1" x14ac:dyDescent="0.25">
      <c r="B774" s="520"/>
      <c r="C774" s="23"/>
      <c r="D774" s="23"/>
      <c r="E774" s="24"/>
      <c r="H774" s="23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</row>
    <row r="775" spans="2:31" s="28" customFormat="1" ht="15" customHeight="1" x14ac:dyDescent="0.25">
      <c r="B775" s="520"/>
      <c r="C775" s="23"/>
      <c r="D775" s="23"/>
      <c r="E775" s="24"/>
      <c r="H775" s="23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</row>
    <row r="776" spans="2:31" s="28" customFormat="1" ht="15" customHeight="1" x14ac:dyDescent="0.25">
      <c r="B776" s="520"/>
      <c r="C776" s="23"/>
      <c r="D776" s="23"/>
      <c r="E776" s="24"/>
      <c r="H776" s="23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</row>
    <row r="777" spans="2:31" s="28" customFormat="1" ht="15" customHeight="1" x14ac:dyDescent="0.25">
      <c r="B777" s="520"/>
      <c r="C777" s="23"/>
      <c r="D777" s="23"/>
      <c r="E777" s="24"/>
      <c r="H777" s="23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  <c r="AE777" s="55"/>
    </row>
    <row r="778" spans="2:31" s="28" customFormat="1" ht="15" customHeight="1" x14ac:dyDescent="0.25">
      <c r="B778" s="520"/>
      <c r="C778" s="23"/>
      <c r="D778" s="23"/>
      <c r="E778" s="24"/>
      <c r="H778" s="23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  <c r="AB778" s="55"/>
      <c r="AC778" s="55"/>
      <c r="AD778" s="55"/>
      <c r="AE778" s="55"/>
    </row>
    <row r="779" spans="2:31" s="28" customFormat="1" ht="15" customHeight="1" x14ac:dyDescent="0.25">
      <c r="B779" s="520"/>
      <c r="C779" s="23"/>
      <c r="D779" s="23"/>
      <c r="E779" s="24"/>
      <c r="H779" s="23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  <c r="AD779" s="55"/>
      <c r="AE779" s="55"/>
    </row>
    <row r="780" spans="2:31" s="28" customFormat="1" ht="15" customHeight="1" x14ac:dyDescent="0.25">
      <c r="B780" s="520"/>
      <c r="C780" s="23"/>
      <c r="D780" s="23"/>
      <c r="E780" s="24"/>
      <c r="H780" s="23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  <c r="AE780" s="55"/>
    </row>
    <row r="781" spans="2:31" s="28" customFormat="1" ht="15" customHeight="1" x14ac:dyDescent="0.25">
      <c r="B781" s="520"/>
      <c r="C781" s="23"/>
      <c r="D781" s="23"/>
      <c r="E781" s="24"/>
      <c r="H781" s="23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  <c r="AE781" s="55"/>
    </row>
    <row r="782" spans="2:31" s="28" customFormat="1" ht="15" customHeight="1" x14ac:dyDescent="0.25">
      <c r="B782" s="520"/>
      <c r="C782" s="23"/>
      <c r="D782" s="23"/>
      <c r="E782" s="24"/>
      <c r="H782" s="23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  <c r="AE782" s="55"/>
    </row>
    <row r="783" spans="2:31" s="28" customFormat="1" ht="15" customHeight="1" x14ac:dyDescent="0.25">
      <c r="B783" s="520"/>
      <c r="C783" s="23"/>
      <c r="D783" s="23"/>
      <c r="E783" s="24"/>
      <c r="H783" s="23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  <c r="AD783" s="55"/>
      <c r="AE783" s="55"/>
    </row>
    <row r="784" spans="2:31" s="28" customFormat="1" ht="15" customHeight="1" x14ac:dyDescent="0.25">
      <c r="B784" s="520"/>
      <c r="C784" s="23"/>
      <c r="D784" s="23"/>
      <c r="E784" s="24"/>
      <c r="H784" s="23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  <c r="AD784" s="55"/>
      <c r="AE784" s="55"/>
    </row>
    <row r="785" spans="2:31" s="28" customFormat="1" ht="15" customHeight="1" x14ac:dyDescent="0.25">
      <c r="B785" s="520"/>
      <c r="C785" s="23"/>
      <c r="D785" s="23"/>
      <c r="E785" s="24"/>
      <c r="H785" s="23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  <c r="AD785" s="55"/>
      <c r="AE785" s="55"/>
    </row>
    <row r="786" spans="2:31" s="28" customFormat="1" ht="15" customHeight="1" x14ac:dyDescent="0.25">
      <c r="B786" s="520"/>
      <c r="C786" s="23"/>
      <c r="D786" s="23"/>
      <c r="E786" s="24"/>
      <c r="H786" s="23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  <c r="AD786" s="55"/>
      <c r="AE786" s="55"/>
    </row>
    <row r="787" spans="2:31" s="28" customFormat="1" ht="15" customHeight="1" x14ac:dyDescent="0.25">
      <c r="B787" s="520"/>
      <c r="C787" s="23"/>
      <c r="D787" s="23"/>
      <c r="E787" s="24"/>
      <c r="H787" s="23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  <c r="AB787" s="55"/>
      <c r="AC787" s="55"/>
      <c r="AD787" s="55"/>
      <c r="AE787" s="55"/>
    </row>
    <row r="788" spans="2:31" s="28" customFormat="1" ht="15" customHeight="1" x14ac:dyDescent="0.25">
      <c r="B788" s="520"/>
      <c r="C788" s="23"/>
      <c r="D788" s="23"/>
      <c r="E788" s="24"/>
      <c r="H788" s="23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  <c r="AD788" s="55"/>
      <c r="AE788" s="55"/>
    </row>
    <row r="789" spans="2:31" s="28" customFormat="1" ht="15" customHeight="1" x14ac:dyDescent="0.25">
      <c r="B789" s="520"/>
      <c r="C789" s="23"/>
      <c r="D789" s="23"/>
      <c r="E789" s="24"/>
      <c r="H789" s="23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  <c r="AD789" s="55"/>
      <c r="AE789" s="55"/>
    </row>
    <row r="790" spans="2:31" s="28" customFormat="1" ht="15" customHeight="1" x14ac:dyDescent="0.25">
      <c r="B790" s="520"/>
      <c r="C790" s="23"/>
      <c r="D790" s="23"/>
      <c r="E790" s="24"/>
      <c r="H790" s="23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  <c r="AE790" s="55"/>
    </row>
    <row r="791" spans="2:31" s="28" customFormat="1" ht="15" customHeight="1" x14ac:dyDescent="0.25">
      <c r="B791" s="520"/>
      <c r="C791" s="23"/>
      <c r="D791" s="23"/>
      <c r="E791" s="24"/>
      <c r="H791" s="23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  <c r="AD791" s="55"/>
      <c r="AE791" s="55"/>
    </row>
    <row r="792" spans="2:31" s="28" customFormat="1" ht="15" customHeight="1" x14ac:dyDescent="0.25">
      <c r="B792" s="520"/>
      <c r="C792" s="23"/>
      <c r="D792" s="23"/>
      <c r="E792" s="24"/>
      <c r="H792" s="23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  <c r="AE792" s="55"/>
    </row>
    <row r="793" spans="2:31" s="28" customFormat="1" ht="15" customHeight="1" x14ac:dyDescent="0.25">
      <c r="B793" s="520"/>
      <c r="C793" s="23"/>
      <c r="D793" s="23"/>
      <c r="E793" s="24"/>
      <c r="H793" s="23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  <c r="AD793" s="55"/>
      <c r="AE793" s="55"/>
    </row>
    <row r="794" spans="2:31" s="28" customFormat="1" ht="15" customHeight="1" x14ac:dyDescent="0.25">
      <c r="B794" s="520"/>
      <c r="C794" s="23"/>
      <c r="D794" s="23"/>
      <c r="E794" s="24"/>
      <c r="H794" s="23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  <c r="AE794" s="55"/>
    </row>
    <row r="795" spans="2:31" s="28" customFormat="1" ht="15" customHeight="1" x14ac:dyDescent="0.25">
      <c r="B795" s="520"/>
      <c r="C795" s="23"/>
      <c r="D795" s="23"/>
      <c r="E795" s="24"/>
      <c r="H795" s="23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  <c r="AB795" s="55"/>
      <c r="AC795" s="55"/>
      <c r="AD795" s="55"/>
      <c r="AE795" s="55"/>
    </row>
    <row r="796" spans="2:31" s="28" customFormat="1" ht="15" customHeight="1" x14ac:dyDescent="0.25">
      <c r="B796" s="520"/>
      <c r="C796" s="23"/>
      <c r="D796" s="23"/>
      <c r="E796" s="24"/>
      <c r="H796" s="23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  <c r="AE796" s="55"/>
    </row>
    <row r="797" spans="2:31" s="28" customFormat="1" ht="15" customHeight="1" x14ac:dyDescent="0.25">
      <c r="B797" s="520"/>
      <c r="C797" s="23"/>
      <c r="D797" s="23"/>
      <c r="E797" s="24"/>
      <c r="H797" s="23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  <c r="AD797" s="55"/>
      <c r="AE797" s="55"/>
    </row>
    <row r="798" spans="2:31" s="28" customFormat="1" ht="15" customHeight="1" x14ac:dyDescent="0.25">
      <c r="B798" s="520"/>
      <c r="C798" s="23"/>
      <c r="D798" s="23"/>
      <c r="E798" s="24"/>
      <c r="H798" s="23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  <c r="AD798" s="55"/>
      <c r="AE798" s="55"/>
    </row>
    <row r="799" spans="2:31" s="28" customFormat="1" ht="15" customHeight="1" x14ac:dyDescent="0.25">
      <c r="B799" s="520"/>
      <c r="C799" s="23"/>
      <c r="D799" s="23"/>
      <c r="E799" s="24"/>
      <c r="H799" s="23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  <c r="AE799" s="55"/>
    </row>
    <row r="800" spans="2:31" s="28" customFormat="1" ht="15" customHeight="1" x14ac:dyDescent="0.25">
      <c r="B800" s="520"/>
      <c r="C800" s="23"/>
      <c r="D800" s="23"/>
      <c r="E800" s="24"/>
      <c r="H800" s="23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  <c r="AD800" s="55"/>
      <c r="AE800" s="55"/>
    </row>
    <row r="801" spans="2:31" s="28" customFormat="1" ht="15" customHeight="1" x14ac:dyDescent="0.25">
      <c r="B801" s="520"/>
      <c r="C801" s="23"/>
      <c r="D801" s="23"/>
      <c r="E801" s="24"/>
      <c r="H801" s="23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  <c r="AD801" s="55"/>
      <c r="AE801" s="55"/>
    </row>
    <row r="802" spans="2:31" s="28" customFormat="1" ht="15" customHeight="1" x14ac:dyDescent="0.25">
      <c r="B802" s="520"/>
      <c r="C802" s="23"/>
      <c r="D802" s="23"/>
      <c r="E802" s="24"/>
      <c r="H802" s="23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  <c r="AD802" s="55"/>
      <c r="AE802" s="55"/>
    </row>
    <row r="803" spans="2:31" s="28" customFormat="1" ht="15" customHeight="1" x14ac:dyDescent="0.25">
      <c r="B803" s="520"/>
      <c r="C803" s="23"/>
      <c r="D803" s="23"/>
      <c r="E803" s="24"/>
      <c r="H803" s="23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  <c r="AD803" s="55"/>
      <c r="AE803" s="55"/>
    </row>
    <row r="804" spans="2:31" s="28" customFormat="1" ht="15" customHeight="1" x14ac:dyDescent="0.25">
      <c r="B804" s="520"/>
      <c r="C804" s="23"/>
      <c r="D804" s="23"/>
      <c r="E804" s="24"/>
      <c r="H804" s="23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  <c r="AD804" s="55"/>
      <c r="AE804" s="55"/>
    </row>
    <row r="805" spans="2:31" s="28" customFormat="1" ht="15" customHeight="1" x14ac:dyDescent="0.25">
      <c r="B805" s="520"/>
      <c r="C805" s="23"/>
      <c r="D805" s="23"/>
      <c r="E805" s="24"/>
      <c r="H805" s="23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  <c r="AB805" s="55"/>
      <c r="AC805" s="55"/>
      <c r="AD805" s="55"/>
      <c r="AE805" s="55"/>
    </row>
    <row r="806" spans="2:31" s="28" customFormat="1" ht="15" customHeight="1" x14ac:dyDescent="0.25">
      <c r="B806" s="520"/>
      <c r="C806" s="23"/>
      <c r="D806" s="23"/>
      <c r="E806" s="24"/>
      <c r="H806" s="23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  <c r="AD806" s="55"/>
      <c r="AE806" s="55"/>
    </row>
    <row r="807" spans="2:31" s="28" customFormat="1" ht="15" customHeight="1" x14ac:dyDescent="0.25">
      <c r="B807" s="520"/>
      <c r="C807" s="23"/>
      <c r="D807" s="23"/>
      <c r="E807" s="24"/>
      <c r="H807" s="23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  <c r="AB807" s="55"/>
      <c r="AC807" s="55"/>
      <c r="AD807" s="55"/>
      <c r="AE807" s="55"/>
    </row>
    <row r="808" spans="2:31" s="28" customFormat="1" ht="15" customHeight="1" x14ac:dyDescent="0.25">
      <c r="B808" s="520"/>
      <c r="C808" s="23"/>
      <c r="D808" s="23"/>
      <c r="E808" s="24"/>
      <c r="H808" s="23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  <c r="AD808" s="55"/>
      <c r="AE808" s="55"/>
    </row>
    <row r="809" spans="2:31" s="28" customFormat="1" ht="15" customHeight="1" x14ac:dyDescent="0.25">
      <c r="B809" s="520"/>
      <c r="C809" s="23"/>
      <c r="D809" s="23"/>
      <c r="E809" s="24"/>
      <c r="H809" s="23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  <c r="AD809" s="55"/>
      <c r="AE809" s="55"/>
    </row>
    <row r="810" spans="2:31" s="28" customFormat="1" ht="15" customHeight="1" x14ac:dyDescent="0.25">
      <c r="B810" s="520"/>
      <c r="C810" s="23"/>
      <c r="D810" s="23"/>
      <c r="E810" s="24"/>
      <c r="H810" s="23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  <c r="AD810" s="55"/>
      <c r="AE810" s="55"/>
    </row>
    <row r="811" spans="2:31" s="28" customFormat="1" ht="15" customHeight="1" x14ac:dyDescent="0.25">
      <c r="B811" s="520"/>
      <c r="C811" s="23"/>
      <c r="D811" s="23"/>
      <c r="E811" s="24"/>
      <c r="H811" s="23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  <c r="AB811" s="55"/>
      <c r="AC811" s="55"/>
      <c r="AD811" s="55"/>
      <c r="AE811" s="55"/>
    </row>
    <row r="812" spans="2:31" s="28" customFormat="1" ht="15" customHeight="1" x14ac:dyDescent="0.25">
      <c r="B812" s="520"/>
      <c r="C812" s="23"/>
      <c r="D812" s="23"/>
      <c r="E812" s="24"/>
      <c r="H812" s="23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  <c r="AD812" s="55"/>
      <c r="AE812" s="55"/>
    </row>
    <row r="813" spans="2:31" s="28" customFormat="1" ht="15" customHeight="1" x14ac:dyDescent="0.25">
      <c r="B813" s="520"/>
      <c r="C813" s="23"/>
      <c r="D813" s="23"/>
      <c r="E813" s="24"/>
      <c r="H813" s="23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  <c r="AD813" s="55"/>
      <c r="AE813" s="55"/>
    </row>
    <row r="814" spans="2:31" s="28" customFormat="1" ht="15" customHeight="1" x14ac:dyDescent="0.25">
      <c r="B814" s="520"/>
      <c r="C814" s="23"/>
      <c r="D814" s="23"/>
      <c r="E814" s="24"/>
      <c r="H814" s="23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  <c r="AD814" s="55"/>
      <c r="AE814" s="55"/>
    </row>
    <row r="815" spans="2:31" s="28" customFormat="1" ht="15" customHeight="1" x14ac:dyDescent="0.25">
      <c r="B815" s="520"/>
      <c r="C815" s="23"/>
      <c r="D815" s="23"/>
      <c r="E815" s="24"/>
      <c r="H815" s="23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  <c r="AD815" s="55"/>
      <c r="AE815" s="55"/>
    </row>
    <row r="816" spans="2:31" s="28" customFormat="1" ht="15" customHeight="1" x14ac:dyDescent="0.25">
      <c r="B816" s="520"/>
      <c r="C816" s="23"/>
      <c r="D816" s="23"/>
      <c r="E816" s="24"/>
      <c r="H816" s="23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  <c r="AD816" s="55"/>
      <c r="AE816" s="55"/>
    </row>
    <row r="817" spans="2:31" s="28" customFormat="1" ht="15" customHeight="1" x14ac:dyDescent="0.25">
      <c r="B817" s="520"/>
      <c r="C817" s="23"/>
      <c r="D817" s="23"/>
      <c r="E817" s="24"/>
      <c r="H817" s="23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  <c r="AB817" s="55"/>
      <c r="AC817" s="55"/>
      <c r="AD817" s="55"/>
      <c r="AE817" s="55"/>
    </row>
    <row r="818" spans="2:31" s="28" customFormat="1" ht="15" customHeight="1" x14ac:dyDescent="0.25">
      <c r="B818" s="520"/>
      <c r="C818" s="23"/>
      <c r="D818" s="23"/>
      <c r="E818" s="24"/>
      <c r="H818" s="23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  <c r="AB818" s="55"/>
      <c r="AC818" s="55"/>
      <c r="AD818" s="55"/>
      <c r="AE818" s="55"/>
    </row>
    <row r="819" spans="2:31" s="28" customFormat="1" ht="15" customHeight="1" x14ac:dyDescent="0.25">
      <c r="B819" s="520"/>
      <c r="C819" s="23"/>
      <c r="D819" s="23"/>
      <c r="E819" s="24"/>
      <c r="H819" s="23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/>
      <c r="AC819" s="55"/>
      <c r="AD819" s="55"/>
      <c r="AE819" s="55"/>
    </row>
    <row r="820" spans="2:31" s="28" customFormat="1" ht="15" customHeight="1" x14ac:dyDescent="0.25">
      <c r="B820" s="520"/>
      <c r="C820" s="23"/>
      <c r="D820" s="23"/>
      <c r="E820" s="24"/>
      <c r="H820" s="23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  <c r="AD820" s="55"/>
      <c r="AE820" s="55"/>
    </row>
    <row r="821" spans="2:31" s="28" customFormat="1" ht="15" customHeight="1" x14ac:dyDescent="0.25">
      <c r="B821" s="520"/>
      <c r="C821" s="23"/>
      <c r="D821" s="23"/>
      <c r="E821" s="24"/>
      <c r="H821" s="23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  <c r="AB821" s="55"/>
      <c r="AC821" s="55"/>
      <c r="AD821" s="55"/>
      <c r="AE821" s="55"/>
    </row>
    <row r="822" spans="2:31" s="28" customFormat="1" ht="15" customHeight="1" x14ac:dyDescent="0.25">
      <c r="B822" s="520"/>
      <c r="C822" s="23"/>
      <c r="D822" s="23"/>
      <c r="E822" s="24"/>
      <c r="H822" s="23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  <c r="AB822" s="55"/>
      <c r="AC822" s="55"/>
      <c r="AD822" s="55"/>
      <c r="AE822" s="55"/>
    </row>
    <row r="823" spans="2:31" s="28" customFormat="1" ht="15" customHeight="1" x14ac:dyDescent="0.25">
      <c r="B823" s="520"/>
      <c r="C823" s="23"/>
      <c r="D823" s="23"/>
      <c r="E823" s="24"/>
      <c r="H823" s="23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  <c r="AD823" s="55"/>
      <c r="AE823" s="55"/>
    </row>
    <row r="824" spans="2:31" s="28" customFormat="1" ht="15" customHeight="1" x14ac:dyDescent="0.25">
      <c r="B824" s="520"/>
      <c r="C824" s="23"/>
      <c r="D824" s="23"/>
      <c r="E824" s="24"/>
      <c r="H824" s="23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  <c r="AB824" s="55"/>
      <c r="AC824" s="55"/>
      <c r="AD824" s="55"/>
      <c r="AE824" s="55"/>
    </row>
    <row r="825" spans="2:31" s="28" customFormat="1" ht="15" customHeight="1" x14ac:dyDescent="0.25">
      <c r="B825" s="520"/>
      <c r="C825" s="23"/>
      <c r="D825" s="23"/>
      <c r="E825" s="24"/>
      <c r="H825" s="23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/>
      <c r="AC825" s="55"/>
      <c r="AD825" s="55"/>
      <c r="AE825" s="55"/>
    </row>
    <row r="826" spans="2:31" s="28" customFormat="1" ht="15" customHeight="1" x14ac:dyDescent="0.25">
      <c r="B826" s="520"/>
      <c r="C826" s="23"/>
      <c r="D826" s="23"/>
      <c r="E826" s="24"/>
      <c r="H826" s="23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  <c r="AB826" s="55"/>
      <c r="AC826" s="55"/>
      <c r="AD826" s="55"/>
      <c r="AE826" s="55"/>
    </row>
    <row r="827" spans="2:31" s="28" customFormat="1" ht="15" customHeight="1" x14ac:dyDescent="0.25">
      <c r="B827" s="520"/>
      <c r="C827" s="23"/>
      <c r="D827" s="23"/>
      <c r="E827" s="24"/>
      <c r="H827" s="23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  <c r="AB827" s="55"/>
      <c r="AC827" s="55"/>
      <c r="AD827" s="55"/>
      <c r="AE827" s="55"/>
    </row>
    <row r="828" spans="2:31" s="28" customFormat="1" ht="15" customHeight="1" x14ac:dyDescent="0.25">
      <c r="B828" s="520"/>
      <c r="C828" s="23"/>
      <c r="D828" s="23"/>
      <c r="E828" s="24"/>
      <c r="H828" s="23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  <c r="AB828" s="55"/>
      <c r="AC828" s="55"/>
      <c r="AD828" s="55"/>
      <c r="AE828" s="55"/>
    </row>
    <row r="829" spans="2:31" s="28" customFormat="1" ht="15" customHeight="1" x14ac:dyDescent="0.25">
      <c r="B829" s="520"/>
      <c r="C829" s="23"/>
      <c r="D829" s="23"/>
      <c r="E829" s="24"/>
      <c r="H829" s="23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  <c r="AB829" s="55"/>
      <c r="AC829" s="55"/>
      <c r="AD829" s="55"/>
      <c r="AE829" s="55"/>
    </row>
    <row r="830" spans="2:31" s="28" customFormat="1" ht="15" customHeight="1" x14ac:dyDescent="0.25">
      <c r="B830" s="520"/>
      <c r="C830" s="23"/>
      <c r="D830" s="23"/>
      <c r="E830" s="24"/>
      <c r="H830" s="23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  <c r="AB830" s="55"/>
      <c r="AC830" s="55"/>
      <c r="AD830" s="55"/>
      <c r="AE830" s="55"/>
    </row>
    <row r="831" spans="2:31" s="28" customFormat="1" ht="15" customHeight="1" x14ac:dyDescent="0.25">
      <c r="B831" s="520"/>
      <c r="C831" s="23"/>
      <c r="D831" s="23"/>
      <c r="E831" s="24"/>
      <c r="H831" s="23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  <c r="AB831" s="55"/>
      <c r="AC831" s="55"/>
      <c r="AD831" s="55"/>
      <c r="AE831" s="55"/>
    </row>
    <row r="832" spans="2:31" s="28" customFormat="1" ht="15" customHeight="1" x14ac:dyDescent="0.25">
      <c r="B832" s="520"/>
      <c r="C832" s="23"/>
      <c r="D832" s="23"/>
      <c r="E832" s="24"/>
      <c r="H832" s="23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  <c r="AD832" s="55"/>
      <c r="AE832" s="55"/>
    </row>
    <row r="833" spans="2:31" s="28" customFormat="1" ht="15" customHeight="1" x14ac:dyDescent="0.25">
      <c r="B833" s="520"/>
      <c r="C833" s="23"/>
      <c r="D833" s="23"/>
      <c r="E833" s="24"/>
      <c r="H833" s="23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  <c r="AB833" s="55"/>
      <c r="AC833" s="55"/>
      <c r="AD833" s="55"/>
      <c r="AE833" s="55"/>
    </row>
    <row r="834" spans="2:31" s="28" customFormat="1" ht="15" customHeight="1" x14ac:dyDescent="0.25">
      <c r="B834" s="520"/>
      <c r="C834" s="23"/>
      <c r="D834" s="23"/>
      <c r="E834" s="24"/>
      <c r="H834" s="23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  <c r="AD834" s="55"/>
      <c r="AE834" s="55"/>
    </row>
    <row r="835" spans="2:31" s="28" customFormat="1" ht="15" customHeight="1" x14ac:dyDescent="0.25">
      <c r="B835" s="520"/>
      <c r="C835" s="23"/>
      <c r="D835" s="23"/>
      <c r="E835" s="24"/>
      <c r="H835" s="23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  <c r="AD835" s="55"/>
      <c r="AE835" s="55"/>
    </row>
    <row r="836" spans="2:31" s="28" customFormat="1" ht="15" customHeight="1" x14ac:dyDescent="0.25">
      <c r="B836" s="520"/>
      <c r="C836" s="23"/>
      <c r="D836" s="23"/>
      <c r="E836" s="24"/>
      <c r="H836" s="23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/>
      <c r="AE836" s="55"/>
    </row>
    <row r="837" spans="2:31" s="28" customFormat="1" ht="15" customHeight="1" x14ac:dyDescent="0.25">
      <c r="B837" s="520"/>
      <c r="C837" s="23"/>
      <c r="D837" s="23"/>
      <c r="E837" s="24"/>
      <c r="H837" s="23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  <c r="AE837" s="55"/>
    </row>
    <row r="838" spans="2:31" s="28" customFormat="1" ht="15" customHeight="1" x14ac:dyDescent="0.25">
      <c r="B838" s="520"/>
      <c r="C838" s="23"/>
      <c r="D838" s="23"/>
      <c r="E838" s="24"/>
      <c r="H838" s="23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  <c r="AE838" s="55"/>
    </row>
    <row r="839" spans="2:31" s="28" customFormat="1" ht="15" customHeight="1" x14ac:dyDescent="0.25">
      <c r="B839" s="520"/>
      <c r="C839" s="23"/>
      <c r="D839" s="23"/>
      <c r="E839" s="24"/>
      <c r="H839" s="23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  <c r="AD839" s="55"/>
      <c r="AE839" s="55"/>
    </row>
    <row r="840" spans="2:31" s="28" customFormat="1" ht="15" customHeight="1" x14ac:dyDescent="0.25">
      <c r="B840" s="520"/>
      <c r="C840" s="23"/>
      <c r="D840" s="23"/>
      <c r="E840" s="24"/>
      <c r="H840" s="23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  <c r="AD840" s="55"/>
      <c r="AE840" s="55"/>
    </row>
    <row r="841" spans="2:31" s="28" customFormat="1" ht="15" customHeight="1" x14ac:dyDescent="0.25">
      <c r="B841" s="520"/>
      <c r="C841" s="23"/>
      <c r="D841" s="23"/>
      <c r="E841" s="24"/>
      <c r="H841" s="23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  <c r="AB841" s="55"/>
      <c r="AC841" s="55"/>
      <c r="AD841" s="55"/>
      <c r="AE841" s="55"/>
    </row>
    <row r="842" spans="2:31" s="28" customFormat="1" ht="15" customHeight="1" x14ac:dyDescent="0.25">
      <c r="B842" s="520"/>
      <c r="C842" s="23"/>
      <c r="D842" s="23"/>
      <c r="E842" s="24"/>
      <c r="H842" s="23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  <c r="AB842" s="55"/>
      <c r="AC842" s="55"/>
      <c r="AD842" s="55"/>
      <c r="AE842" s="55"/>
    </row>
    <row r="843" spans="2:31" s="28" customFormat="1" ht="15" customHeight="1" x14ac:dyDescent="0.25">
      <c r="B843" s="520"/>
      <c r="C843" s="23"/>
      <c r="D843" s="23"/>
      <c r="E843" s="24"/>
      <c r="H843" s="23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  <c r="AB843" s="55"/>
      <c r="AC843" s="55"/>
      <c r="AD843" s="55"/>
      <c r="AE843" s="55"/>
    </row>
    <row r="844" spans="2:31" s="28" customFormat="1" ht="15" customHeight="1" x14ac:dyDescent="0.25">
      <c r="B844" s="520"/>
      <c r="C844" s="23"/>
      <c r="D844" s="23"/>
      <c r="E844" s="24"/>
      <c r="H844" s="23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  <c r="AB844" s="55"/>
      <c r="AC844" s="55"/>
      <c r="AD844" s="55"/>
      <c r="AE844" s="55"/>
    </row>
    <row r="845" spans="2:31" s="28" customFormat="1" ht="15" customHeight="1" x14ac:dyDescent="0.25">
      <c r="B845" s="520"/>
      <c r="C845" s="23"/>
      <c r="D845" s="23"/>
      <c r="E845" s="24"/>
      <c r="H845" s="23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  <c r="AD845" s="55"/>
      <c r="AE845" s="55"/>
    </row>
    <row r="846" spans="2:31" s="28" customFormat="1" ht="15" customHeight="1" x14ac:dyDescent="0.25">
      <c r="B846" s="520"/>
      <c r="C846" s="23"/>
      <c r="D846" s="23"/>
      <c r="E846" s="24"/>
      <c r="H846" s="23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  <c r="AD846" s="55"/>
      <c r="AE846" s="55"/>
    </row>
    <row r="847" spans="2:31" s="28" customFormat="1" ht="15" customHeight="1" x14ac:dyDescent="0.25">
      <c r="B847" s="520"/>
      <c r="C847" s="23"/>
      <c r="D847" s="23"/>
      <c r="E847" s="24"/>
      <c r="H847" s="23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  <c r="AB847" s="55"/>
      <c r="AC847" s="55"/>
      <c r="AD847" s="55"/>
      <c r="AE847" s="55"/>
    </row>
    <row r="848" spans="2:31" s="28" customFormat="1" ht="15" customHeight="1" x14ac:dyDescent="0.25">
      <c r="B848" s="520"/>
      <c r="C848" s="23"/>
      <c r="D848" s="23"/>
      <c r="E848" s="24"/>
      <c r="H848" s="23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  <c r="AD848" s="55"/>
      <c r="AE848" s="55"/>
    </row>
    <row r="849" spans="2:31" s="28" customFormat="1" ht="15" customHeight="1" x14ac:dyDescent="0.25">
      <c r="B849" s="520"/>
      <c r="C849" s="23"/>
      <c r="D849" s="23"/>
      <c r="E849" s="24"/>
      <c r="H849" s="23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  <c r="AB849" s="55"/>
      <c r="AC849" s="55"/>
      <c r="AD849" s="55"/>
      <c r="AE849" s="55"/>
    </row>
    <row r="850" spans="2:31" s="28" customFormat="1" ht="15" customHeight="1" x14ac:dyDescent="0.25">
      <c r="B850" s="520"/>
      <c r="C850" s="23"/>
      <c r="D850" s="23"/>
      <c r="E850" s="24"/>
      <c r="H850" s="23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  <c r="AD850" s="55"/>
      <c r="AE850" s="55"/>
    </row>
    <row r="851" spans="2:31" s="28" customFormat="1" ht="15" customHeight="1" x14ac:dyDescent="0.25">
      <c r="B851" s="520"/>
      <c r="C851" s="23"/>
      <c r="D851" s="23"/>
      <c r="E851" s="24"/>
      <c r="H851" s="23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  <c r="AD851" s="55"/>
      <c r="AE851" s="55"/>
    </row>
    <row r="852" spans="2:31" s="28" customFormat="1" ht="15" customHeight="1" x14ac:dyDescent="0.25">
      <c r="B852" s="520"/>
      <c r="C852" s="23"/>
      <c r="D852" s="23"/>
      <c r="E852" s="24"/>
      <c r="H852" s="23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  <c r="AD852" s="55"/>
      <c r="AE852" s="55"/>
    </row>
    <row r="853" spans="2:31" s="28" customFormat="1" ht="15" customHeight="1" x14ac:dyDescent="0.25">
      <c r="B853" s="520"/>
      <c r="C853" s="23"/>
      <c r="D853" s="23"/>
      <c r="E853" s="24"/>
      <c r="H853" s="23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  <c r="AD853" s="55"/>
      <c r="AE853" s="55"/>
    </row>
    <row r="854" spans="2:31" s="28" customFormat="1" ht="15" customHeight="1" x14ac:dyDescent="0.25">
      <c r="B854" s="520"/>
      <c r="C854" s="23"/>
      <c r="D854" s="23"/>
      <c r="E854" s="24"/>
      <c r="H854" s="23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  <c r="AD854" s="55"/>
      <c r="AE854" s="55"/>
    </row>
    <row r="855" spans="2:31" s="28" customFormat="1" ht="15" customHeight="1" x14ac:dyDescent="0.25">
      <c r="B855" s="520"/>
      <c r="C855" s="23"/>
      <c r="D855" s="23"/>
      <c r="E855" s="24"/>
      <c r="H855" s="23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  <c r="AD855" s="55"/>
      <c r="AE855" s="55"/>
    </row>
    <row r="856" spans="2:31" s="28" customFormat="1" ht="15" customHeight="1" x14ac:dyDescent="0.25">
      <c r="B856" s="520"/>
      <c r="C856" s="23"/>
      <c r="D856" s="23"/>
      <c r="E856" s="24"/>
      <c r="H856" s="23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  <c r="AD856" s="55"/>
      <c r="AE856" s="55"/>
    </row>
    <row r="857" spans="2:31" s="28" customFormat="1" ht="15" customHeight="1" x14ac:dyDescent="0.25">
      <c r="B857" s="520"/>
      <c r="C857" s="23"/>
      <c r="D857" s="23"/>
      <c r="E857" s="24"/>
      <c r="H857" s="23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  <c r="AB857" s="55"/>
      <c r="AC857" s="55"/>
      <c r="AD857" s="55"/>
      <c r="AE857" s="55"/>
    </row>
    <row r="858" spans="2:31" s="28" customFormat="1" ht="15" customHeight="1" x14ac:dyDescent="0.25">
      <c r="B858" s="520"/>
      <c r="C858" s="23"/>
      <c r="D858" s="23"/>
      <c r="E858" s="24"/>
      <c r="H858" s="23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  <c r="AB858" s="55"/>
      <c r="AC858" s="55"/>
      <c r="AD858" s="55"/>
      <c r="AE858" s="55"/>
    </row>
    <row r="859" spans="2:31" s="28" customFormat="1" ht="15" customHeight="1" x14ac:dyDescent="0.25">
      <c r="B859" s="520"/>
      <c r="C859" s="23"/>
      <c r="D859" s="23"/>
      <c r="E859" s="24"/>
      <c r="H859" s="23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  <c r="AB859" s="55"/>
      <c r="AC859" s="55"/>
      <c r="AD859" s="55"/>
      <c r="AE859" s="55"/>
    </row>
    <row r="860" spans="2:31" s="28" customFormat="1" ht="15" customHeight="1" x14ac:dyDescent="0.25">
      <c r="B860" s="520"/>
      <c r="C860" s="23"/>
      <c r="D860" s="23"/>
      <c r="E860" s="24"/>
      <c r="H860" s="23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  <c r="AB860" s="55"/>
      <c r="AC860" s="55"/>
      <c r="AD860" s="55"/>
      <c r="AE860" s="55"/>
    </row>
    <row r="861" spans="2:31" s="28" customFormat="1" ht="15" customHeight="1" x14ac:dyDescent="0.25">
      <c r="B861" s="520"/>
      <c r="C861" s="23"/>
      <c r="D861" s="23"/>
      <c r="E861" s="24"/>
      <c r="H861" s="23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  <c r="AA861" s="55"/>
      <c r="AB861" s="55"/>
      <c r="AC861" s="55"/>
      <c r="AD861" s="55"/>
      <c r="AE861" s="55"/>
    </row>
    <row r="862" spans="2:31" s="28" customFormat="1" ht="15" customHeight="1" x14ac:dyDescent="0.25">
      <c r="B862" s="520"/>
      <c r="C862" s="23"/>
      <c r="D862" s="23"/>
      <c r="E862" s="24"/>
      <c r="H862" s="23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  <c r="AD862" s="55"/>
      <c r="AE862" s="55"/>
    </row>
    <row r="863" spans="2:31" s="28" customFormat="1" ht="15" customHeight="1" x14ac:dyDescent="0.25">
      <c r="B863" s="520"/>
      <c r="C863" s="23"/>
      <c r="D863" s="23"/>
      <c r="E863" s="24"/>
      <c r="H863" s="23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  <c r="AD863" s="55"/>
      <c r="AE863" s="55"/>
    </row>
    <row r="864" spans="2:31" s="28" customFormat="1" ht="15" customHeight="1" x14ac:dyDescent="0.25">
      <c r="B864" s="520"/>
      <c r="C864" s="23"/>
      <c r="D864" s="23"/>
      <c r="E864" s="24"/>
      <c r="H864" s="23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  <c r="AD864" s="55"/>
      <c r="AE864" s="55"/>
    </row>
    <row r="865" spans="2:31" s="28" customFormat="1" ht="15" customHeight="1" x14ac:dyDescent="0.25">
      <c r="B865" s="520"/>
      <c r="C865" s="23"/>
      <c r="D865" s="23"/>
      <c r="E865" s="24"/>
      <c r="H865" s="23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  <c r="AB865" s="55"/>
      <c r="AC865" s="55"/>
      <c r="AD865" s="55"/>
      <c r="AE865" s="55"/>
    </row>
    <row r="866" spans="2:31" s="28" customFormat="1" ht="15" customHeight="1" x14ac:dyDescent="0.25">
      <c r="B866" s="520"/>
      <c r="C866" s="23"/>
      <c r="D866" s="23"/>
      <c r="E866" s="24"/>
      <c r="H866" s="23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  <c r="AB866" s="55"/>
      <c r="AC866" s="55"/>
      <c r="AD866" s="55"/>
      <c r="AE866" s="55"/>
    </row>
    <row r="867" spans="2:31" s="28" customFormat="1" ht="15" customHeight="1" x14ac:dyDescent="0.25">
      <c r="B867" s="520"/>
      <c r="C867" s="23"/>
      <c r="D867" s="23"/>
      <c r="E867" s="24"/>
      <c r="H867" s="23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  <c r="AD867" s="55"/>
      <c r="AE867" s="55"/>
    </row>
    <row r="868" spans="2:31" s="28" customFormat="1" ht="15" customHeight="1" x14ac:dyDescent="0.25">
      <c r="B868" s="520"/>
      <c r="C868" s="23"/>
      <c r="D868" s="23"/>
      <c r="E868" s="24"/>
      <c r="H868" s="23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  <c r="AD868" s="55"/>
      <c r="AE868" s="55"/>
    </row>
    <row r="869" spans="2:31" s="28" customFormat="1" ht="15" customHeight="1" x14ac:dyDescent="0.25">
      <c r="B869" s="520"/>
      <c r="C869" s="23"/>
      <c r="D869" s="23"/>
      <c r="E869" s="24"/>
      <c r="H869" s="23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  <c r="AB869" s="55"/>
      <c r="AC869" s="55"/>
      <c r="AD869" s="55"/>
      <c r="AE869" s="55"/>
    </row>
    <row r="870" spans="2:31" s="28" customFormat="1" ht="15" customHeight="1" x14ac:dyDescent="0.25">
      <c r="B870" s="520"/>
      <c r="C870" s="23"/>
      <c r="D870" s="23"/>
      <c r="E870" s="24"/>
      <c r="H870" s="23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  <c r="AD870" s="55"/>
      <c r="AE870" s="55"/>
    </row>
    <row r="871" spans="2:31" s="28" customFormat="1" ht="15" customHeight="1" x14ac:dyDescent="0.25">
      <c r="B871" s="520"/>
      <c r="C871" s="23"/>
      <c r="D871" s="23"/>
      <c r="E871" s="24"/>
      <c r="H871" s="23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  <c r="AB871" s="55"/>
      <c r="AC871" s="55"/>
      <c r="AD871" s="55"/>
      <c r="AE871" s="55"/>
    </row>
    <row r="872" spans="2:31" s="28" customFormat="1" ht="15" customHeight="1" x14ac:dyDescent="0.25">
      <c r="B872" s="520"/>
      <c r="C872" s="23"/>
      <c r="D872" s="23"/>
      <c r="E872" s="24"/>
      <c r="H872" s="23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  <c r="AB872" s="55"/>
      <c r="AC872" s="55"/>
      <c r="AD872" s="55"/>
      <c r="AE872" s="55"/>
    </row>
    <row r="873" spans="2:31" s="28" customFormat="1" ht="15" customHeight="1" x14ac:dyDescent="0.25">
      <c r="B873" s="520"/>
      <c r="C873" s="23"/>
      <c r="D873" s="23"/>
      <c r="E873" s="24"/>
      <c r="H873" s="23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  <c r="AB873" s="55"/>
      <c r="AC873" s="55"/>
      <c r="AD873" s="55"/>
      <c r="AE873" s="55"/>
    </row>
    <row r="874" spans="2:31" s="28" customFormat="1" ht="15" customHeight="1" x14ac:dyDescent="0.25">
      <c r="B874" s="520"/>
      <c r="C874" s="23"/>
      <c r="D874" s="23"/>
      <c r="E874" s="24"/>
      <c r="H874" s="23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  <c r="AB874" s="55"/>
      <c r="AC874" s="55"/>
      <c r="AD874" s="55"/>
      <c r="AE874" s="55"/>
    </row>
    <row r="875" spans="2:31" s="28" customFormat="1" ht="15" customHeight="1" x14ac:dyDescent="0.25">
      <c r="B875" s="520"/>
      <c r="C875" s="23"/>
      <c r="D875" s="23"/>
      <c r="E875" s="24"/>
      <c r="H875" s="23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  <c r="AB875" s="55"/>
      <c r="AC875" s="55"/>
      <c r="AD875" s="55"/>
      <c r="AE875" s="55"/>
    </row>
    <row r="876" spans="2:31" s="28" customFormat="1" ht="15" customHeight="1" x14ac:dyDescent="0.25">
      <c r="B876" s="520"/>
      <c r="C876" s="23"/>
      <c r="D876" s="23"/>
      <c r="E876" s="24"/>
      <c r="H876" s="23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  <c r="AB876" s="55"/>
      <c r="AC876" s="55"/>
      <c r="AD876" s="55"/>
      <c r="AE876" s="55"/>
    </row>
    <row r="877" spans="2:31" s="28" customFormat="1" ht="15" customHeight="1" x14ac:dyDescent="0.25">
      <c r="B877" s="520"/>
      <c r="C877" s="23"/>
      <c r="D877" s="23"/>
      <c r="E877" s="24"/>
      <c r="H877" s="23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  <c r="AB877" s="55"/>
      <c r="AC877" s="55"/>
      <c r="AD877" s="55"/>
      <c r="AE877" s="55"/>
    </row>
    <row r="878" spans="2:31" s="28" customFormat="1" ht="15" customHeight="1" x14ac:dyDescent="0.25">
      <c r="B878" s="520"/>
      <c r="C878" s="23"/>
      <c r="D878" s="23"/>
      <c r="E878" s="24"/>
      <c r="H878" s="23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  <c r="AB878" s="55"/>
      <c r="AC878" s="55"/>
      <c r="AD878" s="55"/>
      <c r="AE878" s="55"/>
    </row>
    <row r="879" spans="2:31" s="28" customFormat="1" ht="15" customHeight="1" x14ac:dyDescent="0.25">
      <c r="B879" s="520"/>
      <c r="C879" s="23"/>
      <c r="D879" s="23"/>
      <c r="E879" s="24"/>
      <c r="H879" s="23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  <c r="AB879" s="55"/>
      <c r="AC879" s="55"/>
      <c r="AD879" s="55"/>
      <c r="AE879" s="55"/>
    </row>
    <row r="880" spans="2:31" s="28" customFormat="1" ht="15" customHeight="1" x14ac:dyDescent="0.25">
      <c r="B880" s="520"/>
      <c r="C880" s="23"/>
      <c r="D880" s="23"/>
      <c r="E880" s="24"/>
      <c r="H880" s="23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  <c r="AB880" s="55"/>
      <c r="AC880" s="55"/>
      <c r="AD880" s="55"/>
      <c r="AE880" s="55"/>
    </row>
    <row r="881" spans="2:31" s="28" customFormat="1" ht="15" customHeight="1" x14ac:dyDescent="0.25">
      <c r="B881" s="520"/>
      <c r="C881" s="23"/>
      <c r="D881" s="23"/>
      <c r="E881" s="24"/>
      <c r="H881" s="23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  <c r="AB881" s="55"/>
      <c r="AC881" s="55"/>
      <c r="AD881" s="55"/>
      <c r="AE881" s="55"/>
    </row>
    <row r="882" spans="2:31" s="28" customFormat="1" ht="15" customHeight="1" x14ac:dyDescent="0.25">
      <c r="B882" s="520"/>
      <c r="C882" s="23"/>
      <c r="D882" s="23"/>
      <c r="E882" s="24"/>
      <c r="H882" s="23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  <c r="AB882" s="55"/>
      <c r="AC882" s="55"/>
      <c r="AD882" s="55"/>
      <c r="AE882" s="55"/>
    </row>
    <row r="883" spans="2:31" s="28" customFormat="1" ht="15" customHeight="1" x14ac:dyDescent="0.25">
      <c r="B883" s="520"/>
      <c r="C883" s="23"/>
      <c r="D883" s="23"/>
      <c r="E883" s="24"/>
      <c r="H883" s="23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  <c r="AB883" s="55"/>
      <c r="AC883" s="55"/>
      <c r="AD883" s="55"/>
      <c r="AE883" s="55"/>
    </row>
    <row r="884" spans="2:31" s="28" customFormat="1" ht="15" customHeight="1" x14ac:dyDescent="0.25">
      <c r="B884" s="520"/>
      <c r="C884" s="23"/>
      <c r="D884" s="23"/>
      <c r="E884" s="24"/>
      <c r="H884" s="23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  <c r="AA884" s="55"/>
      <c r="AB884" s="55"/>
      <c r="AC884" s="55"/>
      <c r="AD884" s="55"/>
      <c r="AE884" s="55"/>
    </row>
    <row r="885" spans="2:31" s="28" customFormat="1" ht="15" customHeight="1" x14ac:dyDescent="0.25">
      <c r="B885" s="520"/>
      <c r="C885" s="23"/>
      <c r="D885" s="23"/>
      <c r="E885" s="24"/>
      <c r="H885" s="23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  <c r="AB885" s="55"/>
      <c r="AC885" s="55"/>
      <c r="AD885" s="55"/>
      <c r="AE885" s="55"/>
    </row>
    <row r="886" spans="2:31" s="28" customFormat="1" ht="15" customHeight="1" x14ac:dyDescent="0.25">
      <c r="B886" s="520"/>
      <c r="C886" s="23"/>
      <c r="D886" s="23"/>
      <c r="E886" s="24"/>
      <c r="H886" s="23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  <c r="AB886" s="55"/>
      <c r="AC886" s="55"/>
      <c r="AD886" s="55"/>
      <c r="AE886" s="55"/>
    </row>
    <row r="887" spans="2:31" s="28" customFormat="1" ht="15" customHeight="1" x14ac:dyDescent="0.25">
      <c r="B887" s="520"/>
      <c r="C887" s="23"/>
      <c r="D887" s="23"/>
      <c r="E887" s="24"/>
      <c r="H887" s="23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  <c r="AB887" s="55"/>
      <c r="AC887" s="55"/>
      <c r="AD887" s="55"/>
      <c r="AE887" s="55"/>
    </row>
    <row r="888" spans="2:31" s="28" customFormat="1" ht="15" customHeight="1" x14ac:dyDescent="0.25">
      <c r="B888" s="520"/>
      <c r="C888" s="23"/>
      <c r="D888" s="23"/>
      <c r="E888" s="24"/>
      <c r="H888" s="23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  <c r="AB888" s="55"/>
      <c r="AC888" s="55"/>
      <c r="AD888" s="55"/>
      <c r="AE888" s="55"/>
    </row>
    <row r="889" spans="2:31" s="28" customFormat="1" ht="15" customHeight="1" x14ac:dyDescent="0.25">
      <c r="B889" s="520"/>
      <c r="C889" s="23"/>
      <c r="D889" s="23"/>
      <c r="E889" s="24"/>
      <c r="H889" s="23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  <c r="AB889" s="55"/>
      <c r="AC889" s="55"/>
      <c r="AD889" s="55"/>
      <c r="AE889" s="55"/>
    </row>
    <row r="890" spans="2:31" s="28" customFormat="1" ht="15" customHeight="1" x14ac:dyDescent="0.25">
      <c r="B890" s="520"/>
      <c r="C890" s="23"/>
      <c r="D890" s="23"/>
      <c r="E890" s="24"/>
      <c r="H890" s="23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  <c r="AB890" s="55"/>
      <c r="AC890" s="55"/>
      <c r="AD890" s="55"/>
      <c r="AE890" s="55"/>
    </row>
    <row r="891" spans="2:31" s="28" customFormat="1" ht="15" customHeight="1" x14ac:dyDescent="0.25">
      <c r="B891" s="520"/>
      <c r="C891" s="23"/>
      <c r="D891" s="23"/>
      <c r="E891" s="24"/>
      <c r="H891" s="23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  <c r="AD891" s="55"/>
      <c r="AE891" s="55"/>
    </row>
    <row r="892" spans="2:31" s="28" customFormat="1" ht="15" customHeight="1" x14ac:dyDescent="0.25">
      <c r="B892" s="520"/>
      <c r="C892" s="23"/>
      <c r="D892" s="23"/>
      <c r="E892" s="24"/>
      <c r="H892" s="23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  <c r="AB892" s="55"/>
      <c r="AC892" s="55"/>
      <c r="AD892" s="55"/>
      <c r="AE892" s="55"/>
    </row>
    <row r="893" spans="2:31" s="28" customFormat="1" ht="15" customHeight="1" x14ac:dyDescent="0.25">
      <c r="B893" s="520"/>
      <c r="C893" s="23"/>
      <c r="D893" s="23"/>
      <c r="E893" s="24"/>
      <c r="H893" s="23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  <c r="AB893" s="55"/>
      <c r="AC893" s="55"/>
      <c r="AD893" s="55"/>
      <c r="AE893" s="55"/>
    </row>
    <row r="894" spans="2:31" s="28" customFormat="1" ht="15" customHeight="1" x14ac:dyDescent="0.25">
      <c r="B894" s="520"/>
      <c r="C894" s="23"/>
      <c r="D894" s="23"/>
      <c r="E894" s="24"/>
      <c r="H894" s="23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  <c r="AB894" s="55"/>
      <c r="AC894" s="55"/>
      <c r="AD894" s="55"/>
      <c r="AE894" s="55"/>
    </row>
    <row r="895" spans="2:31" s="28" customFormat="1" ht="15" customHeight="1" x14ac:dyDescent="0.25">
      <c r="B895" s="520"/>
      <c r="C895" s="23"/>
      <c r="D895" s="23"/>
      <c r="E895" s="24"/>
      <c r="H895" s="23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  <c r="AB895" s="55"/>
      <c r="AC895" s="55"/>
      <c r="AD895" s="55"/>
      <c r="AE895" s="55"/>
    </row>
    <row r="896" spans="2:31" s="28" customFormat="1" ht="15" customHeight="1" x14ac:dyDescent="0.25">
      <c r="B896" s="520"/>
      <c r="C896" s="23"/>
      <c r="D896" s="23"/>
      <c r="E896" s="24"/>
      <c r="H896" s="23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  <c r="AB896" s="55"/>
      <c r="AC896" s="55"/>
      <c r="AD896" s="55"/>
      <c r="AE896" s="55"/>
    </row>
    <row r="897" spans="2:31" s="28" customFormat="1" ht="15" customHeight="1" x14ac:dyDescent="0.25">
      <c r="B897" s="520"/>
      <c r="C897" s="23"/>
      <c r="D897" s="23"/>
      <c r="E897" s="24"/>
      <c r="H897" s="23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  <c r="AB897" s="55"/>
      <c r="AC897" s="55"/>
      <c r="AD897" s="55"/>
      <c r="AE897" s="55"/>
    </row>
    <row r="898" spans="2:31" s="28" customFormat="1" ht="15" customHeight="1" x14ac:dyDescent="0.25">
      <c r="B898" s="520"/>
      <c r="C898" s="23"/>
      <c r="D898" s="23"/>
      <c r="E898" s="24"/>
      <c r="H898" s="23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  <c r="AB898" s="55"/>
      <c r="AC898" s="55"/>
      <c r="AD898" s="55"/>
      <c r="AE898" s="55"/>
    </row>
    <row r="899" spans="2:31" s="28" customFormat="1" ht="15" customHeight="1" x14ac:dyDescent="0.25">
      <c r="B899" s="520"/>
      <c r="C899" s="23"/>
      <c r="D899" s="23"/>
      <c r="E899" s="24"/>
      <c r="H899" s="23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  <c r="AB899" s="55"/>
      <c r="AC899" s="55"/>
      <c r="AD899" s="55"/>
      <c r="AE899" s="55"/>
    </row>
    <row r="900" spans="2:31" s="28" customFormat="1" ht="15" customHeight="1" x14ac:dyDescent="0.25">
      <c r="B900" s="520"/>
      <c r="C900" s="23"/>
      <c r="D900" s="23"/>
      <c r="E900" s="24"/>
      <c r="H900" s="23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  <c r="AB900" s="55"/>
      <c r="AC900" s="55"/>
      <c r="AD900" s="55"/>
      <c r="AE900" s="55"/>
    </row>
    <row r="901" spans="2:31" s="28" customFormat="1" ht="15" customHeight="1" x14ac:dyDescent="0.25">
      <c r="B901" s="520"/>
      <c r="C901" s="23"/>
      <c r="D901" s="23"/>
      <c r="E901" s="24"/>
      <c r="H901" s="23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  <c r="AA901" s="55"/>
      <c r="AB901" s="55"/>
      <c r="AC901" s="55"/>
      <c r="AD901" s="55"/>
      <c r="AE901" s="55"/>
    </row>
    <row r="902" spans="2:31" s="28" customFormat="1" ht="15" customHeight="1" x14ac:dyDescent="0.25">
      <c r="B902" s="520"/>
      <c r="C902" s="23"/>
      <c r="D902" s="23"/>
      <c r="E902" s="24"/>
      <c r="H902" s="23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  <c r="AA902" s="55"/>
      <c r="AB902" s="55"/>
      <c r="AC902" s="55"/>
      <c r="AD902" s="55"/>
      <c r="AE902" s="55"/>
    </row>
    <row r="903" spans="2:31" s="28" customFormat="1" ht="15" customHeight="1" x14ac:dyDescent="0.25">
      <c r="B903" s="520"/>
      <c r="C903" s="23"/>
      <c r="D903" s="23"/>
      <c r="E903" s="24"/>
      <c r="H903" s="23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  <c r="AA903" s="55"/>
      <c r="AB903" s="55"/>
      <c r="AC903" s="55"/>
      <c r="AD903" s="55"/>
      <c r="AE903" s="55"/>
    </row>
    <row r="904" spans="2:31" s="28" customFormat="1" ht="15" customHeight="1" x14ac:dyDescent="0.25">
      <c r="B904" s="520"/>
      <c r="C904" s="23"/>
      <c r="D904" s="23"/>
      <c r="E904" s="24"/>
      <c r="H904" s="23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  <c r="AA904" s="55"/>
      <c r="AB904" s="55"/>
      <c r="AC904" s="55"/>
      <c r="AD904" s="55"/>
      <c r="AE904" s="55"/>
    </row>
    <row r="905" spans="2:31" s="28" customFormat="1" ht="15" customHeight="1" x14ac:dyDescent="0.25">
      <c r="B905" s="520"/>
      <c r="C905" s="23"/>
      <c r="D905" s="23"/>
      <c r="E905" s="24"/>
      <c r="H905" s="23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  <c r="AA905" s="55"/>
      <c r="AB905" s="55"/>
      <c r="AC905" s="55"/>
      <c r="AD905" s="55"/>
      <c r="AE905" s="55"/>
    </row>
    <row r="906" spans="2:31" s="28" customFormat="1" ht="15" customHeight="1" x14ac:dyDescent="0.25">
      <c r="B906" s="520"/>
      <c r="C906" s="23"/>
      <c r="D906" s="23"/>
      <c r="E906" s="24"/>
      <c r="H906" s="23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  <c r="AA906" s="55"/>
      <c r="AB906" s="55"/>
      <c r="AC906" s="55"/>
      <c r="AD906" s="55"/>
      <c r="AE906" s="55"/>
    </row>
    <row r="907" spans="2:31" s="28" customFormat="1" ht="15" customHeight="1" x14ac:dyDescent="0.25">
      <c r="B907" s="520"/>
      <c r="C907" s="23"/>
      <c r="D907" s="23"/>
      <c r="E907" s="24"/>
      <c r="H907" s="23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  <c r="AA907" s="55"/>
      <c r="AB907" s="55"/>
      <c r="AC907" s="55"/>
      <c r="AD907" s="55"/>
      <c r="AE907" s="55"/>
    </row>
    <row r="908" spans="2:31" s="28" customFormat="1" ht="15" customHeight="1" x14ac:dyDescent="0.25">
      <c r="B908" s="520"/>
      <c r="C908" s="23"/>
      <c r="D908" s="23"/>
      <c r="E908" s="24"/>
      <c r="H908" s="23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  <c r="AA908" s="55"/>
      <c r="AB908" s="55"/>
      <c r="AC908" s="55"/>
      <c r="AD908" s="55"/>
      <c r="AE908" s="55"/>
    </row>
    <row r="909" spans="2:31" s="28" customFormat="1" ht="15" customHeight="1" x14ac:dyDescent="0.25">
      <c r="B909" s="520"/>
      <c r="C909" s="23"/>
      <c r="D909" s="23"/>
      <c r="E909" s="24"/>
      <c r="H909" s="23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  <c r="AA909" s="55"/>
      <c r="AB909" s="55"/>
      <c r="AC909" s="55"/>
      <c r="AD909" s="55"/>
      <c r="AE909" s="55"/>
    </row>
    <row r="910" spans="2:31" s="28" customFormat="1" ht="15" customHeight="1" x14ac:dyDescent="0.25">
      <c r="B910" s="520"/>
      <c r="C910" s="23"/>
      <c r="D910" s="23"/>
      <c r="E910" s="24"/>
      <c r="H910" s="23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  <c r="AA910" s="55"/>
      <c r="AB910" s="55"/>
      <c r="AC910" s="55"/>
      <c r="AD910" s="55"/>
      <c r="AE910" s="55"/>
    </row>
    <row r="911" spans="2:31" s="28" customFormat="1" ht="15" customHeight="1" x14ac:dyDescent="0.25">
      <c r="B911" s="520"/>
      <c r="C911" s="23"/>
      <c r="D911" s="23"/>
      <c r="E911" s="24"/>
      <c r="H911" s="23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  <c r="AA911" s="55"/>
      <c r="AB911" s="55"/>
      <c r="AC911" s="55"/>
      <c r="AD911" s="55"/>
      <c r="AE911" s="55"/>
    </row>
    <row r="912" spans="2:31" s="28" customFormat="1" ht="15" customHeight="1" x14ac:dyDescent="0.25">
      <c r="B912" s="520"/>
      <c r="C912" s="23"/>
      <c r="D912" s="23"/>
      <c r="E912" s="24"/>
      <c r="H912" s="23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  <c r="AA912" s="55"/>
      <c r="AB912" s="55"/>
      <c r="AC912" s="55"/>
      <c r="AD912" s="55"/>
      <c r="AE912" s="55"/>
    </row>
    <row r="913" spans="2:31" s="28" customFormat="1" ht="15" customHeight="1" x14ac:dyDescent="0.25">
      <c r="B913" s="520"/>
      <c r="C913" s="23"/>
      <c r="D913" s="23"/>
      <c r="E913" s="24"/>
      <c r="H913" s="23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  <c r="AA913" s="55"/>
      <c r="AB913" s="55"/>
      <c r="AC913" s="55"/>
      <c r="AD913" s="55"/>
      <c r="AE913" s="55"/>
    </row>
    <row r="914" spans="2:31" s="28" customFormat="1" ht="15" customHeight="1" x14ac:dyDescent="0.25">
      <c r="B914" s="520"/>
      <c r="C914" s="23"/>
      <c r="D914" s="23"/>
      <c r="E914" s="24"/>
      <c r="H914" s="23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  <c r="AA914" s="55"/>
      <c r="AB914" s="55"/>
      <c r="AC914" s="55"/>
      <c r="AD914" s="55"/>
      <c r="AE914" s="55"/>
    </row>
    <row r="915" spans="2:31" s="28" customFormat="1" ht="15" customHeight="1" x14ac:dyDescent="0.25">
      <c r="B915" s="520"/>
      <c r="C915" s="23"/>
      <c r="D915" s="23"/>
      <c r="E915" s="24"/>
      <c r="H915" s="23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  <c r="AA915" s="55"/>
      <c r="AB915" s="55"/>
      <c r="AC915" s="55"/>
      <c r="AD915" s="55"/>
      <c r="AE915" s="55"/>
    </row>
    <row r="916" spans="2:31" s="28" customFormat="1" ht="15" customHeight="1" x14ac:dyDescent="0.25">
      <c r="B916" s="520"/>
      <c r="C916" s="23"/>
      <c r="D916" s="23"/>
      <c r="E916" s="24"/>
      <c r="H916" s="23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  <c r="AA916" s="55"/>
      <c r="AB916" s="55"/>
      <c r="AC916" s="55"/>
      <c r="AD916" s="55"/>
      <c r="AE916" s="55"/>
    </row>
    <row r="917" spans="2:31" s="28" customFormat="1" ht="15" customHeight="1" x14ac:dyDescent="0.25">
      <c r="B917" s="520"/>
      <c r="C917" s="23"/>
      <c r="D917" s="23"/>
      <c r="E917" s="24"/>
      <c r="H917" s="23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  <c r="AA917" s="55"/>
      <c r="AB917" s="55"/>
      <c r="AC917" s="55"/>
      <c r="AD917" s="55"/>
      <c r="AE917" s="55"/>
    </row>
    <row r="918" spans="2:31" s="28" customFormat="1" ht="15" customHeight="1" x14ac:dyDescent="0.25">
      <c r="B918" s="520"/>
      <c r="C918" s="23"/>
      <c r="D918" s="23"/>
      <c r="E918" s="24"/>
      <c r="H918" s="23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  <c r="AA918" s="55"/>
      <c r="AB918" s="55"/>
      <c r="AC918" s="55"/>
      <c r="AD918" s="55"/>
      <c r="AE918" s="55"/>
    </row>
    <row r="919" spans="2:31" s="28" customFormat="1" ht="15" customHeight="1" x14ac:dyDescent="0.25">
      <c r="B919" s="520"/>
      <c r="C919" s="23"/>
      <c r="D919" s="23"/>
      <c r="E919" s="24"/>
      <c r="H919" s="23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  <c r="AA919" s="55"/>
      <c r="AB919" s="55"/>
      <c r="AC919" s="55"/>
      <c r="AD919" s="55"/>
      <c r="AE919" s="55"/>
    </row>
    <row r="920" spans="2:31" s="28" customFormat="1" ht="15" customHeight="1" x14ac:dyDescent="0.25">
      <c r="B920" s="520"/>
      <c r="C920" s="23"/>
      <c r="D920" s="23"/>
      <c r="E920" s="24"/>
      <c r="H920" s="23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  <c r="AA920" s="55"/>
      <c r="AB920" s="55"/>
      <c r="AC920" s="55"/>
      <c r="AD920" s="55"/>
      <c r="AE920" s="55"/>
    </row>
    <row r="921" spans="2:31" s="28" customFormat="1" ht="15" customHeight="1" x14ac:dyDescent="0.25">
      <c r="B921" s="520"/>
      <c r="C921" s="23"/>
      <c r="D921" s="23"/>
      <c r="E921" s="24"/>
      <c r="H921" s="23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  <c r="AA921" s="55"/>
      <c r="AB921" s="55"/>
      <c r="AC921" s="55"/>
      <c r="AD921" s="55"/>
      <c r="AE921" s="55"/>
    </row>
    <row r="922" spans="2:31" s="28" customFormat="1" ht="15" customHeight="1" x14ac:dyDescent="0.25">
      <c r="B922" s="520"/>
      <c r="C922" s="23"/>
      <c r="D922" s="23"/>
      <c r="E922" s="24"/>
      <c r="H922" s="23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  <c r="AA922" s="55"/>
      <c r="AB922" s="55"/>
      <c r="AC922" s="55"/>
      <c r="AD922" s="55"/>
      <c r="AE922" s="55"/>
    </row>
    <row r="923" spans="2:31" s="28" customFormat="1" ht="15" customHeight="1" x14ac:dyDescent="0.25">
      <c r="B923" s="520"/>
      <c r="C923" s="23"/>
      <c r="D923" s="23"/>
      <c r="E923" s="24"/>
      <c r="H923" s="23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  <c r="AA923" s="55"/>
      <c r="AB923" s="55"/>
      <c r="AC923" s="55"/>
      <c r="AD923" s="55"/>
      <c r="AE923" s="55"/>
    </row>
    <row r="924" spans="2:31" s="28" customFormat="1" ht="15" customHeight="1" x14ac:dyDescent="0.25">
      <c r="B924" s="520"/>
      <c r="C924" s="23"/>
      <c r="D924" s="23"/>
      <c r="E924" s="24"/>
      <c r="H924" s="23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  <c r="AA924" s="55"/>
      <c r="AB924" s="55"/>
      <c r="AC924" s="55"/>
      <c r="AD924" s="55"/>
      <c r="AE924" s="55"/>
    </row>
    <row r="925" spans="2:31" s="28" customFormat="1" ht="15" customHeight="1" x14ac:dyDescent="0.25">
      <c r="B925" s="520"/>
      <c r="C925" s="23"/>
      <c r="D925" s="23"/>
      <c r="E925" s="24"/>
      <c r="H925" s="23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  <c r="AA925" s="55"/>
      <c r="AB925" s="55"/>
      <c r="AC925" s="55"/>
      <c r="AD925" s="55"/>
      <c r="AE925" s="55"/>
    </row>
    <row r="926" spans="2:31" s="28" customFormat="1" ht="15" customHeight="1" x14ac:dyDescent="0.25">
      <c r="B926" s="520"/>
      <c r="C926" s="23"/>
      <c r="D926" s="23"/>
      <c r="E926" s="24"/>
      <c r="H926" s="23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  <c r="AA926" s="55"/>
      <c r="AB926" s="55"/>
      <c r="AC926" s="55"/>
      <c r="AD926" s="55"/>
      <c r="AE926" s="55"/>
    </row>
    <row r="927" spans="2:31" s="28" customFormat="1" ht="15" customHeight="1" x14ac:dyDescent="0.25">
      <c r="B927" s="520"/>
      <c r="C927" s="23"/>
      <c r="D927" s="23"/>
      <c r="E927" s="24"/>
      <c r="H927" s="23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  <c r="AA927" s="55"/>
      <c r="AB927" s="55"/>
      <c r="AC927" s="55"/>
      <c r="AD927" s="55"/>
      <c r="AE927" s="55"/>
    </row>
    <row r="928" spans="2:31" s="28" customFormat="1" ht="15" customHeight="1" x14ac:dyDescent="0.25">
      <c r="B928" s="520"/>
      <c r="C928" s="23"/>
      <c r="D928" s="23"/>
      <c r="E928" s="24"/>
      <c r="H928" s="23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  <c r="AA928" s="55"/>
      <c r="AB928" s="55"/>
      <c r="AC928" s="55"/>
      <c r="AD928" s="55"/>
      <c r="AE928" s="55"/>
    </row>
    <row r="929" spans="2:31" s="28" customFormat="1" ht="15" customHeight="1" x14ac:dyDescent="0.25">
      <c r="B929" s="520"/>
      <c r="C929" s="23"/>
      <c r="D929" s="23"/>
      <c r="E929" s="24"/>
      <c r="H929" s="23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  <c r="AA929" s="55"/>
      <c r="AB929" s="55"/>
      <c r="AC929" s="55"/>
      <c r="AD929" s="55"/>
      <c r="AE929" s="55"/>
    </row>
    <row r="930" spans="2:31" s="28" customFormat="1" ht="15" customHeight="1" x14ac:dyDescent="0.25">
      <c r="B930" s="520"/>
      <c r="C930" s="23"/>
      <c r="D930" s="23"/>
      <c r="E930" s="24"/>
      <c r="H930" s="23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  <c r="AA930" s="55"/>
      <c r="AB930" s="55"/>
      <c r="AC930" s="55"/>
      <c r="AD930" s="55"/>
      <c r="AE930" s="55"/>
    </row>
    <row r="931" spans="2:31" s="28" customFormat="1" ht="15" customHeight="1" x14ac:dyDescent="0.25">
      <c r="B931" s="520"/>
      <c r="C931" s="23"/>
      <c r="D931" s="23"/>
      <c r="E931" s="24"/>
      <c r="H931" s="23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  <c r="AA931" s="55"/>
      <c r="AB931" s="55"/>
      <c r="AC931" s="55"/>
      <c r="AD931" s="55"/>
      <c r="AE931" s="55"/>
    </row>
    <row r="932" spans="2:31" s="28" customFormat="1" ht="15" customHeight="1" x14ac:dyDescent="0.25">
      <c r="B932" s="520"/>
      <c r="C932" s="23"/>
      <c r="D932" s="23"/>
      <c r="E932" s="24"/>
      <c r="H932" s="23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  <c r="AA932" s="55"/>
      <c r="AB932" s="55"/>
      <c r="AC932" s="55"/>
      <c r="AD932" s="55"/>
      <c r="AE932" s="55"/>
    </row>
    <row r="933" spans="2:31" s="28" customFormat="1" ht="15" customHeight="1" x14ac:dyDescent="0.25">
      <c r="B933" s="520"/>
      <c r="C933" s="23"/>
      <c r="D933" s="23"/>
      <c r="E933" s="24"/>
      <c r="H933" s="23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  <c r="AA933" s="55"/>
      <c r="AB933" s="55"/>
      <c r="AC933" s="55"/>
      <c r="AD933" s="55"/>
      <c r="AE933" s="55"/>
    </row>
    <row r="934" spans="2:31" s="28" customFormat="1" ht="15" customHeight="1" x14ac:dyDescent="0.25">
      <c r="B934" s="520"/>
      <c r="C934" s="23"/>
      <c r="D934" s="23"/>
      <c r="E934" s="24"/>
      <c r="H934" s="23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  <c r="AA934" s="55"/>
      <c r="AB934" s="55"/>
      <c r="AC934" s="55"/>
      <c r="AD934" s="55"/>
      <c r="AE934" s="55"/>
    </row>
    <row r="935" spans="2:31" s="28" customFormat="1" ht="15" customHeight="1" x14ac:dyDescent="0.25">
      <c r="B935" s="520"/>
      <c r="C935" s="23"/>
      <c r="D935" s="23"/>
      <c r="E935" s="24"/>
      <c r="H935" s="23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  <c r="AA935" s="55"/>
      <c r="AB935" s="55"/>
      <c r="AC935" s="55"/>
      <c r="AD935" s="55"/>
      <c r="AE935" s="55"/>
    </row>
    <row r="936" spans="2:31" s="28" customFormat="1" ht="15" customHeight="1" x14ac:dyDescent="0.25">
      <c r="B936" s="520"/>
      <c r="C936" s="23"/>
      <c r="D936" s="23"/>
      <c r="E936" s="24"/>
      <c r="H936" s="23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  <c r="AA936" s="55"/>
      <c r="AB936" s="55"/>
      <c r="AC936" s="55"/>
      <c r="AD936" s="55"/>
      <c r="AE936" s="55"/>
    </row>
    <row r="937" spans="2:31" s="28" customFormat="1" ht="15" customHeight="1" x14ac:dyDescent="0.25">
      <c r="B937" s="520"/>
      <c r="C937" s="23"/>
      <c r="D937" s="23"/>
      <c r="E937" s="24"/>
      <c r="H937" s="23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  <c r="AA937" s="55"/>
      <c r="AB937" s="55"/>
      <c r="AC937" s="55"/>
      <c r="AD937" s="55"/>
      <c r="AE937" s="55"/>
    </row>
    <row r="938" spans="2:31" s="28" customFormat="1" ht="15" customHeight="1" x14ac:dyDescent="0.25">
      <c r="B938" s="520"/>
      <c r="C938" s="23"/>
      <c r="D938" s="23"/>
      <c r="E938" s="24"/>
      <c r="H938" s="23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  <c r="AA938" s="55"/>
      <c r="AB938" s="55"/>
      <c r="AC938" s="55"/>
      <c r="AD938" s="55"/>
      <c r="AE938" s="55"/>
    </row>
    <row r="939" spans="2:31" s="28" customFormat="1" ht="15" customHeight="1" x14ac:dyDescent="0.25">
      <c r="B939" s="520"/>
      <c r="C939" s="23"/>
      <c r="D939" s="23"/>
      <c r="E939" s="24"/>
      <c r="H939" s="23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  <c r="AA939" s="55"/>
      <c r="AB939" s="55"/>
      <c r="AC939" s="55"/>
      <c r="AD939" s="55"/>
      <c r="AE939" s="55"/>
    </row>
    <row r="940" spans="2:31" s="28" customFormat="1" ht="15" customHeight="1" x14ac:dyDescent="0.25">
      <c r="B940" s="520"/>
      <c r="C940" s="23"/>
      <c r="D940" s="23"/>
      <c r="E940" s="24"/>
      <c r="H940" s="23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  <c r="AA940" s="55"/>
      <c r="AB940" s="55"/>
      <c r="AC940" s="55"/>
      <c r="AD940" s="55"/>
      <c r="AE940" s="55"/>
    </row>
    <row r="941" spans="2:31" s="28" customFormat="1" ht="15" customHeight="1" x14ac:dyDescent="0.25">
      <c r="B941" s="520"/>
      <c r="C941" s="23"/>
      <c r="D941" s="23"/>
      <c r="E941" s="24"/>
      <c r="H941" s="23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  <c r="AA941" s="55"/>
      <c r="AB941" s="55"/>
      <c r="AC941" s="55"/>
      <c r="AD941" s="55"/>
      <c r="AE941" s="55"/>
    </row>
    <row r="942" spans="2:31" s="28" customFormat="1" ht="15" customHeight="1" x14ac:dyDescent="0.25">
      <c r="B942" s="520"/>
      <c r="C942" s="23"/>
      <c r="D942" s="23"/>
      <c r="E942" s="24"/>
      <c r="H942" s="23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  <c r="AA942" s="55"/>
      <c r="AB942" s="55"/>
      <c r="AC942" s="55"/>
      <c r="AD942" s="55"/>
      <c r="AE942" s="55"/>
    </row>
    <row r="943" spans="2:31" s="28" customFormat="1" ht="15" customHeight="1" x14ac:dyDescent="0.25">
      <c r="B943" s="520"/>
      <c r="C943" s="23"/>
      <c r="D943" s="23"/>
      <c r="E943" s="24"/>
      <c r="H943" s="23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  <c r="AA943" s="55"/>
      <c r="AB943" s="55"/>
      <c r="AC943" s="55"/>
      <c r="AD943" s="55"/>
      <c r="AE943" s="55"/>
    </row>
    <row r="944" spans="2:31" s="28" customFormat="1" ht="15" customHeight="1" x14ac:dyDescent="0.25">
      <c r="B944" s="520"/>
      <c r="C944" s="23"/>
      <c r="D944" s="23"/>
      <c r="E944" s="24"/>
      <c r="H944" s="23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  <c r="AA944" s="55"/>
      <c r="AB944" s="55"/>
      <c r="AC944" s="55"/>
      <c r="AD944" s="55"/>
      <c r="AE944" s="55"/>
    </row>
    <row r="945" spans="2:31" s="28" customFormat="1" ht="15" customHeight="1" x14ac:dyDescent="0.25">
      <c r="B945" s="520"/>
      <c r="C945" s="23"/>
      <c r="D945" s="23"/>
      <c r="E945" s="24"/>
      <c r="H945" s="23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  <c r="AA945" s="55"/>
      <c r="AB945" s="55"/>
      <c r="AC945" s="55"/>
      <c r="AD945" s="55"/>
      <c r="AE945" s="55"/>
    </row>
    <row r="946" spans="2:31" s="28" customFormat="1" ht="15" customHeight="1" x14ac:dyDescent="0.25">
      <c r="B946" s="520"/>
      <c r="C946" s="23"/>
      <c r="D946" s="23"/>
      <c r="E946" s="24"/>
      <c r="H946" s="23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  <c r="AA946" s="55"/>
      <c r="AB946" s="55"/>
      <c r="AC946" s="55"/>
      <c r="AD946" s="55"/>
      <c r="AE946" s="55"/>
    </row>
    <row r="947" spans="2:31" s="28" customFormat="1" ht="15" customHeight="1" x14ac:dyDescent="0.25">
      <c r="B947" s="520"/>
      <c r="C947" s="23"/>
      <c r="D947" s="23"/>
      <c r="E947" s="24"/>
      <c r="H947" s="23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  <c r="AA947" s="55"/>
      <c r="AB947" s="55"/>
      <c r="AC947" s="55"/>
      <c r="AD947" s="55"/>
      <c r="AE947" s="55"/>
    </row>
    <row r="948" spans="2:31" s="28" customFormat="1" ht="15" customHeight="1" x14ac:dyDescent="0.25">
      <c r="B948" s="520"/>
      <c r="C948" s="23"/>
      <c r="D948" s="23"/>
      <c r="E948" s="24"/>
      <c r="H948" s="23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  <c r="AA948" s="55"/>
      <c r="AB948" s="55"/>
      <c r="AC948" s="55"/>
      <c r="AD948" s="55"/>
      <c r="AE948" s="55"/>
    </row>
    <row r="949" spans="2:31" s="28" customFormat="1" ht="15" customHeight="1" x14ac:dyDescent="0.25">
      <c r="B949" s="520"/>
      <c r="C949" s="23"/>
      <c r="D949" s="23"/>
      <c r="E949" s="24"/>
      <c r="H949" s="23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  <c r="AA949" s="55"/>
      <c r="AB949" s="55"/>
      <c r="AC949" s="55"/>
      <c r="AD949" s="55"/>
      <c r="AE949" s="55"/>
    </row>
    <row r="950" spans="2:31" s="28" customFormat="1" ht="15" customHeight="1" x14ac:dyDescent="0.25">
      <c r="B950" s="520"/>
      <c r="C950" s="23"/>
      <c r="D950" s="23"/>
      <c r="E950" s="24"/>
      <c r="H950" s="23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  <c r="AA950" s="55"/>
      <c r="AB950" s="55"/>
      <c r="AC950" s="55"/>
      <c r="AD950" s="55"/>
      <c r="AE950" s="55"/>
    </row>
    <row r="951" spans="2:31" s="28" customFormat="1" ht="15" customHeight="1" x14ac:dyDescent="0.25">
      <c r="B951" s="520"/>
      <c r="C951" s="23"/>
      <c r="D951" s="23"/>
      <c r="E951" s="24"/>
      <c r="H951" s="23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  <c r="AA951" s="55"/>
      <c r="AB951" s="55"/>
      <c r="AC951" s="55"/>
      <c r="AD951" s="55"/>
      <c r="AE951" s="55"/>
    </row>
    <row r="952" spans="2:31" s="28" customFormat="1" ht="15" customHeight="1" x14ac:dyDescent="0.25">
      <c r="B952" s="520"/>
      <c r="C952" s="23"/>
      <c r="D952" s="23"/>
      <c r="E952" s="24"/>
      <c r="H952" s="23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  <c r="AA952" s="55"/>
      <c r="AB952" s="55"/>
      <c r="AC952" s="55"/>
      <c r="AD952" s="55"/>
      <c r="AE952" s="55"/>
    </row>
    <row r="953" spans="2:31" s="28" customFormat="1" ht="15" customHeight="1" x14ac:dyDescent="0.25">
      <c r="B953" s="520"/>
      <c r="C953" s="23"/>
      <c r="D953" s="23"/>
      <c r="E953" s="24"/>
      <c r="H953" s="23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  <c r="AA953" s="55"/>
      <c r="AB953" s="55"/>
      <c r="AC953" s="55"/>
      <c r="AD953" s="55"/>
      <c r="AE953" s="55"/>
    </row>
    <row r="954" spans="2:31" s="28" customFormat="1" ht="15" customHeight="1" x14ac:dyDescent="0.25">
      <c r="B954" s="520"/>
      <c r="C954" s="23"/>
      <c r="D954" s="23"/>
      <c r="E954" s="24"/>
      <c r="H954" s="23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  <c r="AA954" s="55"/>
      <c r="AB954" s="55"/>
      <c r="AC954" s="55"/>
      <c r="AD954" s="55"/>
      <c r="AE954" s="55"/>
    </row>
    <row r="955" spans="2:31" s="28" customFormat="1" ht="15" customHeight="1" x14ac:dyDescent="0.25">
      <c r="B955" s="520"/>
      <c r="C955" s="23"/>
      <c r="D955" s="23"/>
      <c r="E955" s="24"/>
      <c r="H955" s="23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  <c r="AA955" s="55"/>
      <c r="AB955" s="55"/>
      <c r="AC955" s="55"/>
      <c r="AD955" s="55"/>
      <c r="AE955" s="55"/>
    </row>
    <row r="956" spans="2:31" s="28" customFormat="1" ht="15" customHeight="1" x14ac:dyDescent="0.25">
      <c r="B956" s="520"/>
      <c r="C956" s="23"/>
      <c r="D956" s="23"/>
      <c r="E956" s="24"/>
      <c r="H956" s="23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  <c r="AA956" s="55"/>
      <c r="AB956" s="55"/>
      <c r="AC956" s="55"/>
      <c r="AD956" s="55"/>
      <c r="AE956" s="55"/>
    </row>
    <row r="957" spans="2:31" s="28" customFormat="1" ht="15" customHeight="1" x14ac:dyDescent="0.25">
      <c r="B957" s="520"/>
      <c r="C957" s="23"/>
      <c r="D957" s="23"/>
      <c r="E957" s="24"/>
      <c r="H957" s="23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  <c r="AA957" s="55"/>
      <c r="AB957" s="55"/>
      <c r="AC957" s="55"/>
      <c r="AD957" s="55"/>
      <c r="AE957" s="55"/>
    </row>
    <row r="958" spans="2:31" s="28" customFormat="1" ht="15" customHeight="1" x14ac:dyDescent="0.25">
      <c r="B958" s="520"/>
      <c r="C958" s="23"/>
      <c r="D958" s="23"/>
      <c r="E958" s="24"/>
      <c r="H958" s="23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  <c r="AA958" s="55"/>
      <c r="AB958" s="55"/>
      <c r="AC958" s="55"/>
      <c r="AD958" s="55"/>
      <c r="AE958" s="55"/>
    </row>
    <row r="959" spans="2:31" s="28" customFormat="1" ht="15" customHeight="1" x14ac:dyDescent="0.25">
      <c r="B959" s="520"/>
      <c r="C959" s="23"/>
      <c r="D959" s="23"/>
      <c r="E959" s="24"/>
      <c r="H959" s="23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  <c r="AA959" s="55"/>
      <c r="AB959" s="55"/>
      <c r="AC959" s="55"/>
      <c r="AD959" s="55"/>
      <c r="AE959" s="55"/>
    </row>
    <row r="960" spans="2:31" s="28" customFormat="1" ht="15" customHeight="1" x14ac:dyDescent="0.25">
      <c r="B960" s="520"/>
      <c r="C960" s="23"/>
      <c r="D960" s="23"/>
      <c r="E960" s="24"/>
      <c r="H960" s="23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  <c r="AA960" s="55"/>
      <c r="AB960" s="55"/>
      <c r="AC960" s="55"/>
      <c r="AD960" s="55"/>
      <c r="AE960" s="55"/>
    </row>
    <row r="961" spans="2:31" s="28" customFormat="1" ht="15" customHeight="1" x14ac:dyDescent="0.25">
      <c r="B961" s="520"/>
      <c r="C961" s="23"/>
      <c r="D961" s="23"/>
      <c r="E961" s="24"/>
      <c r="H961" s="23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  <c r="AA961" s="55"/>
      <c r="AB961" s="55"/>
      <c r="AC961" s="55"/>
      <c r="AD961" s="55"/>
      <c r="AE961" s="55"/>
    </row>
    <row r="962" spans="2:31" s="28" customFormat="1" ht="15" customHeight="1" x14ac:dyDescent="0.25">
      <c r="B962" s="520"/>
      <c r="C962" s="23"/>
      <c r="D962" s="23"/>
      <c r="E962" s="24"/>
      <c r="H962" s="23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  <c r="AA962" s="55"/>
      <c r="AB962" s="55"/>
      <c r="AC962" s="55"/>
      <c r="AD962" s="55"/>
      <c r="AE962" s="55"/>
    </row>
    <row r="963" spans="2:31" s="28" customFormat="1" ht="15" customHeight="1" x14ac:dyDescent="0.25">
      <c r="B963" s="520"/>
      <c r="C963" s="23"/>
      <c r="D963" s="23"/>
      <c r="E963" s="24"/>
      <c r="H963" s="23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  <c r="AA963" s="55"/>
      <c r="AB963" s="55"/>
      <c r="AC963" s="55"/>
      <c r="AD963" s="55"/>
      <c r="AE963" s="55"/>
    </row>
    <row r="964" spans="2:31" s="28" customFormat="1" ht="15" customHeight="1" x14ac:dyDescent="0.25">
      <c r="B964" s="520"/>
      <c r="C964" s="23"/>
      <c r="D964" s="23"/>
      <c r="E964" s="24"/>
      <c r="H964" s="23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  <c r="AA964" s="55"/>
      <c r="AB964" s="55"/>
      <c r="AC964" s="55"/>
      <c r="AD964" s="55"/>
      <c r="AE964" s="55"/>
    </row>
    <row r="965" spans="2:31" s="28" customFormat="1" ht="15" customHeight="1" x14ac:dyDescent="0.25">
      <c r="B965" s="520"/>
      <c r="C965" s="23"/>
      <c r="D965" s="23"/>
      <c r="E965" s="24"/>
      <c r="H965" s="23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  <c r="AA965" s="55"/>
      <c r="AB965" s="55"/>
      <c r="AC965" s="55"/>
      <c r="AD965" s="55"/>
      <c r="AE965" s="55"/>
    </row>
    <row r="966" spans="2:31" s="28" customFormat="1" ht="15" customHeight="1" x14ac:dyDescent="0.25">
      <c r="B966" s="520"/>
      <c r="C966" s="23"/>
      <c r="D966" s="23"/>
      <c r="E966" s="24"/>
      <c r="H966" s="23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  <c r="AA966" s="55"/>
      <c r="AB966" s="55"/>
      <c r="AC966" s="55"/>
      <c r="AD966" s="55"/>
      <c r="AE966" s="55"/>
    </row>
    <row r="967" spans="2:31" s="28" customFormat="1" ht="15" customHeight="1" x14ac:dyDescent="0.25">
      <c r="B967" s="520"/>
      <c r="C967" s="23"/>
      <c r="D967" s="23"/>
      <c r="E967" s="24"/>
      <c r="H967" s="23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  <c r="AA967" s="55"/>
      <c r="AB967" s="55"/>
      <c r="AC967" s="55"/>
      <c r="AD967" s="55"/>
      <c r="AE967" s="55"/>
    </row>
    <row r="968" spans="2:31" s="28" customFormat="1" ht="15" customHeight="1" x14ac:dyDescent="0.25">
      <c r="B968" s="520"/>
      <c r="C968" s="23"/>
      <c r="D968" s="23"/>
      <c r="E968" s="24"/>
      <c r="H968" s="23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  <c r="AA968" s="55"/>
      <c r="AB968" s="55"/>
      <c r="AC968" s="55"/>
      <c r="AD968" s="55"/>
      <c r="AE968" s="55"/>
    </row>
    <row r="969" spans="2:31" s="28" customFormat="1" ht="15" customHeight="1" x14ac:dyDescent="0.25">
      <c r="B969" s="520"/>
      <c r="C969" s="23"/>
      <c r="D969" s="23"/>
      <c r="E969" s="24"/>
      <c r="H969" s="23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  <c r="AA969" s="55"/>
      <c r="AB969" s="55"/>
      <c r="AC969" s="55"/>
      <c r="AD969" s="55"/>
      <c r="AE969" s="55"/>
    </row>
    <row r="970" spans="2:31" s="28" customFormat="1" ht="15" customHeight="1" x14ac:dyDescent="0.25">
      <c r="B970" s="520"/>
      <c r="C970" s="23"/>
      <c r="D970" s="23"/>
      <c r="E970" s="24"/>
      <c r="H970" s="23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  <c r="AA970" s="55"/>
      <c r="AB970" s="55"/>
      <c r="AC970" s="55"/>
      <c r="AD970" s="55"/>
      <c r="AE970" s="55"/>
    </row>
    <row r="971" spans="2:31" s="28" customFormat="1" ht="15" customHeight="1" x14ac:dyDescent="0.25">
      <c r="B971" s="520"/>
      <c r="C971" s="23"/>
      <c r="D971" s="23"/>
      <c r="E971" s="24"/>
      <c r="H971" s="23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  <c r="AA971" s="55"/>
      <c r="AB971" s="55"/>
      <c r="AC971" s="55"/>
      <c r="AD971" s="55"/>
      <c r="AE971" s="55"/>
    </row>
    <row r="972" spans="2:31" s="28" customFormat="1" ht="15" customHeight="1" x14ac:dyDescent="0.25">
      <c r="B972" s="520"/>
      <c r="C972" s="23"/>
      <c r="D972" s="23"/>
      <c r="E972" s="24"/>
      <c r="H972" s="23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  <c r="AA972" s="55"/>
      <c r="AB972" s="55"/>
      <c r="AC972" s="55"/>
      <c r="AD972" s="55"/>
      <c r="AE972" s="55"/>
    </row>
    <row r="973" spans="2:31" s="28" customFormat="1" ht="15" customHeight="1" x14ac:dyDescent="0.25">
      <c r="B973" s="520"/>
      <c r="C973" s="23"/>
      <c r="D973" s="23"/>
      <c r="E973" s="24"/>
      <c r="H973" s="23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  <c r="AA973" s="55"/>
      <c r="AB973" s="55"/>
      <c r="AC973" s="55"/>
      <c r="AD973" s="55"/>
      <c r="AE973" s="55"/>
    </row>
    <row r="974" spans="2:31" s="28" customFormat="1" ht="15" customHeight="1" x14ac:dyDescent="0.25">
      <c r="B974" s="520"/>
      <c r="C974" s="23"/>
      <c r="D974" s="23"/>
      <c r="E974" s="24"/>
      <c r="H974" s="23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  <c r="AA974" s="55"/>
      <c r="AB974" s="55"/>
      <c r="AC974" s="55"/>
      <c r="AD974" s="55"/>
      <c r="AE974" s="55"/>
    </row>
    <row r="975" spans="2:31" s="28" customFormat="1" ht="15" customHeight="1" x14ac:dyDescent="0.25">
      <c r="B975" s="520"/>
      <c r="C975" s="23"/>
      <c r="D975" s="23"/>
      <c r="E975" s="24"/>
      <c r="H975" s="23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  <c r="AA975" s="55"/>
      <c r="AB975" s="55"/>
      <c r="AC975" s="55"/>
      <c r="AD975" s="55"/>
      <c r="AE975" s="55"/>
    </row>
    <row r="976" spans="2:31" s="28" customFormat="1" ht="15" customHeight="1" x14ac:dyDescent="0.25">
      <c r="B976" s="520"/>
      <c r="C976" s="23"/>
      <c r="D976" s="23"/>
      <c r="E976" s="24"/>
      <c r="H976" s="23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  <c r="AA976" s="55"/>
      <c r="AB976" s="55"/>
      <c r="AC976" s="55"/>
      <c r="AD976" s="55"/>
      <c r="AE976" s="55"/>
    </row>
    <row r="977" spans="2:31" s="28" customFormat="1" ht="15" customHeight="1" x14ac:dyDescent="0.25">
      <c r="B977" s="520"/>
      <c r="C977" s="23"/>
      <c r="D977" s="23"/>
      <c r="E977" s="24"/>
      <c r="H977" s="23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  <c r="AA977" s="55"/>
      <c r="AB977" s="55"/>
      <c r="AC977" s="55"/>
      <c r="AD977" s="55"/>
      <c r="AE977" s="55"/>
    </row>
    <row r="978" spans="2:31" s="28" customFormat="1" ht="15" customHeight="1" x14ac:dyDescent="0.25">
      <c r="B978" s="520"/>
      <c r="C978" s="23"/>
      <c r="D978" s="23"/>
      <c r="E978" s="24"/>
      <c r="H978" s="23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  <c r="AA978" s="55"/>
      <c r="AB978" s="55"/>
      <c r="AC978" s="55"/>
      <c r="AD978" s="55"/>
      <c r="AE978" s="55"/>
    </row>
    <row r="979" spans="2:31" s="28" customFormat="1" ht="15" customHeight="1" x14ac:dyDescent="0.25">
      <c r="B979" s="520"/>
      <c r="C979" s="23"/>
      <c r="D979" s="23"/>
      <c r="E979" s="24"/>
      <c r="H979" s="23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  <c r="AA979" s="55"/>
      <c r="AB979" s="55"/>
      <c r="AC979" s="55"/>
      <c r="AD979" s="55"/>
      <c r="AE979" s="55"/>
    </row>
    <row r="980" spans="2:31" s="28" customFormat="1" ht="15" customHeight="1" x14ac:dyDescent="0.25">
      <c r="B980" s="520"/>
      <c r="C980" s="23"/>
      <c r="D980" s="23"/>
      <c r="E980" s="24"/>
      <c r="H980" s="23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  <c r="AA980" s="55"/>
      <c r="AB980" s="55"/>
      <c r="AC980" s="55"/>
      <c r="AD980" s="55"/>
      <c r="AE980" s="55"/>
    </row>
    <row r="981" spans="2:31" s="28" customFormat="1" ht="15" customHeight="1" x14ac:dyDescent="0.25">
      <c r="B981" s="520"/>
      <c r="C981" s="23"/>
      <c r="D981" s="23"/>
      <c r="E981" s="24"/>
      <c r="H981" s="23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  <c r="AA981" s="55"/>
      <c r="AB981" s="55"/>
      <c r="AC981" s="55"/>
      <c r="AD981" s="55"/>
      <c r="AE981" s="55"/>
    </row>
    <row r="982" spans="2:31" s="28" customFormat="1" ht="15" customHeight="1" x14ac:dyDescent="0.25">
      <c r="B982" s="520"/>
      <c r="C982" s="23"/>
      <c r="D982" s="23"/>
      <c r="E982" s="24"/>
      <c r="H982" s="23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  <c r="AA982" s="55"/>
      <c r="AB982" s="55"/>
      <c r="AC982" s="55"/>
      <c r="AD982" s="55"/>
      <c r="AE982" s="55"/>
    </row>
    <row r="983" spans="2:31" s="28" customFormat="1" ht="15" customHeight="1" x14ac:dyDescent="0.25">
      <c r="B983" s="520"/>
      <c r="C983" s="23"/>
      <c r="D983" s="23"/>
      <c r="E983" s="24"/>
      <c r="H983" s="23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  <c r="AA983" s="55"/>
      <c r="AB983" s="55"/>
      <c r="AC983" s="55"/>
      <c r="AD983" s="55"/>
      <c r="AE983" s="55"/>
    </row>
    <row r="984" spans="2:31" s="28" customFormat="1" ht="15" customHeight="1" x14ac:dyDescent="0.25">
      <c r="B984" s="520"/>
      <c r="C984" s="23"/>
      <c r="D984" s="23"/>
      <c r="E984" s="24"/>
      <c r="H984" s="23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  <c r="AA984" s="55"/>
      <c r="AB984" s="55"/>
      <c r="AC984" s="55"/>
      <c r="AD984" s="55"/>
      <c r="AE984" s="55"/>
    </row>
    <row r="985" spans="2:31" s="28" customFormat="1" ht="15" customHeight="1" x14ac:dyDescent="0.25">
      <c r="B985" s="520"/>
      <c r="C985" s="23"/>
      <c r="D985" s="23"/>
      <c r="E985" s="24"/>
      <c r="H985" s="23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  <c r="AA985" s="55"/>
      <c r="AB985" s="55"/>
      <c r="AC985" s="55"/>
      <c r="AD985" s="55"/>
      <c r="AE985" s="55"/>
    </row>
    <row r="986" spans="2:31" s="28" customFormat="1" ht="15" customHeight="1" x14ac:dyDescent="0.25">
      <c r="B986" s="520"/>
      <c r="C986" s="23"/>
      <c r="D986" s="23"/>
      <c r="E986" s="24"/>
      <c r="H986" s="23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  <c r="AA986" s="55"/>
      <c r="AB986" s="55"/>
      <c r="AC986" s="55"/>
      <c r="AD986" s="55"/>
      <c r="AE986" s="55"/>
    </row>
    <row r="987" spans="2:31" s="28" customFormat="1" ht="15" customHeight="1" x14ac:dyDescent="0.25">
      <c r="B987" s="520"/>
      <c r="C987" s="23"/>
      <c r="D987" s="23"/>
      <c r="E987" s="24"/>
      <c r="H987" s="23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  <c r="AA987" s="55"/>
      <c r="AB987" s="55"/>
      <c r="AC987" s="55"/>
      <c r="AD987" s="55"/>
      <c r="AE987" s="55"/>
    </row>
    <row r="988" spans="2:31" s="28" customFormat="1" ht="15" customHeight="1" x14ac:dyDescent="0.25">
      <c r="B988" s="520"/>
      <c r="C988" s="23"/>
      <c r="D988" s="23"/>
      <c r="E988" s="24"/>
      <c r="H988" s="23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  <c r="AA988" s="55"/>
      <c r="AB988" s="55"/>
      <c r="AC988" s="55"/>
      <c r="AD988" s="55"/>
      <c r="AE988" s="55"/>
    </row>
    <row r="989" spans="2:31" s="28" customFormat="1" ht="15" customHeight="1" x14ac:dyDescent="0.25">
      <c r="B989" s="520"/>
      <c r="C989" s="23"/>
      <c r="D989" s="23"/>
      <c r="E989" s="24"/>
      <c r="H989" s="23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  <c r="AA989" s="55"/>
      <c r="AB989" s="55"/>
      <c r="AC989" s="55"/>
      <c r="AD989" s="55"/>
      <c r="AE989" s="55"/>
    </row>
    <row r="990" spans="2:31" s="28" customFormat="1" ht="15" customHeight="1" x14ac:dyDescent="0.25">
      <c r="B990" s="520"/>
      <c r="C990" s="23"/>
      <c r="D990" s="23"/>
      <c r="E990" s="24"/>
      <c r="H990" s="23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  <c r="AA990" s="55"/>
      <c r="AB990" s="55"/>
      <c r="AC990" s="55"/>
      <c r="AD990" s="55"/>
      <c r="AE990" s="55"/>
    </row>
    <row r="991" spans="2:31" s="28" customFormat="1" ht="15" customHeight="1" x14ac:dyDescent="0.25">
      <c r="B991" s="520"/>
      <c r="C991" s="23"/>
      <c r="D991" s="23"/>
      <c r="E991" s="24"/>
      <c r="H991" s="23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  <c r="AA991" s="55"/>
      <c r="AB991" s="55"/>
      <c r="AC991" s="55"/>
      <c r="AD991" s="55"/>
      <c r="AE991" s="55"/>
    </row>
    <row r="992" spans="2:31" s="28" customFormat="1" ht="15" customHeight="1" x14ac:dyDescent="0.25">
      <c r="B992" s="520"/>
      <c r="C992" s="23"/>
      <c r="D992" s="23"/>
      <c r="E992" s="24"/>
      <c r="H992" s="23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  <c r="AA992" s="55"/>
      <c r="AB992" s="55"/>
      <c r="AC992" s="55"/>
      <c r="AD992" s="55"/>
      <c r="AE992" s="55"/>
    </row>
    <row r="993" spans="2:31" s="28" customFormat="1" ht="15" customHeight="1" x14ac:dyDescent="0.25">
      <c r="B993" s="520"/>
      <c r="C993" s="23"/>
      <c r="D993" s="23"/>
      <c r="E993" s="24"/>
      <c r="H993" s="23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  <c r="AA993" s="55"/>
      <c r="AB993" s="55"/>
      <c r="AC993" s="55"/>
      <c r="AD993" s="55"/>
      <c r="AE993" s="55"/>
    </row>
    <row r="994" spans="2:31" s="28" customFormat="1" ht="15" customHeight="1" x14ac:dyDescent="0.25">
      <c r="B994" s="520"/>
      <c r="C994" s="23"/>
      <c r="D994" s="23"/>
      <c r="E994" s="24"/>
      <c r="H994" s="23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  <c r="AA994" s="55"/>
      <c r="AB994" s="55"/>
      <c r="AC994" s="55"/>
      <c r="AD994" s="55"/>
      <c r="AE994" s="55"/>
    </row>
    <row r="995" spans="2:31" s="28" customFormat="1" ht="15" customHeight="1" x14ac:dyDescent="0.25">
      <c r="B995" s="520"/>
      <c r="C995" s="23"/>
      <c r="D995" s="23"/>
      <c r="E995" s="24"/>
      <c r="H995" s="23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  <c r="AA995" s="55"/>
      <c r="AB995" s="55"/>
      <c r="AC995" s="55"/>
      <c r="AD995" s="55"/>
      <c r="AE995" s="55"/>
    </row>
    <row r="996" spans="2:31" s="28" customFormat="1" ht="15" customHeight="1" x14ac:dyDescent="0.25">
      <c r="B996" s="520"/>
      <c r="C996" s="23"/>
      <c r="D996" s="23"/>
      <c r="E996" s="24"/>
      <c r="H996" s="23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  <c r="AA996" s="55"/>
      <c r="AB996" s="55"/>
      <c r="AC996" s="55"/>
      <c r="AD996" s="55"/>
      <c r="AE996" s="55"/>
    </row>
    <row r="997" spans="2:31" s="28" customFormat="1" ht="15" customHeight="1" x14ac:dyDescent="0.25">
      <c r="B997" s="520"/>
      <c r="C997" s="23"/>
      <c r="D997" s="23"/>
      <c r="E997" s="24"/>
      <c r="H997" s="23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  <c r="AA997" s="55"/>
      <c r="AB997" s="55"/>
      <c r="AC997" s="55"/>
      <c r="AD997" s="55"/>
      <c r="AE997" s="55"/>
    </row>
    <row r="998" spans="2:31" s="28" customFormat="1" ht="15" customHeight="1" x14ac:dyDescent="0.25">
      <c r="B998" s="520"/>
      <c r="C998" s="23"/>
      <c r="D998" s="23"/>
      <c r="E998" s="24"/>
      <c r="H998" s="23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  <c r="AA998" s="55"/>
      <c r="AB998" s="55"/>
      <c r="AC998" s="55"/>
      <c r="AD998" s="55"/>
      <c r="AE998" s="55"/>
    </row>
    <row r="999" spans="2:31" s="28" customFormat="1" ht="15" customHeight="1" x14ac:dyDescent="0.25">
      <c r="B999" s="520"/>
      <c r="C999" s="23"/>
      <c r="D999" s="23"/>
      <c r="E999" s="24"/>
      <c r="H999" s="23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  <c r="AA999" s="55"/>
      <c r="AB999" s="55"/>
      <c r="AC999" s="55"/>
      <c r="AD999" s="55"/>
      <c r="AE999" s="55"/>
    </row>
    <row r="1000" spans="2:31" s="28" customFormat="1" ht="15" customHeight="1" x14ac:dyDescent="0.25">
      <c r="B1000" s="520"/>
      <c r="C1000" s="23"/>
      <c r="D1000" s="23"/>
      <c r="E1000" s="24"/>
      <c r="H1000" s="23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  <c r="AA1000" s="55"/>
      <c r="AB1000" s="55"/>
      <c r="AC1000" s="55"/>
      <c r="AD1000" s="55"/>
      <c r="AE1000" s="55"/>
    </row>
    <row r="1001" spans="2:31" s="28" customFormat="1" ht="15" customHeight="1" x14ac:dyDescent="0.25">
      <c r="B1001" s="520"/>
      <c r="C1001" s="23"/>
      <c r="D1001" s="23"/>
      <c r="E1001" s="24"/>
      <c r="H1001" s="23"/>
      <c r="I1001" s="55"/>
      <c r="J1001" s="55"/>
      <c r="K1001" s="55"/>
      <c r="L1001" s="55"/>
      <c r="M1001" s="55"/>
      <c r="N1001" s="55"/>
      <c r="O1001" s="55"/>
      <c r="P1001" s="55"/>
      <c r="Q1001" s="55"/>
      <c r="R1001" s="55"/>
      <c r="S1001" s="55"/>
      <c r="T1001" s="55"/>
      <c r="U1001" s="55"/>
      <c r="V1001" s="55"/>
      <c r="W1001" s="55"/>
      <c r="X1001" s="55"/>
      <c r="Y1001" s="55"/>
      <c r="Z1001" s="55"/>
      <c r="AA1001" s="55"/>
      <c r="AB1001" s="55"/>
      <c r="AC1001" s="55"/>
      <c r="AD1001" s="55"/>
      <c r="AE1001" s="55"/>
    </row>
    <row r="1002" spans="2:31" s="28" customFormat="1" ht="15" customHeight="1" x14ac:dyDescent="0.25">
      <c r="B1002" s="520"/>
      <c r="C1002" s="23"/>
      <c r="D1002" s="23"/>
      <c r="E1002" s="24"/>
      <c r="H1002" s="23"/>
      <c r="I1002" s="55"/>
      <c r="J1002" s="55"/>
      <c r="K1002" s="55"/>
      <c r="L1002" s="55"/>
      <c r="M1002" s="55"/>
      <c r="N1002" s="55"/>
      <c r="O1002" s="55"/>
      <c r="P1002" s="55"/>
      <c r="Q1002" s="55"/>
      <c r="R1002" s="55"/>
      <c r="S1002" s="55"/>
      <c r="T1002" s="55"/>
      <c r="U1002" s="55"/>
      <c r="V1002" s="55"/>
      <c r="W1002" s="55"/>
      <c r="X1002" s="55"/>
      <c r="Y1002" s="55"/>
      <c r="Z1002" s="55"/>
      <c r="AA1002" s="55"/>
      <c r="AB1002" s="55"/>
      <c r="AC1002" s="55"/>
      <c r="AD1002" s="55"/>
      <c r="AE1002" s="55"/>
    </row>
    <row r="1003" spans="2:31" s="28" customFormat="1" ht="15" customHeight="1" x14ac:dyDescent="0.25">
      <c r="B1003" s="520"/>
      <c r="C1003" s="23"/>
      <c r="D1003" s="23"/>
      <c r="E1003" s="24"/>
      <c r="H1003" s="23"/>
      <c r="I1003" s="55"/>
      <c r="J1003" s="55"/>
      <c r="K1003" s="55"/>
      <c r="L1003" s="55"/>
      <c r="M1003" s="55"/>
      <c r="N1003" s="55"/>
      <c r="O1003" s="55"/>
      <c r="P1003" s="55"/>
      <c r="Q1003" s="55"/>
      <c r="R1003" s="55"/>
      <c r="S1003" s="55"/>
      <c r="T1003" s="55"/>
      <c r="U1003" s="55"/>
      <c r="V1003" s="55"/>
      <c r="W1003" s="55"/>
      <c r="X1003" s="55"/>
      <c r="Y1003" s="55"/>
      <c r="Z1003" s="55"/>
      <c r="AA1003" s="55"/>
      <c r="AB1003" s="55"/>
      <c r="AC1003" s="55"/>
      <c r="AD1003" s="55"/>
      <c r="AE1003" s="55"/>
    </row>
    <row r="1004" spans="2:31" s="28" customFormat="1" ht="15" customHeight="1" x14ac:dyDescent="0.25">
      <c r="B1004" s="520"/>
      <c r="C1004" s="23"/>
      <c r="D1004" s="23"/>
      <c r="E1004" s="24"/>
      <c r="H1004" s="23"/>
      <c r="I1004" s="55"/>
      <c r="J1004" s="55"/>
      <c r="K1004" s="55"/>
      <c r="L1004" s="55"/>
      <c r="M1004" s="55"/>
      <c r="N1004" s="55"/>
      <c r="O1004" s="55"/>
      <c r="P1004" s="55"/>
      <c r="Q1004" s="55"/>
      <c r="R1004" s="55"/>
      <c r="S1004" s="55"/>
      <c r="T1004" s="55"/>
      <c r="U1004" s="55"/>
      <c r="V1004" s="55"/>
      <c r="W1004" s="55"/>
      <c r="X1004" s="55"/>
      <c r="Y1004" s="55"/>
      <c r="Z1004" s="55"/>
      <c r="AA1004" s="55"/>
      <c r="AB1004" s="55"/>
      <c r="AC1004" s="55"/>
      <c r="AD1004" s="55"/>
      <c r="AE1004" s="55"/>
    </row>
    <row r="1005" spans="2:31" s="28" customFormat="1" ht="15" customHeight="1" x14ac:dyDescent="0.25">
      <c r="B1005" s="520"/>
      <c r="C1005" s="23"/>
      <c r="D1005" s="23"/>
      <c r="E1005" s="24"/>
      <c r="H1005" s="23"/>
      <c r="I1005" s="55"/>
      <c r="J1005" s="55"/>
      <c r="K1005" s="55"/>
      <c r="L1005" s="55"/>
      <c r="M1005" s="55"/>
      <c r="N1005" s="55"/>
      <c r="O1005" s="55"/>
      <c r="P1005" s="55"/>
      <c r="Q1005" s="55"/>
      <c r="R1005" s="55"/>
      <c r="S1005" s="55"/>
      <c r="T1005" s="55"/>
      <c r="U1005" s="55"/>
      <c r="V1005" s="55"/>
      <c r="W1005" s="55"/>
      <c r="X1005" s="55"/>
      <c r="Y1005" s="55"/>
      <c r="Z1005" s="55"/>
      <c r="AA1005" s="55"/>
      <c r="AB1005" s="55"/>
      <c r="AC1005" s="55"/>
      <c r="AD1005" s="55"/>
      <c r="AE1005" s="55"/>
    </row>
    <row r="1006" spans="2:31" s="28" customFormat="1" ht="15" customHeight="1" x14ac:dyDescent="0.25">
      <c r="B1006" s="520"/>
      <c r="C1006" s="23"/>
      <c r="D1006" s="23"/>
      <c r="E1006" s="24"/>
      <c r="H1006" s="23"/>
      <c r="I1006" s="55"/>
      <c r="J1006" s="55"/>
      <c r="K1006" s="55"/>
      <c r="L1006" s="55"/>
      <c r="M1006" s="55"/>
      <c r="N1006" s="55"/>
      <c r="O1006" s="55"/>
      <c r="P1006" s="55"/>
      <c r="Q1006" s="55"/>
      <c r="R1006" s="55"/>
      <c r="S1006" s="55"/>
      <c r="T1006" s="55"/>
      <c r="U1006" s="55"/>
      <c r="V1006" s="55"/>
      <c r="W1006" s="55"/>
      <c r="X1006" s="55"/>
      <c r="Y1006" s="55"/>
      <c r="Z1006" s="55"/>
      <c r="AA1006" s="55"/>
      <c r="AB1006" s="55"/>
      <c r="AC1006" s="55"/>
      <c r="AD1006" s="55"/>
      <c r="AE1006" s="55"/>
    </row>
    <row r="1007" spans="2:31" s="28" customFormat="1" ht="15" customHeight="1" x14ac:dyDescent="0.25">
      <c r="B1007" s="520"/>
      <c r="C1007" s="23"/>
      <c r="D1007" s="23"/>
      <c r="E1007" s="24"/>
      <c r="H1007" s="23"/>
      <c r="I1007" s="55"/>
      <c r="J1007" s="55"/>
      <c r="K1007" s="55"/>
      <c r="L1007" s="55"/>
      <c r="M1007" s="55"/>
      <c r="N1007" s="55"/>
      <c r="O1007" s="55"/>
      <c r="P1007" s="55"/>
      <c r="Q1007" s="55"/>
      <c r="R1007" s="55"/>
      <c r="S1007" s="55"/>
      <c r="T1007" s="55"/>
      <c r="U1007" s="55"/>
      <c r="V1007" s="55"/>
      <c r="W1007" s="55"/>
      <c r="X1007" s="55"/>
      <c r="Y1007" s="55"/>
      <c r="Z1007" s="55"/>
      <c r="AA1007" s="55"/>
      <c r="AB1007" s="55"/>
      <c r="AC1007" s="55"/>
      <c r="AD1007" s="55"/>
      <c r="AE1007" s="55"/>
    </row>
    <row r="1008" spans="2:31" s="28" customFormat="1" ht="15" customHeight="1" x14ac:dyDescent="0.25">
      <c r="B1008" s="520"/>
      <c r="C1008" s="23"/>
      <c r="D1008" s="23"/>
      <c r="E1008" s="24"/>
      <c r="H1008" s="23"/>
      <c r="I1008" s="55"/>
      <c r="J1008" s="55"/>
      <c r="K1008" s="55"/>
      <c r="L1008" s="55"/>
      <c r="M1008" s="55"/>
      <c r="N1008" s="55"/>
      <c r="O1008" s="55"/>
      <c r="P1008" s="55"/>
      <c r="Q1008" s="55"/>
      <c r="R1008" s="55"/>
      <c r="S1008" s="55"/>
      <c r="T1008" s="55"/>
      <c r="U1008" s="55"/>
      <c r="V1008" s="55"/>
      <c r="W1008" s="55"/>
      <c r="X1008" s="55"/>
      <c r="Y1008" s="55"/>
      <c r="Z1008" s="55"/>
      <c r="AA1008" s="55"/>
      <c r="AB1008" s="55"/>
      <c r="AC1008" s="55"/>
      <c r="AD1008" s="55"/>
      <c r="AE1008" s="55"/>
    </row>
    <row r="1009" spans="2:31" s="28" customFormat="1" ht="15" customHeight="1" x14ac:dyDescent="0.25">
      <c r="B1009" s="520"/>
      <c r="C1009" s="23"/>
      <c r="D1009" s="23"/>
      <c r="E1009" s="24"/>
      <c r="H1009" s="23"/>
      <c r="I1009" s="55"/>
      <c r="J1009" s="55"/>
      <c r="K1009" s="55"/>
      <c r="L1009" s="55"/>
      <c r="M1009" s="55"/>
      <c r="N1009" s="55"/>
      <c r="O1009" s="55"/>
      <c r="P1009" s="55"/>
      <c r="Q1009" s="55"/>
      <c r="R1009" s="55"/>
      <c r="S1009" s="55"/>
      <c r="T1009" s="55"/>
      <c r="U1009" s="55"/>
      <c r="V1009" s="55"/>
      <c r="W1009" s="55"/>
      <c r="X1009" s="55"/>
      <c r="Y1009" s="55"/>
      <c r="Z1009" s="55"/>
      <c r="AA1009" s="55"/>
      <c r="AB1009" s="55"/>
      <c r="AC1009" s="55"/>
      <c r="AD1009" s="55"/>
      <c r="AE1009" s="55"/>
    </row>
    <row r="1010" spans="2:31" s="28" customFormat="1" ht="15" customHeight="1" x14ac:dyDescent="0.25">
      <c r="B1010" s="520"/>
      <c r="C1010" s="23"/>
      <c r="D1010" s="23"/>
      <c r="E1010" s="24"/>
      <c r="H1010" s="23"/>
      <c r="I1010" s="55"/>
      <c r="J1010" s="55"/>
      <c r="K1010" s="55"/>
      <c r="L1010" s="55"/>
      <c r="M1010" s="55"/>
      <c r="N1010" s="55"/>
      <c r="O1010" s="55"/>
      <c r="P1010" s="55"/>
      <c r="Q1010" s="55"/>
      <c r="R1010" s="55"/>
      <c r="S1010" s="55"/>
      <c r="T1010" s="55"/>
      <c r="U1010" s="55"/>
      <c r="V1010" s="55"/>
      <c r="W1010" s="55"/>
      <c r="X1010" s="55"/>
      <c r="Y1010" s="55"/>
      <c r="Z1010" s="55"/>
      <c r="AA1010" s="55"/>
      <c r="AB1010" s="55"/>
      <c r="AC1010" s="55"/>
      <c r="AD1010" s="55"/>
      <c r="AE1010" s="55"/>
    </row>
    <row r="1011" spans="2:31" s="28" customFormat="1" ht="15" customHeight="1" x14ac:dyDescent="0.25">
      <c r="B1011" s="520"/>
      <c r="C1011" s="23"/>
      <c r="D1011" s="23"/>
      <c r="E1011" s="24"/>
      <c r="H1011" s="23"/>
      <c r="I1011" s="55"/>
      <c r="J1011" s="55"/>
      <c r="K1011" s="55"/>
      <c r="L1011" s="55"/>
      <c r="M1011" s="55"/>
      <c r="N1011" s="55"/>
      <c r="O1011" s="55"/>
      <c r="P1011" s="55"/>
      <c r="Q1011" s="55"/>
      <c r="R1011" s="55"/>
      <c r="S1011" s="55"/>
      <c r="T1011" s="55"/>
      <c r="U1011" s="55"/>
      <c r="V1011" s="55"/>
      <c r="W1011" s="55"/>
      <c r="X1011" s="55"/>
      <c r="Y1011" s="55"/>
      <c r="Z1011" s="55"/>
      <c r="AA1011" s="55"/>
      <c r="AB1011" s="55"/>
      <c r="AC1011" s="55"/>
      <c r="AD1011" s="55"/>
      <c r="AE1011" s="55"/>
    </row>
    <row r="1012" spans="2:31" s="28" customFormat="1" ht="15" customHeight="1" x14ac:dyDescent="0.25">
      <c r="B1012" s="520"/>
      <c r="C1012" s="23"/>
      <c r="D1012" s="23"/>
      <c r="E1012" s="24"/>
      <c r="H1012" s="23"/>
      <c r="I1012" s="55"/>
      <c r="J1012" s="55"/>
      <c r="K1012" s="55"/>
      <c r="L1012" s="55"/>
      <c r="M1012" s="55"/>
      <c r="N1012" s="55"/>
      <c r="O1012" s="55"/>
      <c r="P1012" s="55"/>
      <c r="Q1012" s="55"/>
      <c r="R1012" s="55"/>
      <c r="S1012" s="55"/>
      <c r="T1012" s="55"/>
      <c r="U1012" s="55"/>
      <c r="V1012" s="55"/>
      <c r="W1012" s="55"/>
      <c r="X1012" s="55"/>
      <c r="Y1012" s="55"/>
      <c r="Z1012" s="55"/>
      <c r="AA1012" s="55"/>
      <c r="AB1012" s="55"/>
      <c r="AC1012" s="55"/>
      <c r="AD1012" s="55"/>
      <c r="AE1012" s="55"/>
    </row>
    <row r="1013" spans="2:31" s="28" customFormat="1" ht="15" customHeight="1" x14ac:dyDescent="0.25">
      <c r="B1013" s="520"/>
      <c r="C1013" s="23"/>
      <c r="D1013" s="23"/>
      <c r="E1013" s="24"/>
      <c r="H1013" s="23"/>
      <c r="I1013" s="55"/>
      <c r="J1013" s="55"/>
      <c r="K1013" s="55"/>
      <c r="L1013" s="55"/>
      <c r="M1013" s="55"/>
      <c r="N1013" s="55"/>
      <c r="O1013" s="55"/>
      <c r="P1013" s="55"/>
      <c r="Q1013" s="55"/>
      <c r="R1013" s="55"/>
      <c r="S1013" s="55"/>
      <c r="T1013" s="55"/>
      <c r="U1013" s="55"/>
      <c r="V1013" s="55"/>
      <c r="W1013" s="55"/>
      <c r="X1013" s="55"/>
      <c r="Y1013" s="55"/>
      <c r="Z1013" s="55"/>
      <c r="AA1013" s="55"/>
      <c r="AB1013" s="55"/>
      <c r="AC1013" s="55"/>
      <c r="AD1013" s="55"/>
      <c r="AE1013" s="55"/>
    </row>
    <row r="1014" spans="2:31" s="28" customFormat="1" ht="15" customHeight="1" x14ac:dyDescent="0.25">
      <c r="B1014" s="520"/>
      <c r="C1014" s="23"/>
      <c r="D1014" s="23"/>
      <c r="E1014" s="24"/>
      <c r="H1014" s="23"/>
      <c r="I1014" s="55"/>
      <c r="J1014" s="55"/>
      <c r="K1014" s="55"/>
      <c r="L1014" s="55"/>
      <c r="M1014" s="55"/>
      <c r="N1014" s="55"/>
      <c r="O1014" s="55"/>
      <c r="P1014" s="55"/>
      <c r="Q1014" s="55"/>
      <c r="R1014" s="55"/>
      <c r="S1014" s="55"/>
      <c r="T1014" s="55"/>
      <c r="U1014" s="55"/>
      <c r="V1014" s="55"/>
      <c r="W1014" s="55"/>
      <c r="X1014" s="55"/>
      <c r="Y1014" s="55"/>
      <c r="Z1014" s="55"/>
      <c r="AA1014" s="55"/>
      <c r="AB1014" s="55"/>
      <c r="AC1014" s="55"/>
      <c r="AD1014" s="55"/>
      <c r="AE1014" s="55"/>
    </row>
    <row r="1015" spans="2:31" s="28" customFormat="1" ht="15" customHeight="1" x14ac:dyDescent="0.25">
      <c r="B1015" s="520"/>
      <c r="C1015" s="23"/>
      <c r="D1015" s="23"/>
      <c r="E1015" s="24"/>
      <c r="H1015" s="23"/>
      <c r="I1015" s="55"/>
      <c r="J1015" s="55"/>
      <c r="K1015" s="55"/>
      <c r="L1015" s="55"/>
      <c r="M1015" s="55"/>
      <c r="N1015" s="55"/>
      <c r="O1015" s="55"/>
      <c r="P1015" s="55"/>
      <c r="Q1015" s="55"/>
      <c r="R1015" s="55"/>
      <c r="S1015" s="55"/>
      <c r="T1015" s="55"/>
      <c r="U1015" s="55"/>
      <c r="V1015" s="55"/>
      <c r="W1015" s="55"/>
      <c r="X1015" s="55"/>
      <c r="Y1015" s="55"/>
      <c r="Z1015" s="55"/>
      <c r="AA1015" s="55"/>
      <c r="AB1015" s="55"/>
      <c r="AC1015" s="55"/>
      <c r="AD1015" s="55"/>
      <c r="AE1015" s="55"/>
    </row>
    <row r="1016" spans="2:31" s="28" customFormat="1" ht="15" customHeight="1" x14ac:dyDescent="0.25">
      <c r="B1016" s="520"/>
      <c r="C1016" s="23"/>
      <c r="D1016" s="23"/>
      <c r="E1016" s="24"/>
      <c r="H1016" s="23"/>
      <c r="I1016" s="55"/>
      <c r="J1016" s="55"/>
      <c r="K1016" s="55"/>
      <c r="L1016" s="55"/>
      <c r="M1016" s="55"/>
      <c r="N1016" s="55"/>
      <c r="O1016" s="55"/>
      <c r="P1016" s="55"/>
      <c r="Q1016" s="55"/>
      <c r="R1016" s="55"/>
      <c r="S1016" s="55"/>
      <c r="T1016" s="55"/>
      <c r="U1016" s="55"/>
      <c r="V1016" s="55"/>
      <c r="W1016" s="55"/>
      <c r="X1016" s="55"/>
      <c r="Y1016" s="55"/>
      <c r="Z1016" s="55"/>
      <c r="AA1016" s="55"/>
      <c r="AB1016" s="55"/>
      <c r="AC1016" s="55"/>
      <c r="AD1016" s="55"/>
      <c r="AE1016" s="55"/>
    </row>
    <row r="1017" spans="2:31" s="28" customFormat="1" ht="15" customHeight="1" x14ac:dyDescent="0.25">
      <c r="B1017" s="520"/>
      <c r="C1017" s="23"/>
      <c r="D1017" s="23"/>
      <c r="E1017" s="24"/>
      <c r="H1017" s="23"/>
      <c r="I1017" s="55"/>
      <c r="J1017" s="55"/>
      <c r="K1017" s="55"/>
      <c r="L1017" s="55"/>
      <c r="M1017" s="55"/>
      <c r="N1017" s="55"/>
      <c r="O1017" s="55"/>
      <c r="P1017" s="55"/>
      <c r="Q1017" s="55"/>
      <c r="R1017" s="55"/>
      <c r="S1017" s="55"/>
      <c r="T1017" s="55"/>
      <c r="U1017" s="55"/>
      <c r="V1017" s="55"/>
      <c r="W1017" s="55"/>
      <c r="X1017" s="55"/>
      <c r="Y1017" s="55"/>
      <c r="Z1017" s="55"/>
      <c r="AA1017" s="55"/>
      <c r="AB1017" s="55"/>
      <c r="AC1017" s="55"/>
      <c r="AD1017" s="55"/>
      <c r="AE1017" s="55"/>
    </row>
    <row r="1018" spans="2:31" s="28" customFormat="1" ht="15" customHeight="1" x14ac:dyDescent="0.25">
      <c r="B1018" s="520"/>
      <c r="C1018" s="23"/>
      <c r="D1018" s="23"/>
      <c r="E1018" s="24"/>
      <c r="H1018" s="23"/>
      <c r="I1018" s="55"/>
      <c r="J1018" s="55"/>
      <c r="K1018" s="55"/>
      <c r="L1018" s="55"/>
      <c r="M1018" s="55"/>
      <c r="N1018" s="55"/>
      <c r="O1018" s="55"/>
      <c r="P1018" s="55"/>
      <c r="Q1018" s="55"/>
      <c r="R1018" s="55"/>
      <c r="S1018" s="55"/>
      <c r="T1018" s="55"/>
      <c r="U1018" s="55"/>
      <c r="V1018" s="55"/>
      <c r="W1018" s="55"/>
      <c r="X1018" s="55"/>
      <c r="Y1018" s="55"/>
      <c r="Z1018" s="55"/>
      <c r="AA1018" s="55"/>
      <c r="AB1018" s="55"/>
      <c r="AC1018" s="55"/>
      <c r="AD1018" s="55"/>
      <c r="AE1018" s="55"/>
    </row>
    <row r="1019" spans="2:31" s="28" customFormat="1" ht="15" customHeight="1" x14ac:dyDescent="0.25">
      <c r="B1019" s="520"/>
      <c r="C1019" s="23"/>
      <c r="D1019" s="23"/>
      <c r="E1019" s="24"/>
      <c r="H1019" s="23"/>
      <c r="I1019" s="55"/>
      <c r="J1019" s="55"/>
      <c r="K1019" s="55"/>
      <c r="L1019" s="55"/>
      <c r="M1019" s="55"/>
      <c r="N1019" s="55"/>
      <c r="O1019" s="55"/>
      <c r="P1019" s="55"/>
      <c r="Q1019" s="55"/>
      <c r="R1019" s="55"/>
      <c r="S1019" s="55"/>
      <c r="T1019" s="55"/>
      <c r="U1019" s="55"/>
      <c r="V1019" s="55"/>
      <c r="W1019" s="55"/>
      <c r="X1019" s="55"/>
      <c r="Y1019" s="55"/>
      <c r="Z1019" s="55"/>
      <c r="AA1019" s="55"/>
      <c r="AB1019" s="55"/>
      <c r="AC1019" s="55"/>
      <c r="AD1019" s="55"/>
      <c r="AE1019" s="55"/>
    </row>
    <row r="1020" spans="2:31" s="28" customFormat="1" ht="15" customHeight="1" x14ac:dyDescent="0.25">
      <c r="B1020" s="520"/>
      <c r="C1020" s="23"/>
      <c r="D1020" s="23"/>
      <c r="E1020" s="24"/>
      <c r="H1020" s="23"/>
      <c r="I1020" s="55"/>
      <c r="J1020" s="55"/>
      <c r="K1020" s="55"/>
      <c r="L1020" s="55"/>
      <c r="M1020" s="55"/>
      <c r="N1020" s="55"/>
      <c r="O1020" s="55"/>
      <c r="P1020" s="55"/>
      <c r="Q1020" s="55"/>
      <c r="R1020" s="55"/>
      <c r="S1020" s="55"/>
      <c r="T1020" s="55"/>
      <c r="U1020" s="55"/>
      <c r="V1020" s="55"/>
      <c r="W1020" s="55"/>
      <c r="X1020" s="55"/>
      <c r="Y1020" s="55"/>
      <c r="Z1020" s="55"/>
      <c r="AA1020" s="55"/>
      <c r="AB1020" s="55"/>
      <c r="AC1020" s="55"/>
      <c r="AD1020" s="55"/>
      <c r="AE1020" s="55"/>
    </row>
    <row r="1021" spans="2:31" s="28" customFormat="1" ht="15" customHeight="1" x14ac:dyDescent="0.25">
      <c r="B1021" s="520"/>
      <c r="C1021" s="23"/>
      <c r="D1021" s="23"/>
      <c r="E1021" s="24"/>
      <c r="H1021" s="23"/>
      <c r="I1021" s="55"/>
      <c r="J1021" s="55"/>
      <c r="K1021" s="55"/>
      <c r="L1021" s="55"/>
      <c r="M1021" s="55"/>
      <c r="N1021" s="55"/>
      <c r="O1021" s="55"/>
      <c r="P1021" s="55"/>
      <c r="Q1021" s="55"/>
      <c r="R1021" s="55"/>
      <c r="S1021" s="55"/>
      <c r="T1021" s="55"/>
      <c r="U1021" s="55"/>
      <c r="V1021" s="55"/>
      <c r="W1021" s="55"/>
      <c r="X1021" s="55"/>
      <c r="Y1021" s="55"/>
      <c r="Z1021" s="55"/>
      <c r="AA1021" s="55"/>
      <c r="AB1021" s="55"/>
      <c r="AC1021" s="55"/>
      <c r="AD1021" s="55"/>
      <c r="AE1021" s="55"/>
    </row>
    <row r="1022" spans="2:31" s="28" customFormat="1" ht="15" customHeight="1" x14ac:dyDescent="0.25">
      <c r="B1022" s="520"/>
      <c r="C1022" s="23"/>
      <c r="D1022" s="23"/>
      <c r="E1022" s="24"/>
      <c r="H1022" s="23"/>
      <c r="I1022" s="55"/>
      <c r="J1022" s="55"/>
      <c r="K1022" s="55"/>
      <c r="L1022" s="55"/>
      <c r="M1022" s="55"/>
      <c r="N1022" s="55"/>
      <c r="O1022" s="55"/>
      <c r="P1022" s="55"/>
      <c r="Q1022" s="55"/>
      <c r="R1022" s="55"/>
      <c r="S1022" s="55"/>
      <c r="T1022" s="55"/>
      <c r="U1022" s="55"/>
      <c r="V1022" s="55"/>
      <c r="W1022" s="55"/>
      <c r="X1022" s="55"/>
      <c r="Y1022" s="55"/>
      <c r="Z1022" s="55"/>
      <c r="AA1022" s="55"/>
      <c r="AB1022" s="55"/>
      <c r="AC1022" s="55"/>
      <c r="AD1022" s="55"/>
      <c r="AE1022" s="55"/>
    </row>
    <row r="1023" spans="2:31" s="28" customFormat="1" ht="15" customHeight="1" x14ac:dyDescent="0.25">
      <c r="B1023" s="520"/>
      <c r="C1023" s="23"/>
      <c r="D1023" s="23"/>
      <c r="E1023" s="24"/>
      <c r="H1023" s="23"/>
      <c r="I1023" s="55"/>
      <c r="J1023" s="55"/>
      <c r="K1023" s="55"/>
      <c r="L1023" s="55"/>
      <c r="M1023" s="55"/>
      <c r="N1023" s="55"/>
      <c r="O1023" s="55"/>
      <c r="P1023" s="55"/>
      <c r="Q1023" s="55"/>
      <c r="R1023" s="55"/>
      <c r="S1023" s="55"/>
      <c r="T1023" s="55"/>
      <c r="U1023" s="55"/>
      <c r="V1023" s="55"/>
      <c r="W1023" s="55"/>
      <c r="X1023" s="55"/>
      <c r="Y1023" s="55"/>
      <c r="Z1023" s="55"/>
      <c r="AA1023" s="55"/>
      <c r="AB1023" s="55"/>
      <c r="AC1023" s="55"/>
      <c r="AD1023" s="55"/>
      <c r="AE1023" s="55"/>
    </row>
    <row r="1024" spans="2:31" s="28" customFormat="1" ht="15" customHeight="1" x14ac:dyDescent="0.25">
      <c r="B1024" s="520"/>
      <c r="C1024" s="23"/>
      <c r="D1024" s="23"/>
      <c r="E1024" s="24"/>
      <c r="H1024" s="23"/>
      <c r="I1024" s="55"/>
      <c r="J1024" s="55"/>
      <c r="K1024" s="55"/>
      <c r="L1024" s="55"/>
      <c r="M1024" s="55"/>
      <c r="N1024" s="55"/>
      <c r="O1024" s="55"/>
      <c r="P1024" s="55"/>
      <c r="Q1024" s="55"/>
      <c r="R1024" s="55"/>
      <c r="S1024" s="55"/>
      <c r="T1024" s="55"/>
      <c r="U1024" s="55"/>
      <c r="V1024" s="55"/>
      <c r="W1024" s="55"/>
      <c r="X1024" s="55"/>
      <c r="Y1024" s="55"/>
      <c r="Z1024" s="55"/>
      <c r="AA1024" s="55"/>
      <c r="AB1024" s="55"/>
      <c r="AC1024" s="55"/>
      <c r="AD1024" s="55"/>
      <c r="AE1024" s="55"/>
    </row>
    <row r="1025" spans="2:31" s="28" customFormat="1" ht="15" customHeight="1" x14ac:dyDescent="0.25">
      <c r="B1025" s="520"/>
      <c r="C1025" s="23"/>
      <c r="D1025" s="23"/>
      <c r="E1025" s="24"/>
      <c r="H1025" s="23"/>
      <c r="I1025" s="55"/>
      <c r="J1025" s="55"/>
      <c r="K1025" s="55"/>
      <c r="L1025" s="55"/>
      <c r="M1025" s="55"/>
      <c r="N1025" s="55"/>
      <c r="O1025" s="55"/>
      <c r="P1025" s="55"/>
      <c r="Q1025" s="55"/>
      <c r="R1025" s="55"/>
      <c r="S1025" s="55"/>
      <c r="T1025" s="55"/>
      <c r="U1025" s="55"/>
      <c r="V1025" s="55"/>
      <c r="W1025" s="55"/>
      <c r="X1025" s="55"/>
      <c r="Y1025" s="55"/>
      <c r="Z1025" s="55"/>
      <c r="AA1025" s="55"/>
      <c r="AB1025" s="55"/>
      <c r="AC1025" s="55"/>
      <c r="AD1025" s="55"/>
      <c r="AE1025" s="55"/>
    </row>
    <row r="1026" spans="2:31" s="28" customFormat="1" ht="15" customHeight="1" x14ac:dyDescent="0.25">
      <c r="B1026" s="520"/>
      <c r="C1026" s="23"/>
      <c r="D1026" s="23"/>
      <c r="E1026" s="24"/>
      <c r="H1026" s="23"/>
      <c r="I1026" s="55"/>
      <c r="J1026" s="55"/>
      <c r="K1026" s="55"/>
      <c r="L1026" s="55"/>
      <c r="M1026" s="55"/>
      <c r="N1026" s="55"/>
      <c r="O1026" s="55"/>
      <c r="P1026" s="55"/>
      <c r="Q1026" s="55"/>
      <c r="R1026" s="55"/>
      <c r="S1026" s="55"/>
      <c r="T1026" s="55"/>
      <c r="U1026" s="55"/>
      <c r="V1026" s="55"/>
      <c r="W1026" s="55"/>
      <c r="X1026" s="55"/>
      <c r="Y1026" s="55"/>
      <c r="Z1026" s="55"/>
      <c r="AA1026" s="55"/>
      <c r="AB1026" s="55"/>
      <c r="AC1026" s="55"/>
      <c r="AD1026" s="55"/>
      <c r="AE1026" s="55"/>
    </row>
    <row r="1027" spans="2:31" s="28" customFormat="1" ht="15" customHeight="1" x14ac:dyDescent="0.25">
      <c r="B1027" s="520"/>
      <c r="C1027" s="23"/>
      <c r="D1027" s="23"/>
      <c r="E1027" s="24"/>
      <c r="H1027" s="23"/>
      <c r="I1027" s="55"/>
      <c r="J1027" s="55"/>
      <c r="K1027" s="55"/>
      <c r="L1027" s="55"/>
      <c r="M1027" s="55"/>
      <c r="N1027" s="55"/>
      <c r="O1027" s="55"/>
      <c r="P1027" s="55"/>
      <c r="Q1027" s="55"/>
      <c r="R1027" s="55"/>
      <c r="S1027" s="55"/>
      <c r="T1027" s="55"/>
      <c r="U1027" s="55"/>
      <c r="V1027" s="55"/>
      <c r="W1027" s="55"/>
      <c r="X1027" s="55"/>
      <c r="Y1027" s="55"/>
      <c r="Z1027" s="55"/>
      <c r="AA1027" s="55"/>
      <c r="AB1027" s="55"/>
      <c r="AC1027" s="55"/>
      <c r="AD1027" s="55"/>
      <c r="AE1027" s="55"/>
    </row>
    <row r="1028" spans="2:31" s="28" customFormat="1" ht="15" customHeight="1" x14ac:dyDescent="0.25">
      <c r="B1028" s="520"/>
      <c r="C1028" s="23"/>
      <c r="D1028" s="23"/>
      <c r="E1028" s="24"/>
      <c r="H1028" s="23"/>
      <c r="I1028" s="55"/>
      <c r="J1028" s="55"/>
      <c r="K1028" s="55"/>
      <c r="L1028" s="55"/>
      <c r="M1028" s="55"/>
      <c r="N1028" s="55"/>
      <c r="O1028" s="55"/>
      <c r="P1028" s="55"/>
      <c r="Q1028" s="55"/>
      <c r="R1028" s="55"/>
      <c r="S1028" s="55"/>
      <c r="T1028" s="55"/>
      <c r="U1028" s="55"/>
      <c r="V1028" s="55"/>
      <c r="W1028" s="55"/>
      <c r="X1028" s="55"/>
      <c r="Y1028" s="55"/>
      <c r="Z1028" s="55"/>
      <c r="AA1028" s="55"/>
      <c r="AB1028" s="55"/>
      <c r="AC1028" s="55"/>
      <c r="AD1028" s="55"/>
      <c r="AE1028" s="55"/>
    </row>
    <row r="1029" spans="2:31" s="28" customFormat="1" ht="15" customHeight="1" x14ac:dyDescent="0.25">
      <c r="B1029" s="520"/>
      <c r="C1029" s="23"/>
      <c r="D1029" s="23"/>
      <c r="E1029" s="24"/>
      <c r="H1029" s="23"/>
      <c r="I1029" s="55"/>
      <c r="J1029" s="55"/>
      <c r="K1029" s="55"/>
      <c r="L1029" s="55"/>
      <c r="M1029" s="55"/>
      <c r="N1029" s="55"/>
      <c r="O1029" s="55"/>
      <c r="P1029" s="55"/>
      <c r="Q1029" s="55"/>
      <c r="R1029" s="55"/>
      <c r="S1029" s="55"/>
      <c r="T1029" s="55"/>
      <c r="U1029" s="55"/>
      <c r="V1029" s="55"/>
      <c r="W1029" s="55"/>
      <c r="X1029" s="55"/>
      <c r="Y1029" s="55"/>
      <c r="Z1029" s="55"/>
      <c r="AA1029" s="55"/>
      <c r="AB1029" s="55"/>
      <c r="AC1029" s="55"/>
      <c r="AD1029" s="55"/>
      <c r="AE1029" s="55"/>
    </row>
    <row r="1030" spans="2:31" s="28" customFormat="1" ht="15" customHeight="1" x14ac:dyDescent="0.25">
      <c r="B1030" s="520"/>
      <c r="C1030" s="23"/>
      <c r="D1030" s="23"/>
      <c r="E1030" s="24"/>
      <c r="H1030" s="23"/>
      <c r="I1030" s="55"/>
      <c r="J1030" s="55"/>
      <c r="K1030" s="55"/>
      <c r="L1030" s="55"/>
      <c r="M1030" s="55"/>
      <c r="N1030" s="55"/>
      <c r="O1030" s="55"/>
      <c r="P1030" s="55"/>
      <c r="Q1030" s="55"/>
      <c r="R1030" s="55"/>
      <c r="S1030" s="55"/>
      <c r="T1030" s="55"/>
      <c r="U1030" s="55"/>
      <c r="V1030" s="55"/>
      <c r="W1030" s="55"/>
      <c r="X1030" s="55"/>
      <c r="Y1030" s="55"/>
      <c r="Z1030" s="55"/>
      <c r="AA1030" s="55"/>
      <c r="AB1030" s="55"/>
      <c r="AC1030" s="55"/>
      <c r="AD1030" s="55"/>
      <c r="AE1030" s="55"/>
    </row>
    <row r="1031" spans="2:31" s="28" customFormat="1" ht="15" customHeight="1" x14ac:dyDescent="0.25">
      <c r="B1031" s="520"/>
      <c r="C1031" s="23"/>
      <c r="D1031" s="23"/>
      <c r="E1031" s="24"/>
      <c r="H1031" s="23"/>
      <c r="I1031" s="55"/>
      <c r="J1031" s="55"/>
      <c r="K1031" s="55"/>
      <c r="L1031" s="55"/>
      <c r="M1031" s="55"/>
      <c r="N1031" s="55"/>
      <c r="O1031" s="55"/>
      <c r="P1031" s="55"/>
      <c r="Q1031" s="55"/>
      <c r="R1031" s="55"/>
      <c r="S1031" s="55"/>
      <c r="T1031" s="55"/>
      <c r="U1031" s="55"/>
      <c r="V1031" s="55"/>
      <c r="W1031" s="55"/>
      <c r="X1031" s="55"/>
      <c r="Y1031" s="55"/>
      <c r="Z1031" s="55"/>
      <c r="AA1031" s="55"/>
      <c r="AB1031" s="55"/>
      <c r="AC1031" s="55"/>
      <c r="AD1031" s="55"/>
      <c r="AE1031" s="55"/>
    </row>
    <row r="1032" spans="2:31" s="28" customFormat="1" ht="15" customHeight="1" x14ac:dyDescent="0.25">
      <c r="B1032" s="520"/>
      <c r="C1032" s="23"/>
      <c r="D1032" s="23"/>
      <c r="E1032" s="24"/>
      <c r="H1032" s="23"/>
      <c r="I1032" s="55"/>
      <c r="J1032" s="55"/>
      <c r="K1032" s="55"/>
      <c r="L1032" s="55"/>
      <c r="M1032" s="55"/>
      <c r="N1032" s="55"/>
      <c r="O1032" s="55"/>
      <c r="P1032" s="55"/>
      <c r="Q1032" s="55"/>
      <c r="R1032" s="55"/>
      <c r="S1032" s="55"/>
      <c r="T1032" s="55"/>
      <c r="U1032" s="55"/>
      <c r="V1032" s="55"/>
      <c r="W1032" s="55"/>
      <c r="X1032" s="55"/>
      <c r="Y1032" s="55"/>
      <c r="Z1032" s="55"/>
      <c r="AA1032" s="55"/>
      <c r="AB1032" s="55"/>
      <c r="AC1032" s="55"/>
      <c r="AD1032" s="55"/>
      <c r="AE1032" s="55"/>
    </row>
    <row r="1033" spans="2:31" s="28" customFormat="1" ht="15" customHeight="1" x14ac:dyDescent="0.25">
      <c r="B1033" s="520"/>
      <c r="C1033" s="23"/>
      <c r="D1033" s="23"/>
      <c r="E1033" s="24"/>
      <c r="H1033" s="23"/>
      <c r="I1033" s="55"/>
      <c r="J1033" s="55"/>
      <c r="K1033" s="55"/>
      <c r="L1033" s="55"/>
      <c r="M1033" s="55"/>
      <c r="N1033" s="55"/>
      <c r="O1033" s="55"/>
      <c r="P1033" s="55"/>
      <c r="Q1033" s="55"/>
      <c r="R1033" s="55"/>
      <c r="S1033" s="55"/>
      <c r="T1033" s="55"/>
      <c r="U1033" s="55"/>
      <c r="V1033" s="55"/>
      <c r="W1033" s="55"/>
      <c r="X1033" s="55"/>
      <c r="Y1033" s="55"/>
      <c r="Z1033" s="55"/>
      <c r="AA1033" s="55"/>
      <c r="AB1033" s="55"/>
      <c r="AC1033" s="55"/>
      <c r="AD1033" s="55"/>
      <c r="AE1033" s="55"/>
    </row>
    <row r="1034" spans="2:31" s="28" customFormat="1" ht="15" customHeight="1" x14ac:dyDescent="0.25">
      <c r="B1034" s="520"/>
      <c r="C1034" s="23"/>
      <c r="D1034" s="23"/>
      <c r="E1034" s="24"/>
      <c r="H1034" s="23"/>
      <c r="I1034" s="55"/>
      <c r="J1034" s="55"/>
      <c r="K1034" s="55"/>
      <c r="L1034" s="55"/>
      <c r="M1034" s="55"/>
      <c r="N1034" s="55"/>
      <c r="O1034" s="55"/>
      <c r="P1034" s="55"/>
      <c r="Q1034" s="55"/>
      <c r="R1034" s="55"/>
      <c r="S1034" s="55"/>
      <c r="T1034" s="55"/>
      <c r="U1034" s="55"/>
      <c r="V1034" s="55"/>
      <c r="W1034" s="55"/>
      <c r="X1034" s="55"/>
      <c r="Y1034" s="55"/>
      <c r="Z1034" s="55"/>
      <c r="AA1034" s="55"/>
      <c r="AB1034" s="55"/>
      <c r="AC1034" s="55"/>
      <c r="AD1034" s="55"/>
      <c r="AE1034" s="55"/>
    </row>
    <row r="1035" spans="2:31" s="28" customFormat="1" ht="15" customHeight="1" x14ac:dyDescent="0.25">
      <c r="B1035" s="520"/>
      <c r="C1035" s="23"/>
      <c r="D1035" s="23"/>
      <c r="E1035" s="24"/>
      <c r="H1035" s="23"/>
      <c r="I1035" s="55"/>
      <c r="J1035" s="55"/>
      <c r="K1035" s="55"/>
      <c r="L1035" s="55"/>
      <c r="M1035" s="55"/>
      <c r="N1035" s="55"/>
      <c r="O1035" s="55"/>
      <c r="P1035" s="55"/>
      <c r="Q1035" s="55"/>
      <c r="R1035" s="55"/>
      <c r="S1035" s="55"/>
      <c r="T1035" s="55"/>
      <c r="U1035" s="55"/>
      <c r="V1035" s="55"/>
      <c r="W1035" s="55"/>
      <c r="X1035" s="55"/>
      <c r="Y1035" s="55"/>
      <c r="Z1035" s="55"/>
      <c r="AA1035" s="55"/>
      <c r="AB1035" s="55"/>
      <c r="AC1035" s="55"/>
      <c r="AD1035" s="55"/>
      <c r="AE1035" s="55"/>
    </row>
    <row r="1036" spans="2:31" s="28" customFormat="1" ht="15" customHeight="1" x14ac:dyDescent="0.25">
      <c r="B1036" s="520"/>
      <c r="C1036" s="23"/>
      <c r="D1036" s="23"/>
      <c r="E1036" s="24"/>
      <c r="H1036" s="23"/>
      <c r="I1036" s="55"/>
      <c r="J1036" s="55"/>
      <c r="K1036" s="55"/>
      <c r="L1036" s="55"/>
      <c r="M1036" s="55"/>
      <c r="N1036" s="55"/>
      <c r="O1036" s="55"/>
      <c r="P1036" s="55"/>
      <c r="Q1036" s="55"/>
      <c r="R1036" s="55"/>
      <c r="S1036" s="55"/>
      <c r="T1036" s="55"/>
      <c r="U1036" s="55"/>
      <c r="V1036" s="55"/>
      <c r="W1036" s="55"/>
      <c r="X1036" s="55"/>
      <c r="Y1036" s="55"/>
      <c r="Z1036" s="55"/>
      <c r="AA1036" s="55"/>
      <c r="AB1036" s="55"/>
      <c r="AC1036" s="55"/>
      <c r="AD1036" s="55"/>
      <c r="AE1036" s="55"/>
    </row>
    <row r="1037" spans="2:31" s="28" customFormat="1" ht="15" customHeight="1" x14ac:dyDescent="0.25">
      <c r="B1037" s="520"/>
      <c r="C1037" s="23"/>
      <c r="D1037" s="23"/>
      <c r="E1037" s="24"/>
      <c r="H1037" s="23"/>
      <c r="I1037" s="55"/>
      <c r="J1037" s="55"/>
      <c r="K1037" s="55"/>
      <c r="L1037" s="55"/>
      <c r="M1037" s="55"/>
      <c r="N1037" s="55"/>
      <c r="O1037" s="55"/>
      <c r="P1037" s="55"/>
      <c r="Q1037" s="55"/>
      <c r="R1037" s="55"/>
      <c r="S1037" s="55"/>
      <c r="T1037" s="55"/>
      <c r="U1037" s="55"/>
      <c r="V1037" s="55"/>
      <c r="W1037" s="55"/>
      <c r="X1037" s="55"/>
      <c r="Y1037" s="55"/>
      <c r="Z1037" s="55"/>
      <c r="AA1037" s="55"/>
      <c r="AB1037" s="55"/>
      <c r="AC1037" s="55"/>
      <c r="AD1037" s="55"/>
      <c r="AE1037" s="55"/>
    </row>
    <row r="1038" spans="2:31" s="28" customFormat="1" ht="15" customHeight="1" x14ac:dyDescent="0.25">
      <c r="B1038" s="520"/>
      <c r="C1038" s="23"/>
      <c r="D1038" s="23"/>
      <c r="E1038" s="24"/>
      <c r="H1038" s="23"/>
      <c r="I1038" s="55"/>
      <c r="J1038" s="55"/>
      <c r="K1038" s="55"/>
      <c r="L1038" s="55"/>
      <c r="M1038" s="55"/>
      <c r="N1038" s="55"/>
      <c r="O1038" s="55"/>
      <c r="P1038" s="55"/>
      <c r="Q1038" s="55"/>
      <c r="R1038" s="55"/>
      <c r="S1038" s="55"/>
      <c r="T1038" s="55"/>
      <c r="U1038" s="55"/>
      <c r="V1038" s="55"/>
      <c r="W1038" s="55"/>
      <c r="X1038" s="55"/>
      <c r="Y1038" s="55"/>
      <c r="Z1038" s="55"/>
      <c r="AA1038" s="55"/>
      <c r="AB1038" s="55"/>
      <c r="AC1038" s="55"/>
      <c r="AD1038" s="55"/>
      <c r="AE1038" s="55"/>
    </row>
    <row r="1039" spans="2:31" s="28" customFormat="1" ht="15" customHeight="1" x14ac:dyDescent="0.25">
      <c r="B1039" s="520"/>
      <c r="C1039" s="23"/>
      <c r="D1039" s="23"/>
      <c r="E1039" s="24"/>
      <c r="H1039" s="23"/>
      <c r="I1039" s="55"/>
      <c r="J1039" s="55"/>
      <c r="K1039" s="55"/>
      <c r="L1039" s="55"/>
      <c r="M1039" s="55"/>
      <c r="N1039" s="55"/>
      <c r="O1039" s="55"/>
      <c r="P1039" s="55"/>
      <c r="Q1039" s="55"/>
      <c r="R1039" s="55"/>
      <c r="S1039" s="55"/>
      <c r="T1039" s="55"/>
      <c r="U1039" s="55"/>
      <c r="V1039" s="55"/>
      <c r="W1039" s="55"/>
      <c r="X1039" s="55"/>
      <c r="Y1039" s="55"/>
      <c r="Z1039" s="55"/>
      <c r="AA1039" s="55"/>
      <c r="AB1039" s="55"/>
      <c r="AC1039" s="55"/>
      <c r="AD1039" s="55"/>
      <c r="AE1039" s="55"/>
    </row>
    <row r="1040" spans="2:31" s="28" customFormat="1" ht="15" customHeight="1" x14ac:dyDescent="0.25">
      <c r="B1040" s="520"/>
      <c r="C1040" s="23"/>
      <c r="D1040" s="23"/>
      <c r="E1040" s="24"/>
      <c r="H1040" s="23"/>
      <c r="I1040" s="55"/>
      <c r="J1040" s="55"/>
      <c r="K1040" s="55"/>
      <c r="L1040" s="55"/>
      <c r="M1040" s="55"/>
      <c r="N1040" s="55"/>
      <c r="O1040" s="55"/>
      <c r="P1040" s="55"/>
      <c r="Q1040" s="55"/>
      <c r="R1040" s="55"/>
      <c r="S1040" s="55"/>
      <c r="T1040" s="55"/>
      <c r="U1040" s="55"/>
      <c r="V1040" s="55"/>
      <c r="W1040" s="55"/>
      <c r="X1040" s="55"/>
      <c r="Y1040" s="55"/>
      <c r="Z1040" s="55"/>
      <c r="AA1040" s="55"/>
      <c r="AB1040" s="55"/>
      <c r="AC1040" s="55"/>
      <c r="AD1040" s="55"/>
      <c r="AE1040" s="55"/>
    </row>
    <row r="1041" spans="2:31" s="28" customFormat="1" ht="15" customHeight="1" x14ac:dyDescent="0.25">
      <c r="B1041" s="520"/>
      <c r="C1041" s="23"/>
      <c r="D1041" s="23"/>
      <c r="E1041" s="24"/>
      <c r="H1041" s="23"/>
      <c r="I1041" s="55"/>
      <c r="J1041" s="55"/>
      <c r="K1041" s="55"/>
      <c r="L1041" s="55"/>
      <c r="M1041" s="55"/>
      <c r="N1041" s="55"/>
      <c r="O1041" s="55"/>
      <c r="P1041" s="55"/>
      <c r="Q1041" s="55"/>
      <c r="R1041" s="55"/>
      <c r="S1041" s="55"/>
      <c r="T1041" s="55"/>
      <c r="U1041" s="55"/>
      <c r="V1041" s="55"/>
      <c r="W1041" s="55"/>
      <c r="X1041" s="55"/>
      <c r="Y1041" s="55"/>
      <c r="Z1041" s="55"/>
      <c r="AA1041" s="55"/>
      <c r="AB1041" s="55"/>
      <c r="AC1041" s="55"/>
      <c r="AD1041" s="55"/>
      <c r="AE1041" s="55"/>
    </row>
    <row r="1042" spans="2:31" s="28" customFormat="1" ht="15" customHeight="1" x14ac:dyDescent="0.25">
      <c r="B1042" s="520"/>
      <c r="C1042" s="23"/>
      <c r="D1042" s="23"/>
      <c r="E1042" s="24"/>
      <c r="H1042" s="23"/>
      <c r="I1042" s="55"/>
      <c r="J1042" s="55"/>
      <c r="K1042" s="55"/>
      <c r="L1042" s="55"/>
      <c r="M1042" s="55"/>
      <c r="N1042" s="55"/>
      <c r="O1042" s="55"/>
      <c r="P1042" s="55"/>
      <c r="Q1042" s="55"/>
      <c r="R1042" s="55"/>
      <c r="S1042" s="55"/>
      <c r="T1042" s="55"/>
      <c r="U1042" s="55"/>
      <c r="V1042" s="55"/>
      <c r="W1042" s="55"/>
      <c r="X1042" s="55"/>
      <c r="Y1042" s="55"/>
      <c r="Z1042" s="55"/>
      <c r="AA1042" s="55"/>
      <c r="AB1042" s="55"/>
      <c r="AC1042" s="55"/>
      <c r="AD1042" s="55"/>
      <c r="AE1042" s="55"/>
    </row>
    <row r="1043" spans="2:31" s="28" customFormat="1" ht="15" customHeight="1" x14ac:dyDescent="0.25">
      <c r="B1043" s="520"/>
      <c r="C1043" s="23"/>
      <c r="D1043" s="23"/>
      <c r="E1043" s="24"/>
      <c r="H1043" s="23"/>
      <c r="I1043" s="55"/>
      <c r="J1043" s="55"/>
      <c r="K1043" s="55"/>
      <c r="L1043" s="55"/>
      <c r="M1043" s="55"/>
      <c r="N1043" s="55"/>
      <c r="O1043" s="55"/>
      <c r="P1043" s="55"/>
      <c r="Q1043" s="55"/>
      <c r="R1043" s="55"/>
      <c r="S1043" s="55"/>
      <c r="T1043" s="55"/>
      <c r="U1043" s="55"/>
      <c r="V1043" s="55"/>
      <c r="W1043" s="55"/>
      <c r="X1043" s="55"/>
      <c r="Y1043" s="55"/>
      <c r="Z1043" s="55"/>
      <c r="AA1043" s="55"/>
      <c r="AB1043" s="55"/>
      <c r="AC1043" s="55"/>
      <c r="AD1043" s="55"/>
      <c r="AE1043" s="55"/>
    </row>
    <row r="1044" spans="2:31" s="28" customFormat="1" ht="15" customHeight="1" x14ac:dyDescent="0.25">
      <c r="B1044" s="520"/>
      <c r="C1044" s="23"/>
      <c r="D1044" s="23"/>
      <c r="E1044" s="24"/>
      <c r="H1044" s="23"/>
      <c r="I1044" s="55"/>
      <c r="J1044" s="55"/>
      <c r="K1044" s="55"/>
      <c r="L1044" s="55"/>
      <c r="M1044" s="55"/>
      <c r="N1044" s="55"/>
      <c r="O1044" s="55"/>
      <c r="P1044" s="55"/>
      <c r="Q1044" s="55"/>
      <c r="R1044" s="55"/>
      <c r="S1044" s="55"/>
      <c r="T1044" s="55"/>
      <c r="U1044" s="55"/>
      <c r="V1044" s="55"/>
      <c r="W1044" s="55"/>
      <c r="X1044" s="55"/>
      <c r="Y1044" s="55"/>
      <c r="Z1044" s="55"/>
      <c r="AA1044" s="55"/>
      <c r="AB1044" s="55"/>
      <c r="AC1044" s="55"/>
      <c r="AD1044" s="55"/>
      <c r="AE1044" s="55"/>
    </row>
    <row r="1045" spans="2:31" s="28" customFormat="1" ht="15" customHeight="1" x14ac:dyDescent="0.25">
      <c r="B1045" s="520"/>
      <c r="C1045" s="23"/>
      <c r="D1045" s="23"/>
      <c r="E1045" s="24"/>
      <c r="H1045" s="23"/>
      <c r="I1045" s="55"/>
      <c r="J1045" s="55"/>
      <c r="K1045" s="55"/>
      <c r="L1045" s="55"/>
      <c r="M1045" s="55"/>
      <c r="N1045" s="55"/>
      <c r="O1045" s="55"/>
      <c r="P1045" s="55"/>
      <c r="Q1045" s="55"/>
      <c r="R1045" s="55"/>
      <c r="S1045" s="55"/>
      <c r="T1045" s="55"/>
      <c r="U1045" s="55"/>
      <c r="V1045" s="55"/>
      <c r="W1045" s="55"/>
      <c r="X1045" s="55"/>
      <c r="Y1045" s="55"/>
      <c r="Z1045" s="55"/>
      <c r="AA1045" s="55"/>
      <c r="AB1045" s="55"/>
      <c r="AC1045" s="55"/>
      <c r="AD1045" s="55"/>
      <c r="AE1045" s="55"/>
    </row>
    <row r="1046" spans="2:31" s="28" customFormat="1" ht="15" customHeight="1" x14ac:dyDescent="0.25">
      <c r="B1046" s="520"/>
      <c r="C1046" s="23"/>
      <c r="D1046" s="23"/>
      <c r="E1046" s="24"/>
      <c r="H1046" s="23"/>
      <c r="I1046" s="55"/>
      <c r="J1046" s="55"/>
      <c r="K1046" s="55"/>
      <c r="L1046" s="55"/>
      <c r="M1046" s="55"/>
      <c r="N1046" s="55"/>
      <c r="O1046" s="55"/>
      <c r="P1046" s="55"/>
      <c r="Q1046" s="55"/>
      <c r="R1046" s="55"/>
      <c r="S1046" s="55"/>
      <c r="T1046" s="55"/>
      <c r="U1046" s="55"/>
      <c r="V1046" s="55"/>
      <c r="W1046" s="55"/>
      <c r="X1046" s="55"/>
      <c r="Y1046" s="55"/>
      <c r="Z1046" s="55"/>
      <c r="AA1046" s="55"/>
      <c r="AB1046" s="55"/>
      <c r="AC1046" s="55"/>
      <c r="AD1046" s="55"/>
      <c r="AE1046" s="55"/>
    </row>
    <row r="1047" spans="2:31" s="28" customFormat="1" ht="15" customHeight="1" x14ac:dyDescent="0.25">
      <c r="B1047" s="520"/>
      <c r="C1047" s="23"/>
      <c r="D1047" s="23"/>
      <c r="E1047" s="24"/>
      <c r="H1047" s="23"/>
      <c r="I1047" s="55"/>
      <c r="J1047" s="55"/>
      <c r="K1047" s="55"/>
      <c r="L1047" s="55"/>
      <c r="M1047" s="55"/>
      <c r="N1047" s="55"/>
      <c r="O1047" s="55"/>
      <c r="P1047" s="55"/>
      <c r="Q1047" s="55"/>
      <c r="R1047" s="55"/>
      <c r="S1047" s="55"/>
      <c r="T1047" s="55"/>
      <c r="U1047" s="55"/>
      <c r="V1047" s="55"/>
      <c r="W1047" s="55"/>
      <c r="X1047" s="55"/>
      <c r="Y1047" s="55"/>
      <c r="Z1047" s="55"/>
      <c r="AA1047" s="55"/>
      <c r="AB1047" s="55"/>
      <c r="AC1047" s="55"/>
      <c r="AD1047" s="55"/>
      <c r="AE1047" s="55"/>
    </row>
    <row r="1048" spans="2:31" s="28" customFormat="1" ht="15" customHeight="1" x14ac:dyDescent="0.25">
      <c r="B1048" s="520"/>
      <c r="C1048" s="23"/>
      <c r="D1048" s="23"/>
      <c r="E1048" s="24"/>
      <c r="H1048" s="23"/>
      <c r="I1048" s="55"/>
      <c r="J1048" s="55"/>
      <c r="K1048" s="55"/>
      <c r="L1048" s="55"/>
      <c r="M1048" s="55"/>
      <c r="N1048" s="55"/>
      <c r="O1048" s="55"/>
      <c r="P1048" s="55"/>
      <c r="Q1048" s="55"/>
      <c r="R1048" s="55"/>
      <c r="S1048" s="55"/>
      <c r="T1048" s="55"/>
      <c r="U1048" s="55"/>
      <c r="V1048" s="55"/>
      <c r="W1048" s="55"/>
      <c r="X1048" s="55"/>
      <c r="Y1048" s="55"/>
      <c r="Z1048" s="55"/>
      <c r="AA1048" s="55"/>
      <c r="AB1048" s="55"/>
      <c r="AC1048" s="55"/>
      <c r="AD1048" s="55"/>
      <c r="AE1048" s="55"/>
    </row>
    <row r="1049" spans="2:31" s="28" customFormat="1" ht="15" customHeight="1" x14ac:dyDescent="0.25">
      <c r="B1049" s="520"/>
      <c r="C1049" s="23"/>
      <c r="D1049" s="23"/>
      <c r="E1049" s="24"/>
      <c r="H1049" s="23"/>
      <c r="I1049" s="55"/>
      <c r="J1049" s="55"/>
      <c r="K1049" s="55"/>
      <c r="L1049" s="55"/>
      <c r="M1049" s="55"/>
      <c r="N1049" s="55"/>
      <c r="O1049" s="55"/>
      <c r="P1049" s="55"/>
      <c r="Q1049" s="55"/>
      <c r="R1049" s="55"/>
      <c r="S1049" s="55"/>
      <c r="T1049" s="55"/>
      <c r="U1049" s="55"/>
      <c r="V1049" s="55"/>
      <c r="W1049" s="55"/>
      <c r="X1049" s="55"/>
      <c r="Y1049" s="55"/>
      <c r="Z1049" s="55"/>
      <c r="AA1049" s="55"/>
      <c r="AB1049" s="55"/>
      <c r="AC1049" s="55"/>
      <c r="AD1049" s="55"/>
      <c r="AE1049" s="55"/>
    </row>
    <row r="1050" spans="2:31" s="28" customFormat="1" ht="15" customHeight="1" x14ac:dyDescent="0.25">
      <c r="B1050" s="520"/>
      <c r="C1050" s="23"/>
      <c r="D1050" s="23"/>
      <c r="E1050" s="24"/>
      <c r="H1050" s="23"/>
      <c r="I1050" s="55"/>
      <c r="J1050" s="55"/>
      <c r="K1050" s="55"/>
      <c r="L1050" s="55"/>
      <c r="M1050" s="55"/>
      <c r="N1050" s="55"/>
      <c r="O1050" s="55"/>
      <c r="P1050" s="55"/>
      <c r="Q1050" s="55"/>
      <c r="R1050" s="55"/>
      <c r="S1050" s="55"/>
      <c r="T1050" s="55"/>
      <c r="U1050" s="55"/>
      <c r="V1050" s="55"/>
      <c r="W1050" s="55"/>
      <c r="X1050" s="55"/>
      <c r="Y1050" s="55"/>
      <c r="Z1050" s="55"/>
      <c r="AA1050" s="55"/>
      <c r="AB1050" s="55"/>
      <c r="AC1050" s="55"/>
      <c r="AD1050" s="55"/>
      <c r="AE1050" s="55"/>
    </row>
    <row r="1051" spans="2:31" s="28" customFormat="1" ht="15" customHeight="1" x14ac:dyDescent="0.25">
      <c r="B1051" s="520"/>
      <c r="C1051" s="23"/>
      <c r="D1051" s="23"/>
      <c r="E1051" s="24"/>
      <c r="H1051" s="23"/>
      <c r="I1051" s="55"/>
      <c r="J1051" s="55"/>
      <c r="K1051" s="55"/>
      <c r="L1051" s="55"/>
      <c r="M1051" s="55"/>
      <c r="N1051" s="55"/>
      <c r="O1051" s="55"/>
      <c r="P1051" s="55"/>
      <c r="Q1051" s="55"/>
      <c r="R1051" s="55"/>
      <c r="S1051" s="55"/>
      <c r="T1051" s="55"/>
      <c r="U1051" s="55"/>
      <c r="V1051" s="55"/>
      <c r="W1051" s="55"/>
      <c r="X1051" s="55"/>
      <c r="Y1051" s="55"/>
      <c r="Z1051" s="55"/>
      <c r="AA1051" s="55"/>
      <c r="AB1051" s="55"/>
      <c r="AC1051" s="55"/>
      <c r="AD1051" s="55"/>
      <c r="AE1051" s="55"/>
    </row>
    <row r="1052" spans="2:31" s="28" customFormat="1" ht="15" customHeight="1" x14ac:dyDescent="0.25">
      <c r="B1052" s="520"/>
      <c r="C1052" s="23"/>
      <c r="D1052" s="23"/>
      <c r="E1052" s="24"/>
      <c r="H1052" s="23"/>
      <c r="I1052" s="55"/>
      <c r="J1052" s="55"/>
      <c r="K1052" s="55"/>
      <c r="L1052" s="55"/>
      <c r="M1052" s="55"/>
      <c r="N1052" s="55"/>
      <c r="O1052" s="55"/>
      <c r="P1052" s="55"/>
      <c r="Q1052" s="55"/>
      <c r="R1052" s="55"/>
      <c r="S1052" s="55"/>
      <c r="T1052" s="55"/>
      <c r="U1052" s="55"/>
      <c r="V1052" s="55"/>
      <c r="W1052" s="55"/>
      <c r="X1052" s="55"/>
      <c r="Y1052" s="55"/>
      <c r="Z1052" s="55"/>
      <c r="AA1052" s="55"/>
      <c r="AB1052" s="55"/>
      <c r="AC1052" s="55"/>
      <c r="AD1052" s="55"/>
      <c r="AE1052" s="55"/>
    </row>
    <row r="1053" spans="2:31" s="28" customFormat="1" ht="15" customHeight="1" x14ac:dyDescent="0.25">
      <c r="B1053" s="520"/>
      <c r="C1053" s="23"/>
      <c r="D1053" s="23"/>
      <c r="E1053" s="24"/>
      <c r="H1053" s="23"/>
      <c r="I1053" s="55"/>
      <c r="J1053" s="55"/>
      <c r="K1053" s="55"/>
      <c r="L1053" s="55"/>
      <c r="M1053" s="55"/>
      <c r="N1053" s="55"/>
      <c r="O1053" s="55"/>
      <c r="P1053" s="55"/>
      <c r="Q1053" s="55"/>
      <c r="R1053" s="55"/>
      <c r="S1053" s="55"/>
      <c r="T1053" s="55"/>
      <c r="U1053" s="55"/>
      <c r="V1053" s="55"/>
      <c r="W1053" s="55"/>
      <c r="X1053" s="55"/>
      <c r="Y1053" s="55"/>
      <c r="Z1053" s="55"/>
      <c r="AA1053" s="55"/>
      <c r="AB1053" s="55"/>
      <c r="AC1053" s="55"/>
      <c r="AD1053" s="55"/>
      <c r="AE1053" s="55"/>
    </row>
    <row r="1054" spans="2:31" s="28" customFormat="1" ht="15" customHeight="1" x14ac:dyDescent="0.25">
      <c r="B1054" s="520"/>
      <c r="C1054" s="23"/>
      <c r="D1054" s="23"/>
      <c r="E1054" s="24"/>
      <c r="H1054" s="23"/>
      <c r="I1054" s="55"/>
      <c r="J1054" s="55"/>
      <c r="K1054" s="55"/>
      <c r="L1054" s="55"/>
      <c r="M1054" s="55"/>
      <c r="N1054" s="55"/>
      <c r="O1054" s="55"/>
      <c r="P1054" s="55"/>
      <c r="Q1054" s="55"/>
      <c r="R1054" s="55"/>
      <c r="S1054" s="55"/>
      <c r="T1054" s="55"/>
      <c r="U1054" s="55"/>
      <c r="V1054" s="55"/>
      <c r="W1054" s="55"/>
      <c r="X1054" s="55"/>
      <c r="Y1054" s="55"/>
      <c r="Z1054" s="55"/>
      <c r="AA1054" s="55"/>
      <c r="AB1054" s="55"/>
      <c r="AC1054" s="55"/>
      <c r="AD1054" s="55"/>
      <c r="AE1054" s="55"/>
    </row>
    <row r="1055" spans="2:31" s="28" customFormat="1" ht="15" customHeight="1" x14ac:dyDescent="0.25">
      <c r="B1055" s="520"/>
      <c r="C1055" s="23"/>
      <c r="D1055" s="23"/>
      <c r="E1055" s="24"/>
      <c r="H1055" s="23"/>
      <c r="I1055" s="55"/>
      <c r="J1055" s="55"/>
      <c r="K1055" s="55"/>
      <c r="L1055" s="55"/>
      <c r="M1055" s="55"/>
      <c r="N1055" s="55"/>
      <c r="O1055" s="55"/>
      <c r="P1055" s="55"/>
      <c r="Q1055" s="55"/>
      <c r="R1055" s="55"/>
      <c r="S1055" s="55"/>
      <c r="T1055" s="55"/>
      <c r="U1055" s="55"/>
      <c r="V1055" s="55"/>
      <c r="W1055" s="55"/>
      <c r="X1055" s="55"/>
      <c r="Y1055" s="55"/>
      <c r="Z1055" s="55"/>
      <c r="AA1055" s="55"/>
      <c r="AB1055" s="55"/>
      <c r="AC1055" s="55"/>
      <c r="AD1055" s="55"/>
      <c r="AE1055" s="55"/>
    </row>
    <row r="1056" spans="2:31" s="28" customFormat="1" ht="15" customHeight="1" x14ac:dyDescent="0.25">
      <c r="B1056" s="520"/>
      <c r="C1056" s="23"/>
      <c r="D1056" s="23"/>
      <c r="E1056" s="24"/>
      <c r="H1056" s="23"/>
      <c r="I1056" s="55"/>
      <c r="J1056" s="55"/>
      <c r="K1056" s="55"/>
      <c r="L1056" s="55"/>
      <c r="M1056" s="55"/>
      <c r="N1056" s="55"/>
      <c r="O1056" s="55"/>
      <c r="P1056" s="55"/>
      <c r="Q1056" s="55"/>
      <c r="R1056" s="55"/>
      <c r="S1056" s="55"/>
      <c r="T1056" s="55"/>
      <c r="U1056" s="55"/>
      <c r="V1056" s="55"/>
      <c r="W1056" s="55"/>
      <c r="X1056" s="55"/>
      <c r="Y1056" s="55"/>
      <c r="Z1056" s="55"/>
      <c r="AA1056" s="55"/>
      <c r="AB1056" s="55"/>
      <c r="AC1056" s="55"/>
      <c r="AD1056" s="55"/>
      <c r="AE1056" s="55"/>
    </row>
    <row r="1057" spans="2:31" s="28" customFormat="1" ht="15" customHeight="1" x14ac:dyDescent="0.25">
      <c r="B1057" s="520"/>
      <c r="C1057" s="23"/>
      <c r="D1057" s="23"/>
      <c r="E1057" s="24"/>
      <c r="H1057" s="23"/>
      <c r="I1057" s="55"/>
      <c r="J1057" s="55"/>
      <c r="K1057" s="55"/>
      <c r="L1057" s="55"/>
      <c r="M1057" s="55"/>
      <c r="N1057" s="55"/>
      <c r="O1057" s="55"/>
      <c r="P1057" s="55"/>
      <c r="Q1057" s="55"/>
      <c r="R1057" s="55"/>
      <c r="S1057" s="55"/>
      <c r="T1057" s="55"/>
      <c r="U1057" s="55"/>
      <c r="V1057" s="55"/>
      <c r="W1057" s="55"/>
      <c r="X1057" s="55"/>
      <c r="Y1057" s="55"/>
      <c r="Z1057" s="55"/>
      <c r="AA1057" s="55"/>
      <c r="AB1057" s="55"/>
      <c r="AC1057" s="55"/>
      <c r="AD1057" s="55"/>
      <c r="AE1057" s="55"/>
    </row>
    <row r="1058" spans="2:31" s="28" customFormat="1" ht="15" customHeight="1" x14ac:dyDescent="0.25">
      <c r="B1058" s="520"/>
      <c r="C1058" s="23"/>
      <c r="D1058" s="23"/>
      <c r="E1058" s="24"/>
      <c r="H1058" s="23"/>
      <c r="I1058" s="55"/>
      <c r="J1058" s="55"/>
      <c r="K1058" s="55"/>
      <c r="L1058" s="55"/>
      <c r="M1058" s="55"/>
      <c r="N1058" s="55"/>
      <c r="O1058" s="55"/>
      <c r="P1058" s="55"/>
      <c r="Q1058" s="55"/>
      <c r="R1058" s="55"/>
      <c r="S1058" s="55"/>
      <c r="T1058" s="55"/>
      <c r="U1058" s="55"/>
      <c r="V1058" s="55"/>
      <c r="W1058" s="55"/>
      <c r="X1058" s="55"/>
      <c r="Y1058" s="55"/>
      <c r="Z1058" s="55"/>
      <c r="AA1058" s="55"/>
      <c r="AB1058" s="55"/>
      <c r="AC1058" s="55"/>
      <c r="AD1058" s="55"/>
      <c r="AE1058" s="55"/>
    </row>
    <row r="1059" spans="2:31" s="28" customFormat="1" ht="15" customHeight="1" x14ac:dyDescent="0.25">
      <c r="B1059" s="520"/>
      <c r="C1059" s="23"/>
      <c r="D1059" s="23"/>
      <c r="E1059" s="24"/>
      <c r="H1059" s="23"/>
      <c r="I1059" s="55"/>
      <c r="J1059" s="55"/>
      <c r="K1059" s="55"/>
      <c r="L1059" s="55"/>
      <c r="M1059" s="55"/>
      <c r="N1059" s="55"/>
      <c r="O1059" s="55"/>
      <c r="P1059" s="55"/>
      <c r="Q1059" s="55"/>
      <c r="R1059" s="55"/>
      <c r="S1059" s="55"/>
      <c r="T1059" s="55"/>
      <c r="U1059" s="55"/>
      <c r="V1059" s="55"/>
      <c r="W1059" s="55"/>
      <c r="X1059" s="55"/>
      <c r="Y1059" s="55"/>
      <c r="Z1059" s="55"/>
      <c r="AA1059" s="55"/>
      <c r="AB1059" s="55"/>
      <c r="AC1059" s="55"/>
      <c r="AD1059" s="55"/>
      <c r="AE1059" s="55"/>
    </row>
    <row r="1060" spans="2:31" s="28" customFormat="1" ht="15" customHeight="1" x14ac:dyDescent="0.25">
      <c r="B1060" s="520"/>
      <c r="C1060" s="23"/>
      <c r="D1060" s="23"/>
      <c r="E1060" s="24"/>
      <c r="H1060" s="23"/>
      <c r="I1060" s="55"/>
      <c r="J1060" s="55"/>
      <c r="K1060" s="55"/>
      <c r="L1060" s="55"/>
      <c r="M1060" s="55"/>
      <c r="N1060" s="55"/>
      <c r="O1060" s="55"/>
      <c r="P1060" s="55"/>
      <c r="Q1060" s="55"/>
      <c r="R1060" s="55"/>
      <c r="S1060" s="55"/>
      <c r="T1060" s="55"/>
      <c r="U1060" s="55"/>
      <c r="V1060" s="55"/>
      <c r="W1060" s="55"/>
      <c r="X1060" s="55"/>
      <c r="Y1060" s="55"/>
      <c r="Z1060" s="55"/>
      <c r="AA1060" s="55"/>
      <c r="AB1060" s="55"/>
      <c r="AC1060" s="55"/>
      <c r="AD1060" s="55"/>
      <c r="AE1060" s="55"/>
    </row>
    <row r="1061" spans="2:31" s="28" customFormat="1" ht="15" customHeight="1" x14ac:dyDescent="0.25">
      <c r="B1061" s="520"/>
      <c r="C1061" s="23"/>
      <c r="D1061" s="23"/>
      <c r="E1061" s="24"/>
      <c r="H1061" s="23"/>
      <c r="I1061" s="55"/>
      <c r="J1061" s="55"/>
      <c r="K1061" s="55"/>
      <c r="L1061" s="55"/>
      <c r="M1061" s="55"/>
      <c r="N1061" s="55"/>
      <c r="O1061" s="55"/>
      <c r="P1061" s="55"/>
      <c r="Q1061" s="55"/>
      <c r="R1061" s="55"/>
      <c r="S1061" s="55"/>
      <c r="T1061" s="55"/>
      <c r="U1061" s="55"/>
      <c r="V1061" s="55"/>
      <c r="W1061" s="55"/>
      <c r="X1061" s="55"/>
      <c r="Y1061" s="55"/>
      <c r="Z1061" s="55"/>
      <c r="AA1061" s="55"/>
      <c r="AB1061" s="55"/>
      <c r="AC1061" s="55"/>
      <c r="AD1061" s="55"/>
      <c r="AE1061" s="55"/>
    </row>
    <row r="1062" spans="2:31" s="28" customFormat="1" ht="15" customHeight="1" x14ac:dyDescent="0.25">
      <c r="B1062" s="520"/>
      <c r="C1062" s="23"/>
      <c r="D1062" s="23"/>
      <c r="E1062" s="24"/>
      <c r="H1062" s="23"/>
      <c r="I1062" s="55"/>
      <c r="J1062" s="55"/>
      <c r="K1062" s="55"/>
      <c r="L1062" s="55"/>
      <c r="M1062" s="55"/>
      <c r="N1062" s="55"/>
      <c r="O1062" s="55"/>
      <c r="P1062" s="55"/>
      <c r="Q1062" s="55"/>
      <c r="R1062" s="55"/>
      <c r="S1062" s="55"/>
      <c r="T1062" s="55"/>
      <c r="U1062" s="55"/>
      <c r="V1062" s="55"/>
      <c r="W1062" s="55"/>
      <c r="X1062" s="55"/>
      <c r="Y1062" s="55"/>
      <c r="Z1062" s="55"/>
      <c r="AA1062" s="55"/>
      <c r="AB1062" s="55"/>
      <c r="AC1062" s="55"/>
      <c r="AD1062" s="55"/>
      <c r="AE1062" s="55"/>
    </row>
    <row r="1063" spans="2:31" s="28" customFormat="1" ht="15" customHeight="1" x14ac:dyDescent="0.25">
      <c r="B1063" s="520"/>
      <c r="C1063" s="23"/>
      <c r="D1063" s="23"/>
      <c r="E1063" s="24"/>
      <c r="H1063" s="23"/>
      <c r="I1063" s="55"/>
      <c r="J1063" s="55"/>
      <c r="K1063" s="55"/>
      <c r="L1063" s="55"/>
      <c r="M1063" s="55"/>
      <c r="N1063" s="55"/>
      <c r="O1063" s="55"/>
      <c r="P1063" s="55"/>
      <c r="Q1063" s="55"/>
      <c r="R1063" s="55"/>
      <c r="S1063" s="55"/>
      <c r="T1063" s="55"/>
      <c r="U1063" s="55"/>
      <c r="V1063" s="55"/>
      <c r="W1063" s="55"/>
      <c r="X1063" s="55"/>
      <c r="Y1063" s="55"/>
      <c r="Z1063" s="55"/>
      <c r="AA1063" s="55"/>
      <c r="AB1063" s="55"/>
      <c r="AC1063" s="55"/>
      <c r="AD1063" s="55"/>
      <c r="AE1063" s="55"/>
    </row>
    <row r="1064" spans="2:31" s="28" customFormat="1" ht="15" customHeight="1" x14ac:dyDescent="0.25">
      <c r="B1064" s="520"/>
      <c r="C1064" s="23"/>
      <c r="D1064" s="23"/>
      <c r="E1064" s="24"/>
      <c r="H1064" s="23"/>
      <c r="I1064" s="55"/>
      <c r="J1064" s="55"/>
      <c r="K1064" s="55"/>
      <c r="L1064" s="55"/>
      <c r="M1064" s="55"/>
      <c r="N1064" s="55"/>
      <c r="O1064" s="55"/>
      <c r="P1064" s="55"/>
      <c r="Q1064" s="55"/>
      <c r="R1064" s="55"/>
      <c r="S1064" s="55"/>
      <c r="T1064" s="55"/>
      <c r="U1064" s="55"/>
      <c r="V1064" s="55"/>
      <c r="W1064" s="55"/>
      <c r="X1064" s="55"/>
      <c r="Y1064" s="55"/>
      <c r="Z1064" s="55"/>
      <c r="AA1064" s="55"/>
      <c r="AB1064" s="55"/>
      <c r="AC1064" s="55"/>
      <c r="AD1064" s="55"/>
      <c r="AE1064" s="55"/>
    </row>
    <row r="1065" spans="2:31" s="28" customFormat="1" ht="15" customHeight="1" x14ac:dyDescent="0.25">
      <c r="B1065" s="520"/>
      <c r="C1065" s="23"/>
      <c r="D1065" s="23"/>
      <c r="E1065" s="24"/>
      <c r="H1065" s="23"/>
      <c r="I1065" s="55"/>
      <c r="J1065" s="55"/>
      <c r="K1065" s="55"/>
      <c r="L1065" s="55"/>
      <c r="M1065" s="55"/>
      <c r="N1065" s="55"/>
      <c r="O1065" s="55"/>
      <c r="P1065" s="55"/>
      <c r="Q1065" s="55"/>
      <c r="R1065" s="55"/>
      <c r="S1065" s="55"/>
      <c r="T1065" s="55"/>
      <c r="U1065" s="55"/>
      <c r="V1065" s="55"/>
      <c r="W1065" s="55"/>
      <c r="X1065" s="55"/>
      <c r="Y1065" s="55"/>
      <c r="Z1065" s="55"/>
      <c r="AA1065" s="55"/>
      <c r="AB1065" s="55"/>
      <c r="AC1065" s="55"/>
      <c r="AD1065" s="55"/>
      <c r="AE1065" s="55"/>
    </row>
    <row r="1066" spans="2:31" s="28" customFormat="1" ht="15" customHeight="1" x14ac:dyDescent="0.25">
      <c r="B1066" s="520"/>
      <c r="C1066" s="23"/>
      <c r="D1066" s="23"/>
      <c r="E1066" s="24"/>
      <c r="H1066" s="23"/>
      <c r="I1066" s="55"/>
      <c r="J1066" s="55"/>
      <c r="K1066" s="55"/>
      <c r="L1066" s="55"/>
      <c r="M1066" s="55"/>
      <c r="N1066" s="55"/>
      <c r="O1066" s="55"/>
      <c r="P1066" s="55"/>
      <c r="Q1066" s="55"/>
      <c r="R1066" s="55"/>
      <c r="S1066" s="55"/>
      <c r="T1066" s="55"/>
      <c r="U1066" s="55"/>
      <c r="V1066" s="55"/>
      <c r="W1066" s="55"/>
      <c r="X1066" s="55"/>
      <c r="Y1066" s="55"/>
      <c r="Z1066" s="55"/>
      <c r="AA1066" s="55"/>
      <c r="AB1066" s="55"/>
      <c r="AC1066" s="55"/>
      <c r="AD1066" s="55"/>
      <c r="AE1066" s="55"/>
    </row>
    <row r="1067" spans="2:31" s="28" customFormat="1" ht="15" customHeight="1" x14ac:dyDescent="0.25">
      <c r="B1067" s="520"/>
      <c r="C1067" s="23"/>
      <c r="D1067" s="23"/>
      <c r="E1067" s="24"/>
      <c r="H1067" s="23"/>
      <c r="I1067" s="55"/>
      <c r="J1067" s="55"/>
      <c r="K1067" s="55"/>
      <c r="L1067" s="55"/>
      <c r="M1067" s="55"/>
      <c r="N1067" s="55"/>
      <c r="O1067" s="55"/>
      <c r="P1067" s="55"/>
      <c r="Q1067" s="55"/>
      <c r="R1067" s="55"/>
      <c r="S1067" s="55"/>
      <c r="T1067" s="55"/>
      <c r="U1067" s="55"/>
      <c r="V1067" s="55"/>
      <c r="W1067" s="55"/>
      <c r="X1067" s="55"/>
      <c r="Y1067" s="55"/>
      <c r="Z1067" s="55"/>
      <c r="AA1067" s="55"/>
      <c r="AB1067" s="55"/>
      <c r="AC1067" s="55"/>
      <c r="AD1067" s="55"/>
      <c r="AE1067" s="55"/>
    </row>
    <row r="1068" spans="2:31" s="28" customFormat="1" ht="15" customHeight="1" x14ac:dyDescent="0.25">
      <c r="B1068" s="520"/>
      <c r="C1068" s="23"/>
      <c r="D1068" s="23"/>
      <c r="E1068" s="24"/>
      <c r="H1068" s="23"/>
      <c r="I1068" s="55"/>
      <c r="J1068" s="55"/>
      <c r="K1068" s="55"/>
      <c r="L1068" s="55"/>
      <c r="M1068" s="55"/>
      <c r="N1068" s="55"/>
      <c r="O1068" s="55"/>
      <c r="P1068" s="55"/>
      <c r="Q1068" s="55"/>
      <c r="R1068" s="55"/>
      <c r="S1068" s="55"/>
      <c r="T1068" s="55"/>
      <c r="U1068" s="55"/>
      <c r="V1068" s="55"/>
      <c r="W1068" s="55"/>
      <c r="X1068" s="55"/>
      <c r="Y1068" s="55"/>
      <c r="Z1068" s="55"/>
      <c r="AA1068" s="55"/>
      <c r="AB1068" s="55"/>
      <c r="AC1068" s="55"/>
      <c r="AD1068" s="55"/>
      <c r="AE1068" s="55"/>
    </row>
    <row r="1069" spans="2:31" s="28" customFormat="1" ht="15" customHeight="1" x14ac:dyDescent="0.25">
      <c r="B1069" s="520"/>
      <c r="C1069" s="23"/>
      <c r="D1069" s="23"/>
      <c r="E1069" s="24"/>
      <c r="H1069" s="23"/>
      <c r="I1069" s="55"/>
      <c r="J1069" s="55"/>
      <c r="K1069" s="55"/>
      <c r="L1069" s="55"/>
      <c r="M1069" s="55"/>
      <c r="N1069" s="55"/>
      <c r="O1069" s="55"/>
      <c r="P1069" s="55"/>
      <c r="Q1069" s="55"/>
      <c r="R1069" s="55"/>
      <c r="S1069" s="55"/>
      <c r="T1069" s="55"/>
      <c r="U1069" s="55"/>
      <c r="V1069" s="55"/>
      <c r="W1069" s="55"/>
      <c r="X1069" s="55"/>
      <c r="Y1069" s="55"/>
      <c r="Z1069" s="55"/>
      <c r="AA1069" s="55"/>
      <c r="AB1069" s="55"/>
      <c r="AC1069" s="55"/>
      <c r="AD1069" s="55"/>
      <c r="AE1069" s="55"/>
    </row>
    <row r="1070" spans="2:31" s="28" customFormat="1" ht="15" customHeight="1" x14ac:dyDescent="0.25">
      <c r="B1070" s="520"/>
      <c r="C1070" s="23"/>
      <c r="D1070" s="23"/>
      <c r="E1070" s="24"/>
      <c r="H1070" s="23"/>
      <c r="I1070" s="55"/>
      <c r="J1070" s="55"/>
      <c r="K1070" s="55"/>
      <c r="L1070" s="55"/>
      <c r="M1070" s="55"/>
      <c r="N1070" s="55"/>
      <c r="O1070" s="55"/>
      <c r="P1070" s="55"/>
      <c r="Q1070" s="55"/>
      <c r="R1070" s="55"/>
      <c r="S1070" s="55"/>
      <c r="T1070" s="55"/>
      <c r="U1070" s="55"/>
      <c r="V1070" s="55"/>
      <c r="W1070" s="55"/>
      <c r="X1070" s="55"/>
      <c r="Y1070" s="55"/>
      <c r="Z1070" s="55"/>
      <c r="AA1070" s="55"/>
      <c r="AB1070" s="55"/>
      <c r="AC1070" s="55"/>
      <c r="AD1070" s="55"/>
      <c r="AE1070" s="55"/>
    </row>
    <row r="1071" spans="2:31" s="28" customFormat="1" ht="15" customHeight="1" x14ac:dyDescent="0.25">
      <c r="B1071" s="520"/>
      <c r="C1071" s="23"/>
      <c r="D1071" s="23"/>
      <c r="E1071" s="24"/>
      <c r="H1071" s="23"/>
      <c r="I1071" s="55"/>
      <c r="J1071" s="55"/>
      <c r="K1071" s="55"/>
      <c r="L1071" s="55"/>
      <c r="M1071" s="55"/>
      <c r="N1071" s="55"/>
      <c r="O1071" s="55"/>
      <c r="P1071" s="55"/>
      <c r="Q1071" s="55"/>
      <c r="R1071" s="55"/>
      <c r="S1071" s="55"/>
      <c r="T1071" s="55"/>
      <c r="U1071" s="55"/>
      <c r="V1071" s="55"/>
      <c r="W1071" s="55"/>
      <c r="X1071" s="55"/>
      <c r="Y1071" s="55"/>
      <c r="Z1071" s="55"/>
      <c r="AA1071" s="55"/>
      <c r="AB1071" s="55"/>
      <c r="AC1071" s="55"/>
      <c r="AD1071" s="55"/>
      <c r="AE1071" s="55"/>
    </row>
    <row r="1072" spans="2:31" s="28" customFormat="1" ht="15" customHeight="1" x14ac:dyDescent="0.25">
      <c r="B1072" s="520"/>
      <c r="C1072" s="23"/>
      <c r="D1072" s="23"/>
      <c r="E1072" s="24"/>
      <c r="H1072" s="23"/>
      <c r="I1072" s="55"/>
      <c r="J1072" s="55"/>
      <c r="K1072" s="55"/>
      <c r="L1072" s="55"/>
      <c r="M1072" s="55"/>
      <c r="N1072" s="55"/>
      <c r="O1072" s="55"/>
      <c r="P1072" s="55"/>
      <c r="Q1072" s="55"/>
      <c r="R1072" s="55"/>
      <c r="S1072" s="55"/>
      <c r="T1072" s="55"/>
      <c r="U1072" s="55"/>
      <c r="V1072" s="55"/>
      <c r="W1072" s="55"/>
      <c r="X1072" s="55"/>
      <c r="Y1072" s="55"/>
      <c r="Z1072" s="55"/>
      <c r="AA1072" s="55"/>
      <c r="AB1072" s="55"/>
      <c r="AC1072" s="55"/>
      <c r="AD1072" s="55"/>
      <c r="AE1072" s="55"/>
    </row>
    <row r="1073" spans="2:31" s="28" customFormat="1" ht="15" customHeight="1" x14ac:dyDescent="0.25">
      <c r="B1073" s="520"/>
      <c r="C1073" s="23"/>
      <c r="D1073" s="23"/>
      <c r="E1073" s="24"/>
      <c r="H1073" s="23"/>
      <c r="I1073" s="55"/>
      <c r="J1073" s="55"/>
      <c r="K1073" s="55"/>
      <c r="L1073" s="55"/>
      <c r="M1073" s="55"/>
      <c r="N1073" s="55"/>
      <c r="O1073" s="55"/>
      <c r="P1073" s="55"/>
      <c r="Q1073" s="55"/>
      <c r="R1073" s="55"/>
      <c r="S1073" s="55"/>
      <c r="T1073" s="55"/>
      <c r="U1073" s="55"/>
      <c r="V1073" s="55"/>
      <c r="W1073" s="55"/>
      <c r="X1073" s="55"/>
      <c r="Y1073" s="55"/>
      <c r="Z1073" s="55"/>
      <c r="AA1073" s="55"/>
      <c r="AB1073" s="55"/>
      <c r="AC1073" s="55"/>
      <c r="AD1073" s="55"/>
      <c r="AE1073" s="55"/>
    </row>
    <row r="1074" spans="2:31" s="28" customFormat="1" ht="15" customHeight="1" x14ac:dyDescent="0.25">
      <c r="B1074" s="520"/>
      <c r="C1074" s="23"/>
      <c r="D1074" s="23"/>
      <c r="E1074" s="24"/>
      <c r="H1074" s="23"/>
      <c r="I1074" s="55"/>
      <c r="J1074" s="55"/>
      <c r="K1074" s="55"/>
      <c r="L1074" s="55"/>
      <c r="M1074" s="55"/>
      <c r="N1074" s="55"/>
      <c r="O1074" s="55"/>
      <c r="P1074" s="55"/>
      <c r="Q1074" s="55"/>
      <c r="R1074" s="55"/>
      <c r="S1074" s="55"/>
      <c r="T1074" s="55"/>
      <c r="U1074" s="55"/>
      <c r="V1074" s="55"/>
      <c r="W1074" s="55"/>
      <c r="X1074" s="55"/>
      <c r="Y1074" s="55"/>
      <c r="Z1074" s="55"/>
      <c r="AA1074" s="55"/>
      <c r="AB1074" s="55"/>
      <c r="AC1074" s="55"/>
      <c r="AD1074" s="55"/>
      <c r="AE1074" s="55"/>
    </row>
    <row r="1075" spans="2:31" s="28" customFormat="1" ht="15" customHeight="1" x14ac:dyDescent="0.25">
      <c r="B1075" s="520"/>
      <c r="C1075" s="23"/>
      <c r="D1075" s="23"/>
      <c r="E1075" s="24"/>
      <c r="H1075" s="23"/>
      <c r="I1075" s="55"/>
      <c r="J1075" s="55"/>
      <c r="K1075" s="55"/>
      <c r="L1075" s="55"/>
      <c r="M1075" s="55"/>
      <c r="N1075" s="55"/>
      <c r="O1075" s="55"/>
      <c r="P1075" s="55"/>
      <c r="Q1075" s="55"/>
      <c r="R1075" s="55"/>
      <c r="S1075" s="55"/>
      <c r="T1075" s="55"/>
      <c r="U1075" s="55"/>
      <c r="V1075" s="55"/>
      <c r="W1075" s="55"/>
      <c r="X1075" s="55"/>
      <c r="Y1075" s="55"/>
      <c r="Z1075" s="55"/>
      <c r="AA1075" s="55"/>
      <c r="AB1075" s="55"/>
      <c r="AC1075" s="55"/>
      <c r="AD1075" s="55"/>
      <c r="AE1075" s="55"/>
    </row>
    <row r="1076" spans="2:31" s="28" customFormat="1" ht="15" customHeight="1" x14ac:dyDescent="0.25">
      <c r="B1076" s="520"/>
      <c r="C1076" s="23"/>
      <c r="D1076" s="23"/>
      <c r="E1076" s="24"/>
      <c r="H1076" s="23"/>
      <c r="I1076" s="55"/>
      <c r="J1076" s="55"/>
      <c r="K1076" s="55"/>
      <c r="L1076" s="55"/>
      <c r="M1076" s="55"/>
      <c r="N1076" s="55"/>
      <c r="O1076" s="55"/>
      <c r="P1076" s="55"/>
      <c r="Q1076" s="55"/>
      <c r="R1076" s="55"/>
      <c r="S1076" s="55"/>
      <c r="T1076" s="55"/>
      <c r="U1076" s="55"/>
      <c r="V1076" s="55"/>
      <c r="W1076" s="55"/>
      <c r="X1076" s="55"/>
      <c r="Y1076" s="55"/>
      <c r="Z1076" s="55"/>
      <c r="AA1076" s="55"/>
      <c r="AB1076" s="55"/>
      <c r="AC1076" s="55"/>
      <c r="AD1076" s="55"/>
      <c r="AE1076" s="55"/>
    </row>
    <row r="1077" spans="2:31" s="28" customFormat="1" ht="15" customHeight="1" x14ac:dyDescent="0.25">
      <c r="B1077" s="520"/>
      <c r="C1077" s="23"/>
      <c r="D1077" s="23"/>
      <c r="E1077" s="24"/>
      <c r="H1077" s="23"/>
      <c r="I1077" s="55"/>
      <c r="J1077" s="55"/>
      <c r="K1077" s="55"/>
      <c r="L1077" s="55"/>
      <c r="M1077" s="55"/>
      <c r="N1077" s="55"/>
      <c r="O1077" s="55"/>
      <c r="P1077" s="55"/>
      <c r="Q1077" s="55"/>
      <c r="R1077" s="55"/>
      <c r="S1077" s="55"/>
      <c r="T1077" s="55"/>
      <c r="U1077" s="55"/>
      <c r="V1077" s="55"/>
      <c r="W1077" s="55"/>
      <c r="X1077" s="55"/>
      <c r="Y1077" s="55"/>
      <c r="Z1077" s="55"/>
      <c r="AA1077" s="55"/>
      <c r="AB1077" s="55"/>
      <c r="AC1077" s="55"/>
      <c r="AD1077" s="55"/>
      <c r="AE1077" s="55"/>
    </row>
    <row r="1078" spans="2:31" s="28" customFormat="1" ht="15" customHeight="1" x14ac:dyDescent="0.25">
      <c r="B1078" s="520"/>
      <c r="C1078" s="23"/>
      <c r="D1078" s="23"/>
      <c r="E1078" s="24"/>
      <c r="H1078" s="23"/>
      <c r="I1078" s="55"/>
      <c r="J1078" s="55"/>
      <c r="K1078" s="55"/>
      <c r="L1078" s="55"/>
      <c r="M1078" s="55"/>
      <c r="N1078" s="55"/>
      <c r="O1078" s="55"/>
      <c r="P1078" s="55"/>
      <c r="Q1078" s="55"/>
      <c r="R1078" s="55"/>
      <c r="S1078" s="55"/>
      <c r="T1078" s="55"/>
      <c r="U1078" s="55"/>
      <c r="V1078" s="55"/>
      <c r="W1078" s="55"/>
      <c r="X1078" s="55"/>
      <c r="Y1078" s="55"/>
      <c r="Z1078" s="55"/>
      <c r="AA1078" s="55"/>
      <c r="AB1078" s="55"/>
      <c r="AC1078" s="55"/>
      <c r="AD1078" s="55"/>
      <c r="AE1078" s="55"/>
    </row>
    <row r="1079" spans="2:31" s="28" customFormat="1" ht="15" customHeight="1" x14ac:dyDescent="0.25">
      <c r="B1079" s="520"/>
      <c r="C1079" s="23"/>
      <c r="D1079" s="23"/>
      <c r="E1079" s="24"/>
      <c r="H1079" s="23"/>
      <c r="I1079" s="55"/>
      <c r="J1079" s="55"/>
      <c r="K1079" s="55"/>
      <c r="L1079" s="55"/>
      <c r="M1079" s="55"/>
      <c r="N1079" s="55"/>
      <c r="O1079" s="55"/>
      <c r="P1079" s="55"/>
      <c r="Q1079" s="55"/>
      <c r="R1079" s="55"/>
      <c r="S1079" s="55"/>
      <c r="T1079" s="55"/>
      <c r="U1079" s="55"/>
      <c r="V1079" s="55"/>
      <c r="W1079" s="55"/>
      <c r="X1079" s="55"/>
      <c r="Y1079" s="55"/>
      <c r="Z1079" s="55"/>
      <c r="AA1079" s="55"/>
      <c r="AB1079" s="55"/>
      <c r="AC1079" s="55"/>
      <c r="AD1079" s="55"/>
      <c r="AE1079" s="55"/>
    </row>
    <row r="1080" spans="2:31" s="28" customFormat="1" ht="15" customHeight="1" x14ac:dyDescent="0.25">
      <c r="B1080" s="520"/>
      <c r="C1080" s="23"/>
      <c r="D1080" s="23"/>
      <c r="E1080" s="24"/>
      <c r="H1080" s="23"/>
      <c r="I1080" s="55"/>
      <c r="J1080" s="55"/>
      <c r="K1080" s="55"/>
      <c r="L1080" s="55"/>
      <c r="M1080" s="55"/>
      <c r="N1080" s="55"/>
      <c r="O1080" s="55"/>
      <c r="P1080" s="55"/>
      <c r="Q1080" s="55"/>
      <c r="R1080" s="55"/>
      <c r="S1080" s="55"/>
      <c r="T1080" s="55"/>
      <c r="U1080" s="55"/>
      <c r="V1080" s="55"/>
      <c r="W1080" s="55"/>
      <c r="X1080" s="55"/>
      <c r="Y1080" s="55"/>
      <c r="Z1080" s="55"/>
      <c r="AA1080" s="55"/>
      <c r="AB1080" s="55"/>
      <c r="AC1080" s="55"/>
      <c r="AD1080" s="55"/>
      <c r="AE1080" s="55"/>
    </row>
    <row r="1081" spans="2:31" s="28" customFormat="1" ht="15" customHeight="1" x14ac:dyDescent="0.25">
      <c r="B1081" s="520"/>
      <c r="C1081" s="23"/>
      <c r="D1081" s="23"/>
      <c r="E1081" s="24"/>
      <c r="H1081" s="23"/>
      <c r="I1081" s="55"/>
      <c r="J1081" s="55"/>
      <c r="K1081" s="55"/>
      <c r="L1081" s="55"/>
      <c r="M1081" s="55"/>
      <c r="N1081" s="55"/>
      <c r="O1081" s="55"/>
      <c r="P1081" s="55"/>
      <c r="Q1081" s="55"/>
      <c r="R1081" s="55"/>
      <c r="S1081" s="55"/>
      <c r="T1081" s="55"/>
      <c r="U1081" s="55"/>
      <c r="V1081" s="55"/>
      <c r="W1081" s="55"/>
      <c r="X1081" s="55"/>
      <c r="Y1081" s="55"/>
      <c r="Z1081" s="55"/>
      <c r="AA1081" s="55"/>
      <c r="AB1081" s="55"/>
      <c r="AC1081" s="55"/>
      <c r="AD1081" s="55"/>
      <c r="AE1081" s="55"/>
    </row>
    <row r="1082" spans="2:31" s="28" customFormat="1" ht="15" customHeight="1" x14ac:dyDescent="0.25">
      <c r="B1082" s="520"/>
      <c r="C1082" s="23"/>
      <c r="D1082" s="23"/>
      <c r="E1082" s="24"/>
      <c r="H1082" s="23"/>
      <c r="I1082" s="55"/>
      <c r="J1082" s="55"/>
      <c r="K1082" s="55"/>
      <c r="L1082" s="55"/>
      <c r="M1082" s="55"/>
      <c r="N1082" s="55"/>
      <c r="O1082" s="55"/>
      <c r="P1082" s="55"/>
      <c r="Q1082" s="55"/>
      <c r="R1082" s="55"/>
      <c r="S1082" s="55"/>
      <c r="T1082" s="55"/>
      <c r="U1082" s="55"/>
      <c r="V1082" s="55"/>
      <c r="W1082" s="55"/>
      <c r="X1082" s="55"/>
      <c r="Y1082" s="55"/>
      <c r="Z1082" s="55"/>
      <c r="AA1082" s="55"/>
      <c r="AB1082" s="55"/>
      <c r="AC1082" s="55"/>
      <c r="AD1082" s="55"/>
      <c r="AE1082" s="55"/>
    </row>
    <row r="1083" spans="2:31" s="28" customFormat="1" ht="15" customHeight="1" x14ac:dyDescent="0.25">
      <c r="B1083" s="520"/>
      <c r="C1083" s="23"/>
      <c r="D1083" s="23"/>
      <c r="E1083" s="24"/>
      <c r="H1083" s="23"/>
      <c r="I1083" s="55"/>
      <c r="J1083" s="55"/>
      <c r="K1083" s="55"/>
      <c r="L1083" s="55"/>
      <c r="M1083" s="55"/>
      <c r="N1083" s="55"/>
      <c r="O1083" s="55"/>
      <c r="P1083" s="55"/>
      <c r="Q1083" s="55"/>
      <c r="R1083" s="55"/>
      <c r="S1083" s="55"/>
      <c r="T1083" s="55"/>
      <c r="U1083" s="55"/>
      <c r="V1083" s="55"/>
      <c r="W1083" s="55"/>
      <c r="X1083" s="55"/>
      <c r="Y1083" s="55"/>
      <c r="Z1083" s="55"/>
      <c r="AA1083" s="55"/>
      <c r="AB1083" s="55"/>
      <c r="AC1083" s="55"/>
      <c r="AD1083" s="55"/>
      <c r="AE1083" s="55"/>
    </row>
    <row r="1084" spans="2:31" s="28" customFormat="1" ht="15" customHeight="1" x14ac:dyDescent="0.25">
      <c r="B1084" s="520"/>
      <c r="C1084" s="23"/>
      <c r="D1084" s="23"/>
      <c r="E1084" s="24"/>
      <c r="H1084" s="23"/>
      <c r="I1084" s="55"/>
      <c r="J1084" s="55"/>
      <c r="K1084" s="55"/>
      <c r="L1084" s="55"/>
      <c r="M1084" s="55"/>
      <c r="N1084" s="55"/>
      <c r="O1084" s="55"/>
      <c r="P1084" s="55"/>
      <c r="Q1084" s="55"/>
      <c r="R1084" s="55"/>
      <c r="S1084" s="55"/>
      <c r="T1084" s="55"/>
      <c r="U1084" s="55"/>
      <c r="V1084" s="55"/>
      <c r="W1084" s="55"/>
      <c r="X1084" s="55"/>
      <c r="Y1084" s="55"/>
      <c r="Z1084" s="55"/>
      <c r="AA1084" s="55"/>
      <c r="AB1084" s="55"/>
      <c r="AC1084" s="55"/>
      <c r="AD1084" s="55"/>
      <c r="AE1084" s="55"/>
    </row>
    <row r="1085" spans="2:31" s="28" customFormat="1" ht="15" customHeight="1" x14ac:dyDescent="0.25">
      <c r="B1085" s="520"/>
      <c r="C1085" s="23"/>
      <c r="D1085" s="23"/>
      <c r="E1085" s="24"/>
      <c r="H1085" s="23"/>
      <c r="I1085" s="55"/>
      <c r="J1085" s="55"/>
      <c r="K1085" s="55"/>
      <c r="L1085" s="55"/>
      <c r="M1085" s="55"/>
      <c r="N1085" s="55"/>
      <c r="O1085" s="55"/>
      <c r="P1085" s="55"/>
      <c r="Q1085" s="55"/>
      <c r="R1085" s="55"/>
      <c r="S1085" s="55"/>
      <c r="T1085" s="55"/>
      <c r="U1085" s="55"/>
      <c r="V1085" s="55"/>
      <c r="W1085" s="55"/>
      <c r="X1085" s="55"/>
      <c r="Y1085" s="55"/>
      <c r="Z1085" s="55"/>
      <c r="AA1085" s="55"/>
      <c r="AB1085" s="55"/>
      <c r="AC1085" s="55"/>
      <c r="AD1085" s="55"/>
      <c r="AE1085" s="55"/>
    </row>
    <row r="1086" spans="2:31" s="28" customFormat="1" ht="15" customHeight="1" x14ac:dyDescent="0.25">
      <c r="B1086" s="520"/>
      <c r="C1086" s="23"/>
      <c r="D1086" s="23"/>
      <c r="E1086" s="24"/>
      <c r="H1086" s="23"/>
      <c r="I1086" s="55"/>
      <c r="J1086" s="55"/>
      <c r="K1086" s="55"/>
      <c r="L1086" s="55"/>
      <c r="M1086" s="55"/>
      <c r="N1086" s="55"/>
      <c r="O1086" s="55"/>
      <c r="P1086" s="55"/>
      <c r="Q1086" s="55"/>
      <c r="R1086" s="55"/>
      <c r="S1086" s="55"/>
      <c r="T1086" s="55"/>
      <c r="U1086" s="55"/>
      <c r="V1086" s="55"/>
      <c r="W1086" s="55"/>
      <c r="X1086" s="55"/>
      <c r="Y1086" s="55"/>
      <c r="Z1086" s="55"/>
      <c r="AA1086" s="55"/>
      <c r="AB1086" s="55"/>
      <c r="AC1086" s="55"/>
      <c r="AD1086" s="55"/>
      <c r="AE1086" s="55"/>
    </row>
    <row r="1087" spans="2:31" s="28" customFormat="1" ht="15" customHeight="1" x14ac:dyDescent="0.25">
      <c r="B1087" s="520"/>
      <c r="C1087" s="23"/>
      <c r="D1087" s="23"/>
      <c r="E1087" s="24"/>
      <c r="H1087" s="23"/>
      <c r="I1087" s="55"/>
      <c r="J1087" s="55"/>
      <c r="K1087" s="55"/>
      <c r="L1087" s="55"/>
      <c r="M1087" s="55"/>
      <c r="N1087" s="55"/>
      <c r="O1087" s="55"/>
      <c r="P1087" s="55"/>
      <c r="Q1087" s="55"/>
      <c r="R1087" s="55"/>
      <c r="S1087" s="55"/>
      <c r="T1087" s="55"/>
      <c r="U1087" s="55"/>
      <c r="V1087" s="55"/>
      <c r="W1087" s="55"/>
      <c r="X1087" s="55"/>
      <c r="Y1087" s="55"/>
      <c r="Z1087" s="55"/>
      <c r="AA1087" s="55"/>
      <c r="AB1087" s="55"/>
      <c r="AC1087" s="55"/>
      <c r="AD1087" s="55"/>
      <c r="AE1087" s="55"/>
    </row>
    <row r="1088" spans="2:31" s="28" customFormat="1" ht="15" customHeight="1" x14ac:dyDescent="0.25">
      <c r="B1088" s="520"/>
      <c r="C1088" s="23"/>
      <c r="D1088" s="23"/>
      <c r="E1088" s="24"/>
      <c r="H1088" s="23"/>
      <c r="I1088" s="55"/>
      <c r="J1088" s="55"/>
      <c r="K1088" s="55"/>
      <c r="L1088" s="55"/>
      <c r="M1088" s="55"/>
      <c r="N1088" s="55"/>
      <c r="O1088" s="55"/>
      <c r="P1088" s="55"/>
      <c r="Q1088" s="55"/>
      <c r="R1088" s="55"/>
      <c r="S1088" s="55"/>
      <c r="T1088" s="55"/>
      <c r="U1088" s="55"/>
      <c r="V1088" s="55"/>
      <c r="W1088" s="55"/>
      <c r="X1088" s="55"/>
      <c r="Y1088" s="55"/>
      <c r="Z1088" s="55"/>
      <c r="AA1088" s="55"/>
      <c r="AB1088" s="55"/>
      <c r="AC1088" s="55"/>
      <c r="AD1088" s="55"/>
      <c r="AE1088" s="55"/>
    </row>
    <row r="1089" spans="2:31" s="28" customFormat="1" ht="15" customHeight="1" x14ac:dyDescent="0.25">
      <c r="B1089" s="520"/>
      <c r="C1089" s="23"/>
      <c r="D1089" s="23"/>
      <c r="E1089" s="24"/>
      <c r="H1089" s="23"/>
      <c r="I1089" s="55"/>
      <c r="J1089" s="55"/>
      <c r="K1089" s="55"/>
      <c r="L1089" s="55"/>
      <c r="M1089" s="55"/>
      <c r="N1089" s="55"/>
      <c r="O1089" s="55"/>
      <c r="P1089" s="55"/>
      <c r="Q1089" s="55"/>
      <c r="R1089" s="55"/>
      <c r="S1089" s="55"/>
      <c r="T1089" s="55"/>
      <c r="U1089" s="55"/>
      <c r="V1089" s="55"/>
      <c r="W1089" s="55"/>
      <c r="X1089" s="55"/>
      <c r="Y1089" s="55"/>
      <c r="Z1089" s="55"/>
      <c r="AA1089" s="55"/>
      <c r="AB1089" s="55"/>
      <c r="AC1089" s="55"/>
      <c r="AD1089" s="55"/>
      <c r="AE1089" s="55"/>
    </row>
    <row r="1090" spans="2:31" s="28" customFormat="1" ht="15" customHeight="1" x14ac:dyDescent="0.25">
      <c r="B1090" s="520"/>
      <c r="C1090" s="23"/>
      <c r="D1090" s="23"/>
      <c r="E1090" s="24"/>
      <c r="H1090" s="23"/>
      <c r="I1090" s="55"/>
      <c r="J1090" s="55"/>
      <c r="K1090" s="55"/>
      <c r="L1090" s="55"/>
      <c r="M1090" s="55"/>
      <c r="N1090" s="55"/>
      <c r="O1090" s="55"/>
      <c r="P1090" s="55"/>
      <c r="Q1090" s="55"/>
      <c r="R1090" s="55"/>
      <c r="S1090" s="55"/>
      <c r="T1090" s="55"/>
      <c r="U1090" s="55"/>
      <c r="V1090" s="55"/>
      <c r="W1090" s="55"/>
      <c r="X1090" s="55"/>
      <c r="Y1090" s="55"/>
      <c r="Z1090" s="55"/>
      <c r="AA1090" s="55"/>
      <c r="AB1090" s="55"/>
      <c r="AC1090" s="55"/>
      <c r="AD1090" s="55"/>
      <c r="AE1090" s="55"/>
    </row>
    <row r="1091" spans="2:31" s="28" customFormat="1" ht="15" customHeight="1" x14ac:dyDescent="0.25">
      <c r="B1091" s="520"/>
      <c r="C1091" s="23"/>
      <c r="D1091" s="23"/>
      <c r="E1091" s="24"/>
      <c r="H1091" s="23"/>
      <c r="I1091" s="55"/>
      <c r="J1091" s="55"/>
      <c r="K1091" s="55"/>
      <c r="L1091" s="55"/>
      <c r="M1091" s="55"/>
      <c r="N1091" s="55"/>
      <c r="O1091" s="55"/>
      <c r="P1091" s="55"/>
      <c r="Q1091" s="55"/>
      <c r="R1091" s="55"/>
      <c r="S1091" s="55"/>
      <c r="T1091" s="55"/>
      <c r="U1091" s="55"/>
      <c r="V1091" s="55"/>
      <c r="W1091" s="55"/>
      <c r="X1091" s="55"/>
      <c r="Y1091" s="55"/>
      <c r="Z1091" s="55"/>
      <c r="AA1091" s="55"/>
      <c r="AB1091" s="55"/>
      <c r="AC1091" s="55"/>
      <c r="AD1091" s="55"/>
      <c r="AE1091" s="55"/>
    </row>
    <row r="1092" spans="2:31" s="28" customFormat="1" ht="15" customHeight="1" x14ac:dyDescent="0.25">
      <c r="B1092" s="520"/>
      <c r="C1092" s="23"/>
      <c r="D1092" s="23"/>
      <c r="E1092" s="24"/>
      <c r="H1092" s="23"/>
      <c r="I1092" s="55"/>
      <c r="J1092" s="55"/>
      <c r="K1092" s="55"/>
      <c r="L1092" s="55"/>
      <c r="M1092" s="55"/>
      <c r="N1092" s="55"/>
      <c r="O1092" s="55"/>
      <c r="P1092" s="55"/>
      <c r="Q1092" s="55"/>
      <c r="R1092" s="55"/>
      <c r="S1092" s="55"/>
      <c r="T1092" s="55"/>
      <c r="U1092" s="55"/>
      <c r="V1092" s="55"/>
      <c r="W1092" s="55"/>
      <c r="X1092" s="55"/>
      <c r="Y1092" s="55"/>
      <c r="Z1092" s="55"/>
      <c r="AA1092" s="55"/>
      <c r="AB1092" s="55"/>
      <c r="AC1092" s="55"/>
      <c r="AD1092" s="55"/>
      <c r="AE1092" s="55"/>
    </row>
    <row r="1093" spans="2:31" s="28" customFormat="1" ht="15" customHeight="1" x14ac:dyDescent="0.25">
      <c r="B1093" s="520"/>
      <c r="C1093" s="23"/>
      <c r="D1093" s="23"/>
      <c r="E1093" s="24"/>
      <c r="H1093" s="23"/>
      <c r="I1093" s="55"/>
      <c r="J1093" s="55"/>
      <c r="K1093" s="55"/>
      <c r="L1093" s="55"/>
      <c r="M1093" s="55"/>
      <c r="N1093" s="55"/>
      <c r="O1093" s="55"/>
      <c r="P1093" s="55"/>
      <c r="Q1093" s="55"/>
      <c r="R1093" s="55"/>
      <c r="S1093" s="55"/>
      <c r="T1093" s="55"/>
      <c r="U1093" s="55"/>
      <c r="V1093" s="55"/>
      <c r="W1093" s="55"/>
      <c r="X1093" s="55"/>
      <c r="Y1093" s="55"/>
      <c r="Z1093" s="55"/>
      <c r="AA1093" s="55"/>
      <c r="AB1093" s="55"/>
      <c r="AC1093" s="55"/>
      <c r="AD1093" s="55"/>
      <c r="AE1093" s="55"/>
    </row>
    <row r="1094" spans="2:31" s="28" customFormat="1" ht="15" customHeight="1" x14ac:dyDescent="0.25">
      <c r="B1094" s="520"/>
      <c r="C1094" s="23"/>
      <c r="D1094" s="23"/>
      <c r="E1094" s="24"/>
      <c r="H1094" s="23"/>
      <c r="I1094" s="55"/>
      <c r="J1094" s="55"/>
      <c r="K1094" s="55"/>
      <c r="L1094" s="55"/>
      <c r="M1094" s="55"/>
      <c r="N1094" s="55"/>
      <c r="O1094" s="55"/>
      <c r="P1094" s="55"/>
      <c r="Q1094" s="55"/>
      <c r="R1094" s="55"/>
      <c r="S1094" s="55"/>
      <c r="T1094" s="55"/>
      <c r="U1094" s="55"/>
      <c r="V1094" s="55"/>
      <c r="W1094" s="55"/>
      <c r="X1094" s="55"/>
      <c r="Y1094" s="55"/>
      <c r="Z1094" s="55"/>
      <c r="AA1094" s="55"/>
      <c r="AB1094" s="55"/>
      <c r="AC1094" s="55"/>
      <c r="AD1094" s="55"/>
      <c r="AE1094" s="55"/>
    </row>
    <row r="1095" spans="2:31" s="28" customFormat="1" ht="15" customHeight="1" x14ac:dyDescent="0.25">
      <c r="B1095" s="520"/>
      <c r="C1095" s="23"/>
      <c r="D1095" s="23"/>
      <c r="E1095" s="24"/>
      <c r="H1095" s="23"/>
      <c r="I1095" s="55"/>
      <c r="J1095" s="55"/>
      <c r="K1095" s="55"/>
      <c r="L1095" s="55"/>
      <c r="M1095" s="55"/>
      <c r="N1095" s="55"/>
      <c r="O1095" s="55"/>
      <c r="P1095" s="55"/>
      <c r="Q1095" s="55"/>
      <c r="R1095" s="55"/>
      <c r="S1095" s="55"/>
      <c r="T1095" s="55"/>
      <c r="U1095" s="55"/>
      <c r="V1095" s="55"/>
      <c r="W1095" s="55"/>
      <c r="X1095" s="55"/>
      <c r="Y1095" s="55"/>
      <c r="Z1095" s="55"/>
      <c r="AA1095" s="55"/>
      <c r="AB1095" s="55"/>
      <c r="AC1095" s="55"/>
      <c r="AD1095" s="55"/>
      <c r="AE1095" s="55"/>
    </row>
    <row r="1096" spans="2:31" s="28" customFormat="1" ht="15" customHeight="1" x14ac:dyDescent="0.25">
      <c r="B1096" s="520"/>
      <c r="C1096" s="23"/>
      <c r="D1096" s="23"/>
      <c r="E1096" s="24"/>
      <c r="H1096" s="23"/>
      <c r="I1096" s="55"/>
      <c r="J1096" s="55"/>
      <c r="K1096" s="55"/>
      <c r="L1096" s="55"/>
      <c r="M1096" s="55"/>
      <c r="N1096" s="55"/>
      <c r="O1096" s="55"/>
      <c r="P1096" s="55"/>
      <c r="Q1096" s="55"/>
      <c r="R1096" s="55"/>
      <c r="S1096" s="55"/>
      <c r="T1096" s="55"/>
      <c r="U1096" s="55"/>
      <c r="V1096" s="55"/>
      <c r="W1096" s="55"/>
      <c r="X1096" s="55"/>
      <c r="Y1096" s="55"/>
      <c r="Z1096" s="55"/>
      <c r="AA1096" s="55"/>
      <c r="AB1096" s="55"/>
      <c r="AC1096" s="55"/>
      <c r="AD1096" s="55"/>
      <c r="AE1096" s="55"/>
    </row>
    <row r="1097" spans="2:31" s="28" customFormat="1" ht="15" customHeight="1" x14ac:dyDescent="0.25">
      <c r="B1097" s="520"/>
      <c r="C1097" s="23"/>
      <c r="D1097" s="23"/>
      <c r="E1097" s="24"/>
      <c r="H1097" s="23"/>
      <c r="I1097" s="55"/>
      <c r="J1097" s="55"/>
      <c r="K1097" s="55"/>
      <c r="L1097" s="55"/>
      <c r="M1097" s="55"/>
      <c r="N1097" s="55"/>
      <c r="O1097" s="55"/>
      <c r="P1097" s="55"/>
      <c r="Q1097" s="55"/>
      <c r="R1097" s="55"/>
      <c r="S1097" s="55"/>
      <c r="T1097" s="55"/>
      <c r="U1097" s="55"/>
      <c r="V1097" s="55"/>
      <c r="W1097" s="55"/>
      <c r="X1097" s="55"/>
      <c r="Y1097" s="55"/>
      <c r="Z1097" s="55"/>
      <c r="AA1097" s="55"/>
      <c r="AB1097" s="55"/>
      <c r="AC1097" s="55"/>
      <c r="AD1097" s="55"/>
      <c r="AE1097" s="55"/>
    </row>
    <row r="1098" spans="2:31" s="28" customFormat="1" ht="15" customHeight="1" x14ac:dyDescent="0.25">
      <c r="B1098" s="520"/>
      <c r="C1098" s="23"/>
      <c r="D1098" s="23"/>
      <c r="E1098" s="24"/>
      <c r="H1098" s="23"/>
      <c r="I1098" s="55"/>
      <c r="J1098" s="55"/>
      <c r="K1098" s="55"/>
      <c r="L1098" s="55"/>
      <c r="M1098" s="55"/>
      <c r="N1098" s="55"/>
      <c r="O1098" s="55"/>
      <c r="P1098" s="55"/>
      <c r="Q1098" s="55"/>
      <c r="R1098" s="55"/>
      <c r="S1098" s="55"/>
      <c r="T1098" s="55"/>
      <c r="U1098" s="55"/>
      <c r="V1098" s="55"/>
      <c r="W1098" s="55"/>
      <c r="X1098" s="55"/>
      <c r="Y1098" s="55"/>
      <c r="Z1098" s="55"/>
      <c r="AA1098" s="55"/>
      <c r="AB1098" s="55"/>
      <c r="AC1098" s="55"/>
      <c r="AD1098" s="55"/>
      <c r="AE1098" s="55"/>
    </row>
    <row r="1099" spans="2:31" s="28" customFormat="1" ht="15" customHeight="1" x14ac:dyDescent="0.25">
      <c r="B1099" s="520"/>
      <c r="C1099" s="23"/>
      <c r="D1099" s="23"/>
      <c r="E1099" s="24"/>
      <c r="H1099" s="23"/>
      <c r="I1099" s="55"/>
      <c r="J1099" s="55"/>
      <c r="K1099" s="55"/>
      <c r="L1099" s="55"/>
      <c r="M1099" s="55"/>
      <c r="N1099" s="55"/>
      <c r="O1099" s="55"/>
      <c r="P1099" s="55"/>
      <c r="Q1099" s="55"/>
      <c r="R1099" s="55"/>
      <c r="S1099" s="55"/>
      <c r="T1099" s="55"/>
      <c r="U1099" s="55"/>
      <c r="V1099" s="55"/>
      <c r="W1099" s="55"/>
      <c r="X1099" s="55"/>
      <c r="Y1099" s="55"/>
      <c r="Z1099" s="55"/>
      <c r="AA1099" s="55"/>
      <c r="AB1099" s="55"/>
      <c r="AC1099" s="55"/>
      <c r="AD1099" s="55"/>
      <c r="AE1099" s="55"/>
    </row>
    <row r="1100" spans="2:31" s="28" customFormat="1" ht="15" customHeight="1" x14ac:dyDescent="0.25">
      <c r="B1100" s="520"/>
      <c r="C1100" s="23"/>
      <c r="D1100" s="23"/>
      <c r="E1100" s="24"/>
      <c r="H1100" s="23"/>
      <c r="I1100" s="55"/>
      <c r="J1100" s="55"/>
      <c r="K1100" s="55"/>
      <c r="L1100" s="55"/>
      <c r="M1100" s="55"/>
      <c r="N1100" s="55"/>
      <c r="O1100" s="55"/>
      <c r="P1100" s="55"/>
      <c r="Q1100" s="55"/>
      <c r="R1100" s="55"/>
      <c r="S1100" s="55"/>
      <c r="T1100" s="55"/>
      <c r="U1100" s="55"/>
      <c r="V1100" s="55"/>
      <c r="W1100" s="55"/>
      <c r="X1100" s="55"/>
      <c r="Y1100" s="55"/>
      <c r="Z1100" s="55"/>
      <c r="AA1100" s="55"/>
      <c r="AB1100" s="55"/>
      <c r="AC1100" s="55"/>
      <c r="AD1100" s="55"/>
      <c r="AE1100" s="55"/>
    </row>
    <row r="1101" spans="2:31" s="28" customFormat="1" ht="15" customHeight="1" x14ac:dyDescent="0.25">
      <c r="B1101" s="520"/>
      <c r="C1101" s="23"/>
      <c r="D1101" s="23"/>
      <c r="E1101" s="24"/>
      <c r="H1101" s="23"/>
      <c r="I1101" s="55"/>
      <c r="J1101" s="55"/>
      <c r="K1101" s="55"/>
      <c r="L1101" s="55"/>
      <c r="M1101" s="55"/>
      <c r="N1101" s="55"/>
      <c r="O1101" s="55"/>
      <c r="P1101" s="55"/>
      <c r="Q1101" s="55"/>
      <c r="R1101" s="55"/>
      <c r="S1101" s="55"/>
      <c r="T1101" s="55"/>
      <c r="U1101" s="55"/>
      <c r="V1101" s="55"/>
      <c r="W1101" s="55"/>
      <c r="X1101" s="55"/>
      <c r="Y1101" s="55"/>
      <c r="Z1101" s="55"/>
      <c r="AA1101" s="55"/>
      <c r="AB1101" s="55"/>
      <c r="AC1101" s="55"/>
      <c r="AD1101" s="55"/>
      <c r="AE1101" s="55"/>
    </row>
    <row r="1102" spans="2:31" s="28" customFormat="1" ht="15" customHeight="1" x14ac:dyDescent="0.25">
      <c r="B1102" s="520"/>
      <c r="C1102" s="23"/>
      <c r="D1102" s="23"/>
      <c r="E1102" s="24"/>
      <c r="H1102" s="23"/>
      <c r="I1102" s="55"/>
      <c r="J1102" s="55"/>
      <c r="K1102" s="55"/>
      <c r="L1102" s="55"/>
      <c r="M1102" s="55"/>
      <c r="N1102" s="55"/>
      <c r="O1102" s="55"/>
      <c r="P1102" s="55"/>
      <c r="Q1102" s="55"/>
      <c r="R1102" s="55"/>
      <c r="S1102" s="55"/>
      <c r="T1102" s="55"/>
      <c r="U1102" s="55"/>
      <c r="V1102" s="55"/>
      <c r="W1102" s="55"/>
      <c r="X1102" s="55"/>
      <c r="Y1102" s="55"/>
      <c r="Z1102" s="55"/>
      <c r="AA1102" s="55"/>
      <c r="AB1102" s="55"/>
      <c r="AC1102" s="55"/>
      <c r="AD1102" s="55"/>
      <c r="AE1102" s="55"/>
    </row>
    <row r="1103" spans="2:31" s="28" customFormat="1" ht="15" customHeight="1" x14ac:dyDescent="0.25">
      <c r="B1103" s="520"/>
      <c r="C1103" s="23"/>
      <c r="D1103" s="23"/>
      <c r="E1103" s="24"/>
      <c r="H1103" s="23"/>
      <c r="I1103" s="55"/>
      <c r="J1103" s="55"/>
      <c r="K1103" s="55"/>
      <c r="L1103" s="55"/>
      <c r="M1103" s="55"/>
      <c r="N1103" s="55"/>
      <c r="O1103" s="55"/>
      <c r="P1103" s="55"/>
      <c r="Q1103" s="55"/>
      <c r="R1103" s="55"/>
      <c r="S1103" s="55"/>
      <c r="T1103" s="55"/>
      <c r="U1103" s="55"/>
      <c r="V1103" s="55"/>
      <c r="W1103" s="55"/>
      <c r="X1103" s="55"/>
      <c r="Y1103" s="55"/>
      <c r="Z1103" s="55"/>
      <c r="AA1103" s="55"/>
      <c r="AB1103" s="55"/>
      <c r="AC1103" s="55"/>
      <c r="AD1103" s="55"/>
      <c r="AE1103" s="55"/>
    </row>
    <row r="1104" spans="2:31" s="28" customFormat="1" ht="15" customHeight="1" x14ac:dyDescent="0.25">
      <c r="B1104" s="520"/>
      <c r="C1104" s="23"/>
      <c r="D1104" s="23"/>
      <c r="E1104" s="24"/>
      <c r="H1104" s="23"/>
      <c r="I1104" s="55"/>
      <c r="J1104" s="55"/>
      <c r="K1104" s="55"/>
      <c r="L1104" s="55"/>
      <c r="M1104" s="55"/>
      <c r="N1104" s="55"/>
      <c r="O1104" s="55"/>
      <c r="P1104" s="55"/>
      <c r="Q1104" s="55"/>
      <c r="R1104" s="55"/>
      <c r="S1104" s="55"/>
      <c r="T1104" s="55"/>
      <c r="U1104" s="55"/>
      <c r="V1104" s="55"/>
      <c r="W1104" s="55"/>
      <c r="X1104" s="55"/>
      <c r="Y1104" s="55"/>
      <c r="Z1104" s="55"/>
      <c r="AA1104" s="55"/>
      <c r="AB1104" s="55"/>
      <c r="AC1104" s="55"/>
      <c r="AD1104" s="55"/>
      <c r="AE1104" s="55"/>
    </row>
    <row r="1105" spans="2:31" s="28" customFormat="1" ht="15" customHeight="1" x14ac:dyDescent="0.25">
      <c r="B1105" s="520"/>
      <c r="C1105" s="23"/>
      <c r="D1105" s="23"/>
      <c r="E1105" s="24"/>
      <c r="H1105" s="23"/>
      <c r="I1105" s="55"/>
      <c r="J1105" s="55"/>
      <c r="K1105" s="55"/>
      <c r="L1105" s="55"/>
      <c r="M1105" s="55"/>
      <c r="N1105" s="55"/>
      <c r="O1105" s="55"/>
      <c r="P1105" s="55"/>
      <c r="Q1105" s="55"/>
      <c r="R1105" s="55"/>
      <c r="S1105" s="55"/>
      <c r="T1105" s="55"/>
      <c r="U1105" s="55"/>
      <c r="V1105" s="55"/>
      <c r="W1105" s="55"/>
      <c r="X1105" s="55"/>
      <c r="Y1105" s="55"/>
      <c r="Z1105" s="55"/>
      <c r="AA1105" s="55"/>
      <c r="AB1105" s="55"/>
      <c r="AC1105" s="55"/>
      <c r="AD1105" s="55"/>
      <c r="AE1105" s="55"/>
    </row>
    <row r="1106" spans="2:31" s="28" customFormat="1" ht="15" customHeight="1" x14ac:dyDescent="0.25">
      <c r="B1106" s="520"/>
      <c r="C1106" s="23"/>
      <c r="D1106" s="23"/>
      <c r="E1106" s="24"/>
      <c r="H1106" s="23"/>
      <c r="I1106" s="55"/>
      <c r="J1106" s="55"/>
      <c r="K1106" s="55"/>
      <c r="L1106" s="55"/>
      <c r="M1106" s="55"/>
      <c r="N1106" s="55"/>
      <c r="O1106" s="55"/>
      <c r="P1106" s="55"/>
      <c r="Q1106" s="55"/>
      <c r="R1106" s="55"/>
      <c r="S1106" s="55"/>
      <c r="T1106" s="55"/>
      <c r="U1106" s="55"/>
      <c r="V1106" s="55"/>
      <c r="W1106" s="55"/>
      <c r="X1106" s="55"/>
      <c r="Y1106" s="55"/>
      <c r="Z1106" s="55"/>
      <c r="AA1106" s="55"/>
      <c r="AB1106" s="55"/>
      <c r="AC1106" s="55"/>
      <c r="AD1106" s="55"/>
      <c r="AE1106" s="55"/>
    </row>
    <row r="1107" spans="2:31" s="28" customFormat="1" ht="15" customHeight="1" x14ac:dyDescent="0.25">
      <c r="B1107" s="520"/>
      <c r="C1107" s="23"/>
      <c r="D1107" s="23"/>
      <c r="E1107" s="24"/>
      <c r="H1107" s="23"/>
      <c r="I1107" s="55"/>
      <c r="J1107" s="55"/>
      <c r="K1107" s="55"/>
      <c r="L1107" s="55"/>
      <c r="M1107" s="55"/>
      <c r="N1107" s="55"/>
      <c r="O1107" s="55"/>
      <c r="P1107" s="55"/>
      <c r="Q1107" s="55"/>
      <c r="R1107" s="55"/>
      <c r="S1107" s="55"/>
      <c r="T1107" s="55"/>
      <c r="U1107" s="55"/>
      <c r="V1107" s="55"/>
      <c r="W1107" s="55"/>
      <c r="X1107" s="55"/>
      <c r="Y1107" s="55"/>
      <c r="Z1107" s="55"/>
      <c r="AA1107" s="55"/>
      <c r="AB1107" s="55"/>
      <c r="AC1107" s="55"/>
      <c r="AD1107" s="55"/>
      <c r="AE1107" s="55"/>
    </row>
    <row r="1108" spans="2:31" s="28" customFormat="1" ht="15" customHeight="1" x14ac:dyDescent="0.25">
      <c r="B1108" s="520"/>
      <c r="C1108" s="23"/>
      <c r="D1108" s="23"/>
      <c r="E1108" s="24"/>
      <c r="H1108" s="23"/>
      <c r="I1108" s="55"/>
      <c r="J1108" s="55"/>
      <c r="K1108" s="55"/>
      <c r="L1108" s="55"/>
      <c r="M1108" s="55"/>
      <c r="N1108" s="55"/>
      <c r="O1108" s="55"/>
      <c r="P1108" s="55"/>
      <c r="Q1108" s="55"/>
      <c r="R1108" s="55"/>
      <c r="S1108" s="55"/>
      <c r="T1108" s="55"/>
      <c r="U1108" s="55"/>
      <c r="V1108" s="55"/>
      <c r="W1108" s="55"/>
      <c r="X1108" s="55"/>
      <c r="Y1108" s="55"/>
      <c r="Z1108" s="55"/>
      <c r="AA1108" s="55"/>
      <c r="AB1108" s="55"/>
      <c r="AC1108" s="55"/>
      <c r="AD1108" s="55"/>
      <c r="AE1108" s="55"/>
    </row>
    <row r="1109" spans="2:31" s="28" customFormat="1" ht="15" customHeight="1" x14ac:dyDescent="0.25">
      <c r="B1109" s="520"/>
      <c r="C1109" s="23"/>
      <c r="D1109" s="23"/>
      <c r="E1109" s="24"/>
      <c r="H1109" s="23"/>
      <c r="I1109" s="55"/>
      <c r="J1109" s="55"/>
      <c r="K1109" s="55"/>
      <c r="L1109" s="55"/>
      <c r="M1109" s="55"/>
      <c r="N1109" s="55"/>
      <c r="O1109" s="55"/>
      <c r="P1109" s="55"/>
      <c r="Q1109" s="55"/>
      <c r="R1109" s="55"/>
      <c r="S1109" s="55"/>
      <c r="T1109" s="55"/>
      <c r="U1109" s="55"/>
      <c r="V1109" s="55"/>
      <c r="W1109" s="55"/>
      <c r="X1109" s="55"/>
      <c r="Y1109" s="55"/>
      <c r="Z1109" s="55"/>
      <c r="AA1109" s="55"/>
      <c r="AB1109" s="55"/>
      <c r="AC1109" s="55"/>
      <c r="AD1109" s="55"/>
      <c r="AE1109" s="55"/>
    </row>
    <row r="1110" spans="2:31" s="28" customFormat="1" ht="15" customHeight="1" x14ac:dyDescent="0.25">
      <c r="B1110" s="520"/>
      <c r="C1110" s="23"/>
      <c r="D1110" s="23"/>
      <c r="E1110" s="24"/>
      <c r="H1110" s="23"/>
      <c r="I1110" s="55"/>
      <c r="J1110" s="55"/>
      <c r="K1110" s="55"/>
      <c r="L1110" s="55"/>
      <c r="M1110" s="55"/>
      <c r="N1110" s="55"/>
      <c r="O1110" s="55"/>
      <c r="P1110" s="55"/>
      <c r="Q1110" s="55"/>
      <c r="R1110" s="55"/>
      <c r="S1110" s="55"/>
      <c r="T1110" s="55"/>
      <c r="U1110" s="55"/>
      <c r="V1110" s="55"/>
      <c r="W1110" s="55"/>
      <c r="X1110" s="55"/>
      <c r="Y1110" s="55"/>
      <c r="Z1110" s="55"/>
      <c r="AA1110" s="55"/>
      <c r="AB1110" s="55"/>
      <c r="AC1110" s="55"/>
      <c r="AD1110" s="55"/>
      <c r="AE1110" s="55"/>
    </row>
    <row r="1111" spans="2:31" s="28" customFormat="1" ht="15" customHeight="1" x14ac:dyDescent="0.25">
      <c r="B1111" s="520"/>
      <c r="C1111" s="23"/>
      <c r="D1111" s="23"/>
      <c r="E1111" s="24"/>
      <c r="H1111" s="23"/>
      <c r="I1111" s="55"/>
      <c r="J1111" s="55"/>
      <c r="K1111" s="55"/>
      <c r="L1111" s="55"/>
      <c r="M1111" s="55"/>
      <c r="N1111" s="55"/>
      <c r="O1111" s="55"/>
      <c r="P1111" s="55"/>
      <c r="Q1111" s="55"/>
      <c r="R1111" s="55"/>
      <c r="S1111" s="55"/>
      <c r="T1111" s="55"/>
      <c r="U1111" s="55"/>
      <c r="V1111" s="55"/>
      <c r="W1111" s="55"/>
      <c r="X1111" s="55"/>
      <c r="Y1111" s="55"/>
      <c r="Z1111" s="55"/>
      <c r="AA1111" s="55"/>
      <c r="AB1111" s="55"/>
      <c r="AC1111" s="55"/>
      <c r="AD1111" s="55"/>
      <c r="AE1111" s="55"/>
    </row>
    <row r="1112" spans="2:31" s="28" customFormat="1" ht="15" customHeight="1" x14ac:dyDescent="0.25">
      <c r="B1112" s="520"/>
      <c r="C1112" s="23"/>
      <c r="D1112" s="23"/>
      <c r="E1112" s="24"/>
      <c r="H1112" s="23"/>
      <c r="I1112" s="55"/>
      <c r="J1112" s="55"/>
      <c r="K1112" s="55"/>
      <c r="L1112" s="55"/>
      <c r="M1112" s="55"/>
      <c r="N1112" s="55"/>
      <c r="O1112" s="55"/>
      <c r="P1112" s="55"/>
      <c r="Q1112" s="55"/>
      <c r="R1112" s="55"/>
      <c r="S1112" s="55"/>
      <c r="T1112" s="55"/>
      <c r="U1112" s="55"/>
      <c r="V1112" s="55"/>
      <c r="W1112" s="55"/>
      <c r="X1112" s="55"/>
      <c r="Y1112" s="55"/>
      <c r="Z1112" s="55"/>
      <c r="AA1112" s="55"/>
      <c r="AB1112" s="55"/>
      <c r="AC1112" s="55"/>
      <c r="AD1112" s="55"/>
      <c r="AE1112" s="55"/>
    </row>
    <row r="1113" spans="2:31" s="28" customFormat="1" ht="15" customHeight="1" x14ac:dyDescent="0.25">
      <c r="B1113" s="520"/>
      <c r="C1113" s="23"/>
      <c r="D1113" s="23"/>
      <c r="E1113" s="24"/>
      <c r="H1113" s="23"/>
      <c r="I1113" s="55"/>
      <c r="J1113" s="55"/>
      <c r="K1113" s="55"/>
      <c r="L1113" s="55"/>
      <c r="M1113" s="55"/>
      <c r="N1113" s="55"/>
      <c r="O1113" s="55"/>
      <c r="P1113" s="55"/>
      <c r="Q1113" s="55"/>
      <c r="R1113" s="55"/>
      <c r="S1113" s="55"/>
      <c r="T1113" s="55"/>
      <c r="U1113" s="55"/>
      <c r="V1113" s="55"/>
      <c r="W1113" s="55"/>
      <c r="X1113" s="55"/>
      <c r="Y1113" s="55"/>
      <c r="Z1113" s="55"/>
      <c r="AA1113" s="55"/>
      <c r="AB1113" s="55"/>
      <c r="AC1113" s="55"/>
      <c r="AD1113" s="55"/>
      <c r="AE1113" s="55"/>
    </row>
    <row r="1114" spans="2:31" s="28" customFormat="1" ht="15" customHeight="1" x14ac:dyDescent="0.25">
      <c r="B1114" s="520"/>
      <c r="C1114" s="23"/>
      <c r="D1114" s="23"/>
      <c r="E1114" s="24"/>
      <c r="H1114" s="23"/>
      <c r="I1114" s="55"/>
      <c r="J1114" s="55"/>
      <c r="K1114" s="55"/>
      <c r="L1114" s="55"/>
      <c r="M1114" s="55"/>
      <c r="N1114" s="55"/>
      <c r="O1114" s="55"/>
      <c r="P1114" s="55"/>
      <c r="Q1114" s="55"/>
      <c r="R1114" s="55"/>
      <c r="S1114" s="55"/>
      <c r="T1114" s="55"/>
      <c r="U1114" s="55"/>
      <c r="V1114" s="55"/>
      <c r="W1114" s="55"/>
      <c r="X1114" s="55"/>
      <c r="Y1114" s="55"/>
      <c r="Z1114" s="55"/>
      <c r="AA1114" s="55"/>
      <c r="AB1114" s="55"/>
      <c r="AC1114" s="55"/>
      <c r="AD1114" s="55"/>
      <c r="AE1114" s="55"/>
    </row>
    <row r="1115" spans="2:31" s="28" customFormat="1" ht="15" customHeight="1" x14ac:dyDescent="0.25">
      <c r="B1115" s="520"/>
      <c r="C1115" s="23"/>
      <c r="D1115" s="23"/>
      <c r="E1115" s="24"/>
      <c r="H1115" s="23"/>
      <c r="I1115" s="55"/>
      <c r="J1115" s="55"/>
      <c r="K1115" s="55"/>
      <c r="L1115" s="55"/>
      <c r="M1115" s="55"/>
      <c r="N1115" s="55"/>
      <c r="O1115" s="55"/>
      <c r="P1115" s="55"/>
      <c r="Q1115" s="55"/>
      <c r="R1115" s="55"/>
      <c r="S1115" s="55"/>
      <c r="T1115" s="55"/>
      <c r="U1115" s="55"/>
      <c r="V1115" s="55"/>
      <c r="W1115" s="55"/>
      <c r="X1115" s="55"/>
      <c r="Y1115" s="55"/>
      <c r="Z1115" s="55"/>
      <c r="AA1115" s="55"/>
      <c r="AB1115" s="55"/>
      <c r="AC1115" s="55"/>
      <c r="AD1115" s="55"/>
      <c r="AE1115" s="55"/>
    </row>
    <row r="1116" spans="2:31" s="28" customFormat="1" ht="15" customHeight="1" x14ac:dyDescent="0.25">
      <c r="B1116" s="520"/>
      <c r="C1116" s="23"/>
      <c r="D1116" s="23"/>
      <c r="E1116" s="24"/>
      <c r="H1116" s="23"/>
      <c r="I1116" s="55"/>
      <c r="J1116" s="55"/>
      <c r="K1116" s="55"/>
      <c r="L1116" s="55"/>
      <c r="M1116" s="55"/>
      <c r="N1116" s="55"/>
      <c r="O1116" s="55"/>
      <c r="P1116" s="55"/>
      <c r="Q1116" s="55"/>
      <c r="R1116" s="55"/>
      <c r="S1116" s="55"/>
      <c r="T1116" s="55"/>
      <c r="U1116" s="55"/>
      <c r="V1116" s="55"/>
      <c r="W1116" s="55"/>
      <c r="X1116" s="55"/>
      <c r="Y1116" s="55"/>
      <c r="Z1116" s="55"/>
      <c r="AA1116" s="55"/>
      <c r="AB1116" s="55"/>
      <c r="AC1116" s="55"/>
      <c r="AD1116" s="55"/>
      <c r="AE1116" s="55"/>
    </row>
    <row r="1117" spans="2:31" s="28" customFormat="1" ht="15" customHeight="1" x14ac:dyDescent="0.25">
      <c r="B1117" s="520"/>
      <c r="C1117" s="23"/>
      <c r="D1117" s="23"/>
      <c r="E1117" s="24"/>
      <c r="H1117" s="23"/>
      <c r="I1117" s="55"/>
      <c r="J1117" s="55"/>
      <c r="K1117" s="55"/>
      <c r="L1117" s="55"/>
      <c r="M1117" s="55"/>
      <c r="N1117" s="55"/>
      <c r="O1117" s="55"/>
      <c r="P1117" s="55"/>
      <c r="Q1117" s="55"/>
      <c r="R1117" s="55"/>
      <c r="S1117" s="55"/>
      <c r="T1117" s="55"/>
      <c r="U1117" s="55"/>
      <c r="V1117" s="55"/>
      <c r="W1117" s="55"/>
      <c r="X1117" s="55"/>
      <c r="Y1117" s="55"/>
      <c r="Z1117" s="55"/>
      <c r="AA1117" s="55"/>
      <c r="AB1117" s="55"/>
      <c r="AC1117" s="55"/>
      <c r="AD1117" s="55"/>
      <c r="AE1117" s="55"/>
    </row>
    <row r="1118" spans="2:31" s="28" customFormat="1" ht="15" customHeight="1" x14ac:dyDescent="0.25">
      <c r="B1118" s="520"/>
      <c r="C1118" s="23"/>
      <c r="D1118" s="23"/>
      <c r="E1118" s="24"/>
      <c r="H1118" s="23"/>
      <c r="I1118" s="55"/>
      <c r="J1118" s="55"/>
      <c r="K1118" s="55"/>
      <c r="L1118" s="55"/>
      <c r="M1118" s="55"/>
      <c r="N1118" s="55"/>
      <c r="O1118" s="55"/>
      <c r="P1118" s="55"/>
      <c r="Q1118" s="55"/>
      <c r="R1118" s="55"/>
      <c r="S1118" s="55"/>
      <c r="T1118" s="55"/>
      <c r="U1118" s="55"/>
      <c r="V1118" s="55"/>
      <c r="W1118" s="55"/>
      <c r="X1118" s="55"/>
      <c r="Y1118" s="55"/>
      <c r="Z1118" s="55"/>
      <c r="AA1118" s="55"/>
      <c r="AB1118" s="55"/>
      <c r="AC1118" s="55"/>
      <c r="AD1118" s="55"/>
      <c r="AE1118" s="55"/>
    </row>
    <row r="1119" spans="2:31" s="28" customFormat="1" ht="15" customHeight="1" x14ac:dyDescent="0.25">
      <c r="B1119" s="520"/>
      <c r="C1119" s="23"/>
      <c r="D1119" s="23"/>
      <c r="E1119" s="24"/>
      <c r="H1119" s="23"/>
      <c r="I1119" s="55"/>
      <c r="J1119" s="55"/>
      <c r="K1119" s="55"/>
      <c r="L1119" s="55"/>
      <c r="M1119" s="55"/>
      <c r="N1119" s="55"/>
      <c r="O1119" s="55"/>
      <c r="P1119" s="55"/>
      <c r="Q1119" s="55"/>
      <c r="R1119" s="55"/>
      <c r="S1119" s="55"/>
      <c r="T1119" s="55"/>
      <c r="U1119" s="55"/>
      <c r="V1119" s="55"/>
      <c r="W1119" s="55"/>
      <c r="X1119" s="55"/>
      <c r="Y1119" s="55"/>
      <c r="Z1119" s="55"/>
      <c r="AA1119" s="55"/>
      <c r="AB1119" s="55"/>
      <c r="AC1119" s="55"/>
      <c r="AD1119" s="55"/>
      <c r="AE1119" s="55"/>
    </row>
    <row r="1120" spans="2:31" s="28" customFormat="1" ht="15" customHeight="1" x14ac:dyDescent="0.25">
      <c r="B1120" s="520"/>
      <c r="C1120" s="23"/>
      <c r="D1120" s="23"/>
      <c r="E1120" s="24"/>
      <c r="H1120" s="23"/>
      <c r="I1120" s="55"/>
      <c r="J1120" s="55"/>
      <c r="K1120" s="55"/>
      <c r="L1120" s="55"/>
      <c r="M1120" s="55"/>
      <c r="N1120" s="55"/>
      <c r="O1120" s="55"/>
      <c r="P1120" s="55"/>
      <c r="Q1120" s="55"/>
      <c r="R1120" s="55"/>
      <c r="S1120" s="55"/>
      <c r="T1120" s="55"/>
      <c r="U1120" s="55"/>
      <c r="V1120" s="55"/>
      <c r="W1120" s="55"/>
      <c r="X1120" s="55"/>
      <c r="Y1120" s="55"/>
      <c r="Z1120" s="55"/>
      <c r="AA1120" s="55"/>
      <c r="AB1120" s="55"/>
      <c r="AC1120" s="55"/>
      <c r="AD1120" s="55"/>
      <c r="AE1120" s="55"/>
    </row>
    <row r="1121" spans="2:31" s="28" customFormat="1" ht="15" customHeight="1" x14ac:dyDescent="0.25">
      <c r="B1121" s="520"/>
      <c r="C1121" s="23"/>
      <c r="D1121" s="23"/>
      <c r="E1121" s="24"/>
      <c r="H1121" s="23"/>
      <c r="I1121" s="55"/>
      <c r="J1121" s="55"/>
      <c r="K1121" s="55"/>
      <c r="L1121" s="55"/>
      <c r="M1121" s="55"/>
      <c r="N1121" s="55"/>
      <c r="O1121" s="55"/>
      <c r="P1121" s="55"/>
      <c r="Q1121" s="55"/>
      <c r="R1121" s="55"/>
      <c r="S1121" s="55"/>
      <c r="T1121" s="55"/>
      <c r="U1121" s="55"/>
      <c r="V1121" s="55"/>
      <c r="W1121" s="55"/>
      <c r="X1121" s="55"/>
      <c r="Y1121" s="55"/>
      <c r="Z1121" s="55"/>
      <c r="AA1121" s="55"/>
      <c r="AB1121" s="55"/>
      <c r="AC1121" s="55"/>
      <c r="AD1121" s="55"/>
      <c r="AE1121" s="55"/>
    </row>
    <row r="1122" spans="2:31" s="28" customFormat="1" ht="15" customHeight="1" x14ac:dyDescent="0.25">
      <c r="B1122" s="520"/>
      <c r="C1122" s="23"/>
      <c r="D1122" s="23"/>
      <c r="E1122" s="24"/>
      <c r="H1122" s="23"/>
      <c r="I1122" s="55"/>
      <c r="J1122" s="55"/>
      <c r="K1122" s="55"/>
      <c r="L1122" s="55"/>
      <c r="M1122" s="55"/>
      <c r="N1122" s="55"/>
      <c r="O1122" s="55"/>
      <c r="P1122" s="55"/>
      <c r="Q1122" s="55"/>
      <c r="R1122" s="55"/>
      <c r="S1122" s="55"/>
      <c r="T1122" s="55"/>
      <c r="U1122" s="55"/>
      <c r="V1122" s="55"/>
      <c r="W1122" s="55"/>
      <c r="X1122" s="55"/>
      <c r="Y1122" s="55"/>
      <c r="Z1122" s="55"/>
      <c r="AA1122" s="55"/>
      <c r="AB1122" s="55"/>
      <c r="AC1122" s="55"/>
      <c r="AD1122" s="55"/>
      <c r="AE1122" s="55"/>
    </row>
    <row r="1123" spans="2:31" s="28" customFormat="1" ht="15" customHeight="1" x14ac:dyDescent="0.25">
      <c r="B1123" s="520"/>
      <c r="C1123" s="23"/>
      <c r="D1123" s="23"/>
      <c r="E1123" s="24"/>
      <c r="H1123" s="23"/>
      <c r="I1123" s="55"/>
      <c r="J1123" s="55"/>
      <c r="K1123" s="55"/>
      <c r="L1123" s="55"/>
      <c r="M1123" s="55"/>
      <c r="N1123" s="55"/>
      <c r="O1123" s="55"/>
      <c r="P1123" s="55"/>
      <c r="Q1123" s="55"/>
      <c r="R1123" s="55"/>
      <c r="S1123" s="55"/>
      <c r="T1123" s="55"/>
      <c r="U1123" s="55"/>
      <c r="V1123" s="55"/>
      <c r="W1123" s="55"/>
      <c r="X1123" s="55"/>
      <c r="Y1123" s="55"/>
      <c r="Z1123" s="55"/>
      <c r="AA1123" s="55"/>
      <c r="AB1123" s="55"/>
      <c r="AC1123" s="55"/>
      <c r="AD1123" s="55"/>
      <c r="AE1123" s="55"/>
    </row>
    <row r="1124" spans="2:31" s="28" customFormat="1" ht="15" customHeight="1" x14ac:dyDescent="0.25">
      <c r="B1124" s="520"/>
      <c r="C1124" s="23"/>
      <c r="D1124" s="23"/>
      <c r="E1124" s="24"/>
      <c r="H1124" s="23"/>
      <c r="I1124" s="55"/>
      <c r="J1124" s="55"/>
      <c r="K1124" s="55"/>
      <c r="L1124" s="55"/>
      <c r="M1124" s="55"/>
      <c r="N1124" s="55"/>
      <c r="O1124" s="55"/>
      <c r="P1124" s="55"/>
      <c r="Q1124" s="55"/>
      <c r="R1124" s="55"/>
      <c r="S1124" s="55"/>
      <c r="T1124" s="55"/>
      <c r="U1124" s="55"/>
      <c r="V1124" s="55"/>
      <c r="W1124" s="55"/>
      <c r="X1124" s="55"/>
      <c r="Y1124" s="55"/>
      <c r="Z1124" s="55"/>
      <c r="AA1124" s="55"/>
      <c r="AB1124" s="55"/>
      <c r="AC1124" s="55"/>
      <c r="AD1124" s="55"/>
      <c r="AE1124" s="55"/>
    </row>
    <row r="1125" spans="2:31" s="28" customFormat="1" ht="15" customHeight="1" x14ac:dyDescent="0.25">
      <c r="B1125" s="520"/>
      <c r="C1125" s="23"/>
      <c r="D1125" s="23"/>
      <c r="E1125" s="24"/>
      <c r="H1125" s="23"/>
      <c r="I1125" s="55"/>
      <c r="J1125" s="55"/>
      <c r="K1125" s="55"/>
      <c r="L1125" s="55"/>
      <c r="M1125" s="55"/>
      <c r="N1125" s="55"/>
      <c r="O1125" s="55"/>
      <c r="P1125" s="55"/>
      <c r="Q1125" s="55"/>
      <c r="R1125" s="55"/>
      <c r="S1125" s="55"/>
      <c r="T1125" s="55"/>
      <c r="U1125" s="55"/>
      <c r="V1125" s="55"/>
      <c r="W1125" s="55"/>
      <c r="X1125" s="55"/>
      <c r="Y1125" s="55"/>
      <c r="Z1125" s="55"/>
      <c r="AA1125" s="55"/>
      <c r="AB1125" s="55"/>
      <c r="AC1125" s="55"/>
      <c r="AD1125" s="55"/>
      <c r="AE1125" s="55"/>
    </row>
    <row r="1126" spans="2:31" s="28" customFormat="1" ht="15" customHeight="1" x14ac:dyDescent="0.25">
      <c r="B1126" s="520"/>
      <c r="C1126" s="23"/>
      <c r="D1126" s="23"/>
      <c r="E1126" s="24"/>
      <c r="H1126" s="23"/>
      <c r="I1126" s="55"/>
      <c r="J1126" s="55"/>
      <c r="K1126" s="55"/>
      <c r="L1126" s="55"/>
      <c r="M1126" s="55"/>
      <c r="N1126" s="55"/>
      <c r="O1126" s="55"/>
      <c r="P1126" s="55"/>
      <c r="Q1126" s="55"/>
      <c r="R1126" s="55"/>
      <c r="S1126" s="55"/>
      <c r="T1126" s="55"/>
      <c r="U1126" s="55"/>
      <c r="V1126" s="55"/>
      <c r="W1126" s="55"/>
      <c r="X1126" s="55"/>
      <c r="Y1126" s="55"/>
      <c r="Z1126" s="55"/>
      <c r="AA1126" s="55"/>
      <c r="AB1126" s="55"/>
      <c r="AC1126" s="55"/>
      <c r="AD1126" s="55"/>
      <c r="AE1126" s="55"/>
    </row>
    <row r="1127" spans="2:31" s="28" customFormat="1" ht="15" customHeight="1" x14ac:dyDescent="0.25">
      <c r="B1127" s="520"/>
      <c r="C1127" s="23"/>
      <c r="D1127" s="23"/>
      <c r="E1127" s="24"/>
      <c r="H1127" s="23"/>
      <c r="I1127" s="55"/>
      <c r="J1127" s="55"/>
      <c r="K1127" s="55"/>
      <c r="L1127" s="55"/>
      <c r="M1127" s="55"/>
      <c r="N1127" s="55"/>
      <c r="O1127" s="55"/>
      <c r="P1127" s="55"/>
      <c r="Q1127" s="55"/>
      <c r="R1127" s="55"/>
      <c r="S1127" s="55"/>
      <c r="T1127" s="55"/>
      <c r="U1127" s="55"/>
      <c r="V1127" s="55"/>
      <c r="W1127" s="55"/>
      <c r="X1127" s="55"/>
      <c r="Y1127" s="55"/>
      <c r="Z1127" s="55"/>
      <c r="AA1127" s="55"/>
      <c r="AB1127" s="55"/>
      <c r="AC1127" s="55"/>
      <c r="AD1127" s="55"/>
      <c r="AE1127" s="55"/>
    </row>
    <row r="1128" spans="2:31" s="28" customFormat="1" ht="15" customHeight="1" x14ac:dyDescent="0.25">
      <c r="B1128" s="520"/>
      <c r="C1128" s="23"/>
      <c r="D1128" s="23"/>
      <c r="E1128" s="24"/>
      <c r="H1128" s="23"/>
      <c r="I1128" s="55"/>
      <c r="J1128" s="55"/>
      <c r="K1128" s="55"/>
      <c r="L1128" s="55"/>
      <c r="M1128" s="55"/>
      <c r="N1128" s="55"/>
      <c r="O1128" s="55"/>
      <c r="P1128" s="55"/>
      <c r="Q1128" s="55"/>
      <c r="R1128" s="55"/>
      <c r="S1128" s="55"/>
      <c r="T1128" s="55"/>
      <c r="U1128" s="55"/>
      <c r="V1128" s="55"/>
      <c r="W1128" s="55"/>
      <c r="X1128" s="55"/>
      <c r="Y1128" s="55"/>
      <c r="Z1128" s="55"/>
      <c r="AA1128" s="55"/>
      <c r="AB1128" s="55"/>
      <c r="AC1128" s="55"/>
      <c r="AD1128" s="55"/>
      <c r="AE1128" s="55"/>
    </row>
    <row r="1129" spans="2:31" s="28" customFormat="1" ht="15" customHeight="1" x14ac:dyDescent="0.25">
      <c r="B1129" s="520"/>
      <c r="C1129" s="23"/>
      <c r="D1129" s="23"/>
      <c r="E1129" s="24"/>
      <c r="H1129" s="23"/>
      <c r="I1129" s="55"/>
      <c r="J1129" s="55"/>
      <c r="K1129" s="55"/>
      <c r="L1129" s="55"/>
      <c r="M1129" s="55"/>
      <c r="N1129" s="55"/>
      <c r="O1129" s="55"/>
      <c r="P1129" s="55"/>
      <c r="Q1129" s="55"/>
      <c r="R1129" s="55"/>
      <c r="S1129" s="55"/>
      <c r="T1129" s="55"/>
      <c r="U1129" s="55"/>
      <c r="V1129" s="55"/>
      <c r="W1129" s="55"/>
      <c r="X1129" s="55"/>
      <c r="Y1129" s="55"/>
      <c r="Z1129" s="55"/>
      <c r="AA1129" s="55"/>
      <c r="AB1129" s="55"/>
      <c r="AC1129" s="55"/>
      <c r="AD1129" s="55"/>
      <c r="AE1129" s="55"/>
    </row>
    <row r="1130" spans="2:31" s="28" customFormat="1" ht="15" customHeight="1" x14ac:dyDescent="0.25">
      <c r="B1130" s="520"/>
      <c r="C1130" s="23"/>
      <c r="D1130" s="23"/>
      <c r="E1130" s="24"/>
      <c r="H1130" s="23"/>
      <c r="I1130" s="55"/>
      <c r="J1130" s="55"/>
      <c r="K1130" s="55"/>
      <c r="L1130" s="55"/>
      <c r="M1130" s="55"/>
      <c r="N1130" s="55"/>
      <c r="O1130" s="55"/>
      <c r="P1130" s="55"/>
      <c r="Q1130" s="55"/>
      <c r="R1130" s="55"/>
      <c r="S1130" s="55"/>
      <c r="T1130" s="55"/>
      <c r="U1130" s="55"/>
      <c r="V1130" s="55"/>
      <c r="W1130" s="55"/>
      <c r="X1130" s="55"/>
      <c r="Y1130" s="55"/>
      <c r="Z1130" s="55"/>
      <c r="AA1130" s="55"/>
      <c r="AB1130" s="55"/>
      <c r="AC1130" s="55"/>
      <c r="AD1130" s="55"/>
      <c r="AE1130" s="55"/>
    </row>
    <row r="1131" spans="2:31" s="28" customFormat="1" ht="15" customHeight="1" x14ac:dyDescent="0.25">
      <c r="B1131" s="520"/>
      <c r="C1131" s="23"/>
      <c r="D1131" s="23"/>
      <c r="E1131" s="24"/>
      <c r="H1131" s="23"/>
      <c r="I1131" s="55"/>
      <c r="J1131" s="55"/>
      <c r="K1131" s="55"/>
      <c r="L1131" s="55"/>
      <c r="M1131" s="55"/>
      <c r="N1131" s="55"/>
      <c r="O1131" s="55"/>
      <c r="P1131" s="55"/>
      <c r="Q1131" s="55"/>
      <c r="R1131" s="55"/>
      <c r="S1131" s="55"/>
      <c r="T1131" s="55"/>
      <c r="U1131" s="55"/>
      <c r="V1131" s="55"/>
      <c r="W1131" s="55"/>
      <c r="X1131" s="55"/>
      <c r="Y1131" s="55"/>
      <c r="Z1131" s="55"/>
      <c r="AA1131" s="55"/>
      <c r="AB1131" s="55"/>
      <c r="AC1131" s="55"/>
      <c r="AD1131" s="55"/>
      <c r="AE1131" s="55"/>
    </row>
    <row r="1132" spans="2:31" s="28" customFormat="1" ht="15" customHeight="1" x14ac:dyDescent="0.25">
      <c r="B1132" s="520"/>
      <c r="C1132" s="23"/>
      <c r="D1132" s="23"/>
      <c r="E1132" s="24"/>
      <c r="H1132" s="23"/>
      <c r="I1132" s="55"/>
      <c r="J1132" s="55"/>
      <c r="K1132" s="55"/>
      <c r="L1132" s="55"/>
      <c r="M1132" s="55"/>
      <c r="N1132" s="55"/>
      <c r="O1132" s="55"/>
      <c r="P1132" s="55"/>
      <c r="Q1132" s="55"/>
      <c r="R1132" s="55"/>
      <c r="S1132" s="55"/>
      <c r="T1132" s="55"/>
      <c r="U1132" s="55"/>
      <c r="V1132" s="55"/>
      <c r="W1132" s="55"/>
      <c r="X1132" s="55"/>
      <c r="Y1132" s="55"/>
      <c r="Z1132" s="55"/>
      <c r="AA1132" s="55"/>
      <c r="AB1132" s="55"/>
      <c r="AC1132" s="55"/>
      <c r="AD1132" s="55"/>
      <c r="AE1132" s="55"/>
    </row>
    <row r="1133" spans="2:31" s="28" customFormat="1" ht="15" customHeight="1" x14ac:dyDescent="0.25">
      <c r="B1133" s="520"/>
      <c r="C1133" s="23"/>
      <c r="D1133" s="23"/>
      <c r="E1133" s="24"/>
      <c r="H1133" s="23"/>
      <c r="I1133" s="55"/>
      <c r="J1133" s="55"/>
      <c r="K1133" s="55"/>
      <c r="L1133" s="55"/>
      <c r="M1133" s="55"/>
      <c r="N1133" s="55"/>
      <c r="O1133" s="55"/>
      <c r="P1133" s="55"/>
      <c r="Q1133" s="55"/>
      <c r="R1133" s="55"/>
      <c r="S1133" s="55"/>
      <c r="T1133" s="55"/>
      <c r="U1133" s="55"/>
      <c r="V1133" s="55"/>
      <c r="W1133" s="55"/>
      <c r="X1133" s="55"/>
      <c r="Y1133" s="55"/>
      <c r="Z1133" s="55"/>
      <c r="AA1133" s="55"/>
      <c r="AB1133" s="55"/>
      <c r="AC1133" s="55"/>
      <c r="AD1133" s="55"/>
      <c r="AE1133" s="55"/>
    </row>
    <row r="1134" spans="2:31" s="28" customFormat="1" ht="15" customHeight="1" x14ac:dyDescent="0.25">
      <c r="B1134" s="520"/>
      <c r="C1134" s="23"/>
      <c r="D1134" s="23"/>
      <c r="E1134" s="24"/>
      <c r="H1134" s="23"/>
      <c r="I1134" s="55"/>
      <c r="J1134" s="55"/>
      <c r="K1134" s="55"/>
      <c r="L1134" s="55"/>
      <c r="M1134" s="55"/>
      <c r="N1134" s="55"/>
      <c r="O1134" s="55"/>
      <c r="P1134" s="55"/>
      <c r="Q1134" s="55"/>
      <c r="R1134" s="55"/>
      <c r="S1134" s="55"/>
      <c r="T1134" s="55"/>
      <c r="U1134" s="55"/>
      <c r="V1134" s="55"/>
      <c r="W1134" s="55"/>
      <c r="X1134" s="55"/>
      <c r="Y1134" s="55"/>
      <c r="Z1134" s="55"/>
      <c r="AA1134" s="55"/>
      <c r="AB1134" s="55"/>
      <c r="AC1134" s="55"/>
      <c r="AD1134" s="55"/>
      <c r="AE1134" s="55"/>
    </row>
    <row r="1135" spans="2:31" s="28" customFormat="1" ht="15" customHeight="1" x14ac:dyDescent="0.25">
      <c r="B1135" s="520"/>
      <c r="C1135" s="23"/>
      <c r="D1135" s="23"/>
      <c r="E1135" s="24"/>
      <c r="H1135" s="23"/>
      <c r="I1135" s="55"/>
      <c r="J1135" s="55"/>
      <c r="K1135" s="55"/>
      <c r="L1135" s="55"/>
      <c r="M1135" s="55"/>
      <c r="N1135" s="55"/>
      <c r="O1135" s="55"/>
      <c r="P1135" s="55"/>
      <c r="Q1135" s="55"/>
      <c r="R1135" s="55"/>
      <c r="S1135" s="55"/>
      <c r="T1135" s="55"/>
      <c r="U1135" s="55"/>
      <c r="V1135" s="55"/>
      <c r="W1135" s="55"/>
      <c r="X1135" s="55"/>
      <c r="Y1135" s="55"/>
      <c r="Z1135" s="55"/>
      <c r="AA1135" s="55"/>
      <c r="AB1135" s="55"/>
      <c r="AC1135" s="55"/>
      <c r="AD1135" s="55"/>
      <c r="AE1135" s="55"/>
    </row>
    <row r="1136" spans="2:31" s="28" customFormat="1" ht="15" customHeight="1" x14ac:dyDescent="0.25">
      <c r="B1136" s="520"/>
      <c r="C1136" s="23"/>
      <c r="D1136" s="23"/>
      <c r="E1136" s="24"/>
      <c r="H1136" s="23"/>
      <c r="I1136" s="55"/>
      <c r="J1136" s="55"/>
      <c r="K1136" s="55"/>
      <c r="L1136" s="55"/>
      <c r="M1136" s="55"/>
      <c r="N1136" s="55"/>
      <c r="O1136" s="55"/>
      <c r="P1136" s="55"/>
      <c r="Q1136" s="55"/>
      <c r="R1136" s="55"/>
      <c r="S1136" s="55"/>
      <c r="T1136" s="55"/>
      <c r="U1136" s="55"/>
      <c r="V1136" s="55"/>
      <c r="W1136" s="55"/>
      <c r="X1136" s="55"/>
      <c r="Y1136" s="55"/>
      <c r="Z1136" s="55"/>
      <c r="AA1136" s="55"/>
      <c r="AB1136" s="55"/>
      <c r="AC1136" s="55"/>
      <c r="AD1136" s="55"/>
      <c r="AE1136" s="55"/>
    </row>
    <row r="1137" spans="2:31" s="28" customFormat="1" ht="15" customHeight="1" x14ac:dyDescent="0.25">
      <c r="B1137" s="520"/>
      <c r="C1137" s="23"/>
      <c r="D1137" s="23"/>
      <c r="E1137" s="24"/>
      <c r="H1137" s="23"/>
      <c r="I1137" s="55"/>
      <c r="J1137" s="55"/>
      <c r="K1137" s="55"/>
      <c r="L1137" s="55"/>
      <c r="M1137" s="55"/>
      <c r="N1137" s="55"/>
      <c r="O1137" s="55"/>
      <c r="P1137" s="55"/>
      <c r="Q1137" s="55"/>
      <c r="R1137" s="55"/>
      <c r="S1137" s="55"/>
      <c r="T1137" s="55"/>
      <c r="U1137" s="55"/>
      <c r="V1137" s="55"/>
      <c r="W1137" s="55"/>
      <c r="X1137" s="55"/>
      <c r="Y1137" s="55"/>
      <c r="Z1137" s="55"/>
      <c r="AA1137" s="55"/>
      <c r="AB1137" s="55"/>
      <c r="AC1137" s="55"/>
      <c r="AD1137" s="55"/>
      <c r="AE1137" s="55"/>
    </row>
    <row r="1138" spans="2:31" s="28" customFormat="1" ht="15" customHeight="1" x14ac:dyDescent="0.25">
      <c r="B1138" s="520"/>
      <c r="C1138" s="23"/>
      <c r="D1138" s="23"/>
      <c r="E1138" s="24"/>
      <c r="H1138" s="23"/>
      <c r="I1138" s="55"/>
      <c r="J1138" s="55"/>
      <c r="K1138" s="55"/>
      <c r="L1138" s="55"/>
      <c r="M1138" s="55"/>
      <c r="N1138" s="55"/>
      <c r="O1138" s="55"/>
      <c r="P1138" s="55"/>
      <c r="Q1138" s="55"/>
      <c r="R1138" s="55"/>
      <c r="S1138" s="55"/>
      <c r="T1138" s="55"/>
      <c r="U1138" s="55"/>
      <c r="V1138" s="55"/>
      <c r="W1138" s="55"/>
      <c r="X1138" s="55"/>
      <c r="Y1138" s="55"/>
      <c r="Z1138" s="55"/>
      <c r="AA1138" s="55"/>
      <c r="AB1138" s="55"/>
      <c r="AC1138" s="55"/>
      <c r="AD1138" s="55"/>
      <c r="AE1138" s="55"/>
    </row>
    <row r="1139" spans="2:31" s="28" customFormat="1" ht="15" customHeight="1" x14ac:dyDescent="0.25">
      <c r="B1139" s="520"/>
      <c r="C1139" s="23"/>
      <c r="D1139" s="23"/>
      <c r="E1139" s="24"/>
      <c r="H1139" s="23"/>
      <c r="I1139" s="55"/>
      <c r="J1139" s="55"/>
      <c r="K1139" s="55"/>
      <c r="L1139" s="55"/>
      <c r="M1139" s="55"/>
      <c r="N1139" s="55"/>
      <c r="O1139" s="55"/>
      <c r="P1139" s="55"/>
      <c r="Q1139" s="55"/>
      <c r="R1139" s="55"/>
      <c r="S1139" s="55"/>
      <c r="T1139" s="55"/>
      <c r="U1139" s="55"/>
      <c r="V1139" s="55"/>
      <c r="W1139" s="55"/>
      <c r="X1139" s="55"/>
      <c r="Y1139" s="55"/>
      <c r="Z1139" s="55"/>
      <c r="AA1139" s="55"/>
      <c r="AB1139" s="55"/>
      <c r="AC1139" s="55"/>
      <c r="AD1139" s="55"/>
      <c r="AE1139" s="55"/>
    </row>
    <row r="1140" spans="2:31" s="28" customFormat="1" ht="15" customHeight="1" x14ac:dyDescent="0.25">
      <c r="B1140" s="520"/>
      <c r="C1140" s="23"/>
      <c r="D1140" s="23"/>
      <c r="E1140" s="24"/>
      <c r="H1140" s="23"/>
      <c r="I1140" s="55"/>
      <c r="J1140" s="55"/>
      <c r="K1140" s="55"/>
      <c r="L1140" s="55"/>
      <c r="M1140" s="55"/>
      <c r="N1140" s="55"/>
      <c r="O1140" s="55"/>
      <c r="P1140" s="55"/>
      <c r="Q1140" s="55"/>
      <c r="R1140" s="55"/>
      <c r="S1140" s="55"/>
      <c r="T1140" s="55"/>
      <c r="U1140" s="55"/>
      <c r="V1140" s="55"/>
      <c r="W1140" s="55"/>
      <c r="X1140" s="55"/>
      <c r="Y1140" s="55"/>
      <c r="Z1140" s="55"/>
      <c r="AA1140" s="55"/>
      <c r="AB1140" s="55"/>
      <c r="AC1140" s="55"/>
      <c r="AD1140" s="55"/>
      <c r="AE1140" s="55"/>
    </row>
    <row r="1141" spans="2:31" s="28" customFormat="1" ht="15" customHeight="1" x14ac:dyDescent="0.25">
      <c r="B1141" s="520"/>
      <c r="C1141" s="23"/>
      <c r="D1141" s="23"/>
      <c r="E1141" s="24"/>
      <c r="H1141" s="23"/>
      <c r="I1141" s="55"/>
      <c r="J1141" s="55"/>
      <c r="K1141" s="55"/>
      <c r="L1141" s="55"/>
      <c r="M1141" s="55"/>
      <c r="N1141" s="55"/>
      <c r="O1141" s="55"/>
      <c r="P1141" s="55"/>
      <c r="Q1141" s="55"/>
      <c r="R1141" s="55"/>
      <c r="S1141" s="55"/>
      <c r="T1141" s="55"/>
      <c r="U1141" s="55"/>
      <c r="V1141" s="55"/>
      <c r="W1141" s="55"/>
      <c r="X1141" s="55"/>
      <c r="Y1141" s="55"/>
      <c r="Z1141" s="55"/>
      <c r="AA1141" s="55"/>
      <c r="AB1141" s="55"/>
      <c r="AC1141" s="55"/>
      <c r="AD1141" s="55"/>
      <c r="AE1141" s="55"/>
    </row>
    <row r="1142" spans="2:31" s="28" customFormat="1" ht="15" customHeight="1" x14ac:dyDescent="0.25">
      <c r="B1142" s="520"/>
      <c r="C1142" s="23"/>
      <c r="D1142" s="23"/>
      <c r="E1142" s="24"/>
      <c r="H1142" s="23"/>
      <c r="I1142" s="55"/>
      <c r="J1142" s="55"/>
      <c r="K1142" s="55"/>
      <c r="L1142" s="55"/>
      <c r="M1142" s="55"/>
      <c r="N1142" s="55"/>
      <c r="O1142" s="55"/>
      <c r="P1142" s="55"/>
      <c r="Q1142" s="55"/>
      <c r="R1142" s="55"/>
      <c r="S1142" s="55"/>
      <c r="T1142" s="55"/>
      <c r="U1142" s="55"/>
      <c r="V1142" s="55"/>
      <c r="W1142" s="55"/>
      <c r="X1142" s="55"/>
      <c r="Y1142" s="55"/>
      <c r="Z1142" s="55"/>
      <c r="AA1142" s="55"/>
      <c r="AB1142" s="55"/>
      <c r="AC1142" s="55"/>
      <c r="AD1142" s="55"/>
      <c r="AE1142" s="55"/>
    </row>
    <row r="1143" spans="2:31" s="28" customFormat="1" ht="15" customHeight="1" x14ac:dyDescent="0.25">
      <c r="B1143" s="520"/>
      <c r="C1143" s="23"/>
      <c r="D1143" s="23"/>
      <c r="E1143" s="24"/>
      <c r="H1143" s="23"/>
      <c r="I1143" s="55"/>
      <c r="J1143" s="55"/>
      <c r="K1143" s="55"/>
      <c r="L1143" s="55"/>
      <c r="M1143" s="55"/>
      <c r="N1143" s="55"/>
      <c r="O1143" s="55"/>
      <c r="P1143" s="55"/>
      <c r="Q1143" s="55"/>
      <c r="R1143" s="55"/>
      <c r="S1143" s="55"/>
      <c r="T1143" s="55"/>
      <c r="U1143" s="55"/>
      <c r="V1143" s="55"/>
      <c r="W1143" s="55"/>
      <c r="X1143" s="55"/>
      <c r="Y1143" s="55"/>
      <c r="Z1143" s="55"/>
      <c r="AA1143" s="55"/>
      <c r="AB1143" s="55"/>
      <c r="AC1143" s="55"/>
      <c r="AD1143" s="55"/>
      <c r="AE1143" s="55"/>
    </row>
    <row r="1144" spans="2:31" s="28" customFormat="1" ht="15" customHeight="1" x14ac:dyDescent="0.25">
      <c r="B1144" s="520"/>
      <c r="C1144" s="23"/>
      <c r="D1144" s="23"/>
      <c r="E1144" s="24"/>
      <c r="H1144" s="23"/>
      <c r="I1144" s="55"/>
      <c r="J1144" s="55"/>
      <c r="K1144" s="55"/>
      <c r="L1144" s="55"/>
      <c r="M1144" s="55"/>
      <c r="N1144" s="55"/>
      <c r="O1144" s="55"/>
      <c r="P1144" s="55"/>
      <c r="Q1144" s="55"/>
      <c r="R1144" s="55"/>
      <c r="S1144" s="55"/>
      <c r="T1144" s="55"/>
      <c r="U1144" s="55"/>
      <c r="V1144" s="55"/>
      <c r="W1144" s="55"/>
      <c r="X1144" s="55"/>
      <c r="Y1144" s="55"/>
      <c r="Z1144" s="55"/>
      <c r="AA1144" s="55"/>
      <c r="AB1144" s="55"/>
      <c r="AC1144" s="55"/>
      <c r="AD1144" s="55"/>
      <c r="AE1144" s="55"/>
    </row>
  </sheetData>
  <mergeCells count="4">
    <mergeCell ref="C1:H1"/>
    <mergeCell ref="C4:D4"/>
    <mergeCell ref="E4:F4"/>
    <mergeCell ref="C2:H2"/>
  </mergeCells>
  <printOptions horizontalCentered="1" verticalCentered="1"/>
  <pageMargins left="0" right="0" top="0" bottom="0" header="0.11811023622047245" footer="0"/>
  <pageSetup paperSize="9" scale="50" orientation="portrait" r:id="rId1"/>
  <headerFooter alignWithMargins="0">
    <oddHeader xml:space="preserve">&amp;C
&amp;R&amp;"Arial,Félkövér"&amp;16 18. melléklet a ..../2020. (......) &amp;14önkormányzati rendelethez
</oddHeader>
  </headerFooter>
  <rowBreaks count="4" manualBreakCount="4">
    <brk id="57" min="2" max="7" man="1"/>
    <brk id="113" min="2" max="7" man="1"/>
    <brk id="155" min="2" max="7" man="1"/>
    <brk id="201" min="1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T104"/>
  <sheetViews>
    <sheetView zoomScale="75" zoomScaleNormal="75" zoomScaleSheetLayoutView="50" workbookViewId="0">
      <selection activeCell="I9" sqref="I9"/>
    </sheetView>
  </sheetViews>
  <sheetFormatPr defaultColWidth="12" defaultRowHeight="15" x14ac:dyDescent="0.2"/>
  <cols>
    <col min="1" max="1" width="9.1640625" style="1310" customWidth="1"/>
    <col min="2" max="2" width="82.6640625" style="1310" customWidth="1"/>
    <col min="3" max="3" width="24" style="1310" customWidth="1"/>
    <col min="4" max="4" width="24" style="1311" customWidth="1"/>
    <col min="5" max="5" width="20.6640625" style="1311" bestFit="1" customWidth="1"/>
    <col min="6" max="6" width="18.5" style="1311" customWidth="1"/>
    <col min="7" max="7" width="15.1640625" style="1311" bestFit="1" customWidth="1"/>
    <col min="8" max="8" width="12.1640625" style="1311" bestFit="1" customWidth="1"/>
    <col min="9" max="9" width="16.6640625" style="1311" bestFit="1" customWidth="1"/>
    <col min="10" max="10" width="14" style="1311" bestFit="1" customWidth="1"/>
    <col min="11" max="11" width="19.5" style="1311" customWidth="1"/>
    <col min="12" max="12" width="12.1640625" style="1311" bestFit="1" customWidth="1"/>
    <col min="13" max="15" width="12" style="1311"/>
    <col min="16" max="16" width="22.83203125" style="1311" customWidth="1"/>
    <col min="17" max="17" width="16.1640625" style="1311" customWidth="1"/>
    <col min="18" max="20" width="12" style="1311"/>
    <col min="21" max="16384" width="12" style="1310"/>
  </cols>
  <sheetData>
    <row r="1" spans="2:12" ht="40.5" customHeight="1" x14ac:dyDescent="0.25">
      <c r="B1" s="2759" t="s">
        <v>872</v>
      </c>
      <c r="C1" s="2759"/>
    </row>
    <row r="2" spans="2:12" ht="43.5" customHeight="1" thickBot="1" x14ac:dyDescent="0.25">
      <c r="C2" s="1312" t="s">
        <v>26</v>
      </c>
    </row>
    <row r="3" spans="2:12" s="1311" customFormat="1" ht="39.950000000000003" customHeight="1" x14ac:dyDescent="0.2">
      <c r="B3" s="1313" t="s">
        <v>873</v>
      </c>
      <c r="C3" s="1314">
        <v>10518290</v>
      </c>
      <c r="E3" s="1315"/>
      <c r="G3" s="1316"/>
      <c r="H3" s="1316"/>
      <c r="I3" s="1316"/>
      <c r="J3" s="1316"/>
      <c r="K3" s="1316"/>
      <c r="L3" s="1316"/>
    </row>
    <row r="4" spans="2:12" s="1319" customFormat="1" ht="39.950000000000003" customHeight="1" x14ac:dyDescent="0.25">
      <c r="B4" s="1317" t="s">
        <v>874</v>
      </c>
      <c r="C4" s="1318">
        <f>+'1 kiemelt előirányzatok telj. '!E20</f>
        <v>38128341</v>
      </c>
      <c r="D4" s="1321"/>
      <c r="E4" s="1320"/>
      <c r="G4" s="1321"/>
      <c r="H4" s="1321"/>
      <c r="I4" s="1321"/>
      <c r="J4" s="1321"/>
      <c r="K4" s="1316"/>
      <c r="L4" s="1321"/>
    </row>
    <row r="5" spans="2:12" s="1311" customFormat="1" ht="39.950000000000003" customHeight="1" x14ac:dyDescent="0.2">
      <c r="B5" s="1322" t="s">
        <v>875</v>
      </c>
      <c r="C5" s="1323">
        <f>+(-30110911+192075909-349465543+26931230+33815004-29339822+2359523+1918023-774942-365495513+758357196)/1000</f>
        <v>240270.15400000001</v>
      </c>
      <c r="E5" s="1324"/>
      <c r="G5" s="1316"/>
      <c r="H5" s="1316"/>
      <c r="I5" s="1316"/>
      <c r="J5" s="1316"/>
      <c r="K5" s="1316"/>
      <c r="L5" s="1316"/>
    </row>
    <row r="6" spans="2:12" s="1311" customFormat="1" ht="39.950000000000003" customHeight="1" x14ac:dyDescent="0.2">
      <c r="B6" s="1325" t="s">
        <v>1484</v>
      </c>
      <c r="C6" s="1326">
        <v>-10350491</v>
      </c>
      <c r="E6" s="1324"/>
      <c r="G6" s="1316"/>
      <c r="H6" s="1316"/>
      <c r="I6" s="1316"/>
      <c r="J6" s="1316"/>
      <c r="K6" s="1316"/>
      <c r="L6" s="1316"/>
    </row>
    <row r="7" spans="2:12" s="1319" customFormat="1" ht="39.950000000000003" customHeight="1" x14ac:dyDescent="0.25">
      <c r="B7" s="1317" t="s">
        <v>876</v>
      </c>
      <c r="C7" s="1318">
        <f>-'1 kiemelt előirányzatok telj. '!J20</f>
        <v>-25202813.818</v>
      </c>
      <c r="D7" s="1321"/>
      <c r="E7" s="1320"/>
      <c r="G7" s="1321"/>
      <c r="H7" s="1321"/>
      <c r="I7" s="1321"/>
      <c r="J7" s="1321"/>
      <c r="K7" s="1316"/>
      <c r="L7" s="1321"/>
    </row>
    <row r="8" spans="2:12" s="1311" customFormat="1" ht="39.950000000000003" customHeight="1" thickBot="1" x14ac:dyDescent="0.25">
      <c r="B8" s="1327" t="s">
        <v>877</v>
      </c>
      <c r="C8" s="1328">
        <f>SUM(C3:C7)</f>
        <v>13333596.335999999</v>
      </c>
      <c r="D8" s="1316">
        <v>13333596</v>
      </c>
      <c r="E8" s="1329"/>
      <c r="F8" s="1316"/>
      <c r="G8" s="1316"/>
      <c r="H8" s="1316"/>
      <c r="I8" s="1316"/>
      <c r="J8" s="1316"/>
      <c r="K8" s="1316"/>
      <c r="L8" s="1316"/>
    </row>
    <row r="9" spans="2:12" ht="39.950000000000003" customHeight="1" x14ac:dyDescent="0.2">
      <c r="B9" s="1330" t="s">
        <v>878</v>
      </c>
      <c r="C9" s="1331"/>
      <c r="D9" s="1316"/>
      <c r="E9" s="130"/>
      <c r="G9" s="1316"/>
      <c r="H9" s="1316"/>
      <c r="I9" s="1316"/>
      <c r="J9" s="1316"/>
      <c r="K9" s="1316"/>
      <c r="L9" s="1316"/>
    </row>
    <row r="10" spans="2:12" ht="39.950000000000003" customHeight="1" x14ac:dyDescent="0.2">
      <c r="B10" s="1332" t="s">
        <v>879</v>
      </c>
      <c r="C10" s="1333">
        <v>372720</v>
      </c>
      <c r="E10" s="130"/>
      <c r="G10" s="1316"/>
      <c r="H10" s="1316"/>
      <c r="I10" s="1316"/>
    </row>
    <row r="11" spans="2:12" ht="39.950000000000003" customHeight="1" thickBot="1" x14ac:dyDescent="0.25">
      <c r="B11" s="1334" t="s">
        <v>880</v>
      </c>
      <c r="C11" s="1335">
        <v>12960876</v>
      </c>
      <c r="D11" s="1316">
        <f>SUM(C10:C11)</f>
        <v>13333596</v>
      </c>
      <c r="E11" s="130"/>
    </row>
    <row r="12" spans="2:12" ht="35.1" customHeight="1" x14ac:dyDescent="0.2">
      <c r="D12" s="1316">
        <f>+D11-C8</f>
        <v>-0.3359999991953373</v>
      </c>
    </row>
    <row r="13" spans="2:12" s="1311" customFormat="1" ht="35.1" customHeight="1" x14ac:dyDescent="0.2"/>
    <row r="14" spans="2:12" s="1311" customFormat="1" ht="35.1" customHeight="1" x14ac:dyDescent="0.2"/>
    <row r="15" spans="2:12" s="1311" customFormat="1" ht="35.1" customHeight="1" x14ac:dyDescent="0.2"/>
    <row r="16" spans="2:12" s="1311" customFormat="1" ht="35.1" customHeight="1" x14ac:dyDescent="0.2"/>
    <row r="17" spans="2:4" s="1311" customFormat="1" ht="35.1" customHeight="1" x14ac:dyDescent="0.2"/>
    <row r="18" spans="2:4" s="1311" customFormat="1" ht="35.1" customHeight="1" x14ac:dyDescent="0.25">
      <c r="D18" s="139"/>
    </row>
    <row r="19" spans="2:4" s="1311" customFormat="1" ht="35.1" customHeight="1" x14ac:dyDescent="0.2"/>
    <row r="20" spans="2:4" s="1311" customFormat="1" ht="35.1" customHeight="1" x14ac:dyDescent="0.2"/>
    <row r="21" spans="2:4" s="1311" customFormat="1" ht="35.1" customHeight="1" x14ac:dyDescent="0.2">
      <c r="B21" s="1336"/>
    </row>
    <row r="22" spans="2:4" s="1311" customFormat="1" ht="35.1" customHeight="1" x14ac:dyDescent="0.2">
      <c r="B22" s="1336"/>
      <c r="C22" s="1336"/>
    </row>
    <row r="23" spans="2:4" s="1311" customFormat="1" ht="35.1" customHeight="1" x14ac:dyDescent="0.2">
      <c r="B23" s="1336"/>
    </row>
    <row r="24" spans="2:4" s="1311" customFormat="1" ht="35.1" customHeight="1" x14ac:dyDescent="0.2"/>
    <row r="25" spans="2:4" s="1311" customFormat="1" ht="35.1" customHeight="1" x14ac:dyDescent="0.2"/>
    <row r="26" spans="2:4" s="1311" customFormat="1" ht="35.1" customHeight="1" x14ac:dyDescent="0.2"/>
    <row r="27" spans="2:4" s="1311" customFormat="1" ht="35.1" customHeight="1" x14ac:dyDescent="0.2"/>
    <row r="28" spans="2:4" ht="35.1" customHeight="1" x14ac:dyDescent="0.2"/>
    <row r="29" spans="2:4" ht="35.1" customHeight="1" x14ac:dyDescent="0.2"/>
    <row r="30" spans="2:4" ht="35.1" customHeight="1" x14ac:dyDescent="0.2"/>
    <row r="31" spans="2:4" ht="35.1" customHeight="1" x14ac:dyDescent="0.2"/>
    <row r="32" spans="2:4" ht="35.1" customHeight="1" x14ac:dyDescent="0.2"/>
    <row r="33" ht="35.1" customHeight="1" x14ac:dyDescent="0.2"/>
    <row r="34" ht="35.1" customHeight="1" x14ac:dyDescent="0.2"/>
    <row r="35" ht="35.1" customHeight="1" x14ac:dyDescent="0.2"/>
    <row r="36" ht="35.1" customHeight="1" x14ac:dyDescent="0.2"/>
    <row r="37" ht="35.1" customHeight="1" x14ac:dyDescent="0.2"/>
    <row r="38" ht="35.1" customHeight="1" x14ac:dyDescent="0.2"/>
    <row r="39" ht="35.1" customHeight="1" x14ac:dyDescent="0.2"/>
    <row r="40" ht="35.1" customHeight="1" x14ac:dyDescent="0.2"/>
    <row r="41" ht="35.1" customHeight="1" x14ac:dyDescent="0.2"/>
    <row r="42" ht="35.1" customHeight="1" x14ac:dyDescent="0.2"/>
    <row r="43" ht="35.1" customHeight="1" x14ac:dyDescent="0.2"/>
    <row r="44" ht="35.1" customHeight="1" x14ac:dyDescent="0.2"/>
    <row r="45" ht="35.1" customHeight="1" x14ac:dyDescent="0.2"/>
    <row r="46" ht="63" customHeight="1" x14ac:dyDescent="0.2"/>
    <row r="47" ht="35.1" customHeight="1" x14ac:dyDescent="0.2"/>
    <row r="49" ht="35.1" customHeight="1" x14ac:dyDescent="0.2"/>
    <row r="50" ht="35.1" customHeight="1" x14ac:dyDescent="0.2"/>
    <row r="51" ht="35.1" customHeight="1" x14ac:dyDescent="0.2"/>
    <row r="52" ht="35.1" customHeight="1" x14ac:dyDescent="0.2"/>
    <row r="53" ht="35.1" customHeight="1" x14ac:dyDescent="0.2"/>
    <row r="54" ht="35.1" customHeight="1" x14ac:dyDescent="0.2"/>
    <row r="55" ht="35.1" customHeight="1" x14ac:dyDescent="0.2"/>
    <row r="56" ht="35.1" customHeight="1" x14ac:dyDescent="0.2"/>
    <row r="57" ht="35.1" customHeight="1" x14ac:dyDescent="0.2"/>
    <row r="58" ht="35.1" customHeight="1" x14ac:dyDescent="0.2"/>
    <row r="59" ht="35.1" customHeight="1" x14ac:dyDescent="0.2"/>
    <row r="60" ht="35.1" customHeight="1" x14ac:dyDescent="0.2"/>
    <row r="61" ht="35.1" customHeight="1" x14ac:dyDescent="0.2"/>
    <row r="62" ht="35.1" customHeight="1" x14ac:dyDescent="0.2"/>
    <row r="63" ht="35.1" customHeight="1" x14ac:dyDescent="0.2"/>
    <row r="64" ht="35.1" customHeight="1" x14ac:dyDescent="0.2"/>
    <row r="65" ht="35.1" customHeight="1" x14ac:dyDescent="0.2"/>
    <row r="66" ht="35.1" customHeight="1" x14ac:dyDescent="0.2"/>
    <row r="67" ht="35.1" customHeight="1" x14ac:dyDescent="0.2"/>
    <row r="68" ht="35.1" customHeight="1" x14ac:dyDescent="0.2"/>
    <row r="69" ht="35.1" customHeight="1" x14ac:dyDescent="0.2"/>
    <row r="70" ht="35.1" customHeight="1" x14ac:dyDescent="0.2"/>
    <row r="71" ht="35.1" customHeight="1" x14ac:dyDescent="0.2"/>
    <row r="72" ht="35.1" customHeight="1" x14ac:dyDescent="0.2"/>
    <row r="73" ht="35.1" customHeight="1" x14ac:dyDescent="0.2"/>
    <row r="74" ht="35.1" customHeight="1" x14ac:dyDescent="0.2"/>
    <row r="75" ht="35.1" customHeight="1" x14ac:dyDescent="0.2"/>
    <row r="76" ht="35.1" customHeight="1" x14ac:dyDescent="0.2"/>
    <row r="77" ht="35.1" customHeight="1" x14ac:dyDescent="0.2"/>
    <row r="78" ht="35.1" customHeight="1" x14ac:dyDescent="0.2"/>
    <row r="79" ht="35.1" customHeight="1" x14ac:dyDescent="0.2"/>
    <row r="80" ht="35.1" customHeight="1" x14ac:dyDescent="0.2"/>
    <row r="81" ht="70.5" customHeight="1" x14ac:dyDescent="0.2"/>
    <row r="82" ht="70.5" customHeight="1" x14ac:dyDescent="0.2"/>
    <row r="83" ht="35.1" customHeight="1" x14ac:dyDescent="0.2"/>
    <row r="84" ht="35.1" customHeight="1" x14ac:dyDescent="0.2"/>
    <row r="85" ht="35.1" customHeight="1" x14ac:dyDescent="0.2"/>
    <row r="86" ht="35.1" customHeight="1" x14ac:dyDescent="0.2"/>
    <row r="87" ht="35.1" customHeight="1" x14ac:dyDescent="0.2"/>
    <row r="88" ht="35.1" customHeight="1" x14ac:dyDescent="0.2"/>
    <row r="89" ht="35.1" customHeight="1" x14ac:dyDescent="0.2"/>
    <row r="90" ht="35.1" customHeight="1" x14ac:dyDescent="0.2"/>
    <row r="91" ht="35.1" customHeight="1" x14ac:dyDescent="0.2"/>
    <row r="92" ht="35.1" customHeight="1" x14ac:dyDescent="0.2"/>
    <row r="93" ht="35.1" customHeight="1" x14ac:dyDescent="0.2"/>
    <row r="94" ht="70.5" customHeight="1" x14ac:dyDescent="0.2"/>
    <row r="95" ht="70.5" customHeight="1" x14ac:dyDescent="0.2"/>
    <row r="96" ht="69" customHeight="1" x14ac:dyDescent="0.2"/>
    <row r="97" ht="35.1" customHeight="1" x14ac:dyDescent="0.2"/>
    <row r="98" ht="75" customHeight="1" x14ac:dyDescent="0.2"/>
    <row r="99" ht="35.1" customHeight="1" x14ac:dyDescent="0.2"/>
    <row r="100" ht="35.1" customHeight="1" x14ac:dyDescent="0.2"/>
    <row r="101" ht="35.1" customHeight="1" x14ac:dyDescent="0.2"/>
    <row r="102" ht="35.1" customHeight="1" x14ac:dyDescent="0.2"/>
    <row r="103" ht="35.1" customHeight="1" x14ac:dyDescent="0.2"/>
    <row r="104" ht="19.5" customHeight="1" x14ac:dyDescent="0.2"/>
  </sheetData>
  <mergeCells count="1">
    <mergeCell ref="B1:C1"/>
  </mergeCells>
  <printOptions horizontalCentered="1" verticalCentered="1"/>
  <pageMargins left="0.7" right="0.7" top="0.75" bottom="0.75" header="0.3" footer="0.3"/>
  <pageSetup paperSize="9" scale="90" orientation="portrait" r:id="rId1"/>
  <headerFooter alignWithMargins="0">
    <oddHeader xml:space="preserve">&amp;R&amp;"Arial CE,Normál"&amp;11 &amp;10 &amp;"Arial CE,Félkövér"19. melléklet a …../2020. (…….) önkormányzati rendelethez </oddHeader>
  </headerFooter>
  <rowBreaks count="1" manualBreakCount="1">
    <brk id="25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59"/>
  <sheetViews>
    <sheetView zoomScale="75" zoomScaleNormal="75" workbookViewId="0">
      <selection activeCell="J20" sqref="J20"/>
    </sheetView>
  </sheetViews>
  <sheetFormatPr defaultColWidth="9.33203125" defaultRowHeight="15" customHeight="1" x14ac:dyDescent="0.25"/>
  <cols>
    <col min="1" max="1" width="3.1640625" style="68" customWidth="1"/>
    <col min="2" max="2" width="5" style="68" customWidth="1"/>
    <col min="3" max="3" width="84.1640625" style="68" customWidth="1"/>
    <col min="4" max="4" width="26.1640625" style="68" customWidth="1"/>
    <col min="5" max="5" width="26.6640625" style="68" customWidth="1"/>
    <col min="6" max="6" width="25.83203125" style="68" customWidth="1"/>
    <col min="7" max="7" width="27.33203125" style="68" bestFit="1" customWidth="1"/>
    <col min="8" max="8" width="8.5" style="68" customWidth="1"/>
    <col min="9" max="9" width="115.83203125" style="68" customWidth="1"/>
    <col min="10" max="10" width="26.5" style="68" customWidth="1"/>
    <col min="11" max="11" width="26" style="68" customWidth="1"/>
    <col min="12" max="12" width="24.5" style="68" customWidth="1"/>
    <col min="13" max="13" width="23.83203125" style="68" customWidth="1"/>
    <col min="14" max="14" width="21.33203125" style="68" bestFit="1" customWidth="1"/>
    <col min="15" max="15" width="17.5" style="68" customWidth="1"/>
    <col min="16" max="16" width="9.33203125" style="68"/>
    <col min="17" max="17" width="34.33203125" style="68" customWidth="1"/>
    <col min="18" max="16384" width="9.33203125" style="68"/>
  </cols>
  <sheetData>
    <row r="1" spans="1:13" ht="15" customHeight="1" x14ac:dyDescent="0.25">
      <c r="C1" s="69"/>
    </row>
    <row r="2" spans="1:13" ht="28.5" customHeight="1" x14ac:dyDescent="0.3">
      <c r="A2" s="2615" t="s">
        <v>252</v>
      </c>
      <c r="B2" s="2615"/>
      <c r="C2" s="2615"/>
      <c r="D2" s="2615"/>
      <c r="E2" s="2615"/>
      <c r="F2" s="2615"/>
      <c r="G2" s="2615"/>
      <c r="H2" s="2615"/>
      <c r="I2" s="2615"/>
      <c r="J2" s="2615"/>
      <c r="K2" s="2615"/>
      <c r="L2" s="2615"/>
      <c r="M2" s="2615"/>
    </row>
    <row r="3" spans="1:13" ht="21" customHeight="1" thickBot="1" x14ac:dyDescent="0.35">
      <c r="A3" s="70"/>
      <c r="B3" s="70"/>
      <c r="C3" s="70"/>
      <c r="D3" s="71"/>
      <c r="E3" s="71"/>
      <c r="F3" s="40"/>
      <c r="G3" s="40"/>
      <c r="H3" s="70"/>
      <c r="I3" s="70"/>
      <c r="J3" s="40"/>
      <c r="K3" s="40"/>
      <c r="M3" s="1125" t="s">
        <v>26</v>
      </c>
    </row>
    <row r="4" spans="1:13" ht="35.25" customHeight="1" x14ac:dyDescent="0.3">
      <c r="A4" s="1051" t="s">
        <v>276</v>
      </c>
      <c r="B4" s="1052"/>
      <c r="C4" s="1053"/>
      <c r="D4" s="2616" t="s">
        <v>517</v>
      </c>
      <c r="E4" s="2616"/>
      <c r="F4" s="2051" t="s">
        <v>685</v>
      </c>
      <c r="G4" s="1126" t="s">
        <v>139</v>
      </c>
      <c r="H4" s="1054" t="s">
        <v>277</v>
      </c>
      <c r="I4" s="1055"/>
      <c r="J4" s="2616" t="s">
        <v>517</v>
      </c>
      <c r="K4" s="2616"/>
      <c r="L4" s="2051" t="s">
        <v>685</v>
      </c>
      <c r="M4" s="1126" t="s">
        <v>139</v>
      </c>
    </row>
    <row r="5" spans="1:13" ht="34.5" customHeight="1" thickBot="1" x14ac:dyDescent="0.35">
      <c r="A5" s="1056"/>
      <c r="B5" s="1057"/>
      <c r="C5" s="1057"/>
      <c r="D5" s="924" t="s">
        <v>264</v>
      </c>
      <c r="E5" s="924" t="s">
        <v>137</v>
      </c>
      <c r="F5" s="925" t="s">
        <v>138</v>
      </c>
      <c r="G5" s="1127" t="s">
        <v>140</v>
      </c>
      <c r="H5" s="1057"/>
      <c r="I5" s="1058"/>
      <c r="J5" s="924" t="s">
        <v>264</v>
      </c>
      <c r="K5" s="924" t="s">
        <v>137</v>
      </c>
      <c r="L5" s="925" t="s">
        <v>138</v>
      </c>
      <c r="M5" s="1127" t="s">
        <v>140</v>
      </c>
    </row>
    <row r="6" spans="1:13" ht="30" customHeight="1" x14ac:dyDescent="0.3">
      <c r="A6" s="2546" t="s">
        <v>284</v>
      </c>
      <c r="B6" s="2547"/>
      <c r="C6" s="2547"/>
      <c r="D6" s="2548">
        <f>+'3 bev.részl'!G107</f>
        <v>1714265</v>
      </c>
      <c r="E6" s="2548">
        <f>+'3 bev.részl'!H107</f>
        <v>2583024</v>
      </c>
      <c r="F6" s="2548">
        <f>+'3 bev.részl'!I107</f>
        <v>2611844</v>
      </c>
      <c r="G6" s="107">
        <f>+F6/E6*100</f>
        <v>101.11574650487181</v>
      </c>
      <c r="H6" s="170" t="s">
        <v>17</v>
      </c>
      <c r="I6" s="2549"/>
      <c r="J6" s="2550">
        <f>+'8 okt.'!D35</f>
        <v>3469098</v>
      </c>
      <c r="K6" s="2550">
        <f>+'8 okt.'!E35</f>
        <v>3484762</v>
      </c>
      <c r="L6" s="2550">
        <f>+'8 okt.'!F35</f>
        <v>3252255</v>
      </c>
      <c r="M6" s="98">
        <f>+L6/K6*100</f>
        <v>93.327894415744893</v>
      </c>
    </row>
    <row r="7" spans="1:13" ht="30" customHeight="1" x14ac:dyDescent="0.3">
      <c r="A7" s="1061" t="s">
        <v>211</v>
      </c>
      <c r="B7" s="197"/>
      <c r="C7" s="197"/>
      <c r="D7" s="81">
        <f>+'3 bev.részl'!G54</f>
        <v>3920553</v>
      </c>
      <c r="E7" s="81">
        <f>+'3 bev.részl'!H54</f>
        <v>4563772</v>
      </c>
      <c r="F7" s="81">
        <f>+'3 bev.részl'!I54</f>
        <v>4505457</v>
      </c>
      <c r="G7" s="108">
        <f>+F7/E7*100</f>
        <v>98.722219251969648</v>
      </c>
      <c r="H7" s="272" t="s">
        <v>222</v>
      </c>
      <c r="I7" s="1062"/>
      <c r="J7" s="88">
        <f>+'9 kult.'!C101</f>
        <v>2557555</v>
      </c>
      <c r="K7" s="88">
        <f>+'9 kult.'!D101</f>
        <v>3316424</v>
      </c>
      <c r="L7" s="88">
        <f>+'9 kult.'!E101</f>
        <v>2910483</v>
      </c>
      <c r="M7" s="99">
        <f>+L7/K7*100</f>
        <v>87.759677290961591</v>
      </c>
    </row>
    <row r="8" spans="1:13" ht="30" customHeight="1" x14ac:dyDescent="0.3">
      <c r="A8" s="1063" t="s">
        <v>223</v>
      </c>
      <c r="B8" s="197"/>
      <c r="C8" s="197"/>
      <c r="D8" s="82">
        <f>+'3 bev.részl'!G118</f>
        <v>500000</v>
      </c>
      <c r="E8" s="82">
        <f>+'3 bev.részl'!H118</f>
        <v>579662</v>
      </c>
      <c r="F8" s="82">
        <f>+'3 bev.részl'!I118</f>
        <v>14662</v>
      </c>
      <c r="G8" s="108">
        <f>+F8/E8*100</f>
        <v>2.5294050670908219</v>
      </c>
      <c r="H8" s="272" t="s">
        <v>96</v>
      </c>
      <c r="I8" s="1064"/>
      <c r="J8" s="88">
        <f>+'10 szoc.'!C40</f>
        <v>1258875</v>
      </c>
      <c r="K8" s="88">
        <f>+'10 szoc.'!D40</f>
        <v>1421929</v>
      </c>
      <c r="L8" s="88">
        <f>+'10 szoc.'!E40</f>
        <v>1301091</v>
      </c>
      <c r="M8" s="99">
        <f t="shared" ref="M8:M24" si="0">+L8/K8*100</f>
        <v>91.501826040540706</v>
      </c>
    </row>
    <row r="9" spans="1:13" ht="30" customHeight="1" x14ac:dyDescent="0.3">
      <c r="A9" s="1063" t="s">
        <v>124</v>
      </c>
      <c r="B9" s="197"/>
      <c r="C9" s="272"/>
      <c r="D9" s="81">
        <f>+'3 bev.részl'!G71</f>
        <v>10791200</v>
      </c>
      <c r="E9" s="81">
        <f>+'3 bev.részl'!H71</f>
        <v>11558926</v>
      </c>
      <c r="F9" s="81">
        <f>+'3 bev.részl'!I71</f>
        <v>11558481</v>
      </c>
      <c r="G9" s="108">
        <f>+F9/E9*100</f>
        <v>99.996150161355828</v>
      </c>
      <c r="H9" s="272" t="s">
        <v>116</v>
      </c>
      <c r="I9" s="1064"/>
      <c r="J9" s="88">
        <f>+'11 eü.'!C25</f>
        <v>717234</v>
      </c>
      <c r="K9" s="88">
        <f>+'11 eü.'!D25</f>
        <v>824558</v>
      </c>
      <c r="L9" s="88">
        <f>+'11 eü.'!E25</f>
        <v>778238</v>
      </c>
      <c r="M9" s="99">
        <f t="shared" si="0"/>
        <v>94.382444897751284</v>
      </c>
    </row>
    <row r="10" spans="1:13" ht="30" customHeight="1" x14ac:dyDescent="0.3">
      <c r="A10" s="1063" t="s">
        <v>778</v>
      </c>
      <c r="B10" s="272"/>
      <c r="C10" s="197"/>
      <c r="D10" s="82">
        <f>+'3 bev.részl'!G133</f>
        <v>1694997</v>
      </c>
      <c r="E10" s="82">
        <f>+'3 bev.részl'!H133</f>
        <v>2141364</v>
      </c>
      <c r="F10" s="82">
        <f>+'3 bev.részl'!I133</f>
        <v>2140327</v>
      </c>
      <c r="G10" s="108">
        <f>+F10/E10*100</f>
        <v>99.95157292267919</v>
      </c>
      <c r="H10" s="272" t="s">
        <v>776</v>
      </c>
      <c r="I10" s="1064"/>
      <c r="J10" s="88">
        <f>+'12 Gyerm.'!C16</f>
        <v>790412</v>
      </c>
      <c r="K10" s="88">
        <f>+'12 Gyerm.'!D16</f>
        <v>822333</v>
      </c>
      <c r="L10" s="88">
        <f>+'12 Gyerm.'!E16</f>
        <v>798447</v>
      </c>
      <c r="M10" s="99">
        <f t="shared" si="0"/>
        <v>97.095337290367766</v>
      </c>
    </row>
    <row r="11" spans="1:13" ht="30" customHeight="1" x14ac:dyDescent="0.3">
      <c r="A11" s="217"/>
      <c r="B11" s="163"/>
      <c r="C11" s="163"/>
      <c r="D11" s="80"/>
      <c r="E11" s="80"/>
      <c r="F11" s="80"/>
      <c r="G11" s="2545"/>
      <c r="H11" s="272" t="s">
        <v>777</v>
      </c>
      <c r="I11" s="1062"/>
      <c r="J11" s="88">
        <f>+'13 egyéb'!C109</f>
        <v>6601269</v>
      </c>
      <c r="K11" s="88">
        <f>+'13 egyéb'!D109</f>
        <v>7223949</v>
      </c>
      <c r="L11" s="88">
        <f>+'13 egyéb'!E109</f>
        <v>7236595</v>
      </c>
      <c r="M11" s="99">
        <f t="shared" si="0"/>
        <v>100.17505660685035</v>
      </c>
    </row>
    <row r="12" spans="1:13" ht="30" customHeight="1" x14ac:dyDescent="0.3">
      <c r="A12" s="217"/>
      <c r="B12" s="204"/>
      <c r="C12" s="163"/>
      <c r="D12" s="80"/>
      <c r="E12" s="80"/>
      <c r="F12" s="80"/>
      <c r="G12" s="1065"/>
      <c r="H12" s="272" t="s">
        <v>263</v>
      </c>
      <c r="I12" s="1066"/>
      <c r="J12" s="88">
        <f>+'14 sport'!C46</f>
        <v>762900</v>
      </c>
      <c r="K12" s="88">
        <f>+'14 sport'!D46</f>
        <v>1302228</v>
      </c>
      <c r="L12" s="88">
        <f>+'14 sport'!E46</f>
        <v>1190420</v>
      </c>
      <c r="M12" s="99">
        <f t="shared" si="0"/>
        <v>91.414099527886052</v>
      </c>
    </row>
    <row r="13" spans="1:13" ht="30" customHeight="1" x14ac:dyDescent="0.3">
      <c r="A13" s="217"/>
      <c r="B13" s="555"/>
      <c r="C13" s="204"/>
      <c r="D13" s="80"/>
      <c r="E13" s="80"/>
      <c r="F13" s="80"/>
      <c r="G13" s="1065"/>
      <c r="H13" s="272" t="s">
        <v>224</v>
      </c>
      <c r="I13" s="1067"/>
      <c r="J13" s="88">
        <f>+'15 város.ü.,körny'!G27</f>
        <v>1172024</v>
      </c>
      <c r="K13" s="88">
        <f>+'15 város.ü.,körny'!H27</f>
        <v>1277723</v>
      </c>
      <c r="L13" s="88">
        <f>+'15 város.ü.,körny'!I27</f>
        <v>1067436</v>
      </c>
      <c r="M13" s="99">
        <f t="shared" si="0"/>
        <v>83.542050976620132</v>
      </c>
    </row>
    <row r="14" spans="1:13" ht="30" customHeight="1" x14ac:dyDescent="0.3">
      <c r="A14" s="217"/>
      <c r="B14" s="555"/>
      <c r="C14" s="204"/>
      <c r="D14" s="80"/>
      <c r="E14" s="80"/>
      <c r="F14" s="80"/>
      <c r="G14" s="1065"/>
      <c r="H14" s="272" t="s">
        <v>253</v>
      </c>
      <c r="I14" s="1067"/>
      <c r="J14" s="88">
        <f>+'16 út-híd'!C32</f>
        <v>278200</v>
      </c>
      <c r="K14" s="88">
        <f>+'16 út-híd'!D32</f>
        <v>408997</v>
      </c>
      <c r="L14" s="88">
        <f>+'16 út-híd'!E32</f>
        <v>318354</v>
      </c>
      <c r="M14" s="99">
        <f t="shared" si="0"/>
        <v>77.837734751110645</v>
      </c>
    </row>
    <row r="15" spans="1:13" ht="30" customHeight="1" x14ac:dyDescent="0.3">
      <c r="A15" s="217"/>
      <c r="B15" s="555"/>
      <c r="C15" s="204"/>
      <c r="D15" s="80"/>
      <c r="E15" s="80"/>
      <c r="F15" s="80"/>
      <c r="G15" s="1065"/>
      <c r="H15" s="1068" t="s">
        <v>75</v>
      </c>
      <c r="I15" s="163"/>
      <c r="J15" s="87"/>
      <c r="K15" s="87"/>
      <c r="L15" s="87"/>
      <c r="M15" s="99"/>
    </row>
    <row r="16" spans="1:13" ht="30" customHeight="1" x14ac:dyDescent="0.3">
      <c r="A16" s="1069"/>
      <c r="B16" s="1059"/>
      <c r="C16" s="1059"/>
      <c r="D16" s="80"/>
      <c r="E16" s="80"/>
      <c r="F16" s="80"/>
      <c r="G16" s="1065"/>
      <c r="H16" s="163"/>
      <c r="I16" s="272" t="s">
        <v>285</v>
      </c>
      <c r="J16" s="81">
        <v>140709</v>
      </c>
      <c r="K16" s="81">
        <v>0</v>
      </c>
      <c r="L16" s="81"/>
      <c r="M16" s="99"/>
    </row>
    <row r="17" spans="1:13" ht="30" customHeight="1" x14ac:dyDescent="0.3">
      <c r="A17" s="1069"/>
      <c r="B17" s="1059"/>
      <c r="C17" s="1059"/>
      <c r="D17" s="80"/>
      <c r="E17" s="80"/>
      <c r="F17" s="80"/>
      <c r="G17" s="1065"/>
      <c r="H17" s="163"/>
      <c r="I17" s="249" t="s">
        <v>300</v>
      </c>
      <c r="J17" s="81">
        <v>1786</v>
      </c>
      <c r="K17" s="81">
        <v>0</v>
      </c>
      <c r="L17" s="81"/>
      <c r="M17" s="99"/>
    </row>
    <row r="18" spans="1:13" ht="52.5" customHeight="1" x14ac:dyDescent="0.3">
      <c r="A18" s="1070"/>
      <c r="B18" s="204"/>
      <c r="C18" s="555"/>
      <c r="D18" s="2936"/>
      <c r="E18" s="80"/>
      <c r="F18" s="80"/>
      <c r="G18" s="1065"/>
      <c r="H18" s="555"/>
      <c r="I18" s="1071" t="s">
        <v>555</v>
      </c>
      <c r="J18" s="149">
        <v>17147</v>
      </c>
      <c r="K18" s="149">
        <v>0</v>
      </c>
      <c r="L18" s="149"/>
      <c r="M18" s="99"/>
    </row>
    <row r="19" spans="1:13" ht="52.5" customHeight="1" x14ac:dyDescent="0.3">
      <c r="A19" s="1070"/>
      <c r="B19" s="204"/>
      <c r="C19" s="555"/>
      <c r="D19" s="80"/>
      <c r="E19" s="80"/>
      <c r="F19" s="80"/>
      <c r="G19" s="1065"/>
      <c r="H19" s="555"/>
      <c r="I19" s="1071" t="s">
        <v>556</v>
      </c>
      <c r="J19" s="149">
        <v>1600</v>
      </c>
      <c r="K19" s="149">
        <v>0</v>
      </c>
      <c r="L19" s="149"/>
      <c r="M19" s="99"/>
    </row>
    <row r="20" spans="1:13" ht="52.5" customHeight="1" x14ac:dyDescent="0.3">
      <c r="A20" s="1070"/>
      <c r="B20" s="204"/>
      <c r="C20" s="555"/>
      <c r="D20" s="80"/>
      <c r="E20" s="80"/>
      <c r="F20" s="80"/>
      <c r="G20" s="1065"/>
      <c r="H20" s="555"/>
      <c r="I20" s="1071" t="s">
        <v>557</v>
      </c>
      <c r="J20" s="149">
        <v>2400</v>
      </c>
      <c r="K20" s="149">
        <v>0</v>
      </c>
      <c r="L20" s="149"/>
      <c r="M20" s="99"/>
    </row>
    <row r="21" spans="1:13" ht="30" customHeight="1" x14ac:dyDescent="0.3">
      <c r="A21" s="1070"/>
      <c r="B21" s="204"/>
      <c r="C21" s="555"/>
      <c r="D21" s="80"/>
      <c r="E21" s="80"/>
      <c r="F21" s="80"/>
      <c r="G21" s="1065"/>
      <c r="H21" s="555"/>
      <c r="I21" s="1071" t="s">
        <v>558</v>
      </c>
      <c r="J21" s="149">
        <v>13572</v>
      </c>
      <c r="K21" s="149">
        <v>0</v>
      </c>
      <c r="L21" s="149"/>
      <c r="M21" s="99"/>
    </row>
    <row r="22" spans="1:13" ht="30" customHeight="1" x14ac:dyDescent="0.3">
      <c r="A22" s="1070"/>
      <c r="B22" s="163"/>
      <c r="C22" s="555"/>
      <c r="D22" s="80"/>
      <c r="E22" s="80"/>
      <c r="F22" s="80"/>
      <c r="G22" s="1065"/>
      <c r="H22" s="555"/>
      <c r="I22" s="1071" t="s">
        <v>559</v>
      </c>
      <c r="J22" s="81">
        <v>32172</v>
      </c>
      <c r="K22" s="81">
        <v>0</v>
      </c>
      <c r="L22" s="81"/>
      <c r="M22" s="99"/>
    </row>
    <row r="23" spans="1:13" ht="30" customHeight="1" thickBot="1" x14ac:dyDescent="0.35">
      <c r="A23" s="1070"/>
      <c r="B23" s="163"/>
      <c r="C23" s="555"/>
      <c r="D23" s="80"/>
      <c r="E23" s="80"/>
      <c r="F23" s="80"/>
      <c r="G23" s="1065"/>
      <c r="H23" s="555"/>
      <c r="I23" s="163" t="s">
        <v>775</v>
      </c>
      <c r="J23" s="80"/>
      <c r="K23" s="80">
        <v>795620</v>
      </c>
      <c r="L23" s="80"/>
      <c r="M23" s="2266"/>
    </row>
    <row r="24" spans="1:13" ht="35.25" customHeight="1" thickBot="1" x14ac:dyDescent="0.35">
      <c r="A24" s="1072"/>
      <c r="B24" s="1073"/>
      <c r="C24" s="1074"/>
      <c r="D24" s="1075"/>
      <c r="E24" s="1075"/>
      <c r="F24" s="1075"/>
      <c r="G24" s="1076"/>
      <c r="H24" s="2268" t="s">
        <v>225</v>
      </c>
      <c r="I24" s="1077"/>
      <c r="J24" s="86">
        <f>SUM(J16:J23)</f>
        <v>209386</v>
      </c>
      <c r="K24" s="86">
        <f>SUM(K16:K23)</f>
        <v>795620</v>
      </c>
      <c r="L24" s="86">
        <f>SUM(L16:L23)</f>
        <v>0</v>
      </c>
      <c r="M24" s="2267">
        <f t="shared" si="0"/>
        <v>0</v>
      </c>
    </row>
    <row r="25" spans="1:13" ht="39.75" customHeight="1" thickBot="1" x14ac:dyDescent="0.35">
      <c r="A25" s="2617" t="s">
        <v>226</v>
      </c>
      <c r="B25" s="2618"/>
      <c r="C25" s="2619"/>
      <c r="D25" s="83">
        <f>SUM(D6:D24)</f>
        <v>18621015</v>
      </c>
      <c r="E25" s="83">
        <f>SUM(E6:E24)</f>
        <v>21426748</v>
      </c>
      <c r="F25" s="83">
        <f>SUM(F6:F24)</f>
        <v>20830771</v>
      </c>
      <c r="G25" s="94">
        <f>+F25/E25*100</f>
        <v>97.218537316068691</v>
      </c>
      <c r="H25" s="2620" t="s">
        <v>261</v>
      </c>
      <c r="I25" s="2621"/>
      <c r="J25" s="89">
        <f>+J24+J14+J13+J12+J11+J10+J9+J8+J7+J6</f>
        <v>17816953</v>
      </c>
      <c r="K25" s="89">
        <f>+K24+K14+K13+K12+K11+K10+K9+K8+K7+K6</f>
        <v>20878523</v>
      </c>
      <c r="L25" s="89">
        <f>+L24+L14+L13+L12+L11+L10+L9+L8+L7+L6</f>
        <v>18853319</v>
      </c>
      <c r="M25" s="100">
        <f>+L25/K25*100</f>
        <v>90.300060976535562</v>
      </c>
    </row>
    <row r="26" spans="1:13" ht="18.75" customHeight="1" thickBot="1" x14ac:dyDescent="0.35">
      <c r="A26" s="1078"/>
      <c r="B26" s="1078"/>
      <c r="C26" s="1078"/>
      <c r="D26" s="1078"/>
      <c r="E26" s="1078"/>
      <c r="F26" s="1078"/>
      <c r="G26" s="1078"/>
      <c r="H26" s="1078"/>
      <c r="I26" s="1078"/>
      <c r="J26" s="555"/>
      <c r="K26" s="555"/>
      <c r="L26" s="555"/>
      <c r="M26" s="1079" t="s">
        <v>26</v>
      </c>
    </row>
    <row r="27" spans="1:13" ht="35.25" customHeight="1" x14ac:dyDescent="0.3">
      <c r="A27" s="169"/>
      <c r="B27" s="1054"/>
      <c r="C27" s="1054" t="s">
        <v>356</v>
      </c>
      <c r="D27" s="2616" t="s">
        <v>517</v>
      </c>
      <c r="E27" s="2616"/>
      <c r="F27" s="2455" t="s">
        <v>685</v>
      </c>
      <c r="G27" s="1126" t="s">
        <v>139</v>
      </c>
      <c r="H27" s="183"/>
      <c r="I27" s="1054" t="s">
        <v>227</v>
      </c>
      <c r="J27" s="2616" t="s">
        <v>517</v>
      </c>
      <c r="K27" s="2616"/>
      <c r="L27" s="2455" t="s">
        <v>685</v>
      </c>
      <c r="M27" s="1080" t="s">
        <v>139</v>
      </c>
    </row>
    <row r="28" spans="1:13" ht="35.25" customHeight="1" x14ac:dyDescent="0.3">
      <c r="A28" s="1081"/>
      <c r="B28" s="1082"/>
      <c r="C28" s="1082"/>
      <c r="D28" s="1083" t="s">
        <v>264</v>
      </c>
      <c r="E28" s="1083" t="s">
        <v>137</v>
      </c>
      <c r="F28" s="1084" t="s">
        <v>138</v>
      </c>
      <c r="G28" s="2271" t="s">
        <v>140</v>
      </c>
      <c r="H28" s="261"/>
      <c r="I28" s="1082"/>
      <c r="J28" s="1083" t="s">
        <v>264</v>
      </c>
      <c r="K28" s="1083" t="s">
        <v>137</v>
      </c>
      <c r="L28" s="1084" t="s">
        <v>138</v>
      </c>
      <c r="M28" s="1085" t="s">
        <v>140</v>
      </c>
    </row>
    <row r="29" spans="1:13" ht="18.75" customHeight="1" thickBot="1" x14ac:dyDescent="0.35">
      <c r="A29" s="1086"/>
      <c r="B29" s="1087"/>
      <c r="C29" s="1087"/>
      <c r="D29" s="1088"/>
      <c r="E29" s="1088"/>
      <c r="F29" s="1088"/>
      <c r="G29" s="1089"/>
      <c r="H29" s="1090"/>
      <c r="I29" s="1091"/>
      <c r="J29" s="1088"/>
      <c r="K29" s="1088"/>
      <c r="L29" s="1088"/>
      <c r="M29" s="1092"/>
    </row>
    <row r="30" spans="1:13" ht="30" customHeight="1" x14ac:dyDescent="0.3">
      <c r="A30" s="1093" t="s">
        <v>234</v>
      </c>
      <c r="B30" s="1094"/>
      <c r="C30" s="1095"/>
      <c r="D30" s="84">
        <f>+'17 fbev.'!D43</f>
        <v>200000</v>
      </c>
      <c r="E30" s="84">
        <f>+'17 fbev.'!E43</f>
        <v>2204849</v>
      </c>
      <c r="F30" s="84">
        <f>+'17 fbev.'!F43</f>
        <v>2204849</v>
      </c>
      <c r="G30" s="95">
        <f>+F30/E30*100</f>
        <v>100</v>
      </c>
      <c r="H30" s="1068" t="s">
        <v>228</v>
      </c>
      <c r="I30" s="1060"/>
      <c r="J30" s="85"/>
      <c r="K30" s="85"/>
      <c r="L30" s="85"/>
      <c r="M30" s="101"/>
    </row>
    <row r="31" spans="1:13" ht="30" customHeight="1" x14ac:dyDescent="0.3">
      <c r="A31" s="1096" t="s">
        <v>229</v>
      </c>
      <c r="B31" s="1097"/>
      <c r="C31" s="1098"/>
      <c r="D31" s="82">
        <f>+'17 fbev.'!D39</f>
        <v>0</v>
      </c>
      <c r="E31" s="82">
        <f>+'17 fbev.'!E39</f>
        <v>5137458</v>
      </c>
      <c r="F31" s="82">
        <f>+'17 fbev.'!F39</f>
        <v>4504559</v>
      </c>
      <c r="G31" s="96">
        <f>+F31/E31*100</f>
        <v>87.6806973409807</v>
      </c>
      <c r="H31" s="272" t="s">
        <v>17</v>
      </c>
      <c r="I31" s="1099"/>
      <c r="J31" s="90">
        <f>+'8 okt.'!D43</f>
        <v>45000</v>
      </c>
      <c r="K31" s="90">
        <f>+'8 okt.'!E43</f>
        <v>282092</v>
      </c>
      <c r="L31" s="90">
        <f>+'8 okt.'!F43</f>
        <v>142486</v>
      </c>
      <c r="M31" s="99">
        <f t="shared" ref="M31:M36" si="1">+L31/K31*100</f>
        <v>50.510471760985773</v>
      </c>
    </row>
    <row r="32" spans="1:13" ht="30" customHeight="1" x14ac:dyDescent="0.3">
      <c r="A32" s="1096" t="s">
        <v>230</v>
      </c>
      <c r="B32" s="1098"/>
      <c r="C32" s="1098"/>
      <c r="D32" s="82">
        <f>+'17 fbev.'!D50</f>
        <v>20000</v>
      </c>
      <c r="E32" s="82">
        <f>+'17 fbev.'!E50</f>
        <v>24425</v>
      </c>
      <c r="F32" s="82">
        <f>+'17 fbev.'!F50</f>
        <v>26359</v>
      </c>
      <c r="G32" s="96">
        <f>+F32/E32*100</f>
        <v>107.91811668372569</v>
      </c>
      <c r="H32" s="272" t="s">
        <v>222</v>
      </c>
      <c r="I32" s="1099"/>
      <c r="J32" s="90">
        <f>+'9 kult.'!C127</f>
        <v>0</v>
      </c>
      <c r="K32" s="90">
        <f>+'9 kult.'!D127</f>
        <v>152422</v>
      </c>
      <c r="L32" s="90">
        <f>+'9 kult.'!E127</f>
        <v>82587</v>
      </c>
      <c r="M32" s="99">
        <f t="shared" si="1"/>
        <v>54.18312317119576</v>
      </c>
    </row>
    <row r="33" spans="1:13" ht="30" customHeight="1" x14ac:dyDescent="0.3">
      <c r="A33" s="1100" t="s">
        <v>779</v>
      </c>
      <c r="B33" s="1101"/>
      <c r="C33" s="1101"/>
      <c r="D33" s="90">
        <f>'17 fbev.'!D65</f>
        <v>1990</v>
      </c>
      <c r="E33" s="90">
        <f>'17 fbev.'!E65</f>
        <v>83037</v>
      </c>
      <c r="F33" s="90">
        <f>'17 fbev.'!F65</f>
        <v>83132</v>
      </c>
      <c r="G33" s="96">
        <f>+F33/E33*100</f>
        <v>100.11440683068993</v>
      </c>
      <c r="H33" s="272" t="s">
        <v>96</v>
      </c>
      <c r="I33" s="1099"/>
      <c r="J33" s="90">
        <f>+'10 szoc.'!C48</f>
        <v>0</v>
      </c>
      <c r="K33" s="90">
        <f>+'10 szoc.'!D48</f>
        <v>74941</v>
      </c>
      <c r="L33" s="90">
        <f>+'10 szoc.'!E48</f>
        <v>28524</v>
      </c>
      <c r="M33" s="99">
        <f t="shared" si="1"/>
        <v>38.061942061088054</v>
      </c>
    </row>
    <row r="34" spans="1:13" ht="30" customHeight="1" x14ac:dyDescent="0.3">
      <c r="A34" s="1102"/>
      <c r="B34" s="1095"/>
      <c r="C34" s="1095"/>
      <c r="D34" s="85"/>
      <c r="E34" s="85"/>
      <c r="F34" s="85"/>
      <c r="G34" s="1103"/>
      <c r="H34" s="272" t="s">
        <v>116</v>
      </c>
      <c r="I34" s="1099"/>
      <c r="J34" s="90">
        <f>+'11 eü.'!C33</f>
        <v>14726</v>
      </c>
      <c r="K34" s="90">
        <f>+'11 eü.'!D33</f>
        <v>53953</v>
      </c>
      <c r="L34" s="90">
        <f>+'11 eü.'!E33</f>
        <v>24847</v>
      </c>
      <c r="M34" s="99">
        <f t="shared" si="1"/>
        <v>46.053046169814465</v>
      </c>
    </row>
    <row r="35" spans="1:13" ht="30" customHeight="1" x14ac:dyDescent="0.3">
      <c r="A35" s="1102"/>
      <c r="B35" s="1095"/>
      <c r="C35" s="1095"/>
      <c r="D35" s="85"/>
      <c r="E35" s="85"/>
      <c r="F35" s="85"/>
      <c r="G35" s="1103"/>
      <c r="H35" s="272" t="s">
        <v>780</v>
      </c>
      <c r="I35" s="1099"/>
      <c r="J35" s="90">
        <f>+'12 Gyerm.'!C24</f>
        <v>22470</v>
      </c>
      <c r="K35" s="90">
        <f>+'12 Gyerm.'!D24</f>
        <v>42736</v>
      </c>
      <c r="L35" s="90">
        <f>+'12 Gyerm.'!E24</f>
        <v>29278</v>
      </c>
      <c r="M35" s="99">
        <f t="shared" si="1"/>
        <v>68.508985398727077</v>
      </c>
    </row>
    <row r="36" spans="1:13" ht="30" customHeight="1" thickBot="1" x14ac:dyDescent="0.35">
      <c r="A36" s="1104"/>
      <c r="B36" s="1105"/>
      <c r="C36" s="1105"/>
      <c r="D36" s="85"/>
      <c r="E36" s="85"/>
      <c r="F36" s="85"/>
      <c r="G36" s="1103"/>
      <c r="H36" s="272" t="s">
        <v>777</v>
      </c>
      <c r="I36" s="1099"/>
      <c r="J36" s="90">
        <f>+'13 egyéb'!C117</f>
        <v>33640</v>
      </c>
      <c r="K36" s="90">
        <f>+'13 egyéb'!D117</f>
        <v>89288</v>
      </c>
      <c r="L36" s="90">
        <f>+'13 egyéb'!E117</f>
        <v>61421</v>
      </c>
      <c r="M36" s="99">
        <f t="shared" si="1"/>
        <v>68.789758982170056</v>
      </c>
    </row>
    <row r="37" spans="1:13" ht="33.75" customHeight="1" thickBot="1" x14ac:dyDescent="0.35">
      <c r="A37" s="1104"/>
      <c r="B37" s="1105"/>
      <c r="C37" s="1105"/>
      <c r="D37" s="85"/>
      <c r="E37" s="85"/>
      <c r="F37" s="85"/>
      <c r="G37" s="1103"/>
      <c r="H37" s="2269" t="s">
        <v>231</v>
      </c>
      <c r="I37" s="1106"/>
      <c r="J37" s="91">
        <f>SUM(J30:J36)</f>
        <v>115836</v>
      </c>
      <c r="K37" s="91">
        <f>SUM(K30:K36)</f>
        <v>695432</v>
      </c>
      <c r="L37" s="91">
        <f>SUM(L30:L36)</f>
        <v>369143</v>
      </c>
      <c r="M37" s="97">
        <f>+L37/K37*100</f>
        <v>53.081106420181989</v>
      </c>
    </row>
    <row r="38" spans="1:13" ht="30" customHeight="1" x14ac:dyDescent="0.3">
      <c r="A38" s="217"/>
      <c r="B38" s="555"/>
      <c r="C38" s="555"/>
      <c r="D38" s="80"/>
      <c r="E38" s="80"/>
      <c r="F38" s="80"/>
      <c r="G38" s="1065"/>
      <c r="H38" s="163" t="s">
        <v>119</v>
      </c>
      <c r="I38" s="1107"/>
      <c r="J38" s="80">
        <f>+'18 fkia.'!E21</f>
        <v>249000</v>
      </c>
      <c r="K38" s="80">
        <f>+'18 fkia.'!F21</f>
        <v>250671</v>
      </c>
      <c r="L38" s="80">
        <f>+'18 fkia.'!G21</f>
        <v>239407</v>
      </c>
      <c r="M38" s="99">
        <f>+L38/K38*100</f>
        <v>95.506460659589663</v>
      </c>
    </row>
    <row r="39" spans="1:13" ht="30" customHeight="1" x14ac:dyDescent="0.3">
      <c r="A39" s="217"/>
      <c r="B39" s="555"/>
      <c r="C39" s="555"/>
      <c r="D39" s="80"/>
      <c r="E39" s="80"/>
      <c r="F39" s="80"/>
      <c r="G39" s="1065"/>
      <c r="H39" s="272" t="s">
        <v>45</v>
      </c>
      <c r="I39" s="1067"/>
      <c r="J39" s="81">
        <f>+'18 fkia.'!E27</f>
        <v>84572</v>
      </c>
      <c r="K39" s="81">
        <f>+'18 fkia.'!F27</f>
        <v>2946</v>
      </c>
      <c r="L39" s="81">
        <f>+'18 fkia.'!G27</f>
        <v>75</v>
      </c>
      <c r="M39" s="99">
        <f>+L39/K39*100</f>
        <v>2.5458248472505094</v>
      </c>
    </row>
    <row r="40" spans="1:13" ht="30" customHeight="1" x14ac:dyDescent="0.3">
      <c r="A40" s="217"/>
      <c r="B40" s="555"/>
      <c r="C40" s="555"/>
      <c r="D40" s="80"/>
      <c r="E40" s="80"/>
      <c r="F40" s="80"/>
      <c r="G40" s="1065"/>
      <c r="H40" s="272" t="s">
        <v>242</v>
      </c>
      <c r="I40" s="1066"/>
      <c r="J40" s="81">
        <f>+'18 fkia.'!E30</f>
        <v>70000</v>
      </c>
      <c r="K40" s="81">
        <f>+'18 fkia.'!F30</f>
        <v>102294</v>
      </c>
      <c r="L40" s="81">
        <f>+'18 fkia.'!G30</f>
        <v>58546</v>
      </c>
      <c r="M40" s="99">
        <f t="shared" ref="M40:M44" si="2">+L40/K40*100</f>
        <v>57.233073298531679</v>
      </c>
    </row>
    <row r="41" spans="1:13" ht="30" customHeight="1" x14ac:dyDescent="0.3">
      <c r="A41" s="1108"/>
      <c r="B41" s="1109"/>
      <c r="C41" s="555"/>
      <c r="D41" s="80"/>
      <c r="E41" s="80"/>
      <c r="F41" s="80"/>
      <c r="G41" s="1065"/>
      <c r="H41" s="272" t="s">
        <v>246</v>
      </c>
      <c r="I41" s="1066"/>
      <c r="J41" s="81">
        <f>+'18 fkia.'!E35</f>
        <v>40000</v>
      </c>
      <c r="K41" s="81">
        <f>+'18 fkia.'!F35</f>
        <v>83669</v>
      </c>
      <c r="L41" s="81">
        <f>+'18 fkia.'!G35</f>
        <v>34244</v>
      </c>
      <c r="M41" s="99">
        <f t="shared" si="2"/>
        <v>40.92794224862255</v>
      </c>
    </row>
    <row r="42" spans="1:13" ht="30" customHeight="1" x14ac:dyDescent="0.3">
      <c r="A42" s="1108"/>
      <c r="B42" s="1109"/>
      <c r="C42" s="1110"/>
      <c r="D42" s="80"/>
      <c r="E42" s="80"/>
      <c r="F42" s="80"/>
      <c r="G42" s="1065"/>
      <c r="H42" s="272" t="s">
        <v>251</v>
      </c>
      <c r="I42" s="1066"/>
      <c r="J42" s="81">
        <f>+'18 fkia.'!E196</f>
        <v>11728237</v>
      </c>
      <c r="K42" s="81">
        <f>+'18 fkia.'!F196</f>
        <v>15041343</v>
      </c>
      <c r="L42" s="81">
        <f>+'18 fkia.'!G196</f>
        <v>5483315</v>
      </c>
      <c r="M42" s="99">
        <f t="shared" si="2"/>
        <v>36.454956183101466</v>
      </c>
    </row>
    <row r="43" spans="1:13" ht="30" customHeight="1" x14ac:dyDescent="0.3">
      <c r="A43" s="538"/>
      <c r="B43" s="247"/>
      <c r="C43" s="1110"/>
      <c r="D43" s="80"/>
      <c r="E43" s="80"/>
      <c r="F43" s="80"/>
      <c r="G43" s="1065"/>
      <c r="H43" s="272" t="s">
        <v>262</v>
      </c>
      <c r="I43" s="272"/>
      <c r="J43" s="81">
        <f>+'18 fkia.'!E199</f>
        <v>0</v>
      </c>
      <c r="K43" s="81">
        <f>+'18 fkia.'!F199</f>
        <v>2000000</v>
      </c>
      <c r="L43" s="81">
        <f>+'18 fkia.'!G199</f>
        <v>0</v>
      </c>
      <c r="M43" s="99"/>
    </row>
    <row r="44" spans="1:13" ht="30" customHeight="1" x14ac:dyDescent="0.3">
      <c r="A44" s="538"/>
      <c r="B44" s="247"/>
      <c r="C44" s="1110"/>
      <c r="D44" s="80"/>
      <c r="E44" s="80"/>
      <c r="F44" s="80"/>
      <c r="G44" s="1065"/>
      <c r="H44" s="163" t="s">
        <v>78</v>
      </c>
      <c r="I44" s="163"/>
      <c r="J44" s="80">
        <f>+'18 fkia.'!E200</f>
        <v>10000</v>
      </c>
      <c r="K44" s="80">
        <f>+'18 fkia.'!F200</f>
        <v>13569</v>
      </c>
      <c r="L44" s="80">
        <f>+'18 fkia.'!G200</f>
        <v>6204</v>
      </c>
      <c r="M44" s="99">
        <f t="shared" si="2"/>
        <v>45.72186601812956</v>
      </c>
    </row>
    <row r="45" spans="1:13" ht="35.25" customHeight="1" thickBot="1" x14ac:dyDescent="0.35">
      <c r="A45" s="538"/>
      <c r="B45" s="247"/>
      <c r="C45" s="1110"/>
      <c r="D45" s="80"/>
      <c r="E45" s="80"/>
      <c r="F45" s="80"/>
      <c r="G45" s="1065"/>
      <c r="H45" s="2270" t="s">
        <v>232</v>
      </c>
      <c r="I45" s="1111"/>
      <c r="J45" s="92">
        <f>SUM(J38:J44)</f>
        <v>12181809</v>
      </c>
      <c r="K45" s="92">
        <f>SUM(K38:K44)</f>
        <v>17494492</v>
      </c>
      <c r="L45" s="92">
        <f>SUM(L38:L44)</f>
        <v>5821791</v>
      </c>
      <c r="M45" s="102">
        <f>+L45/K45*100</f>
        <v>33.2778511087947</v>
      </c>
    </row>
    <row r="46" spans="1:13" ht="33.75" customHeight="1" thickBot="1" x14ac:dyDescent="0.35">
      <c r="A46" s="2622" t="s">
        <v>679</v>
      </c>
      <c r="B46" s="2620"/>
      <c r="C46" s="2621"/>
      <c r="D46" s="86">
        <f>SUM(D30:D45)</f>
        <v>221990</v>
      </c>
      <c r="E46" s="86">
        <f>SUM(E30:E45)</f>
        <v>7449769</v>
      </c>
      <c r="F46" s="86">
        <f>SUM(F30:F45)</f>
        <v>6818899</v>
      </c>
      <c r="G46" s="97">
        <f>+F46/E46*100</f>
        <v>91.531683734086258</v>
      </c>
      <c r="H46" s="2620" t="s">
        <v>680</v>
      </c>
      <c r="I46" s="2621"/>
      <c r="J46" s="86">
        <f>+J45+J37</f>
        <v>12297645</v>
      </c>
      <c r="K46" s="86">
        <f>+K45+K37</f>
        <v>18189924</v>
      </c>
      <c r="L46" s="86">
        <f>+L45+L37</f>
        <v>6190934</v>
      </c>
      <c r="M46" s="97">
        <f>+L46/K46*100</f>
        <v>34.034963532557917</v>
      </c>
    </row>
    <row r="47" spans="1:13" s="72" customFormat="1" ht="18.75" customHeight="1" thickBot="1" x14ac:dyDescent="0.35">
      <c r="A47" s="1119"/>
      <c r="B47" s="1112"/>
      <c r="C47" s="1052"/>
      <c r="D47" s="93"/>
      <c r="E47" s="93"/>
      <c r="F47" s="93"/>
      <c r="G47" s="2272"/>
      <c r="H47" s="1054"/>
      <c r="I47" s="1054"/>
      <c r="J47" s="93"/>
      <c r="K47" s="93"/>
      <c r="L47" s="93"/>
      <c r="M47" s="103"/>
    </row>
    <row r="48" spans="1:13" ht="33.75" customHeight="1" x14ac:dyDescent="0.3">
      <c r="A48" s="1113" t="s">
        <v>109</v>
      </c>
      <c r="B48" s="1114"/>
      <c r="C48" s="1115"/>
      <c r="D48" s="1116"/>
      <c r="E48" s="1116"/>
      <c r="F48" s="1116"/>
      <c r="G48" s="1117"/>
      <c r="H48" s="1053" t="s">
        <v>109</v>
      </c>
      <c r="I48" s="1118"/>
      <c r="J48" s="93"/>
      <c r="K48" s="93"/>
      <c r="L48" s="93"/>
      <c r="M48" s="111"/>
    </row>
    <row r="49" spans="1:15" ht="30" customHeight="1" x14ac:dyDescent="0.3">
      <c r="A49" s="1119"/>
      <c r="B49" s="247"/>
      <c r="C49" s="1120" t="s">
        <v>44</v>
      </c>
      <c r="D49" s="603">
        <f>605000+120000+40000+19500</f>
        <v>784500</v>
      </c>
      <c r="E49" s="603">
        <v>1546690</v>
      </c>
      <c r="F49" s="581">
        <v>1546690</v>
      </c>
      <c r="G49" s="151">
        <f>+F49/E49*100</f>
        <v>100</v>
      </c>
      <c r="H49" s="1097" t="s">
        <v>564</v>
      </c>
      <c r="I49" s="1121"/>
      <c r="J49" s="81">
        <v>93155</v>
      </c>
      <c r="K49" s="81">
        <v>93155</v>
      </c>
      <c r="L49" s="81">
        <v>93155</v>
      </c>
      <c r="M49" s="152">
        <f>+L49/K49*100</f>
        <v>100</v>
      </c>
      <c r="N49" s="537"/>
    </row>
    <row r="50" spans="1:15" ht="30" customHeight="1" x14ac:dyDescent="0.3">
      <c r="A50" s="1119"/>
      <c r="B50" s="247"/>
      <c r="C50" s="1120" t="s">
        <v>560</v>
      </c>
      <c r="D50" s="603">
        <v>116419</v>
      </c>
      <c r="E50" s="603"/>
      <c r="F50" s="581"/>
      <c r="G50" s="151"/>
      <c r="H50" s="1124" t="s">
        <v>566</v>
      </c>
      <c r="I50" s="1124"/>
      <c r="J50" s="81"/>
      <c r="K50" s="2274">
        <v>65406</v>
      </c>
      <c r="L50" s="81">
        <v>65406</v>
      </c>
      <c r="M50" s="152">
        <f>+L50/K50*100</f>
        <v>100</v>
      </c>
    </row>
    <row r="51" spans="1:15" ht="46.5" customHeight="1" x14ac:dyDescent="0.3">
      <c r="A51" s="1119"/>
      <c r="B51" s="247"/>
      <c r="C51" s="1122" t="s">
        <v>561</v>
      </c>
      <c r="D51" s="603">
        <v>93155</v>
      </c>
      <c r="E51" s="603"/>
      <c r="F51" s="581"/>
      <c r="G51" s="151"/>
      <c r="H51" s="1097" t="s">
        <v>774</v>
      </c>
      <c r="I51" s="1121"/>
      <c r="J51" s="81"/>
      <c r="K51" s="81">
        <v>128180</v>
      </c>
      <c r="L51" s="81"/>
      <c r="M51" s="152"/>
      <c r="N51" s="537"/>
    </row>
    <row r="52" spans="1:15" ht="30" customHeight="1" x14ac:dyDescent="0.3">
      <c r="A52" s="1119"/>
      <c r="B52" s="247"/>
      <c r="C52" s="1120" t="s">
        <v>562</v>
      </c>
      <c r="D52" s="603"/>
      <c r="E52" s="603">
        <v>8629503</v>
      </c>
      <c r="F52" s="581">
        <v>8629503</v>
      </c>
      <c r="G52" s="151">
        <f t="shared" ref="G52" si="3">+F52/E52*100</f>
        <v>100</v>
      </c>
      <c r="H52" s="1097"/>
      <c r="I52" s="1121"/>
      <c r="J52" s="81"/>
      <c r="K52" s="81"/>
      <c r="L52" s="81"/>
      <c r="M52" s="152"/>
      <c r="N52" s="537"/>
    </row>
    <row r="53" spans="1:15" ht="30" customHeight="1" x14ac:dyDescent="0.3">
      <c r="A53" s="1119"/>
      <c r="B53" s="247"/>
      <c r="C53" s="1120" t="s">
        <v>563</v>
      </c>
      <c r="D53" s="603">
        <v>10370674</v>
      </c>
      <c r="E53" s="603"/>
      <c r="F53" s="581"/>
      <c r="G53" s="151"/>
      <c r="H53" s="1097"/>
      <c r="I53" s="1121"/>
      <c r="J53" s="81"/>
      <c r="K53" s="81"/>
      <c r="L53" s="81"/>
      <c r="M53" s="152"/>
    </row>
    <row r="54" spans="1:15" ht="36" customHeight="1" x14ac:dyDescent="0.3">
      <c r="A54" s="1119"/>
      <c r="B54" s="247"/>
      <c r="C54" s="1120" t="s">
        <v>334</v>
      </c>
      <c r="D54" s="604"/>
      <c r="E54" s="604">
        <v>172364</v>
      </c>
      <c r="F54" s="81">
        <v>172364</v>
      </c>
      <c r="G54" s="96">
        <f t="shared" ref="G54:G57" si="4">+F54/E54*100</f>
        <v>100</v>
      </c>
      <c r="H54" s="1097"/>
      <c r="I54" s="1123"/>
      <c r="J54" s="449"/>
      <c r="K54" s="449"/>
      <c r="L54" s="449"/>
      <c r="M54" s="450"/>
    </row>
    <row r="55" spans="1:15" ht="39.75" customHeight="1" x14ac:dyDescent="0.3">
      <c r="A55" s="1119"/>
      <c r="B55" s="247"/>
      <c r="C55" s="1120" t="s">
        <v>333</v>
      </c>
      <c r="D55" s="81"/>
      <c r="E55" s="81">
        <v>1934</v>
      </c>
      <c r="F55" s="81">
        <v>1934</v>
      </c>
      <c r="G55" s="96">
        <f t="shared" si="4"/>
        <v>100</v>
      </c>
      <c r="H55" s="1097"/>
      <c r="I55" s="1121"/>
      <c r="J55" s="81"/>
      <c r="K55" s="81"/>
      <c r="L55" s="81"/>
      <c r="M55" s="152"/>
    </row>
    <row r="56" spans="1:15" ht="48" customHeight="1" thickBot="1" x14ac:dyDescent="0.35">
      <c r="A56" s="1119"/>
      <c r="B56" s="247"/>
      <c r="C56" s="1122" t="s">
        <v>774</v>
      </c>
      <c r="D56" s="81"/>
      <c r="E56" s="81">
        <v>128180</v>
      </c>
      <c r="F56" s="81">
        <v>128180</v>
      </c>
      <c r="G56" s="96">
        <f t="shared" si="4"/>
        <v>100</v>
      </c>
      <c r="H56" s="163"/>
      <c r="I56" s="1082"/>
      <c r="J56" s="80"/>
      <c r="K56" s="80"/>
      <c r="L56" s="80"/>
      <c r="M56" s="153"/>
    </row>
    <row r="57" spans="1:15" ht="33.75" customHeight="1" thickBot="1" x14ac:dyDescent="0.35">
      <c r="A57" s="2625" t="s">
        <v>110</v>
      </c>
      <c r="B57" s="2626"/>
      <c r="C57" s="2627"/>
      <c r="D57" s="86">
        <f>SUM(D48:D56)</f>
        <v>11364748</v>
      </c>
      <c r="E57" s="86">
        <f>SUM(E48:E56)</f>
        <v>10478671</v>
      </c>
      <c r="F57" s="86">
        <f>SUM(F48:F56)</f>
        <v>10478671</v>
      </c>
      <c r="G57" s="97">
        <f t="shared" si="4"/>
        <v>100</v>
      </c>
      <c r="H57" s="2623" t="s">
        <v>110</v>
      </c>
      <c r="I57" s="2624"/>
      <c r="J57" s="86">
        <f>SUM(J48:J49)</f>
        <v>93155</v>
      </c>
      <c r="K57" s="86">
        <f>SUM(K48:K56)</f>
        <v>286741</v>
      </c>
      <c r="L57" s="86">
        <f>SUM(L48:L56)</f>
        <v>158561</v>
      </c>
      <c r="M57" s="97">
        <f>+L57/K57*100</f>
        <v>55.297637938069542</v>
      </c>
    </row>
    <row r="58" spans="1:15" ht="33.75" customHeight="1" thickBot="1" x14ac:dyDescent="0.35">
      <c r="A58" s="2625" t="s">
        <v>682</v>
      </c>
      <c r="B58" s="2626"/>
      <c r="C58" s="2627"/>
      <c r="D58" s="86">
        <f>+D57+D46+D25</f>
        <v>30207753</v>
      </c>
      <c r="E58" s="86">
        <f>+E57+E46+E25</f>
        <v>39355188</v>
      </c>
      <c r="F58" s="86">
        <f>+F57+F46+F25</f>
        <v>38128341</v>
      </c>
      <c r="G58" s="97">
        <f>+F58/E58*100</f>
        <v>96.882629553186234</v>
      </c>
      <c r="H58" s="2623" t="s">
        <v>681</v>
      </c>
      <c r="I58" s="2624"/>
      <c r="J58" s="86">
        <f>+J57+J46+J25</f>
        <v>30207753</v>
      </c>
      <c r="K58" s="86">
        <f>+K57+K46+K25</f>
        <v>39355188</v>
      </c>
      <c r="L58" s="86">
        <f>+L57+L46+L25</f>
        <v>25202814</v>
      </c>
      <c r="M58" s="97">
        <f>+L58/K58*100</f>
        <v>64.039368837470676</v>
      </c>
    </row>
    <row r="59" spans="1:15" ht="20.25" x14ac:dyDescent="0.3">
      <c r="A59" s="104"/>
      <c r="B59" s="77"/>
      <c r="C59" s="77"/>
      <c r="D59" s="79"/>
      <c r="E59" s="79"/>
      <c r="F59" s="79"/>
      <c r="G59" s="79"/>
      <c r="H59" s="105"/>
      <c r="I59" s="76"/>
      <c r="J59" s="147"/>
      <c r="K59" s="5"/>
      <c r="L59" s="5"/>
      <c r="M59" s="106"/>
      <c r="N59" s="72"/>
      <c r="O59" s="72"/>
    </row>
    <row r="159" spans="7:7" ht="15" customHeight="1" x14ac:dyDescent="0.25">
      <c r="G159" s="68">
        <f>+E159-F159-H159-H160-H161-H162-H163-H164-H165</f>
        <v>0</v>
      </c>
    </row>
  </sheetData>
  <mergeCells count="13">
    <mergeCell ref="A46:C46"/>
    <mergeCell ref="H46:I46"/>
    <mergeCell ref="H57:I57"/>
    <mergeCell ref="H58:I58"/>
    <mergeCell ref="A58:C58"/>
    <mergeCell ref="A57:C57"/>
    <mergeCell ref="A2:M2"/>
    <mergeCell ref="D4:E4"/>
    <mergeCell ref="J4:K4"/>
    <mergeCell ref="D27:E27"/>
    <mergeCell ref="J27:K27"/>
    <mergeCell ref="A25:C25"/>
    <mergeCell ref="H25:I25"/>
  </mergeCells>
  <phoneticPr fontId="0" type="noConversion"/>
  <printOptions horizontalCentered="1" verticalCentered="1"/>
  <pageMargins left="0" right="0" top="0.39370078740157483" bottom="0" header="0" footer="0"/>
  <pageSetup paperSize="9" scale="43" orientation="landscape" r:id="rId1"/>
  <headerFooter alignWithMargins="0">
    <oddHeader>&amp;L
&amp;R&amp;"Times New Roman CE,Félkövér"&amp;18 2. melléklet a ..../2020. (......) önkormányzati rendelethez</oddHeader>
  </headerFooter>
  <rowBreaks count="1" manualBreakCount="1">
    <brk id="25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24"/>
  <sheetViews>
    <sheetView zoomScaleNormal="100" workbookViewId="0">
      <selection activeCell="J20" sqref="J20"/>
    </sheetView>
  </sheetViews>
  <sheetFormatPr defaultColWidth="10.6640625" defaultRowHeight="12.75" x14ac:dyDescent="0.2"/>
  <cols>
    <col min="1" max="1" width="11" style="1337" customWidth="1"/>
    <col min="2" max="2" width="108.1640625" style="1337" customWidth="1"/>
    <col min="3" max="3" width="31.83203125" style="1361" customWidth="1"/>
    <col min="4" max="4" width="15.33203125" style="1337" customWidth="1"/>
    <col min="5" max="16384" width="10.6640625" style="1337"/>
  </cols>
  <sheetData>
    <row r="1" spans="1:3" x14ac:dyDescent="0.2">
      <c r="A1" s="2760" t="s">
        <v>881</v>
      </c>
      <c r="B1" s="2760"/>
      <c r="C1" s="2760"/>
    </row>
    <row r="2" spans="1:3" x14ac:dyDescent="0.2">
      <c r="A2" s="2760" t="s">
        <v>820</v>
      </c>
      <c r="B2" s="2760"/>
      <c r="C2" s="2760"/>
    </row>
    <row r="3" spans="1:3" x14ac:dyDescent="0.2">
      <c r="A3" s="2760" t="s">
        <v>1387</v>
      </c>
      <c r="B3" s="2760"/>
      <c r="C3" s="2760"/>
    </row>
    <row r="4" spans="1:3" ht="13.5" thickBot="1" x14ac:dyDescent="0.25">
      <c r="C4" s="1338" t="s">
        <v>26</v>
      </c>
    </row>
    <row r="5" spans="1:3" ht="15.75" thickBot="1" x14ac:dyDescent="0.3">
      <c r="A5" s="1339" t="s">
        <v>882</v>
      </c>
      <c r="B5" s="1339" t="s">
        <v>42</v>
      </c>
      <c r="C5" s="1339" t="s">
        <v>883</v>
      </c>
    </row>
    <row r="6" spans="1:3" ht="40.5" customHeight="1" x14ac:dyDescent="0.2">
      <c r="A6" s="1340" t="s">
        <v>243</v>
      </c>
      <c r="B6" s="1341" t="s">
        <v>884</v>
      </c>
      <c r="C6" s="1342">
        <v>28388</v>
      </c>
    </row>
    <row r="7" spans="1:3" ht="31.5" customHeight="1" x14ac:dyDescent="0.2">
      <c r="A7" s="1343" t="s">
        <v>46</v>
      </c>
      <c r="B7" s="1344" t="s">
        <v>885</v>
      </c>
      <c r="C7" s="1345">
        <v>0</v>
      </c>
    </row>
    <row r="8" spans="1:3" ht="33.75" customHeight="1" x14ac:dyDescent="0.2">
      <c r="A8" s="1346" t="s">
        <v>244</v>
      </c>
      <c r="B8" s="1347" t="s">
        <v>886</v>
      </c>
      <c r="C8" s="1348">
        <v>0</v>
      </c>
    </row>
    <row r="9" spans="1:3" ht="15.95" customHeight="1" x14ac:dyDescent="0.2">
      <c r="A9" s="1343"/>
      <c r="B9" s="1349" t="s">
        <v>887</v>
      </c>
      <c r="C9" s="1350">
        <v>168</v>
      </c>
    </row>
    <row r="10" spans="1:3" ht="15.95" customHeight="1" x14ac:dyDescent="0.2">
      <c r="A10" s="1343"/>
      <c r="B10" s="1349" t="s">
        <v>888</v>
      </c>
      <c r="C10" s="1350">
        <v>219</v>
      </c>
    </row>
    <row r="11" spans="1:3" ht="15.95" customHeight="1" x14ac:dyDescent="0.2">
      <c r="A11" s="1343"/>
      <c r="B11" s="1349" t="s">
        <v>889</v>
      </c>
      <c r="C11" s="1350">
        <v>0</v>
      </c>
    </row>
    <row r="12" spans="1:3" ht="15.95" customHeight="1" x14ac:dyDescent="0.2">
      <c r="A12" s="1343"/>
      <c r="B12" s="1351" t="s">
        <v>890</v>
      </c>
      <c r="C12" s="1350">
        <v>154288</v>
      </c>
    </row>
    <row r="13" spans="1:3" ht="15.95" customHeight="1" x14ac:dyDescent="0.2">
      <c r="A13" s="1343"/>
      <c r="B13" s="1349" t="s">
        <v>891</v>
      </c>
      <c r="C13" s="1350">
        <v>0</v>
      </c>
    </row>
    <row r="14" spans="1:3" ht="31.5" customHeight="1" x14ac:dyDescent="0.2">
      <c r="A14" s="1352" t="s">
        <v>245</v>
      </c>
      <c r="B14" s="1353" t="s">
        <v>892</v>
      </c>
      <c r="C14" s="1354">
        <v>53351</v>
      </c>
    </row>
    <row r="15" spans="1:3" ht="30.75" customHeight="1" x14ac:dyDescent="0.2">
      <c r="A15" s="1352" t="s">
        <v>247</v>
      </c>
      <c r="B15" s="1353" t="s">
        <v>893</v>
      </c>
      <c r="C15" s="1355">
        <v>3525</v>
      </c>
    </row>
    <row r="16" spans="1:3" ht="30.75" customHeight="1" thickBot="1" x14ac:dyDescent="0.25">
      <c r="A16" s="1346" t="s">
        <v>808</v>
      </c>
      <c r="B16" s="1347" t="s">
        <v>894</v>
      </c>
      <c r="C16" s="1348">
        <v>0</v>
      </c>
    </row>
    <row r="17" spans="1:4" ht="23.25" customHeight="1" thickBot="1" x14ac:dyDescent="0.3">
      <c r="A17" s="1356"/>
      <c r="B17" s="1357" t="s">
        <v>895</v>
      </c>
      <c r="C17" s="1358">
        <f>SUM(C6:C16)</f>
        <v>239939</v>
      </c>
    </row>
    <row r="18" spans="1:4" ht="18" x14ac:dyDescent="0.25">
      <c r="D18" s="2924"/>
    </row>
    <row r="19" spans="1:4" ht="14.25" x14ac:dyDescent="0.2">
      <c r="A19" s="1359"/>
      <c r="B19" s="1360" t="s">
        <v>896</v>
      </c>
    </row>
    <row r="20" spans="1:4" s="1362" customFormat="1" ht="46.5" customHeight="1" x14ac:dyDescent="0.2">
      <c r="B20" s="1363" t="s">
        <v>897</v>
      </c>
      <c r="C20" s="1364"/>
    </row>
    <row r="21" spans="1:4" ht="15" x14ac:dyDescent="0.2">
      <c r="B21" s="1365" t="s">
        <v>898</v>
      </c>
      <c r="C21" s="1364"/>
    </row>
    <row r="22" spans="1:4" ht="15" x14ac:dyDescent="0.2">
      <c r="B22" s="1365" t="s">
        <v>899</v>
      </c>
      <c r="C22" s="1364"/>
    </row>
    <row r="23" spans="1:4" ht="15" x14ac:dyDescent="0.2">
      <c r="B23" s="1365" t="s">
        <v>900</v>
      </c>
      <c r="C23" s="1364"/>
    </row>
    <row r="24" spans="1:4" ht="15" x14ac:dyDescent="0.2">
      <c r="B24" s="1365" t="s">
        <v>1388</v>
      </c>
      <c r="C24" s="1364"/>
    </row>
  </sheetData>
  <mergeCells count="3">
    <mergeCell ref="A1:C1"/>
    <mergeCell ref="A2:C2"/>
    <mergeCell ref="A3:C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5" orientation="landscape" r:id="rId1"/>
  <headerFooter alignWithMargins="0">
    <oddHeader>&amp;R&amp;"Arial CE,Félkövér"&amp;10  20. melléklet a …../2020. (…….) önkormányzati rendelethez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36"/>
  <sheetViews>
    <sheetView zoomScale="75" zoomScaleNormal="75" workbookViewId="0">
      <selection activeCell="K48" sqref="K48"/>
    </sheetView>
  </sheetViews>
  <sheetFormatPr defaultColWidth="10.6640625" defaultRowHeight="14.25" x14ac:dyDescent="0.2"/>
  <cols>
    <col min="1" max="1" width="6.5" style="1366" customWidth="1"/>
    <col min="2" max="2" width="127.33203125" style="1366" customWidth="1"/>
    <col min="3" max="3" width="27.1640625" style="1366" customWidth="1"/>
    <col min="4" max="4" width="27.33203125" style="1366" customWidth="1"/>
    <col min="5" max="5" width="16.83203125" style="1366" customWidth="1"/>
    <col min="6" max="6" width="18.83203125" style="1366" customWidth="1"/>
    <col min="7" max="7" width="15.5" style="1366" customWidth="1"/>
    <col min="8" max="12" width="10.6640625" style="1366" customWidth="1"/>
    <col min="13" max="16384" width="10.6640625" style="1366"/>
  </cols>
  <sheetData>
    <row r="1" spans="2:4" ht="20.25" x14ac:dyDescent="0.3">
      <c r="B1" s="2761" t="s">
        <v>901</v>
      </c>
      <c r="C1" s="2761"/>
      <c r="D1" s="2761"/>
    </row>
    <row r="2" spans="2:4" ht="20.25" x14ac:dyDescent="0.3">
      <c r="B2" s="2761" t="s">
        <v>1394</v>
      </c>
      <c r="C2" s="2761"/>
      <c r="D2" s="2761"/>
    </row>
    <row r="3" spans="2:4" ht="15" x14ac:dyDescent="0.25">
      <c r="B3" s="2762"/>
      <c r="C3" s="2762"/>
      <c r="D3" s="2762"/>
    </row>
    <row r="4" spans="2:4" ht="16.5" thickBot="1" x14ac:dyDescent="0.3">
      <c r="B4" s="1367"/>
      <c r="C4" s="1368"/>
      <c r="D4" s="1778" t="s">
        <v>26</v>
      </c>
    </row>
    <row r="5" spans="2:4" s="24" customFormat="1" ht="25.5" customHeight="1" x14ac:dyDescent="0.25">
      <c r="B5" s="1370" t="s">
        <v>821</v>
      </c>
      <c r="C5" s="1371" t="s">
        <v>517</v>
      </c>
      <c r="D5" s="1372" t="s">
        <v>517</v>
      </c>
    </row>
    <row r="6" spans="2:4" s="24" customFormat="1" ht="26.25" customHeight="1" thickBot="1" x14ac:dyDescent="0.3">
      <c r="B6" s="1373"/>
      <c r="C6" s="1374" t="s">
        <v>137</v>
      </c>
      <c r="D6" s="1375" t="s">
        <v>138</v>
      </c>
    </row>
    <row r="7" spans="2:4" s="24" customFormat="1" ht="18.95" customHeight="1" x14ac:dyDescent="0.25">
      <c r="B7" s="1376" t="s">
        <v>902</v>
      </c>
      <c r="C7" s="1377"/>
      <c r="D7" s="1378"/>
    </row>
    <row r="8" spans="2:4" s="24" customFormat="1" ht="27" customHeight="1" x14ac:dyDescent="0.2">
      <c r="B8" s="1379" t="s">
        <v>212</v>
      </c>
      <c r="C8" s="1380">
        <v>13402</v>
      </c>
      <c r="D8" s="1381">
        <v>11771</v>
      </c>
    </row>
    <row r="9" spans="2:4" s="24" customFormat="1" ht="27" customHeight="1" x14ac:dyDescent="0.2">
      <c r="B9" s="1379" t="s">
        <v>481</v>
      </c>
      <c r="C9" s="1380">
        <v>78156</v>
      </c>
      <c r="D9" s="1381">
        <v>31482</v>
      </c>
    </row>
    <row r="10" spans="2:4" s="24" customFormat="1" ht="27" customHeight="1" x14ac:dyDescent="0.2">
      <c r="B10" s="2034" t="s">
        <v>466</v>
      </c>
      <c r="C10" s="1380">
        <v>2673</v>
      </c>
      <c r="D10" s="1381">
        <v>2614</v>
      </c>
    </row>
    <row r="11" spans="2:4" s="24" customFormat="1" ht="24" customHeight="1" x14ac:dyDescent="0.2">
      <c r="B11" s="1382" t="s">
        <v>903</v>
      </c>
      <c r="C11" s="1383"/>
      <c r="D11" s="1384"/>
    </row>
    <row r="12" spans="2:4" s="24" customFormat="1" ht="26.25" customHeight="1" x14ac:dyDescent="0.2">
      <c r="B12" s="1385" t="s">
        <v>380</v>
      </c>
      <c r="C12" s="1386">
        <v>359295</v>
      </c>
      <c r="D12" s="1387">
        <v>345042</v>
      </c>
    </row>
    <row r="13" spans="2:4" s="24" customFormat="1" ht="27" customHeight="1" x14ac:dyDescent="0.2">
      <c r="B13" s="1385" t="s">
        <v>368</v>
      </c>
      <c r="C13" s="1386">
        <v>7242</v>
      </c>
      <c r="D13" s="1387"/>
    </row>
    <row r="14" spans="2:4" s="24" customFormat="1" ht="27" customHeight="1" x14ac:dyDescent="0.2">
      <c r="B14" s="1385" t="s">
        <v>377</v>
      </c>
      <c r="C14" s="1386">
        <v>6871</v>
      </c>
      <c r="D14" s="1388"/>
    </row>
    <row r="15" spans="2:4" s="24" customFormat="1" ht="27" customHeight="1" x14ac:dyDescent="0.2">
      <c r="B15" s="1385" t="s">
        <v>378</v>
      </c>
      <c r="C15" s="1386">
        <v>12295</v>
      </c>
      <c r="D15" s="1387"/>
    </row>
    <row r="16" spans="2:4" s="24" customFormat="1" ht="27" customHeight="1" x14ac:dyDescent="0.2">
      <c r="B16" s="1385" t="s">
        <v>370</v>
      </c>
      <c r="C16" s="1386">
        <v>495165</v>
      </c>
      <c r="D16" s="1388">
        <v>444415</v>
      </c>
    </row>
    <row r="17" spans="2:4" s="24" customFormat="1" ht="27" customHeight="1" x14ac:dyDescent="0.2">
      <c r="B17" s="1385" t="s">
        <v>376</v>
      </c>
      <c r="C17" s="1386">
        <v>431482</v>
      </c>
      <c r="D17" s="1387">
        <v>399192</v>
      </c>
    </row>
    <row r="18" spans="2:4" s="24" customFormat="1" ht="27" customHeight="1" x14ac:dyDescent="0.25">
      <c r="B18" s="1385" t="s">
        <v>384</v>
      </c>
      <c r="C18" s="1386">
        <v>1791</v>
      </c>
      <c r="D18" s="2923">
        <v>933</v>
      </c>
    </row>
    <row r="19" spans="2:4" s="24" customFormat="1" ht="27" customHeight="1" x14ac:dyDescent="0.2">
      <c r="B19" s="1385" t="s">
        <v>371</v>
      </c>
      <c r="C19" s="1386">
        <v>549764</v>
      </c>
      <c r="D19" s="1389">
        <v>492014</v>
      </c>
    </row>
    <row r="20" spans="2:4" s="524" customFormat="1" ht="27" customHeight="1" x14ac:dyDescent="0.2">
      <c r="B20" s="1385" t="s">
        <v>379</v>
      </c>
      <c r="C20" s="1386">
        <v>342683</v>
      </c>
      <c r="D20" s="2035">
        <v>342683</v>
      </c>
    </row>
    <row r="21" spans="2:4" s="24" customFormat="1" ht="40.5" customHeight="1" x14ac:dyDescent="0.2">
      <c r="B21" s="1385" t="s">
        <v>626</v>
      </c>
      <c r="C21" s="1386">
        <v>18000</v>
      </c>
      <c r="D21" s="1389"/>
    </row>
    <row r="22" spans="2:4" s="24" customFormat="1" ht="27" customHeight="1" x14ac:dyDescent="0.2">
      <c r="B22" s="1385" t="s">
        <v>389</v>
      </c>
      <c r="C22" s="1386">
        <v>760479</v>
      </c>
      <c r="D22" s="1389">
        <v>680429</v>
      </c>
    </row>
    <row r="23" spans="2:4" s="24" customFormat="1" ht="27" customHeight="1" x14ac:dyDescent="0.2">
      <c r="B23" s="1385" t="s">
        <v>388</v>
      </c>
      <c r="C23" s="1386">
        <v>105649</v>
      </c>
      <c r="D23" s="1389"/>
    </row>
    <row r="24" spans="2:4" s="24" customFormat="1" ht="27" customHeight="1" x14ac:dyDescent="0.2">
      <c r="B24" s="1385" t="s">
        <v>383</v>
      </c>
      <c r="C24" s="1386">
        <v>14478</v>
      </c>
      <c r="D24" s="1389"/>
    </row>
    <row r="25" spans="2:4" s="24" customFormat="1" ht="27" customHeight="1" x14ac:dyDescent="0.2">
      <c r="B25" s="1385" t="s">
        <v>372</v>
      </c>
      <c r="C25" s="1386">
        <v>13653</v>
      </c>
      <c r="D25" s="1387">
        <v>8233</v>
      </c>
    </row>
    <row r="26" spans="2:4" s="24" customFormat="1" ht="27" customHeight="1" x14ac:dyDescent="0.2">
      <c r="B26" s="1385" t="s">
        <v>381</v>
      </c>
      <c r="C26" s="1386">
        <v>8319</v>
      </c>
      <c r="D26" s="1389"/>
    </row>
    <row r="27" spans="2:4" s="24" customFormat="1" ht="27" customHeight="1" x14ac:dyDescent="0.2">
      <c r="B27" s="1385" t="s">
        <v>382</v>
      </c>
      <c r="C27" s="1386">
        <v>13462</v>
      </c>
      <c r="D27" s="1389">
        <v>9161</v>
      </c>
    </row>
    <row r="28" spans="2:4" s="24" customFormat="1" ht="40.5" customHeight="1" x14ac:dyDescent="0.2">
      <c r="B28" s="1385" t="s">
        <v>578</v>
      </c>
      <c r="C28" s="1386">
        <v>686500</v>
      </c>
      <c r="D28" s="1389">
        <v>686500</v>
      </c>
    </row>
    <row r="29" spans="2:4" s="24" customFormat="1" ht="40.5" customHeight="1" x14ac:dyDescent="0.2">
      <c r="B29" s="1385" t="s">
        <v>579</v>
      </c>
      <c r="C29" s="1386">
        <v>13500</v>
      </c>
      <c r="D29" s="1389">
        <v>13500</v>
      </c>
    </row>
    <row r="30" spans="2:4" s="24" customFormat="1" ht="40.5" customHeight="1" x14ac:dyDescent="0.2">
      <c r="B30" s="1385" t="s">
        <v>580</v>
      </c>
      <c r="C30" s="1386">
        <v>231030</v>
      </c>
      <c r="D30" s="1389">
        <v>227230</v>
      </c>
    </row>
    <row r="31" spans="2:4" s="24" customFormat="1" ht="40.5" customHeight="1" x14ac:dyDescent="0.2">
      <c r="B31" s="1385" t="s">
        <v>581</v>
      </c>
      <c r="C31" s="1386">
        <v>404613</v>
      </c>
      <c r="D31" s="1389">
        <v>395613</v>
      </c>
    </row>
    <row r="32" spans="2:4" s="24" customFormat="1" ht="27" customHeight="1" x14ac:dyDescent="0.2">
      <c r="B32" s="1385" t="s">
        <v>385</v>
      </c>
      <c r="C32" s="1386">
        <v>39769</v>
      </c>
      <c r="D32" s="1389">
        <v>17934</v>
      </c>
    </row>
    <row r="33" spans="2:6" s="24" customFormat="1" ht="24.75" customHeight="1" thickBot="1" x14ac:dyDescent="0.3">
      <c r="B33" s="1390" t="s">
        <v>904</v>
      </c>
      <c r="C33" s="1391">
        <f>SUM(C8:C32)</f>
        <v>4610271</v>
      </c>
      <c r="D33" s="1392">
        <f>SUM(D8:D32)</f>
        <v>4108746</v>
      </c>
      <c r="F33" s="55"/>
    </row>
    <row r="34" spans="2:6" s="24" customFormat="1" ht="15.75" thickBot="1" x14ac:dyDescent="0.25">
      <c r="B34" s="39"/>
      <c r="C34" s="39"/>
      <c r="D34" s="1393"/>
    </row>
    <row r="35" spans="2:6" s="24" customFormat="1" ht="26.25" customHeight="1" x14ac:dyDescent="0.25">
      <c r="B35" s="1394" t="s">
        <v>825</v>
      </c>
      <c r="C35" s="1395" t="s">
        <v>684</v>
      </c>
      <c r="D35" s="1396" t="s">
        <v>684</v>
      </c>
    </row>
    <row r="36" spans="2:6" s="24" customFormat="1" ht="25.5" customHeight="1" thickBot="1" x14ac:dyDescent="0.3">
      <c r="B36" s="1373"/>
      <c r="C36" s="1397" t="s">
        <v>137</v>
      </c>
      <c r="D36" s="1398" t="s">
        <v>138</v>
      </c>
    </row>
    <row r="37" spans="2:6" s="24" customFormat="1" ht="21" customHeight="1" x14ac:dyDescent="0.25">
      <c r="B37" s="1376" t="s">
        <v>902</v>
      </c>
      <c r="C37" s="1395"/>
      <c r="D37" s="1396"/>
    </row>
    <row r="38" spans="2:6" s="24" customFormat="1" ht="21" customHeight="1" x14ac:dyDescent="0.25">
      <c r="B38" s="1399" t="s">
        <v>905</v>
      </c>
      <c r="C38" s="1400"/>
      <c r="D38" s="1401"/>
    </row>
    <row r="39" spans="2:6" s="24" customFormat="1" ht="23.25" customHeight="1" x14ac:dyDescent="0.2">
      <c r="B39" s="1402" t="s">
        <v>219</v>
      </c>
      <c r="C39" s="1403">
        <v>1816</v>
      </c>
      <c r="D39" s="1387"/>
    </row>
    <row r="40" spans="2:6" s="24" customFormat="1" ht="23.25" customHeight="1" x14ac:dyDescent="0.2">
      <c r="B40" s="1402" t="s">
        <v>365</v>
      </c>
      <c r="C40" s="1403">
        <v>44716</v>
      </c>
      <c r="D40" s="1387">
        <v>21941</v>
      </c>
    </row>
    <row r="41" spans="2:6" s="24" customFormat="1" ht="23.25" customHeight="1" x14ac:dyDescent="0.2">
      <c r="B41" s="1402" t="s">
        <v>386</v>
      </c>
      <c r="C41" s="1403">
        <v>4400</v>
      </c>
      <c r="D41" s="1387"/>
    </row>
    <row r="42" spans="2:6" s="24" customFormat="1" ht="38.25" customHeight="1" x14ac:dyDescent="0.2">
      <c r="B42" s="1402" t="s">
        <v>364</v>
      </c>
      <c r="C42" s="1403">
        <v>559</v>
      </c>
      <c r="D42" s="1387">
        <v>165</v>
      </c>
    </row>
    <row r="43" spans="2:6" s="24" customFormat="1" ht="25.5" customHeight="1" x14ac:dyDescent="0.2">
      <c r="B43" s="1410" t="s">
        <v>373</v>
      </c>
      <c r="C43" s="1411">
        <v>2015</v>
      </c>
      <c r="D43" s="1387">
        <v>1865</v>
      </c>
    </row>
    <row r="44" spans="2:6" s="24" customFormat="1" ht="40.5" customHeight="1" x14ac:dyDescent="0.2">
      <c r="B44" s="1385" t="s">
        <v>508</v>
      </c>
      <c r="C44" s="1386">
        <v>705</v>
      </c>
      <c r="D44" s="1389"/>
    </row>
    <row r="45" spans="2:6" s="24" customFormat="1" ht="25.5" customHeight="1" x14ac:dyDescent="0.2">
      <c r="B45" s="1410" t="s">
        <v>466</v>
      </c>
      <c r="C45" s="1411">
        <v>3094</v>
      </c>
      <c r="D45" s="1387">
        <v>3034</v>
      </c>
    </row>
    <row r="46" spans="2:6" s="24" customFormat="1" ht="25.5" customHeight="1" x14ac:dyDescent="0.2">
      <c r="B46" s="1410" t="s">
        <v>498</v>
      </c>
      <c r="C46" s="1411">
        <v>58210</v>
      </c>
      <c r="D46" s="1387">
        <v>31138</v>
      </c>
    </row>
    <row r="47" spans="2:6" s="24" customFormat="1" ht="23.25" customHeight="1" x14ac:dyDescent="0.2">
      <c r="B47" s="1404" t="s">
        <v>903</v>
      </c>
      <c r="C47" s="1405"/>
      <c r="D47" s="1406"/>
    </row>
    <row r="48" spans="2:6" s="24" customFormat="1" ht="26.25" customHeight="1" x14ac:dyDescent="0.25">
      <c r="B48" s="1407" t="s">
        <v>47</v>
      </c>
      <c r="C48" s="1408"/>
      <c r="D48" s="1409"/>
      <c r="F48" s="55"/>
    </row>
    <row r="49" spans="2:4" s="24" customFormat="1" ht="25.5" customHeight="1" x14ac:dyDescent="0.2">
      <c r="B49" s="1410" t="s">
        <v>396</v>
      </c>
      <c r="C49" s="1411">
        <v>12376</v>
      </c>
      <c r="D49" s="1387"/>
    </row>
    <row r="50" spans="2:4" s="24" customFormat="1" ht="25.5" customHeight="1" x14ac:dyDescent="0.2">
      <c r="B50" s="1410" t="s">
        <v>797</v>
      </c>
      <c r="C50" s="1411">
        <v>350417</v>
      </c>
      <c r="D50" s="1387">
        <v>177233</v>
      </c>
    </row>
    <row r="51" spans="2:4" s="24" customFormat="1" ht="25.5" customHeight="1" x14ac:dyDescent="0.2">
      <c r="B51" s="1410" t="s">
        <v>798</v>
      </c>
      <c r="C51" s="1411">
        <v>93256</v>
      </c>
      <c r="D51" s="1387"/>
    </row>
    <row r="52" spans="2:4" s="24" customFormat="1" ht="25.5" customHeight="1" x14ac:dyDescent="0.2">
      <c r="B52" s="1410" t="s">
        <v>799</v>
      </c>
      <c r="C52" s="1411">
        <v>9602</v>
      </c>
      <c r="D52" s="1387">
        <v>1085</v>
      </c>
    </row>
    <row r="53" spans="2:4" s="24" customFormat="1" ht="25.5" customHeight="1" x14ac:dyDescent="0.2">
      <c r="B53" s="1410" t="s">
        <v>800</v>
      </c>
      <c r="C53" s="1411">
        <v>920</v>
      </c>
      <c r="D53" s="1387"/>
    </row>
    <row r="54" spans="2:4" s="24" customFormat="1" ht="25.5" customHeight="1" x14ac:dyDescent="0.2">
      <c r="B54" s="1410" t="s">
        <v>375</v>
      </c>
      <c r="C54" s="1411">
        <v>1240948</v>
      </c>
      <c r="D54" s="1387">
        <v>0</v>
      </c>
    </row>
    <row r="55" spans="2:4" s="24" customFormat="1" ht="25.5" customHeight="1" x14ac:dyDescent="0.2">
      <c r="B55" s="1410" t="s">
        <v>445</v>
      </c>
      <c r="C55" s="1411">
        <v>271391</v>
      </c>
      <c r="D55" s="1387"/>
    </row>
    <row r="56" spans="2:4" s="24" customFormat="1" ht="25.5" customHeight="1" x14ac:dyDescent="0.2">
      <c r="B56" s="1410" t="s">
        <v>449</v>
      </c>
      <c r="C56" s="1411">
        <v>360</v>
      </c>
      <c r="D56" s="1387">
        <v>360</v>
      </c>
    </row>
    <row r="57" spans="2:4" s="24" customFormat="1" ht="25.5" customHeight="1" x14ac:dyDescent="0.2">
      <c r="B57" s="1410" t="s">
        <v>801</v>
      </c>
      <c r="C57" s="1411">
        <v>1360752</v>
      </c>
      <c r="D57" s="1387">
        <v>15072</v>
      </c>
    </row>
    <row r="58" spans="2:4" s="24" customFormat="1" ht="25.5" customHeight="1" x14ac:dyDescent="0.2">
      <c r="B58" s="1410" t="s">
        <v>802</v>
      </c>
      <c r="C58" s="1411">
        <v>395777</v>
      </c>
      <c r="D58" s="1387">
        <v>4603</v>
      </c>
    </row>
    <row r="59" spans="2:4" s="24" customFormat="1" ht="40.5" customHeight="1" x14ac:dyDescent="0.2">
      <c r="B59" s="1385" t="s">
        <v>803</v>
      </c>
      <c r="C59" s="1386">
        <v>79320</v>
      </c>
      <c r="D59" s="1389"/>
    </row>
    <row r="60" spans="2:4" s="24" customFormat="1" ht="25.5" customHeight="1" x14ac:dyDescent="0.2">
      <c r="B60" s="1410" t="s">
        <v>459</v>
      </c>
      <c r="C60" s="1411">
        <v>220183</v>
      </c>
      <c r="D60" s="1387">
        <v>7909</v>
      </c>
    </row>
    <row r="61" spans="2:4" s="24" customFormat="1" ht="40.5" customHeight="1" x14ac:dyDescent="0.2">
      <c r="B61" s="1385" t="s">
        <v>686</v>
      </c>
      <c r="C61" s="1386">
        <v>48427</v>
      </c>
      <c r="D61" s="1389"/>
    </row>
    <row r="62" spans="2:4" s="24" customFormat="1" ht="25.5" customHeight="1" x14ac:dyDescent="0.2">
      <c r="B62" s="1410" t="s">
        <v>376</v>
      </c>
      <c r="C62" s="1411">
        <v>681386</v>
      </c>
      <c r="D62" s="1387">
        <v>674169</v>
      </c>
    </row>
    <row r="63" spans="2:4" s="24" customFormat="1" ht="40.5" customHeight="1" x14ac:dyDescent="0.2">
      <c r="B63" s="1385" t="s">
        <v>751</v>
      </c>
      <c r="C63" s="1386">
        <v>165461</v>
      </c>
      <c r="D63" s="1389"/>
    </row>
    <row r="64" spans="2:4" s="24" customFormat="1" ht="25.5" customHeight="1" x14ac:dyDescent="0.2">
      <c r="B64" s="1410" t="s">
        <v>388</v>
      </c>
      <c r="C64" s="1411">
        <v>496828</v>
      </c>
      <c r="D64" s="1387">
        <v>270590</v>
      </c>
    </row>
    <row r="65" spans="2:4" s="24" customFormat="1" ht="25.5" customHeight="1" x14ac:dyDescent="0.2">
      <c r="B65" s="1410" t="s">
        <v>804</v>
      </c>
      <c r="C65" s="1411">
        <v>104792</v>
      </c>
      <c r="D65" s="1387"/>
    </row>
    <row r="66" spans="2:4" s="24" customFormat="1" ht="25.5" customHeight="1" x14ac:dyDescent="0.2">
      <c r="B66" s="1410" t="s">
        <v>805</v>
      </c>
      <c r="C66" s="1411">
        <v>55835</v>
      </c>
      <c r="D66" s="1387">
        <v>416</v>
      </c>
    </row>
    <row r="67" spans="2:4" s="24" customFormat="1" ht="25.5" customHeight="1" x14ac:dyDescent="0.2">
      <c r="B67" s="1410" t="s">
        <v>752</v>
      </c>
      <c r="C67" s="1411">
        <v>12754</v>
      </c>
      <c r="D67" s="1387"/>
    </row>
    <row r="68" spans="2:4" s="24" customFormat="1" ht="25.5" customHeight="1" x14ac:dyDescent="0.2">
      <c r="B68" s="1410" t="s">
        <v>368</v>
      </c>
      <c r="C68" s="1411">
        <v>100</v>
      </c>
      <c r="D68" s="1387"/>
    </row>
    <row r="69" spans="2:4" s="24" customFormat="1" ht="40.5" customHeight="1" x14ac:dyDescent="0.2">
      <c r="B69" s="1385" t="s">
        <v>450</v>
      </c>
      <c r="C69" s="1386">
        <v>506</v>
      </c>
      <c r="D69" s="1389"/>
    </row>
    <row r="70" spans="2:4" s="24" customFormat="1" ht="25.5" customHeight="1" x14ac:dyDescent="0.2">
      <c r="B70" s="1410" t="s">
        <v>367</v>
      </c>
      <c r="C70" s="1411">
        <v>270</v>
      </c>
      <c r="D70" s="1387">
        <v>86</v>
      </c>
    </row>
    <row r="71" spans="2:4" s="24" customFormat="1" ht="25.5" customHeight="1" x14ac:dyDescent="0.2">
      <c r="B71" s="1410" t="s">
        <v>451</v>
      </c>
      <c r="C71" s="1411">
        <v>88</v>
      </c>
      <c r="D71" s="1387">
        <v>88</v>
      </c>
    </row>
    <row r="72" spans="2:4" s="24" customFormat="1" ht="25.5" customHeight="1" x14ac:dyDescent="0.2">
      <c r="B72" s="1410" t="s">
        <v>387</v>
      </c>
      <c r="C72" s="1411">
        <v>148698</v>
      </c>
      <c r="D72" s="1387">
        <v>144236</v>
      </c>
    </row>
    <row r="73" spans="2:4" s="24" customFormat="1" ht="25.5" customHeight="1" x14ac:dyDescent="0.2">
      <c r="B73" s="1410" t="s">
        <v>446</v>
      </c>
      <c r="C73" s="1411">
        <v>12543</v>
      </c>
      <c r="D73" s="1387"/>
    </row>
    <row r="74" spans="2:4" s="24" customFormat="1" ht="25.5" customHeight="1" x14ac:dyDescent="0.2">
      <c r="B74" s="1410" t="s">
        <v>452</v>
      </c>
      <c r="C74" s="1411">
        <v>3640</v>
      </c>
      <c r="D74" s="1387">
        <v>100</v>
      </c>
    </row>
    <row r="75" spans="2:4" s="24" customFormat="1" ht="25.5" customHeight="1" x14ac:dyDescent="0.2">
      <c r="B75" s="1410" t="s">
        <v>379</v>
      </c>
      <c r="C75" s="1411">
        <v>706648</v>
      </c>
      <c r="D75" s="1387">
        <v>698110</v>
      </c>
    </row>
    <row r="76" spans="2:4" s="24" customFormat="1" ht="40.5" customHeight="1" x14ac:dyDescent="0.2">
      <c r="B76" s="1385" t="s">
        <v>392</v>
      </c>
      <c r="C76" s="1386">
        <v>186282</v>
      </c>
      <c r="D76" s="1389"/>
    </row>
    <row r="77" spans="2:4" s="24" customFormat="1" ht="40.5" customHeight="1" x14ac:dyDescent="0.2">
      <c r="B77" s="1385" t="s">
        <v>494</v>
      </c>
      <c r="C77" s="1386">
        <v>24913</v>
      </c>
      <c r="D77" s="1389">
        <v>24913</v>
      </c>
    </row>
    <row r="78" spans="2:4" s="24" customFormat="1" ht="40.5" customHeight="1" x14ac:dyDescent="0.2">
      <c r="B78" s="1385" t="s">
        <v>502</v>
      </c>
      <c r="C78" s="1386">
        <v>6726</v>
      </c>
      <c r="D78" s="1389"/>
    </row>
    <row r="79" spans="2:4" s="24" customFormat="1" ht="40.5" customHeight="1" x14ac:dyDescent="0.2">
      <c r="B79" s="1385" t="s">
        <v>495</v>
      </c>
      <c r="C79" s="1386">
        <v>49825</v>
      </c>
      <c r="D79" s="1389">
        <v>49825</v>
      </c>
    </row>
    <row r="80" spans="2:4" s="24" customFormat="1" ht="40.5" customHeight="1" x14ac:dyDescent="0.2">
      <c r="B80" s="1385" t="s">
        <v>503</v>
      </c>
      <c r="C80" s="1386">
        <v>13453</v>
      </c>
      <c r="D80" s="1389"/>
    </row>
    <row r="81" spans="2:4" s="24" customFormat="1" ht="40.5" customHeight="1" x14ac:dyDescent="0.2">
      <c r="B81" s="1385" t="s">
        <v>496</v>
      </c>
      <c r="C81" s="1386">
        <v>25000</v>
      </c>
      <c r="D81" s="1389">
        <v>25000</v>
      </c>
    </row>
    <row r="82" spans="2:4" s="24" customFormat="1" ht="40.5" customHeight="1" x14ac:dyDescent="0.2">
      <c r="B82" s="1385" t="s">
        <v>504</v>
      </c>
      <c r="C82" s="1386">
        <v>6750</v>
      </c>
      <c r="D82" s="1389"/>
    </row>
    <row r="83" spans="2:4" s="24" customFormat="1" ht="40.5" customHeight="1" x14ac:dyDescent="0.2">
      <c r="B83" s="1385" t="s">
        <v>497</v>
      </c>
      <c r="C83" s="1386">
        <v>70000</v>
      </c>
      <c r="D83" s="1389">
        <v>70000</v>
      </c>
    </row>
    <row r="84" spans="2:4" s="24" customFormat="1" ht="40.5" customHeight="1" x14ac:dyDescent="0.2">
      <c r="B84" s="1385" t="s">
        <v>505</v>
      </c>
      <c r="C84" s="1386">
        <v>18900</v>
      </c>
      <c r="D84" s="1389"/>
    </row>
    <row r="85" spans="2:4" s="24" customFormat="1" ht="40.5" customHeight="1" x14ac:dyDescent="0.2">
      <c r="B85" s="1385" t="s">
        <v>626</v>
      </c>
      <c r="C85" s="1386">
        <v>22847</v>
      </c>
      <c r="D85" s="1389"/>
    </row>
    <row r="86" spans="2:4" s="24" customFormat="1" ht="40.5" customHeight="1" x14ac:dyDescent="0.2">
      <c r="B86" s="1385" t="s">
        <v>806</v>
      </c>
      <c r="C86" s="1386">
        <v>52</v>
      </c>
      <c r="D86" s="1381">
        <v>0</v>
      </c>
    </row>
    <row r="87" spans="2:4" s="24" customFormat="1" ht="40.5" customHeight="1" x14ac:dyDescent="0.2">
      <c r="B87" s="1385" t="s">
        <v>506</v>
      </c>
      <c r="C87" s="1386">
        <v>135157</v>
      </c>
      <c r="D87" s="1389">
        <v>111775</v>
      </c>
    </row>
    <row r="88" spans="2:4" s="24" customFormat="1" ht="40.5" customHeight="1" x14ac:dyDescent="0.2">
      <c r="B88" s="1385" t="s">
        <v>507</v>
      </c>
      <c r="C88" s="1386">
        <v>29128</v>
      </c>
      <c r="D88" s="1389"/>
    </row>
    <row r="89" spans="2:4" s="24" customFormat="1" ht="25.5" customHeight="1" x14ac:dyDescent="0.2">
      <c r="B89" s="1410" t="s">
        <v>371</v>
      </c>
      <c r="C89" s="1411">
        <v>966465</v>
      </c>
      <c r="D89" s="1387">
        <v>899302</v>
      </c>
    </row>
    <row r="90" spans="2:4" s="24" customFormat="1" ht="25.5" customHeight="1" x14ac:dyDescent="0.2">
      <c r="B90" s="1410" t="s">
        <v>447</v>
      </c>
      <c r="C90" s="1411">
        <v>105848</v>
      </c>
      <c r="D90" s="1387"/>
    </row>
    <row r="91" spans="2:4" s="24" customFormat="1" ht="42" customHeight="1" x14ac:dyDescent="0.2">
      <c r="B91" s="1410" t="s">
        <v>553</v>
      </c>
      <c r="C91" s="1411">
        <v>2919</v>
      </c>
      <c r="D91" s="1387">
        <v>3</v>
      </c>
    </row>
    <row r="92" spans="2:4" s="24" customFormat="1" ht="25.5" customHeight="1" x14ac:dyDescent="0.2">
      <c r="B92" s="1410" t="s">
        <v>380</v>
      </c>
      <c r="C92" s="1411">
        <v>526781</v>
      </c>
      <c r="D92" s="1387">
        <v>270981</v>
      </c>
    </row>
    <row r="93" spans="2:4" s="24" customFormat="1" ht="25.5" customHeight="1" x14ac:dyDescent="0.2">
      <c r="B93" s="1410" t="s">
        <v>755</v>
      </c>
      <c r="C93" s="1411">
        <v>134843</v>
      </c>
      <c r="D93" s="1387"/>
    </row>
    <row r="94" spans="2:4" s="24" customFormat="1" ht="25.5" customHeight="1" x14ac:dyDescent="0.2">
      <c r="B94" s="1410" t="s">
        <v>687</v>
      </c>
      <c r="C94" s="1411">
        <v>2706</v>
      </c>
      <c r="D94" s="1387">
        <v>1076</v>
      </c>
    </row>
    <row r="95" spans="2:4" s="24" customFormat="1" ht="25.5" customHeight="1" x14ac:dyDescent="0.2">
      <c r="B95" s="1410" t="s">
        <v>370</v>
      </c>
      <c r="C95" s="1411">
        <v>776347</v>
      </c>
      <c r="D95" s="1387">
        <v>8317</v>
      </c>
    </row>
    <row r="96" spans="2:4" s="24" customFormat="1" ht="25.5" customHeight="1" x14ac:dyDescent="0.2">
      <c r="B96" s="1410" t="s">
        <v>756</v>
      </c>
      <c r="C96" s="1411">
        <v>174929</v>
      </c>
      <c r="D96" s="1387"/>
    </row>
    <row r="97" spans="2:4" s="24" customFormat="1" ht="25.5" customHeight="1" x14ac:dyDescent="0.2">
      <c r="B97" s="1410" t="s">
        <v>453</v>
      </c>
      <c r="C97" s="1411">
        <v>2400</v>
      </c>
      <c r="D97" s="1387">
        <v>0</v>
      </c>
    </row>
    <row r="98" spans="2:4" s="24" customFormat="1" ht="25.5" customHeight="1" x14ac:dyDescent="0.2">
      <c r="B98" s="1410" t="s">
        <v>383</v>
      </c>
      <c r="C98" s="1411">
        <v>82928</v>
      </c>
      <c r="D98" s="1387">
        <v>68194</v>
      </c>
    </row>
    <row r="99" spans="2:4" s="24" customFormat="1" ht="25.5" customHeight="1" x14ac:dyDescent="0.2">
      <c r="B99" s="1410" t="s">
        <v>372</v>
      </c>
      <c r="C99" s="1411">
        <v>42071</v>
      </c>
      <c r="D99" s="1387">
        <v>36852</v>
      </c>
    </row>
    <row r="100" spans="2:4" s="24" customFormat="1" ht="25.5" customHeight="1" x14ac:dyDescent="0.2">
      <c r="B100" s="1410" t="s">
        <v>448</v>
      </c>
      <c r="C100" s="1411">
        <v>13899</v>
      </c>
      <c r="D100" s="1387"/>
    </row>
    <row r="101" spans="2:4" s="24" customFormat="1" ht="25.5" customHeight="1" x14ac:dyDescent="0.2">
      <c r="B101" s="1410" t="s">
        <v>455</v>
      </c>
      <c r="C101" s="1411"/>
      <c r="D101" s="1387"/>
    </row>
    <row r="102" spans="2:4" s="24" customFormat="1" ht="25.5" customHeight="1" x14ac:dyDescent="0.2">
      <c r="B102" s="1410" t="s">
        <v>374</v>
      </c>
      <c r="C102" s="1411">
        <v>75522</v>
      </c>
      <c r="D102" s="1387">
        <v>71221</v>
      </c>
    </row>
    <row r="103" spans="2:4" s="24" customFormat="1" ht="25.5" customHeight="1" x14ac:dyDescent="0.2">
      <c r="B103" s="1410" t="s">
        <v>381</v>
      </c>
      <c r="C103" s="1411">
        <v>46577</v>
      </c>
      <c r="D103" s="1387">
        <v>44325</v>
      </c>
    </row>
    <row r="104" spans="2:4" s="24" customFormat="1" ht="40.5" customHeight="1" x14ac:dyDescent="0.2">
      <c r="B104" s="1385" t="s">
        <v>478</v>
      </c>
      <c r="C104" s="1386">
        <v>37709</v>
      </c>
      <c r="D104" s="1389">
        <v>64</v>
      </c>
    </row>
    <row r="105" spans="2:4" s="24" customFormat="1" ht="40.5" customHeight="1" x14ac:dyDescent="0.2">
      <c r="B105" s="1385" t="s">
        <v>772</v>
      </c>
      <c r="C105" s="1386">
        <v>8953</v>
      </c>
      <c r="D105" s="1389"/>
    </row>
    <row r="106" spans="2:4" s="24" customFormat="1" ht="40.5" customHeight="1" x14ac:dyDescent="0.2">
      <c r="B106" s="1385" t="s">
        <v>757</v>
      </c>
      <c r="C106" s="1386">
        <v>546705</v>
      </c>
      <c r="D106" s="1389">
        <v>3814</v>
      </c>
    </row>
    <row r="107" spans="2:4" s="24" customFormat="1" ht="40.5" customHeight="1" x14ac:dyDescent="0.2">
      <c r="B107" s="1385" t="s">
        <v>758</v>
      </c>
      <c r="C107" s="1386">
        <v>139223</v>
      </c>
      <c r="D107" s="1389"/>
    </row>
    <row r="108" spans="2:4" s="24" customFormat="1" ht="40.5" customHeight="1" x14ac:dyDescent="0.2">
      <c r="B108" s="1385" t="s">
        <v>587</v>
      </c>
      <c r="C108" s="1386">
        <v>13329</v>
      </c>
      <c r="D108" s="1389">
        <v>12835</v>
      </c>
    </row>
    <row r="109" spans="2:4" s="24" customFormat="1" ht="25.5" customHeight="1" x14ac:dyDescent="0.2">
      <c r="B109" s="1410" t="s">
        <v>499</v>
      </c>
      <c r="C109" s="1411"/>
      <c r="D109" s="1387"/>
    </row>
    <row r="110" spans="2:4" s="24" customFormat="1" ht="25.5" customHeight="1" x14ac:dyDescent="0.2">
      <c r="B110" s="1410" t="s">
        <v>384</v>
      </c>
      <c r="C110" s="1411">
        <v>17434</v>
      </c>
      <c r="D110" s="1387">
        <v>17434</v>
      </c>
    </row>
    <row r="111" spans="2:4" s="24" customFormat="1" ht="25.5" customHeight="1" x14ac:dyDescent="0.2">
      <c r="B111" s="1410" t="s">
        <v>458</v>
      </c>
      <c r="C111" s="1411">
        <v>8259</v>
      </c>
      <c r="D111" s="1387">
        <v>2395</v>
      </c>
    </row>
    <row r="112" spans="2:4" s="24" customFormat="1" ht="25.5" customHeight="1" x14ac:dyDescent="0.2">
      <c r="B112" s="1410" t="s">
        <v>385</v>
      </c>
      <c r="C112" s="1411">
        <v>164258</v>
      </c>
      <c r="D112" s="1387">
        <v>143364</v>
      </c>
    </row>
    <row r="113" spans="1:8" s="24" customFormat="1" ht="25.5" customHeight="1" x14ac:dyDescent="0.2">
      <c r="B113" s="1410" t="s">
        <v>807</v>
      </c>
      <c r="C113" s="1411">
        <v>4320</v>
      </c>
      <c r="D113" s="1387"/>
    </row>
    <row r="114" spans="1:8" s="24" customFormat="1" ht="25.5" customHeight="1" x14ac:dyDescent="0.2">
      <c r="B114" s="1410" t="s">
        <v>759</v>
      </c>
      <c r="C114" s="1411">
        <v>74</v>
      </c>
      <c r="D114" s="1387">
        <v>74</v>
      </c>
    </row>
    <row r="115" spans="1:8" s="24" customFormat="1" ht="40.5" customHeight="1" x14ac:dyDescent="0.2">
      <c r="B115" s="1385" t="s">
        <v>585</v>
      </c>
      <c r="C115" s="1386">
        <v>399955</v>
      </c>
      <c r="D115" s="1389">
        <v>16962</v>
      </c>
    </row>
    <row r="116" spans="1:8" s="24" customFormat="1" ht="40.5" customHeight="1" x14ac:dyDescent="0.2">
      <c r="B116" s="1385" t="s">
        <v>586</v>
      </c>
      <c r="C116" s="1386">
        <v>229975</v>
      </c>
      <c r="D116" s="1389">
        <v>11140</v>
      </c>
    </row>
    <row r="117" spans="1:8" s="24" customFormat="1" ht="25.5" customHeight="1" x14ac:dyDescent="0.2">
      <c r="B117" s="1410" t="s">
        <v>713</v>
      </c>
      <c r="C117" s="1411">
        <v>4364</v>
      </c>
      <c r="D117" s="1387">
        <v>3556</v>
      </c>
    </row>
    <row r="118" spans="1:8" s="24" customFormat="1" ht="40.5" customHeight="1" x14ac:dyDescent="0.2">
      <c r="B118" s="1385" t="s">
        <v>714</v>
      </c>
      <c r="C118" s="1386">
        <v>10085</v>
      </c>
      <c r="D118" s="1389"/>
    </row>
    <row r="119" spans="1:8" ht="24" customHeight="1" thickBot="1" x14ac:dyDescent="0.3">
      <c r="B119" s="1390" t="s">
        <v>906</v>
      </c>
      <c r="C119" s="1412">
        <f>SUM(C39:C118)</f>
        <v>11716704</v>
      </c>
      <c r="D119" s="1413">
        <f>SUM(D39:D118)</f>
        <v>3945622</v>
      </c>
      <c r="E119" s="1414"/>
    </row>
    <row r="125" spans="1:8" ht="15" x14ac:dyDescent="0.2">
      <c r="E125" s="126"/>
      <c r="F125" s="26"/>
      <c r="G125" s="1415"/>
      <c r="H125" s="1416"/>
    </row>
    <row r="126" spans="1:8" x14ac:dyDescent="0.2">
      <c r="E126" s="1416"/>
      <c r="F126" s="1416"/>
      <c r="G126" s="1416"/>
      <c r="H126" s="1416"/>
    </row>
    <row r="127" spans="1:8" s="10" customFormat="1" ht="33.75" customHeight="1" x14ac:dyDescent="0.2">
      <c r="A127" s="31"/>
    </row>
    <row r="129" spans="1:4" s="6" customFormat="1" ht="36" customHeight="1" x14ac:dyDescent="0.2">
      <c r="A129" s="29"/>
    </row>
    <row r="130" spans="1:4" s="6" customFormat="1" ht="21.75" customHeight="1" x14ac:dyDescent="0.2">
      <c r="A130" s="29"/>
    </row>
    <row r="131" spans="1:4" s="6" customFormat="1" ht="36" customHeight="1" x14ac:dyDescent="0.2">
      <c r="A131" s="29"/>
    </row>
    <row r="132" spans="1:4" s="6" customFormat="1" ht="39" customHeight="1" x14ac:dyDescent="0.2">
      <c r="A132" s="29"/>
    </row>
    <row r="133" spans="1:4" s="6" customFormat="1" ht="39" customHeight="1" x14ac:dyDescent="0.2">
      <c r="A133" s="29"/>
    </row>
    <row r="134" spans="1:4" s="6" customFormat="1" ht="36" customHeight="1" x14ac:dyDescent="0.2">
      <c r="A134" s="29"/>
    </row>
    <row r="136" spans="1:4" x14ac:dyDescent="0.2">
      <c r="C136" s="1414">
        <f>SUM(C49:C134)</f>
        <v>23317893</v>
      </c>
      <c r="D136" s="1414">
        <f>SUM(D49:D134)</f>
        <v>7833101</v>
      </c>
    </row>
  </sheetData>
  <mergeCells count="3">
    <mergeCell ref="B1:D1"/>
    <mergeCell ref="B2:D2"/>
    <mergeCell ref="B3:D3"/>
  </mergeCells>
  <printOptions horizontalCentered="1" verticalCentered="1"/>
  <pageMargins left="0.35433070866141736" right="0.19685039370078741" top="0.98425196850393704" bottom="0.98425196850393704" header="0.51181102362204722" footer="0.51181102362204722"/>
  <pageSetup paperSize="9" scale="58" pageOrder="overThenDown" orientation="portrait" r:id="rId1"/>
  <headerFooter alignWithMargins="0">
    <oddHeader>&amp;R&amp;"Arial,Félkövér"&amp;12 21. melléklet a …../2020. (…….) önkormányzati rendelethez</oddHeader>
  </headerFooter>
  <rowBreaks count="2" manualBreakCount="2">
    <brk id="46" min="1" max="3" man="1"/>
    <brk id="86" min="1" max="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H38"/>
  <sheetViews>
    <sheetView zoomScale="75" zoomScaleNormal="75" workbookViewId="0">
      <selection activeCell="J20" sqref="J20"/>
    </sheetView>
  </sheetViews>
  <sheetFormatPr defaultColWidth="10.6640625" defaultRowHeight="15" customHeight="1" x14ac:dyDescent="0.2"/>
  <cols>
    <col min="1" max="1" width="9.33203125" style="24" customWidth="1"/>
    <col min="2" max="2" width="7.6640625" style="24" customWidth="1"/>
    <col min="3" max="3" width="118.33203125" style="24" customWidth="1"/>
    <col min="4" max="5" width="19.1640625" style="24" customWidth="1"/>
    <col min="6" max="6" width="17.6640625" style="24" customWidth="1"/>
    <col min="7" max="8" width="15.6640625" style="24" bestFit="1" customWidth="1"/>
    <col min="9" max="16384" width="10.6640625" style="24"/>
  </cols>
  <sheetData>
    <row r="1" spans="2:8" s="1417" customFormat="1" ht="24" customHeight="1" x14ac:dyDescent="0.25">
      <c r="B1" s="2763" t="s">
        <v>881</v>
      </c>
      <c r="C1" s="2763"/>
      <c r="D1" s="2763"/>
      <c r="E1" s="2763"/>
      <c r="F1" s="2763"/>
      <c r="G1" s="2763"/>
      <c r="H1" s="2763"/>
    </row>
    <row r="2" spans="2:8" s="1417" customFormat="1" ht="24" customHeight="1" x14ac:dyDescent="0.25">
      <c r="B2" s="2764" t="s">
        <v>1390</v>
      </c>
      <c r="C2" s="2764"/>
      <c r="D2" s="2764"/>
      <c r="E2" s="2764"/>
      <c r="F2" s="2764"/>
      <c r="G2" s="2764"/>
      <c r="H2" s="2764"/>
    </row>
    <row r="3" spans="2:8" s="1417" customFormat="1" ht="24" customHeight="1" x14ac:dyDescent="0.25">
      <c r="B3" s="2765" t="s">
        <v>907</v>
      </c>
      <c r="C3" s="2765"/>
      <c r="D3" s="2765"/>
      <c r="E3" s="2765"/>
      <c r="F3" s="2765"/>
      <c r="G3" s="2765"/>
      <c r="H3" s="2765"/>
    </row>
    <row r="4" spans="2:8" s="1419" customFormat="1" ht="18.95" customHeight="1" thickBot="1" x14ac:dyDescent="0.25">
      <c r="B4" s="1418"/>
      <c r="C4" s="1418"/>
      <c r="D4" s="1418"/>
      <c r="E4" s="1418"/>
      <c r="F4" s="1418"/>
      <c r="G4" s="1418"/>
      <c r="H4" s="13" t="s">
        <v>26</v>
      </c>
    </row>
    <row r="5" spans="2:8" ht="18.95" customHeight="1" x14ac:dyDescent="0.25">
      <c r="B5" s="2766" t="s">
        <v>42</v>
      </c>
      <c r="C5" s="2767"/>
      <c r="D5" s="1420" t="s">
        <v>909</v>
      </c>
      <c r="E5" s="1371" t="s">
        <v>909</v>
      </c>
      <c r="F5" s="1421" t="s">
        <v>910</v>
      </c>
      <c r="G5" s="1371" t="s">
        <v>911</v>
      </c>
      <c r="H5" s="1422" t="s">
        <v>1391</v>
      </c>
    </row>
    <row r="6" spans="2:8" ht="18.95" customHeight="1" thickBot="1" x14ac:dyDescent="0.3">
      <c r="B6" s="1423"/>
      <c r="C6" s="1424"/>
      <c r="D6" s="1425" t="s">
        <v>137</v>
      </c>
      <c r="E6" s="1374" t="s">
        <v>138</v>
      </c>
      <c r="F6" s="1426" t="s">
        <v>264</v>
      </c>
      <c r="G6" s="1374" t="s">
        <v>264</v>
      </c>
      <c r="H6" s="1375" t="s">
        <v>264</v>
      </c>
    </row>
    <row r="7" spans="2:8" ht="24.75" customHeight="1" x14ac:dyDescent="0.25">
      <c r="B7" s="1427"/>
      <c r="C7" s="1428" t="s">
        <v>119</v>
      </c>
      <c r="D7" s="1429"/>
      <c r="E7" s="1430"/>
      <c r="F7" s="1431"/>
      <c r="G7" s="1432"/>
      <c r="H7" s="1433"/>
    </row>
    <row r="8" spans="2:8" ht="24.75" customHeight="1" x14ac:dyDescent="0.25">
      <c r="B8" s="2024"/>
      <c r="C8" s="1435" t="s">
        <v>128</v>
      </c>
      <c r="D8" s="2020">
        <v>100000</v>
      </c>
      <c r="E8" s="2021">
        <v>100000</v>
      </c>
      <c r="F8" s="2022">
        <v>50000</v>
      </c>
      <c r="G8" s="2021">
        <v>50000</v>
      </c>
      <c r="H8" s="2023">
        <v>50000</v>
      </c>
    </row>
    <row r="9" spans="2:8" ht="24.75" customHeight="1" x14ac:dyDescent="0.25">
      <c r="B9" s="1434"/>
      <c r="C9" s="144" t="s">
        <v>477</v>
      </c>
      <c r="D9" s="1436">
        <v>0</v>
      </c>
      <c r="E9" s="1437">
        <v>0</v>
      </c>
      <c r="F9" s="126">
        <v>60000</v>
      </c>
      <c r="G9" s="1437">
        <v>140000</v>
      </c>
      <c r="H9" s="1438">
        <v>0</v>
      </c>
    </row>
    <row r="10" spans="2:8" ht="24.75" customHeight="1" thickBot="1" x14ac:dyDescent="0.3">
      <c r="B10" s="1439"/>
      <c r="C10" s="1440"/>
      <c r="D10" s="1441">
        <f>SUM(D8:D9)</f>
        <v>100000</v>
      </c>
      <c r="E10" s="1464">
        <f t="shared" ref="E10:H10" si="0">SUM(E8:E9)</f>
        <v>100000</v>
      </c>
      <c r="F10" s="1464">
        <f t="shared" si="0"/>
        <v>110000</v>
      </c>
      <c r="G10" s="1464">
        <f t="shared" si="0"/>
        <v>190000</v>
      </c>
      <c r="H10" s="1465">
        <f t="shared" si="0"/>
        <v>50000</v>
      </c>
    </row>
    <row r="11" spans="2:8" ht="24.75" customHeight="1" x14ac:dyDescent="0.25">
      <c r="B11" s="1445"/>
      <c r="C11" s="1446" t="s">
        <v>45</v>
      </c>
      <c r="D11" s="1429"/>
      <c r="E11" s="1459"/>
      <c r="F11" s="1459"/>
      <c r="G11" s="1460"/>
      <c r="H11" s="1461"/>
    </row>
    <row r="12" spans="2:8" ht="24.75" customHeight="1" x14ac:dyDescent="0.25">
      <c r="B12" s="1447"/>
      <c r="C12" s="1448" t="s">
        <v>537</v>
      </c>
      <c r="D12" s="1449">
        <v>2946</v>
      </c>
      <c r="E12" s="2032">
        <v>75</v>
      </c>
      <c r="F12" s="2032">
        <v>60000</v>
      </c>
      <c r="G12" s="1450">
        <v>60000</v>
      </c>
      <c r="H12" s="1452">
        <v>60000</v>
      </c>
    </row>
    <row r="13" spans="2:8" ht="24.75" customHeight="1" thickBot="1" x14ac:dyDescent="0.3">
      <c r="B13" s="1427"/>
      <c r="C13" s="1453"/>
      <c r="D13" s="1454">
        <f>SUM(D12)</f>
        <v>2946</v>
      </c>
      <c r="E13" s="2033">
        <f>SUM(E12)</f>
        <v>75</v>
      </c>
      <c r="F13" s="1455">
        <f t="shared" ref="F13:H13" si="1">SUM(F12)</f>
        <v>60000</v>
      </c>
      <c r="G13" s="1455">
        <f t="shared" si="1"/>
        <v>60000</v>
      </c>
      <c r="H13" s="1456">
        <f t="shared" si="1"/>
        <v>60000</v>
      </c>
    </row>
    <row r="14" spans="2:8" ht="24.75" customHeight="1" x14ac:dyDescent="0.25">
      <c r="B14" s="1445"/>
      <c r="C14" s="1446" t="s">
        <v>242</v>
      </c>
      <c r="D14" s="1429"/>
      <c r="E14" s="1459"/>
      <c r="F14" s="1459"/>
      <c r="G14" s="1432"/>
      <c r="H14" s="1433"/>
    </row>
    <row r="15" spans="2:8" ht="24.75" customHeight="1" x14ac:dyDescent="0.25">
      <c r="B15" s="1434"/>
      <c r="C15" s="1457" t="s">
        <v>194</v>
      </c>
      <c r="D15" s="1436">
        <v>102294</v>
      </c>
      <c r="E15" s="1462">
        <v>58546</v>
      </c>
      <c r="F15" s="2032">
        <v>50000</v>
      </c>
      <c r="G15" s="1437">
        <v>50000</v>
      </c>
      <c r="H15" s="1438">
        <v>50000</v>
      </c>
    </row>
    <row r="16" spans="2:8" ht="24.75" customHeight="1" thickBot="1" x14ac:dyDescent="0.3">
      <c r="B16" s="1439"/>
      <c r="C16" s="1440" t="s">
        <v>912</v>
      </c>
      <c r="D16" s="1441">
        <f>SUM(D15:D15)</f>
        <v>102294</v>
      </c>
      <c r="E16" s="1442">
        <f>SUM(E15:E15)</f>
        <v>58546</v>
      </c>
      <c r="F16" s="1443">
        <f>SUM(F15:F15)</f>
        <v>50000</v>
      </c>
      <c r="G16" s="1442">
        <f>SUM(G15:G15)</f>
        <v>50000</v>
      </c>
      <c r="H16" s="1444">
        <f>SUM(H15:H15)</f>
        <v>50000</v>
      </c>
    </row>
    <row r="17" spans="2:8" ht="24.75" customHeight="1" x14ac:dyDescent="0.25">
      <c r="B17" s="1427"/>
      <c r="C17" s="1428" t="s">
        <v>246</v>
      </c>
      <c r="D17" s="1458"/>
      <c r="E17" s="1459"/>
      <c r="F17" s="1430"/>
      <c r="G17" s="1460"/>
      <c r="H17" s="1461"/>
    </row>
    <row r="18" spans="2:8" ht="24.75" customHeight="1" x14ac:dyDescent="0.25">
      <c r="B18" s="1434"/>
      <c r="C18" s="1457" t="s">
        <v>913</v>
      </c>
      <c r="D18" s="2922">
        <v>64100</v>
      </c>
      <c r="E18" s="1462">
        <v>34244</v>
      </c>
      <c r="F18" s="1437">
        <v>10000</v>
      </c>
      <c r="G18" s="1462">
        <v>10000</v>
      </c>
      <c r="H18" s="1463">
        <v>10000</v>
      </c>
    </row>
    <row r="19" spans="2:8" ht="24.75" customHeight="1" thickBot="1" x14ac:dyDescent="0.3">
      <c r="B19" s="2025"/>
      <c r="C19" s="2026"/>
      <c r="D19" s="2027">
        <f>SUM(D18)</f>
        <v>64100</v>
      </c>
      <c r="E19" s="2028">
        <f t="shared" ref="E19:H19" si="2">SUM(E18)</f>
        <v>34244</v>
      </c>
      <c r="F19" s="2029">
        <f t="shared" si="2"/>
        <v>10000</v>
      </c>
      <c r="G19" s="2028">
        <f t="shared" si="2"/>
        <v>10000</v>
      </c>
      <c r="H19" s="2030">
        <f t="shared" si="2"/>
        <v>10000</v>
      </c>
    </row>
    <row r="20" spans="2:8" ht="24.75" customHeight="1" x14ac:dyDescent="0.25">
      <c r="B20" s="1445"/>
      <c r="C20" s="1446" t="s">
        <v>251</v>
      </c>
      <c r="D20" s="1429"/>
      <c r="E20" s="1459"/>
      <c r="F20" s="1459"/>
      <c r="G20" s="1460"/>
      <c r="H20" s="1461"/>
    </row>
    <row r="21" spans="2:8" ht="24.75" customHeight="1" x14ac:dyDescent="0.25">
      <c r="B21" s="1447"/>
      <c r="C21" s="2031" t="s">
        <v>150</v>
      </c>
      <c r="D21" s="1449">
        <v>234282</v>
      </c>
      <c r="E21" s="1450">
        <v>128301</v>
      </c>
      <c r="F21" s="1451">
        <v>61000</v>
      </c>
      <c r="G21" s="1450">
        <v>63000</v>
      </c>
      <c r="H21" s="1452">
        <v>63000</v>
      </c>
    </row>
    <row r="22" spans="2:8" ht="24.75" customHeight="1" thickBot="1" x14ac:dyDescent="0.3">
      <c r="B22" s="1439"/>
      <c r="C22" s="1440" t="s">
        <v>914</v>
      </c>
      <c r="D22" s="1441">
        <f>SUM(D21:D21)</f>
        <v>234282</v>
      </c>
      <c r="E22" s="1442">
        <f>SUM(E21:E21)</f>
        <v>128301</v>
      </c>
      <c r="F22" s="1443">
        <f>SUM(F21:F21)</f>
        <v>61000</v>
      </c>
      <c r="G22" s="1442">
        <f>SUM(G21:G21)</f>
        <v>63000</v>
      </c>
      <c r="H22" s="1444">
        <f>SUM(H21:H21)</f>
        <v>63000</v>
      </c>
    </row>
    <row r="23" spans="2:8" ht="24.75" customHeight="1" x14ac:dyDescent="0.25">
      <c r="B23" s="1445"/>
      <c r="C23" s="1446" t="s">
        <v>47</v>
      </c>
      <c r="D23" s="1429"/>
      <c r="E23" s="1459"/>
      <c r="F23" s="1459"/>
      <c r="G23" s="1460"/>
      <c r="H23" s="1461"/>
    </row>
    <row r="24" spans="2:8" ht="24.75" customHeight="1" x14ac:dyDescent="0.25">
      <c r="B24" s="1447"/>
      <c r="C24" s="2031" t="s">
        <v>1393</v>
      </c>
      <c r="D24" s="1449">
        <v>27728</v>
      </c>
      <c r="E24" s="1450">
        <v>9233</v>
      </c>
      <c r="F24" s="1451">
        <v>5000</v>
      </c>
      <c r="G24" s="1450">
        <v>5000</v>
      </c>
      <c r="H24" s="1452">
        <v>5000</v>
      </c>
    </row>
    <row r="25" spans="2:8" ht="24.75" customHeight="1" thickBot="1" x14ac:dyDescent="0.3">
      <c r="B25" s="1439"/>
      <c r="C25" s="1440"/>
      <c r="D25" s="1441">
        <f>SUM(D24)</f>
        <v>27728</v>
      </c>
      <c r="E25" s="1442">
        <f>SUM(E24)</f>
        <v>9233</v>
      </c>
      <c r="F25" s="1442">
        <f t="shared" ref="F25:H25" si="3">SUM(F24)</f>
        <v>5000</v>
      </c>
      <c r="G25" s="1442">
        <f t="shared" si="3"/>
        <v>5000</v>
      </c>
      <c r="H25" s="1465">
        <f t="shared" si="3"/>
        <v>5000</v>
      </c>
    </row>
    <row r="26" spans="2:8" ht="24.75" customHeight="1" x14ac:dyDescent="0.25">
      <c r="B26" s="1445"/>
      <c r="C26" s="1466" t="s">
        <v>78</v>
      </c>
      <c r="D26" s="1458"/>
      <c r="E26" s="1467"/>
      <c r="F26" s="1468"/>
      <c r="G26" s="1437"/>
      <c r="H26" s="1438"/>
    </row>
    <row r="27" spans="2:8" ht="24.75" customHeight="1" x14ac:dyDescent="0.25">
      <c r="B27" s="1434"/>
      <c r="C27" s="1469" t="s">
        <v>78</v>
      </c>
      <c r="D27" s="1470">
        <v>13569</v>
      </c>
      <c r="E27" s="1471">
        <v>6204</v>
      </c>
      <c r="F27" s="1472">
        <v>10000</v>
      </c>
      <c r="G27" s="1471">
        <v>10000</v>
      </c>
      <c r="H27" s="1473">
        <v>10000</v>
      </c>
    </row>
    <row r="28" spans="2:8" ht="24.75" customHeight="1" thickBot="1" x14ac:dyDescent="0.3">
      <c r="B28" s="1439"/>
      <c r="C28" s="1474"/>
      <c r="D28" s="1441">
        <f>SUM(D27)</f>
        <v>13569</v>
      </c>
      <c r="E28" s="1442">
        <f>SUM(E27)</f>
        <v>6204</v>
      </c>
      <c r="F28" s="1443">
        <f>SUM(F27)</f>
        <v>10000</v>
      </c>
      <c r="G28" s="1442">
        <f>SUM(G27)</f>
        <v>10000</v>
      </c>
      <c r="H28" s="1444">
        <f>SUM(H27)</f>
        <v>10000</v>
      </c>
    </row>
    <row r="29" spans="2:8" ht="24.75" customHeight="1" thickBot="1" x14ac:dyDescent="0.3">
      <c r="B29" s="1475"/>
      <c r="C29" s="1476" t="s">
        <v>824</v>
      </c>
      <c r="D29" s="1477">
        <f>+D10+D13+D16+D19+D22+D28+D25</f>
        <v>544919</v>
      </c>
      <c r="E29" s="1477">
        <f t="shared" ref="E29:H29" si="4">+E10+E13+E16+E19+E22+E28+E25</f>
        <v>336603</v>
      </c>
      <c r="F29" s="1477">
        <f t="shared" si="4"/>
        <v>306000</v>
      </c>
      <c r="G29" s="1477">
        <f t="shared" si="4"/>
        <v>388000</v>
      </c>
      <c r="H29" s="1478">
        <f t="shared" si="4"/>
        <v>248000</v>
      </c>
    </row>
    <row r="30" spans="2:8" ht="24.75" customHeight="1" x14ac:dyDescent="0.25">
      <c r="B30" s="1479"/>
      <c r="C30" s="1428"/>
      <c r="D30" s="1480"/>
      <c r="E30" s="1480"/>
      <c r="F30" s="1480"/>
      <c r="G30" s="1480"/>
      <c r="H30" s="1480"/>
    </row>
    <row r="31" spans="2:8" ht="21.75" customHeight="1" x14ac:dyDescent="0.25">
      <c r="C31" s="1481" t="s">
        <v>915</v>
      </c>
    </row>
    <row r="32" spans="2:8" s="1482" customFormat="1" ht="18.95" customHeight="1" x14ac:dyDescent="0.25">
      <c r="C32" s="1139" t="s">
        <v>916</v>
      </c>
    </row>
    <row r="33" spans="3:3" s="1482" customFormat="1" ht="18.95" customHeight="1" x14ac:dyDescent="0.25">
      <c r="C33" s="1139" t="s">
        <v>1392</v>
      </c>
    </row>
    <row r="34" spans="3:3" s="1482" customFormat="1" ht="18.95" customHeight="1" x14ac:dyDescent="0.25">
      <c r="C34" s="1482" t="s">
        <v>917</v>
      </c>
    </row>
    <row r="35" spans="3:3" ht="18.95" customHeight="1" x14ac:dyDescent="0.2"/>
    <row r="36" spans="3:3" ht="18.95" customHeight="1" x14ac:dyDescent="0.2"/>
    <row r="37" spans="3:3" ht="18.95" customHeight="1" x14ac:dyDescent="0.2"/>
    <row r="38" spans="3:3" ht="18.95" customHeight="1" x14ac:dyDescent="0.2"/>
  </sheetData>
  <mergeCells count="4">
    <mergeCell ref="B1:H1"/>
    <mergeCell ref="B2:H2"/>
    <mergeCell ref="B3:H3"/>
    <mergeCell ref="B5:C5"/>
  </mergeCells>
  <printOptions horizontalCentered="1" verticalCentered="1"/>
  <pageMargins left="0.19685039370078741" right="0.19685039370078741" top="0.19685039370078741" bottom="0.19685039370078741" header="0.51181102362204722" footer="0.39370078740157483"/>
  <pageSetup paperSize="9" scale="60" orientation="portrait" r:id="rId1"/>
  <headerFooter alignWithMargins="0">
    <oddHeader xml:space="preserve">&amp;C
&amp;R&amp;"Arial CE,Normál"&amp;18 &amp;"Arial CE,Félkövér"&amp;14 22. melléklet a …../2020. (…….) önkormányzati rendelethez&amp;"Arial CE,Normál"&amp;18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4:H139"/>
  <sheetViews>
    <sheetView zoomScale="85" zoomScaleNormal="85" zoomScaleSheetLayoutView="80" workbookViewId="0">
      <selection activeCell="Q14" sqref="Q14"/>
    </sheetView>
  </sheetViews>
  <sheetFormatPr defaultColWidth="10.6640625" defaultRowHeight="12.75" x14ac:dyDescent="0.2"/>
  <cols>
    <col min="1" max="1" width="4.6640625" style="1483" customWidth="1"/>
    <col min="2" max="2" width="9.33203125" style="1561" customWidth="1"/>
    <col min="3" max="3" width="10.6640625" style="1483" customWidth="1"/>
    <col min="4" max="4" width="57.33203125" style="1483" customWidth="1"/>
    <col min="5" max="5" width="27.33203125" style="1483" customWidth="1"/>
    <col min="6" max="7" width="30.6640625" style="1483" customWidth="1"/>
    <col min="8" max="16384" width="10.6640625" style="1483"/>
  </cols>
  <sheetData>
    <row r="4" spans="2:8" ht="17.25" customHeight="1" x14ac:dyDescent="0.25">
      <c r="B4" s="2775" t="s">
        <v>1389</v>
      </c>
      <c r="C4" s="2775"/>
      <c r="D4" s="2775"/>
      <c r="E4" s="2775"/>
      <c r="F4" s="2775"/>
      <c r="G4" s="2775"/>
    </row>
    <row r="5" spans="2:8" s="1484" customFormat="1" ht="18.75" x14ac:dyDescent="0.3">
      <c r="B5" s="2776" t="s">
        <v>918</v>
      </c>
      <c r="C5" s="2776"/>
      <c r="D5" s="2776"/>
      <c r="E5" s="2776"/>
      <c r="F5" s="2777"/>
      <c r="G5" s="2777"/>
    </row>
    <row r="6" spans="2:8" s="1484" customFormat="1" ht="16.5" thickBot="1" x14ac:dyDescent="0.3">
      <c r="B6" s="1485"/>
      <c r="C6" s="1485"/>
      <c r="D6" s="1485"/>
      <c r="E6" s="1485"/>
      <c r="F6" s="13"/>
      <c r="G6" s="13" t="s">
        <v>26</v>
      </c>
    </row>
    <row r="7" spans="2:8" s="1484" customFormat="1" ht="20.25" customHeight="1" x14ac:dyDescent="0.25">
      <c r="B7" s="1486"/>
      <c r="C7" s="2778" t="s">
        <v>42</v>
      </c>
      <c r="D7" s="2779"/>
      <c r="E7" s="1487"/>
      <c r="F7" s="1488" t="s">
        <v>908</v>
      </c>
      <c r="G7" s="1488" t="s">
        <v>1375</v>
      </c>
    </row>
    <row r="8" spans="2:8" s="1484" customFormat="1" ht="16.5" customHeight="1" x14ac:dyDescent="0.25">
      <c r="B8" s="1489"/>
      <c r="C8" s="1489"/>
      <c r="D8" s="1490"/>
      <c r="E8" s="1491"/>
      <c r="F8" s="1492" t="s">
        <v>921</v>
      </c>
      <c r="G8" s="1492" t="s">
        <v>921</v>
      </c>
    </row>
    <row r="9" spans="2:8" s="1484" customFormat="1" ht="16.5" customHeight="1" thickBot="1" x14ac:dyDescent="0.3">
      <c r="B9" s="1493"/>
      <c r="C9" s="1493"/>
      <c r="D9" s="1494"/>
      <c r="E9" s="1495"/>
      <c r="F9" s="1496" t="s">
        <v>922</v>
      </c>
      <c r="G9" s="1496" t="s">
        <v>1376</v>
      </c>
    </row>
    <row r="10" spans="2:8" s="1484" customFormat="1" ht="16.5" customHeight="1" x14ac:dyDescent="0.25">
      <c r="B10" s="1489"/>
      <c r="C10" s="1489"/>
      <c r="D10" s="1490"/>
      <c r="E10" s="1491"/>
      <c r="F10" s="1497"/>
      <c r="G10" s="1497"/>
    </row>
    <row r="11" spans="2:8" s="1484" customFormat="1" ht="14.25" customHeight="1" x14ac:dyDescent="0.2">
      <c r="B11" s="1498"/>
      <c r="C11" s="1499" t="s">
        <v>923</v>
      </c>
      <c r="D11" s="1500"/>
      <c r="E11" s="1501" t="s">
        <v>924</v>
      </c>
      <c r="F11" s="1502">
        <v>15971</v>
      </c>
      <c r="G11" s="1502">
        <v>10318</v>
      </c>
    </row>
    <row r="12" spans="2:8" s="1484" customFormat="1" ht="15" x14ac:dyDescent="0.2">
      <c r="B12" s="1498"/>
      <c r="C12" s="1499"/>
      <c r="D12" s="1500"/>
      <c r="E12" s="1501" t="s">
        <v>925</v>
      </c>
      <c r="F12" s="1502">
        <v>10705</v>
      </c>
      <c r="G12" s="1502">
        <v>3715</v>
      </c>
    </row>
    <row r="13" spans="2:8" s="1484" customFormat="1" ht="16.5" customHeight="1" x14ac:dyDescent="0.25">
      <c r="B13" s="1503" t="s">
        <v>926</v>
      </c>
      <c r="C13" s="1504" t="s">
        <v>923</v>
      </c>
      <c r="D13" s="1505"/>
      <c r="E13" s="1506" t="s">
        <v>927</v>
      </c>
      <c r="F13" s="1507">
        <f>SUM(F11:F12)</f>
        <v>26676</v>
      </c>
      <c r="G13" s="1507">
        <f>SUM(G11:G12)</f>
        <v>14033</v>
      </c>
    </row>
    <row r="14" spans="2:8" s="1484" customFormat="1" ht="15.6" customHeight="1" x14ac:dyDescent="0.25">
      <c r="B14" s="1508"/>
      <c r="C14" s="1509"/>
      <c r="D14" s="1510"/>
      <c r="E14" s="1491"/>
      <c r="F14" s="1511"/>
      <c r="G14" s="1511"/>
    </row>
    <row r="15" spans="2:8" s="1484" customFormat="1" ht="15" customHeight="1" x14ac:dyDescent="0.2">
      <c r="B15" s="1498"/>
      <c r="C15" s="1499" t="s">
        <v>928</v>
      </c>
      <c r="D15" s="1500"/>
      <c r="E15" s="1501" t="s">
        <v>924</v>
      </c>
      <c r="F15" s="1502">
        <v>7929</v>
      </c>
      <c r="G15" s="1502">
        <v>2991</v>
      </c>
      <c r="H15" s="1512"/>
    </row>
    <row r="16" spans="2:8" s="1484" customFormat="1" ht="15" x14ac:dyDescent="0.2">
      <c r="B16" s="1498"/>
      <c r="C16" s="1499"/>
      <c r="D16" s="1500"/>
      <c r="E16" s="1501" t="s">
        <v>925</v>
      </c>
      <c r="F16" s="1502">
        <v>0</v>
      </c>
      <c r="G16" s="1502">
        <v>230</v>
      </c>
    </row>
    <row r="17" spans="2:7" s="1484" customFormat="1" ht="16.5" customHeight="1" x14ac:dyDescent="0.25">
      <c r="B17" s="1503" t="s">
        <v>929</v>
      </c>
      <c r="C17" s="1504" t="s">
        <v>928</v>
      </c>
      <c r="D17" s="1505"/>
      <c r="E17" s="1506" t="s">
        <v>927</v>
      </c>
      <c r="F17" s="1507">
        <f>SUM(F15:F16)</f>
        <v>7929</v>
      </c>
      <c r="G17" s="1507">
        <f>SUM(G15:G16)</f>
        <v>3221</v>
      </c>
    </row>
    <row r="18" spans="2:7" s="1484" customFormat="1" ht="15.6" customHeight="1" x14ac:dyDescent="0.25">
      <c r="B18" s="1508"/>
      <c r="C18" s="1509"/>
      <c r="D18" s="2921"/>
      <c r="E18" s="1491"/>
      <c r="F18" s="1511"/>
      <c r="G18" s="1511"/>
    </row>
    <row r="19" spans="2:7" s="1484" customFormat="1" ht="15" x14ac:dyDescent="0.2">
      <c r="B19" s="1498"/>
      <c r="C19" s="1513" t="s">
        <v>930</v>
      </c>
      <c r="D19" s="1500"/>
      <c r="E19" s="1501" t="s">
        <v>924</v>
      </c>
      <c r="F19" s="1502">
        <f>+F11+F15</f>
        <v>23900</v>
      </c>
      <c r="G19" s="1502">
        <f>+G11+G15</f>
        <v>13309</v>
      </c>
    </row>
    <row r="20" spans="2:7" s="1484" customFormat="1" ht="15" x14ac:dyDescent="0.2">
      <c r="B20" s="1498"/>
      <c r="C20" s="1499"/>
      <c r="D20" s="1500"/>
      <c r="E20" s="1501" t="s">
        <v>925</v>
      </c>
      <c r="F20" s="1502">
        <f>+F12+F16</f>
        <v>10705</v>
      </c>
      <c r="G20" s="1502">
        <f>+G12+G16</f>
        <v>3945</v>
      </c>
    </row>
    <row r="21" spans="2:7" s="1484" customFormat="1" ht="16.5" customHeight="1" thickBot="1" x14ac:dyDescent="0.3">
      <c r="B21" s="1514" t="s">
        <v>931</v>
      </c>
      <c r="C21" s="1515" t="s">
        <v>932</v>
      </c>
      <c r="D21" s="1516"/>
      <c r="E21" s="1517" t="s">
        <v>927</v>
      </c>
      <c r="F21" s="1518">
        <f>SUM(F19:F20)</f>
        <v>34605</v>
      </c>
      <c r="G21" s="1518">
        <f>SUM(G19:G20)</f>
        <v>17254</v>
      </c>
    </row>
    <row r="22" spans="2:7" s="1484" customFormat="1" ht="15.6" customHeight="1" x14ac:dyDescent="0.25">
      <c r="B22" s="1508"/>
      <c r="C22" s="1509"/>
      <c r="D22" s="1510"/>
      <c r="E22" s="1509"/>
      <c r="F22" s="1519"/>
      <c r="G22" s="1519"/>
    </row>
    <row r="23" spans="2:7" s="1484" customFormat="1" ht="14.25" customHeight="1" x14ac:dyDescent="0.2">
      <c r="B23" s="1498"/>
      <c r="C23" s="1499" t="s">
        <v>933</v>
      </c>
      <c r="D23" s="1500"/>
      <c r="E23" s="1499" t="s">
        <v>924</v>
      </c>
      <c r="F23" s="1520">
        <v>5378132</v>
      </c>
      <c r="G23" s="1520">
        <f>5374453-1</f>
        <v>5374452</v>
      </c>
    </row>
    <row r="24" spans="2:7" s="1484" customFormat="1" ht="15" x14ac:dyDescent="0.2">
      <c r="B24" s="1498"/>
      <c r="C24" s="1499"/>
      <c r="D24" s="1500"/>
      <c r="E24" s="1499" t="s">
        <v>925</v>
      </c>
      <c r="F24" s="1520">
        <v>59412609</v>
      </c>
      <c r="G24" s="1520">
        <v>65114130</v>
      </c>
    </row>
    <row r="25" spans="2:7" s="1484" customFormat="1" ht="16.5" customHeight="1" x14ac:dyDescent="0.25">
      <c r="B25" s="1503" t="s">
        <v>934</v>
      </c>
      <c r="C25" s="1504" t="s">
        <v>935</v>
      </c>
      <c r="D25" s="1505"/>
      <c r="E25" s="1504" t="s">
        <v>927</v>
      </c>
      <c r="F25" s="1521">
        <f>SUM(F23:F24)</f>
        <v>64790741</v>
      </c>
      <c r="G25" s="1521">
        <f>SUM(G23:G24)</f>
        <v>70488582</v>
      </c>
    </row>
    <row r="26" spans="2:7" s="1484" customFormat="1" ht="15.6" customHeight="1" x14ac:dyDescent="0.25">
      <c r="B26" s="1508"/>
      <c r="C26" s="1509"/>
      <c r="D26" s="1510"/>
      <c r="E26" s="1509"/>
      <c r="F26" s="1522"/>
      <c r="G26" s="1522"/>
    </row>
    <row r="27" spans="2:7" s="1484" customFormat="1" ht="15" customHeight="1" x14ac:dyDescent="0.2">
      <c r="B27" s="1498"/>
      <c r="C27" s="1499" t="s">
        <v>936</v>
      </c>
      <c r="D27" s="1500"/>
      <c r="E27" s="1499" t="s">
        <v>924</v>
      </c>
      <c r="F27" s="1520">
        <v>340164</v>
      </c>
      <c r="G27" s="1520">
        <f>347908+1</f>
        <v>347909</v>
      </c>
    </row>
    <row r="28" spans="2:7" s="1484" customFormat="1" ht="15" x14ac:dyDescent="0.2">
      <c r="B28" s="1498"/>
      <c r="C28" s="1499"/>
      <c r="D28" s="1500"/>
      <c r="E28" s="1499" t="s">
        <v>925</v>
      </c>
      <c r="F28" s="1520">
        <v>1202703</v>
      </c>
      <c r="G28" s="1520">
        <v>1641304</v>
      </c>
    </row>
    <row r="29" spans="2:7" s="1484" customFormat="1" ht="17.25" customHeight="1" x14ac:dyDescent="0.25">
      <c r="B29" s="1503" t="s">
        <v>937</v>
      </c>
      <c r="C29" s="1504" t="s">
        <v>936</v>
      </c>
      <c r="D29" s="1505"/>
      <c r="E29" s="1504" t="s">
        <v>927</v>
      </c>
      <c r="F29" s="1521">
        <f>SUM(F27:F28)</f>
        <v>1542867</v>
      </c>
      <c r="G29" s="1521">
        <f>SUM(G27:G28)</f>
        <v>1989213</v>
      </c>
    </row>
    <row r="30" spans="2:7" s="1484" customFormat="1" ht="15.6" customHeight="1" x14ac:dyDescent="0.25">
      <c r="B30" s="1508"/>
      <c r="C30" s="1509"/>
      <c r="D30" s="1510"/>
      <c r="E30" s="1509"/>
      <c r="F30" s="1522"/>
      <c r="G30" s="1522"/>
    </row>
    <row r="31" spans="2:7" s="1484" customFormat="1" ht="15" x14ac:dyDescent="0.2">
      <c r="B31" s="1498"/>
      <c r="C31" s="1499" t="s">
        <v>938</v>
      </c>
      <c r="D31" s="1500"/>
      <c r="E31" s="1499" t="s">
        <v>924</v>
      </c>
      <c r="F31" s="1520">
        <v>0</v>
      </c>
      <c r="G31" s="1520">
        <v>0</v>
      </c>
    </row>
    <row r="32" spans="2:7" s="1484" customFormat="1" ht="15" x14ac:dyDescent="0.2">
      <c r="B32" s="1498"/>
      <c r="C32" s="1499"/>
      <c r="D32" s="1500"/>
      <c r="E32" s="1499" t="s">
        <v>925</v>
      </c>
      <c r="F32" s="1520">
        <v>0</v>
      </c>
      <c r="G32" s="1520"/>
    </row>
    <row r="33" spans="2:7" s="1484" customFormat="1" ht="16.5" customHeight="1" x14ac:dyDescent="0.25">
      <c r="B33" s="1503" t="s">
        <v>939</v>
      </c>
      <c r="C33" s="1504" t="s">
        <v>938</v>
      </c>
      <c r="D33" s="1505"/>
      <c r="E33" s="1504" t="s">
        <v>927</v>
      </c>
      <c r="F33" s="1521">
        <f>SUM(F31:F32)</f>
        <v>0</v>
      </c>
      <c r="G33" s="1521">
        <f>SUM(G31:G32)</f>
        <v>0</v>
      </c>
    </row>
    <row r="34" spans="2:7" s="1484" customFormat="1" ht="15.6" customHeight="1" x14ac:dyDescent="0.25">
      <c r="B34" s="1508"/>
      <c r="C34" s="1509"/>
      <c r="D34" s="1510"/>
      <c r="E34" s="1509"/>
      <c r="F34" s="1522"/>
      <c r="G34" s="1522"/>
    </row>
    <row r="35" spans="2:7" s="1484" customFormat="1" ht="15" x14ac:dyDescent="0.2">
      <c r="B35" s="1498"/>
      <c r="C35" s="1499" t="s">
        <v>940</v>
      </c>
      <c r="D35" s="1500"/>
      <c r="E35" s="1499" t="s">
        <v>924</v>
      </c>
      <c r="F35" s="1520">
        <v>46282</v>
      </c>
      <c r="G35" s="1520">
        <v>15500</v>
      </c>
    </row>
    <row r="36" spans="2:7" s="1484" customFormat="1" ht="15" x14ac:dyDescent="0.2">
      <c r="B36" s="1498"/>
      <c r="C36" s="1499"/>
      <c r="D36" s="1500"/>
      <c r="E36" s="1499" t="s">
        <v>925</v>
      </c>
      <c r="F36" s="1520">
        <v>3322266</v>
      </c>
      <c r="G36" s="1520">
        <v>4277368</v>
      </c>
    </row>
    <row r="37" spans="2:7" s="1484" customFormat="1" ht="16.5" customHeight="1" x14ac:dyDescent="0.25">
      <c r="B37" s="1503" t="s">
        <v>941</v>
      </c>
      <c r="C37" s="1504" t="s">
        <v>251</v>
      </c>
      <c r="D37" s="1505"/>
      <c r="E37" s="1504" t="s">
        <v>927</v>
      </c>
      <c r="F37" s="1521">
        <f>SUM(F35:F36)</f>
        <v>3368548</v>
      </c>
      <c r="G37" s="1521">
        <f>SUM(G35:G36)</f>
        <v>4292868</v>
      </c>
    </row>
    <row r="38" spans="2:7" s="1484" customFormat="1" ht="15.6" customHeight="1" x14ac:dyDescent="0.25">
      <c r="B38" s="1508"/>
      <c r="C38" s="1509"/>
      <c r="D38" s="1510"/>
      <c r="E38" s="1509"/>
      <c r="F38" s="1522"/>
      <c r="G38" s="1522"/>
    </row>
    <row r="39" spans="2:7" s="1484" customFormat="1" ht="15" customHeight="1" x14ac:dyDescent="0.2">
      <c r="B39" s="1498"/>
      <c r="C39" s="1513" t="s">
        <v>942</v>
      </c>
      <c r="D39" s="1500"/>
      <c r="E39" s="1499" t="s">
        <v>924</v>
      </c>
      <c r="F39" s="1520">
        <f>F23+F27+F35+F31</f>
        <v>5764578</v>
      </c>
      <c r="G39" s="1520">
        <f>G23+G27+G35+G31</f>
        <v>5737861</v>
      </c>
    </row>
    <row r="40" spans="2:7" s="1484" customFormat="1" ht="15" x14ac:dyDescent="0.2">
      <c r="B40" s="1498"/>
      <c r="C40" s="1499"/>
      <c r="D40" s="1500"/>
      <c r="E40" s="1499" t="s">
        <v>925</v>
      </c>
      <c r="F40" s="1520">
        <f>F24+F28+F36+F32</f>
        <v>63937578</v>
      </c>
      <c r="G40" s="1520">
        <f>G24+G28+G36+G32</f>
        <v>71032802</v>
      </c>
    </row>
    <row r="41" spans="2:7" s="1484" customFormat="1" ht="16.5" customHeight="1" thickBot="1" x14ac:dyDescent="0.3">
      <c r="B41" s="1514" t="s">
        <v>943</v>
      </c>
      <c r="C41" s="1515" t="s">
        <v>942</v>
      </c>
      <c r="D41" s="1516"/>
      <c r="E41" s="1515" t="s">
        <v>927</v>
      </c>
      <c r="F41" s="1523">
        <f>SUM(F39:F40)</f>
        <v>69702156</v>
      </c>
      <c r="G41" s="1523">
        <f>SUM(G39:G40)</f>
        <v>76770663</v>
      </c>
    </row>
    <row r="42" spans="2:7" s="1484" customFormat="1" ht="15.6" customHeight="1" x14ac:dyDescent="0.25">
      <c r="B42" s="1508"/>
      <c r="C42" s="1509"/>
      <c r="D42" s="1510"/>
      <c r="E42" s="1491"/>
      <c r="F42" s="1524"/>
      <c r="G42" s="1524"/>
    </row>
    <row r="43" spans="2:7" s="1484" customFormat="1" ht="15" customHeight="1" x14ac:dyDescent="0.2">
      <c r="B43" s="1498"/>
      <c r="C43" s="1499" t="s">
        <v>944</v>
      </c>
      <c r="D43" s="1500"/>
      <c r="E43" s="1501" t="s">
        <v>924</v>
      </c>
      <c r="F43" s="1502">
        <v>0</v>
      </c>
      <c r="G43" s="1502">
        <v>0</v>
      </c>
    </row>
    <row r="44" spans="2:7" s="1484" customFormat="1" ht="15" x14ac:dyDescent="0.2">
      <c r="B44" s="1498"/>
      <c r="C44" s="1499"/>
      <c r="D44" s="1500"/>
      <c r="E44" s="1501" t="s">
        <v>925</v>
      </c>
      <c r="F44" s="1502">
        <v>6477567</v>
      </c>
      <c r="G44" s="1502">
        <v>6465367</v>
      </c>
    </row>
    <row r="45" spans="2:7" s="1484" customFormat="1" ht="16.5" customHeight="1" x14ac:dyDescent="0.25">
      <c r="B45" s="1503" t="s">
        <v>945</v>
      </c>
      <c r="C45" s="1504" t="s">
        <v>946</v>
      </c>
      <c r="D45" s="1505"/>
      <c r="E45" s="1506" t="s">
        <v>927</v>
      </c>
      <c r="F45" s="1507">
        <f>SUM(F43:F44)</f>
        <v>6477567</v>
      </c>
      <c r="G45" s="1507">
        <f>SUM(G43:G44)</f>
        <v>6465367</v>
      </c>
    </row>
    <row r="46" spans="2:7" s="1484" customFormat="1" ht="15.6" customHeight="1" x14ac:dyDescent="0.25">
      <c r="B46" s="1508"/>
      <c r="C46" s="1509"/>
      <c r="D46" s="1510"/>
      <c r="E46" s="1491"/>
      <c r="F46" s="1511"/>
      <c r="G46" s="1511"/>
    </row>
    <row r="47" spans="2:7" s="1484" customFormat="1" ht="15.75" customHeight="1" x14ac:dyDescent="0.2">
      <c r="B47" s="1498"/>
      <c r="C47" s="1499" t="s">
        <v>947</v>
      </c>
      <c r="D47" s="1500"/>
      <c r="E47" s="1501" t="s">
        <v>924</v>
      </c>
      <c r="F47" s="1502">
        <v>0</v>
      </c>
      <c r="G47" s="1502">
        <v>0</v>
      </c>
    </row>
    <row r="48" spans="2:7" s="1484" customFormat="1" ht="15" x14ac:dyDescent="0.2">
      <c r="B48" s="1498"/>
      <c r="C48" s="1499"/>
      <c r="D48" s="1500"/>
      <c r="E48" s="1501" t="s">
        <v>925</v>
      </c>
      <c r="F48" s="1502">
        <v>0</v>
      </c>
      <c r="G48" s="1502">
        <v>0</v>
      </c>
    </row>
    <row r="49" spans="2:7" s="1484" customFormat="1" ht="16.5" customHeight="1" x14ac:dyDescent="0.25">
      <c r="B49" s="1503" t="s">
        <v>948</v>
      </c>
      <c r="C49" s="1504" t="s">
        <v>947</v>
      </c>
      <c r="D49" s="1505"/>
      <c r="E49" s="1506" t="s">
        <v>927</v>
      </c>
      <c r="F49" s="1521">
        <f>SUM(F48:F48)</f>
        <v>0</v>
      </c>
      <c r="G49" s="1521">
        <f>SUM(G48:G48)</f>
        <v>0</v>
      </c>
    </row>
    <row r="50" spans="2:7" s="1484" customFormat="1" ht="15.6" customHeight="1" x14ac:dyDescent="0.25">
      <c r="B50" s="1508"/>
      <c r="C50" s="1509"/>
      <c r="D50" s="1510"/>
      <c r="E50" s="1491"/>
      <c r="F50" s="1522"/>
      <c r="G50" s="1522"/>
    </row>
    <row r="51" spans="2:7" s="1484" customFormat="1" ht="15.75" customHeight="1" x14ac:dyDescent="0.2">
      <c r="B51" s="1498"/>
      <c r="C51" s="1513" t="s">
        <v>949</v>
      </c>
      <c r="D51" s="1500"/>
      <c r="E51" s="1501" t="s">
        <v>924</v>
      </c>
      <c r="F51" s="1520">
        <f>F43+F47</f>
        <v>0</v>
      </c>
      <c r="G51" s="1520">
        <f>G43+G47</f>
        <v>0</v>
      </c>
    </row>
    <row r="52" spans="2:7" s="1484" customFormat="1" ht="15.75" x14ac:dyDescent="0.25">
      <c r="B52" s="1498"/>
      <c r="C52" s="1509"/>
      <c r="D52" s="1500"/>
      <c r="E52" s="1501" t="s">
        <v>925</v>
      </c>
      <c r="F52" s="1520">
        <f>F44+F48</f>
        <v>6477567</v>
      </c>
      <c r="G52" s="1520">
        <f>G44+G48</f>
        <v>6465367</v>
      </c>
    </row>
    <row r="53" spans="2:7" s="1484" customFormat="1" ht="16.5" customHeight="1" thickBot="1" x14ac:dyDescent="0.3">
      <c r="B53" s="1514" t="s">
        <v>950</v>
      </c>
      <c r="C53" s="1515" t="s">
        <v>949</v>
      </c>
      <c r="D53" s="1516"/>
      <c r="E53" s="1517" t="s">
        <v>927</v>
      </c>
      <c r="F53" s="1523">
        <f>SUM(F51:F52)</f>
        <v>6477567</v>
      </c>
      <c r="G53" s="1523">
        <f>SUM(G51:G52)</f>
        <v>6465367</v>
      </c>
    </row>
    <row r="54" spans="2:7" s="1484" customFormat="1" ht="15.6" customHeight="1" x14ac:dyDescent="0.25">
      <c r="B54" s="1508"/>
      <c r="C54" s="1509"/>
      <c r="D54" s="1510"/>
      <c r="E54" s="1491"/>
      <c r="F54" s="1511"/>
      <c r="G54" s="1511"/>
    </row>
    <row r="55" spans="2:7" s="1484" customFormat="1" ht="16.5" customHeight="1" x14ac:dyDescent="0.2">
      <c r="B55" s="1498"/>
      <c r="C55" s="1499" t="s">
        <v>951</v>
      </c>
      <c r="D55" s="1500"/>
      <c r="E55" s="1501" t="s">
        <v>924</v>
      </c>
      <c r="F55" s="1502">
        <v>0</v>
      </c>
      <c r="G55" s="1502">
        <v>0</v>
      </c>
    </row>
    <row r="56" spans="2:7" s="1484" customFormat="1" ht="15" x14ac:dyDescent="0.2">
      <c r="B56" s="1498"/>
      <c r="C56" s="1499"/>
      <c r="D56" s="1500"/>
      <c r="E56" s="1501" t="s">
        <v>925</v>
      </c>
      <c r="F56" s="1502">
        <v>815869</v>
      </c>
      <c r="G56" s="1502">
        <v>815638</v>
      </c>
    </row>
    <row r="57" spans="2:7" s="1484" customFormat="1" ht="38.25" customHeight="1" thickBot="1" x14ac:dyDescent="0.3">
      <c r="B57" s="1525" t="s">
        <v>952</v>
      </c>
      <c r="C57" s="2780" t="s">
        <v>953</v>
      </c>
      <c r="D57" s="2781"/>
      <c r="E57" s="1526" t="s">
        <v>927</v>
      </c>
      <c r="F57" s="1527">
        <f>SUM(F55:F56)</f>
        <v>815869</v>
      </c>
      <c r="G57" s="1527">
        <f>SUM(G55:G56)</f>
        <v>815638</v>
      </c>
    </row>
    <row r="58" spans="2:7" s="1484" customFormat="1" ht="15.6" customHeight="1" x14ac:dyDescent="0.25">
      <c r="B58" s="1528"/>
      <c r="C58" s="1529"/>
      <c r="D58" s="1530"/>
      <c r="E58" s="1487"/>
      <c r="F58" s="1519"/>
      <c r="G58" s="1519"/>
    </row>
    <row r="59" spans="2:7" s="1484" customFormat="1" ht="15" customHeight="1" x14ac:dyDescent="0.25">
      <c r="B59" s="1498"/>
      <c r="C59" s="2768" t="s">
        <v>954</v>
      </c>
      <c r="D59" s="2782"/>
      <c r="E59" s="1501" t="s">
        <v>924</v>
      </c>
      <c r="F59" s="1520">
        <f>+F19+F39+F51+F55</f>
        <v>5788478</v>
      </c>
      <c r="G59" s="1520">
        <f>+G19+G39+G51+G55</f>
        <v>5751170</v>
      </c>
    </row>
    <row r="60" spans="2:7" s="1484" customFormat="1" ht="15.75" thickBot="1" x14ac:dyDescent="0.25">
      <c r="B60" s="1531"/>
      <c r="C60" s="1532"/>
      <c r="D60" s="1533"/>
      <c r="E60" s="1534" t="s">
        <v>925</v>
      </c>
      <c r="F60" s="1535">
        <f>+F20+F40+F52+F56</f>
        <v>71241719</v>
      </c>
      <c r="G60" s="1535">
        <f>+G20+G40+G52+G56</f>
        <v>78317752</v>
      </c>
    </row>
    <row r="61" spans="2:7" s="1484" customFormat="1" ht="39.75" customHeight="1" thickBot="1" x14ac:dyDescent="0.3">
      <c r="B61" s="1536" t="s">
        <v>955</v>
      </c>
      <c r="C61" s="2783" t="s">
        <v>954</v>
      </c>
      <c r="D61" s="2782"/>
      <c r="E61" s="1537" t="s">
        <v>927</v>
      </c>
      <c r="F61" s="1538">
        <f>SUM(F59:F60)</f>
        <v>77030197</v>
      </c>
      <c r="G61" s="1538">
        <f>SUM(G59:G60)</f>
        <v>84068922</v>
      </c>
    </row>
    <row r="62" spans="2:7" s="1484" customFormat="1" ht="16.5" customHeight="1" x14ac:dyDescent="0.25">
      <c r="B62" s="1486"/>
      <c r="C62" s="1486"/>
      <c r="D62" s="1539"/>
      <c r="E62" s="1487"/>
      <c r="F62" s="1488"/>
      <c r="G62" s="1488"/>
    </row>
    <row r="63" spans="2:7" s="1484" customFormat="1" ht="15" customHeight="1" x14ac:dyDescent="0.2">
      <c r="B63" s="1498"/>
      <c r="C63" s="1499" t="s">
        <v>956</v>
      </c>
      <c r="D63" s="1500"/>
      <c r="E63" s="1501" t="s">
        <v>924</v>
      </c>
      <c r="F63" s="1520">
        <v>22522</v>
      </c>
      <c r="G63" s="1520">
        <v>24167</v>
      </c>
    </row>
    <row r="64" spans="2:7" s="1484" customFormat="1" ht="15" x14ac:dyDescent="0.2">
      <c r="B64" s="1540"/>
      <c r="C64" s="1499"/>
      <c r="D64" s="1500"/>
      <c r="E64" s="1501" t="s">
        <v>925</v>
      </c>
      <c r="F64" s="1520">
        <v>0</v>
      </c>
      <c r="G64" s="1520">
        <v>0</v>
      </c>
    </row>
    <row r="65" spans="2:7" s="1484" customFormat="1" ht="16.5" customHeight="1" thickBot="1" x14ac:dyDescent="0.3">
      <c r="B65" s="1541" t="s">
        <v>957</v>
      </c>
      <c r="C65" s="1515" t="s">
        <v>956</v>
      </c>
      <c r="D65" s="1516"/>
      <c r="E65" s="1517" t="s">
        <v>927</v>
      </c>
      <c r="F65" s="1523">
        <f>SUM(F63:F64)</f>
        <v>22522</v>
      </c>
      <c r="G65" s="1523">
        <f>SUM(G63:G64)</f>
        <v>24167</v>
      </c>
    </row>
    <row r="66" spans="2:7" s="1484" customFormat="1" ht="11.1" customHeight="1" x14ac:dyDescent="0.2">
      <c r="B66" s="1498"/>
      <c r="C66" s="1499"/>
      <c r="D66" s="1500"/>
      <c r="E66" s="1501"/>
      <c r="F66" s="1502"/>
      <c r="G66" s="1502"/>
    </row>
    <row r="67" spans="2:7" s="1484" customFormat="1" ht="15" x14ac:dyDescent="0.2">
      <c r="B67" s="1498"/>
      <c r="C67" s="1499" t="s">
        <v>958</v>
      </c>
      <c r="D67" s="1500"/>
      <c r="E67" s="1501" t="s">
        <v>924</v>
      </c>
      <c r="F67" s="1502">
        <v>0</v>
      </c>
      <c r="G67" s="1502">
        <v>0</v>
      </c>
    </row>
    <row r="68" spans="2:7" s="1484" customFormat="1" ht="15" x14ac:dyDescent="0.2">
      <c r="B68" s="1498"/>
      <c r="C68" s="1499"/>
      <c r="D68" s="1500"/>
      <c r="E68" s="1501" t="s">
        <v>925</v>
      </c>
      <c r="F68" s="1502">
        <v>0</v>
      </c>
      <c r="G68" s="1502"/>
    </row>
    <row r="69" spans="2:7" s="1484" customFormat="1" ht="16.5" customHeight="1" thickBot="1" x14ac:dyDescent="0.3">
      <c r="B69" s="1514" t="s">
        <v>959</v>
      </c>
      <c r="C69" s="1515" t="s">
        <v>960</v>
      </c>
      <c r="D69" s="1516"/>
      <c r="E69" s="1517" t="s">
        <v>927</v>
      </c>
      <c r="F69" s="1518">
        <f>SUM(F67:F68)</f>
        <v>0</v>
      </c>
      <c r="G69" s="1518">
        <f>SUM(G67:G68)</f>
        <v>0</v>
      </c>
    </row>
    <row r="70" spans="2:7" s="1484" customFormat="1" ht="15.6" customHeight="1" x14ac:dyDescent="0.25">
      <c r="B70" s="1508"/>
      <c r="C70" s="1509"/>
      <c r="D70" s="1510"/>
      <c r="E70" s="1491"/>
      <c r="F70" s="1511"/>
      <c r="G70" s="1511"/>
    </row>
    <row r="71" spans="2:7" s="1484" customFormat="1" ht="15" x14ac:dyDescent="0.2">
      <c r="B71" s="1498"/>
      <c r="C71" s="1499" t="s">
        <v>961</v>
      </c>
      <c r="D71" s="1500"/>
      <c r="E71" s="1501" t="s">
        <v>924</v>
      </c>
      <c r="F71" s="1502">
        <f>+F63+F67</f>
        <v>22522</v>
      </c>
      <c r="G71" s="1502">
        <f>+G63+G67</f>
        <v>24167</v>
      </c>
    </row>
    <row r="72" spans="2:7" s="1484" customFormat="1" ht="15.75" thickBot="1" x14ac:dyDescent="0.25">
      <c r="B72" s="1498"/>
      <c r="C72" s="1499" t="s">
        <v>118</v>
      </c>
      <c r="D72" s="1500"/>
      <c r="E72" s="1501" t="s">
        <v>925</v>
      </c>
      <c r="F72" s="1502">
        <f>+F64+F68</f>
        <v>0</v>
      </c>
      <c r="G72" s="1502">
        <f>+G64+G68</f>
        <v>0</v>
      </c>
    </row>
    <row r="73" spans="2:7" s="1484" customFormat="1" ht="36.75" customHeight="1" thickBot="1" x14ac:dyDescent="0.3">
      <c r="B73" s="1542" t="s">
        <v>962</v>
      </c>
      <c r="C73" s="2773" t="s">
        <v>963</v>
      </c>
      <c r="D73" s="2774"/>
      <c r="E73" s="1543" t="s">
        <v>927</v>
      </c>
      <c r="F73" s="1544">
        <f>SUM(F71:F72)</f>
        <v>22522</v>
      </c>
      <c r="G73" s="1544">
        <f>SUM(G71:G72)</f>
        <v>24167</v>
      </c>
    </row>
    <row r="74" spans="2:7" s="1550" customFormat="1" ht="30" customHeight="1" x14ac:dyDescent="0.25">
      <c r="B74" s="1545"/>
      <c r="C74" s="1546"/>
      <c r="D74" s="1547"/>
      <c r="E74" s="1548"/>
      <c r="F74" s="1549"/>
      <c r="G74" s="1549"/>
    </row>
    <row r="75" spans="2:7" s="1550" customFormat="1" ht="30" customHeight="1" thickBot="1" x14ac:dyDescent="0.3">
      <c r="B75" s="1545"/>
      <c r="C75" s="1546"/>
      <c r="D75" s="1547"/>
      <c r="E75" s="1548"/>
      <c r="F75" s="1549"/>
      <c r="G75" s="1549"/>
    </row>
    <row r="76" spans="2:7" s="1484" customFormat="1" ht="20.25" customHeight="1" x14ac:dyDescent="0.25">
      <c r="B76" s="1486"/>
      <c r="C76" s="2778" t="s">
        <v>42</v>
      </c>
      <c r="D76" s="2779"/>
      <c r="E76" s="1551"/>
      <c r="F76" s="1488" t="s">
        <v>920</v>
      </c>
      <c r="G76" s="1488" t="s">
        <v>1375</v>
      </c>
    </row>
    <row r="77" spans="2:7" s="1484" customFormat="1" ht="16.5" customHeight="1" x14ac:dyDescent="0.25">
      <c r="B77" s="1489"/>
      <c r="C77" s="1489"/>
      <c r="D77" s="1490"/>
      <c r="E77" s="1552"/>
      <c r="F77" s="1492" t="s">
        <v>921</v>
      </c>
      <c r="G77" s="1492" t="s">
        <v>921</v>
      </c>
    </row>
    <row r="78" spans="2:7" s="1484" customFormat="1" ht="16.5" customHeight="1" thickBot="1" x14ac:dyDescent="0.3">
      <c r="B78" s="1493"/>
      <c r="C78" s="1493"/>
      <c r="D78" s="1494"/>
      <c r="E78" s="1553"/>
      <c r="F78" s="1496" t="s">
        <v>922</v>
      </c>
      <c r="G78" s="1496" t="s">
        <v>1376</v>
      </c>
    </row>
    <row r="79" spans="2:7" s="1484" customFormat="1" ht="15.6" customHeight="1" x14ac:dyDescent="0.25">
      <c r="B79" s="1508"/>
      <c r="C79" s="1509"/>
      <c r="D79" s="1510"/>
      <c r="E79" s="1552"/>
      <c r="F79" s="1511"/>
      <c r="G79" s="1511"/>
    </row>
    <row r="80" spans="2:7" s="1484" customFormat="1" ht="15" x14ac:dyDescent="0.2">
      <c r="B80" s="1498"/>
      <c r="C80" s="1499" t="s">
        <v>964</v>
      </c>
      <c r="D80" s="1500"/>
      <c r="E80" s="1550" t="s">
        <v>924</v>
      </c>
      <c r="F80" s="1502">
        <v>0</v>
      </c>
      <c r="G80" s="1502">
        <v>0</v>
      </c>
    </row>
    <row r="81" spans="2:7" s="1484" customFormat="1" ht="15" x14ac:dyDescent="0.2">
      <c r="B81" s="1498"/>
      <c r="C81" s="1499"/>
      <c r="D81" s="1500"/>
      <c r="E81" s="1550" t="s">
        <v>925</v>
      </c>
      <c r="F81" s="1502">
        <v>0</v>
      </c>
      <c r="G81" s="1502">
        <v>0</v>
      </c>
    </row>
    <row r="82" spans="2:7" s="1484" customFormat="1" ht="15.6" customHeight="1" x14ac:dyDescent="0.25">
      <c r="B82" s="1503" t="s">
        <v>965</v>
      </c>
      <c r="C82" s="1504" t="s">
        <v>964</v>
      </c>
      <c r="D82" s="1505"/>
      <c r="E82" s="1554" t="s">
        <v>927</v>
      </c>
      <c r="F82" s="1507">
        <f>SUM(F80:F81)</f>
        <v>0</v>
      </c>
      <c r="G82" s="1507">
        <f>SUM(G80:G81)</f>
        <v>0</v>
      </c>
    </row>
    <row r="83" spans="2:7" s="1484" customFormat="1" ht="11.1" customHeight="1" x14ac:dyDescent="0.2">
      <c r="B83" s="1498"/>
      <c r="C83" s="1499"/>
      <c r="D83" s="1500"/>
      <c r="E83" s="1550"/>
      <c r="F83" s="1502"/>
      <c r="G83" s="1502"/>
    </row>
    <row r="84" spans="2:7" s="1484" customFormat="1" ht="15" x14ac:dyDescent="0.2">
      <c r="B84" s="1498"/>
      <c r="C84" s="1499" t="s">
        <v>966</v>
      </c>
      <c r="D84" s="1500"/>
      <c r="E84" s="1550" t="s">
        <v>924</v>
      </c>
      <c r="F84" s="1502">
        <v>2461</v>
      </c>
      <c r="G84" s="1502">
        <v>1597</v>
      </c>
    </row>
    <row r="85" spans="2:7" s="1484" customFormat="1" ht="15" x14ac:dyDescent="0.2">
      <c r="B85" s="1498"/>
      <c r="C85" s="1555"/>
      <c r="D85" s="1500"/>
      <c r="E85" s="1550" t="s">
        <v>925</v>
      </c>
      <c r="F85" s="1502">
        <v>57</v>
      </c>
      <c r="G85" s="1502">
        <f>18+1</f>
        <v>19</v>
      </c>
    </row>
    <row r="86" spans="2:7" s="1484" customFormat="1" ht="15.6" customHeight="1" x14ac:dyDescent="0.25">
      <c r="B86" s="1503" t="s">
        <v>967</v>
      </c>
      <c r="C86" s="1556" t="s">
        <v>966</v>
      </c>
      <c r="D86" s="1505"/>
      <c r="E86" s="1554" t="s">
        <v>927</v>
      </c>
      <c r="F86" s="1507">
        <f>SUM(F84:F85)</f>
        <v>2518</v>
      </c>
      <c r="G86" s="1507">
        <f>SUM(G84:G85)</f>
        <v>1616</v>
      </c>
    </row>
    <row r="87" spans="2:7" s="1484" customFormat="1" ht="11.1" customHeight="1" x14ac:dyDescent="0.2">
      <c r="B87" s="1498"/>
      <c r="C87" s="1499"/>
      <c r="D87" s="1500"/>
      <c r="E87" s="1550"/>
      <c r="F87" s="1502"/>
      <c r="G87" s="1502"/>
    </row>
    <row r="88" spans="2:7" s="1484" customFormat="1" ht="15" x14ac:dyDescent="0.2">
      <c r="B88" s="1498"/>
      <c r="C88" s="1499" t="s">
        <v>968</v>
      </c>
      <c r="D88" s="1500"/>
      <c r="E88" s="1550" t="s">
        <v>924</v>
      </c>
      <c r="F88" s="1502">
        <v>160526</v>
      </c>
      <c r="G88" s="1502">
        <v>371123</v>
      </c>
    </row>
    <row r="89" spans="2:7" s="1484" customFormat="1" ht="15" x14ac:dyDescent="0.2">
      <c r="B89" s="1498"/>
      <c r="C89" s="1499"/>
      <c r="D89" s="1500"/>
      <c r="E89" s="1550" t="s">
        <v>925</v>
      </c>
      <c r="F89" s="1502">
        <v>10329849</v>
      </c>
      <c r="G89" s="1502">
        <v>12960259</v>
      </c>
    </row>
    <row r="90" spans="2:7" s="1484" customFormat="1" ht="15.6" customHeight="1" x14ac:dyDescent="0.25">
      <c r="B90" s="1503" t="s">
        <v>969</v>
      </c>
      <c r="C90" s="1556" t="s">
        <v>968</v>
      </c>
      <c r="D90" s="1505"/>
      <c r="E90" s="1554" t="s">
        <v>927</v>
      </c>
      <c r="F90" s="1507">
        <f>SUM(F88:F89)</f>
        <v>10490375</v>
      </c>
      <c r="G90" s="1507">
        <f>SUM(G88:G89)</f>
        <v>13331382</v>
      </c>
    </row>
    <row r="91" spans="2:7" s="1484" customFormat="1" ht="11.1" customHeight="1" x14ac:dyDescent="0.2">
      <c r="B91" s="1498"/>
      <c r="C91" s="1499"/>
      <c r="D91" s="1500"/>
      <c r="E91" s="1550"/>
      <c r="F91" s="1502"/>
      <c r="G91" s="1502"/>
    </row>
    <row r="92" spans="2:7" s="1484" customFormat="1" ht="15" x14ac:dyDescent="0.2">
      <c r="B92" s="1498"/>
      <c r="C92" s="1499" t="s">
        <v>970</v>
      </c>
      <c r="D92" s="1500"/>
      <c r="E92" s="1550" t="s">
        <v>924</v>
      </c>
      <c r="F92" s="1502">
        <v>0</v>
      </c>
      <c r="G92" s="1502">
        <v>0</v>
      </c>
    </row>
    <row r="93" spans="2:7" s="1484" customFormat="1" ht="15" x14ac:dyDescent="0.2">
      <c r="B93" s="1498"/>
      <c r="C93" s="1499"/>
      <c r="D93" s="1500"/>
      <c r="E93" s="1550" t="s">
        <v>925</v>
      </c>
      <c r="F93" s="1502">
        <v>25397</v>
      </c>
      <c r="G93" s="1502">
        <v>598</v>
      </c>
    </row>
    <row r="94" spans="2:7" s="1484" customFormat="1" ht="15.6" customHeight="1" x14ac:dyDescent="0.25">
      <c r="B94" s="1503" t="s">
        <v>971</v>
      </c>
      <c r="C94" s="1556" t="s">
        <v>970</v>
      </c>
      <c r="D94" s="1505"/>
      <c r="E94" s="1554" t="s">
        <v>927</v>
      </c>
      <c r="F94" s="1507">
        <f>SUM(F92:F93)</f>
        <v>25397</v>
      </c>
      <c r="G94" s="1507">
        <f>SUM(G92:G93)</f>
        <v>598</v>
      </c>
    </row>
    <row r="95" spans="2:7" s="1484" customFormat="1" ht="11.1" customHeight="1" x14ac:dyDescent="0.2">
      <c r="B95" s="1498"/>
      <c r="C95" s="1499"/>
      <c r="D95" s="1500"/>
      <c r="E95" s="1550"/>
      <c r="F95" s="1502"/>
      <c r="G95" s="1502"/>
    </row>
    <row r="96" spans="2:7" s="1484" customFormat="1" ht="11.1" customHeight="1" x14ac:dyDescent="0.2">
      <c r="B96" s="1498"/>
      <c r="C96" s="1499"/>
      <c r="D96" s="1500"/>
      <c r="E96" s="1550"/>
      <c r="F96" s="1502"/>
      <c r="G96" s="1502"/>
    </row>
    <row r="97" spans="2:7" s="1484" customFormat="1" ht="15" x14ac:dyDescent="0.2">
      <c r="B97" s="1498"/>
      <c r="C97" s="1499" t="s">
        <v>972</v>
      </c>
      <c r="D97" s="1500"/>
      <c r="E97" s="1550" t="s">
        <v>924</v>
      </c>
      <c r="F97" s="1502">
        <f>+F80+F84+F88+F92</f>
        <v>162987</v>
      </c>
      <c r="G97" s="1502">
        <f>+G80+G84+G88+G92</f>
        <v>372720</v>
      </c>
    </row>
    <row r="98" spans="2:7" s="1484" customFormat="1" ht="15.75" thickBot="1" x14ac:dyDescent="0.25">
      <c r="B98" s="1498"/>
      <c r="C98" s="1499"/>
      <c r="D98" s="1500"/>
      <c r="E98" s="1550" t="s">
        <v>925</v>
      </c>
      <c r="F98" s="1502">
        <f>F81+F85+F89+F93</f>
        <v>10355303</v>
      </c>
      <c r="G98" s="1502">
        <f>G81+G85+G89+G93</f>
        <v>12960876</v>
      </c>
    </row>
    <row r="99" spans="2:7" s="1484" customFormat="1" ht="30" customHeight="1" thickBot="1" x14ac:dyDescent="0.3">
      <c r="B99" s="1542" t="s">
        <v>973</v>
      </c>
      <c r="C99" s="2773" t="s">
        <v>972</v>
      </c>
      <c r="D99" s="2774"/>
      <c r="E99" s="1557" t="s">
        <v>927</v>
      </c>
      <c r="F99" s="1544">
        <f>SUM(F97:F98)</f>
        <v>10518290</v>
      </c>
      <c r="G99" s="1544">
        <f>SUM(G97:G98)</f>
        <v>13333596</v>
      </c>
    </row>
    <row r="100" spans="2:7" s="1484" customFormat="1" ht="15.6" customHeight="1" x14ac:dyDescent="0.25">
      <c r="B100" s="1508"/>
      <c r="C100" s="1509"/>
      <c r="D100" s="1510"/>
      <c r="E100" s="1552"/>
      <c r="F100" s="1511"/>
      <c r="G100" s="1511"/>
    </row>
    <row r="101" spans="2:7" s="1484" customFormat="1" ht="15" x14ac:dyDescent="0.2">
      <c r="B101" s="1498"/>
      <c r="C101" s="1499" t="s">
        <v>974</v>
      </c>
      <c r="D101" s="1500"/>
      <c r="E101" s="1550" t="s">
        <v>924</v>
      </c>
      <c r="F101" s="1502">
        <v>44319</v>
      </c>
      <c r="G101" s="1502">
        <v>44251</v>
      </c>
    </row>
    <row r="102" spans="2:7" s="1484" customFormat="1" ht="15" x14ac:dyDescent="0.2">
      <c r="B102" s="1498"/>
      <c r="C102" s="1499"/>
      <c r="D102" s="1500"/>
      <c r="E102" s="1550" t="s">
        <v>925</v>
      </c>
      <c r="F102" s="1502">
        <v>931586</v>
      </c>
      <c r="G102" s="1502">
        <v>1516407</v>
      </c>
    </row>
    <row r="103" spans="2:7" s="1484" customFormat="1" ht="15.6" customHeight="1" x14ac:dyDescent="0.25">
      <c r="B103" s="1503" t="s">
        <v>975</v>
      </c>
      <c r="C103" s="1556" t="s">
        <v>974</v>
      </c>
      <c r="D103" s="1505"/>
      <c r="E103" s="1554" t="s">
        <v>927</v>
      </c>
      <c r="F103" s="1507">
        <f>SUM(F101:F102)</f>
        <v>975905</v>
      </c>
      <c r="G103" s="1507">
        <f>SUM(G101:G102)</f>
        <v>1560658</v>
      </c>
    </row>
    <row r="104" spans="2:7" s="1484" customFormat="1" ht="12" customHeight="1" x14ac:dyDescent="0.2">
      <c r="B104" s="1498"/>
      <c r="C104" s="1499"/>
      <c r="D104" s="1500"/>
      <c r="E104" s="1550"/>
      <c r="F104" s="1502"/>
      <c r="G104" s="1502"/>
    </row>
    <row r="105" spans="2:7" s="1484" customFormat="1" ht="15" x14ac:dyDescent="0.2">
      <c r="B105" s="1498"/>
      <c r="C105" s="1499" t="s">
        <v>976</v>
      </c>
      <c r="D105" s="1500"/>
      <c r="E105" s="1550" t="s">
        <v>924</v>
      </c>
      <c r="F105" s="1502">
        <f>2408-1</f>
        <v>2407</v>
      </c>
      <c r="G105" s="1502">
        <v>4789</v>
      </c>
    </row>
    <row r="106" spans="2:7" s="1484" customFormat="1" ht="15" x14ac:dyDescent="0.2">
      <c r="B106" s="1498"/>
      <c r="C106" s="1555"/>
      <c r="D106" s="1500"/>
      <c r="E106" s="1550" t="s">
        <v>925</v>
      </c>
      <c r="F106" s="1502">
        <v>145774</v>
      </c>
      <c r="G106" s="1502">
        <v>4447312</v>
      </c>
    </row>
    <row r="107" spans="2:7" s="1484" customFormat="1" ht="36.75" customHeight="1" x14ac:dyDescent="0.25">
      <c r="B107" s="1503" t="s">
        <v>977</v>
      </c>
      <c r="C107" s="2770" t="s">
        <v>976</v>
      </c>
      <c r="D107" s="2784"/>
      <c r="E107" s="1554" t="s">
        <v>927</v>
      </c>
      <c r="F107" s="1507">
        <f>SUM(F105:F106)</f>
        <v>148181</v>
      </c>
      <c r="G107" s="1507">
        <f>SUM(G105:G106)</f>
        <v>4452101</v>
      </c>
    </row>
    <row r="108" spans="2:7" s="1484" customFormat="1" ht="12" customHeight="1" x14ac:dyDescent="0.2">
      <c r="B108" s="1498"/>
      <c r="C108" s="1499"/>
      <c r="D108" s="1500"/>
      <c r="E108" s="1550"/>
      <c r="F108" s="1502"/>
      <c r="G108" s="1502"/>
    </row>
    <row r="109" spans="2:7" s="1484" customFormat="1" ht="15" x14ac:dyDescent="0.2">
      <c r="B109" s="1498"/>
      <c r="C109" s="1499" t="s">
        <v>978</v>
      </c>
      <c r="D109" s="1500"/>
      <c r="E109" s="1550" t="s">
        <v>924</v>
      </c>
      <c r="F109" s="1502">
        <v>16760</v>
      </c>
      <c r="G109" s="1502">
        <v>31259</v>
      </c>
    </row>
    <row r="110" spans="2:7" s="1484" customFormat="1" ht="15" x14ac:dyDescent="0.2">
      <c r="B110" s="1498"/>
      <c r="C110" s="1499"/>
      <c r="D110" s="1500"/>
      <c r="E110" s="1550" t="s">
        <v>925</v>
      </c>
      <c r="F110" s="1502">
        <v>175316</v>
      </c>
      <c r="G110" s="1502">
        <v>318206</v>
      </c>
    </row>
    <row r="111" spans="2:7" s="1484" customFormat="1" ht="15.6" customHeight="1" x14ac:dyDescent="0.25">
      <c r="B111" s="1503" t="s">
        <v>979</v>
      </c>
      <c r="C111" s="1556" t="s">
        <v>978</v>
      </c>
      <c r="D111" s="1505"/>
      <c r="E111" s="1554" t="s">
        <v>927</v>
      </c>
      <c r="F111" s="1507">
        <f>SUM(F109:F110)</f>
        <v>192076</v>
      </c>
      <c r="G111" s="1507">
        <f>SUM(G109:G110)</f>
        <v>349465</v>
      </c>
    </row>
    <row r="112" spans="2:7" s="1484" customFormat="1" ht="12" customHeight="1" x14ac:dyDescent="0.25">
      <c r="B112" s="1508"/>
      <c r="C112" s="1558"/>
      <c r="D112" s="1510"/>
      <c r="E112" s="1552"/>
      <c r="F112" s="1511"/>
      <c r="G112" s="1511"/>
    </row>
    <row r="113" spans="2:7" s="1484" customFormat="1" ht="15" x14ac:dyDescent="0.2">
      <c r="B113" s="1498"/>
      <c r="C113" s="1499" t="s">
        <v>980</v>
      </c>
      <c r="D113" s="1500"/>
      <c r="E113" s="1550" t="s">
        <v>924</v>
      </c>
      <c r="F113" s="1502">
        <f>+F101+F105+F109</f>
        <v>63486</v>
      </c>
      <c r="G113" s="1502">
        <f>+G101+G105+G109</f>
        <v>80299</v>
      </c>
    </row>
    <row r="114" spans="2:7" s="1484" customFormat="1" ht="15.75" thickBot="1" x14ac:dyDescent="0.25">
      <c r="B114" s="1498"/>
      <c r="C114" s="1499"/>
      <c r="D114" s="1500"/>
      <c r="E114" s="1550" t="s">
        <v>925</v>
      </c>
      <c r="F114" s="1502">
        <f>+F102+F106+F110</f>
        <v>1252676</v>
      </c>
      <c r="G114" s="1502">
        <f>+G102+G106+G110</f>
        <v>6281925</v>
      </c>
    </row>
    <row r="115" spans="2:7" s="1484" customFormat="1" ht="30" customHeight="1" thickBot="1" x14ac:dyDescent="0.3">
      <c r="B115" s="1542" t="s">
        <v>981</v>
      </c>
      <c r="C115" s="2773" t="s">
        <v>980</v>
      </c>
      <c r="D115" s="2774"/>
      <c r="E115" s="1557" t="s">
        <v>927</v>
      </c>
      <c r="F115" s="1544">
        <f>SUM(F113:F114)</f>
        <v>1316162</v>
      </c>
      <c r="G115" s="1544">
        <f>SUM(G113:G114)</f>
        <v>6362224</v>
      </c>
    </row>
    <row r="116" spans="2:7" s="1484" customFormat="1" ht="12" customHeight="1" x14ac:dyDescent="0.25">
      <c r="B116" s="1536"/>
      <c r="C116" s="1559"/>
      <c r="D116" s="1560"/>
      <c r="E116" s="1548"/>
      <c r="F116" s="1538"/>
      <c r="G116" s="1538"/>
    </row>
    <row r="117" spans="2:7" s="1484" customFormat="1" ht="15" x14ac:dyDescent="0.2">
      <c r="B117" s="1498"/>
      <c r="C117" s="1499" t="s">
        <v>982</v>
      </c>
      <c r="D117" s="1500"/>
      <c r="E117" s="1550" t="s">
        <v>924</v>
      </c>
      <c r="F117" s="1502">
        <v>32756</v>
      </c>
      <c r="G117" s="1502">
        <v>37853</v>
      </c>
    </row>
    <row r="118" spans="2:7" s="1484" customFormat="1" ht="15.75" thickBot="1" x14ac:dyDescent="0.25">
      <c r="B118" s="1498"/>
      <c r="C118" s="1499"/>
      <c r="D118" s="1500"/>
      <c r="E118" s="1550" t="s">
        <v>925</v>
      </c>
      <c r="F118" s="1502">
        <f>33126-1</f>
        <v>33125</v>
      </c>
      <c r="G118" s="1502">
        <v>-584859</v>
      </c>
    </row>
    <row r="119" spans="2:7" s="1484" customFormat="1" ht="30" customHeight="1" thickBot="1" x14ac:dyDescent="0.3">
      <c r="B119" s="1542" t="s">
        <v>983</v>
      </c>
      <c r="C119" s="2773" t="s">
        <v>982</v>
      </c>
      <c r="D119" s="2774"/>
      <c r="E119" s="1557" t="s">
        <v>927</v>
      </c>
      <c r="F119" s="1544">
        <f>SUM(F117:F118)</f>
        <v>65881</v>
      </c>
      <c r="G119" s="1544">
        <f>SUM(G117:G118)</f>
        <v>-547006</v>
      </c>
    </row>
    <row r="120" spans="2:7" s="1484" customFormat="1" ht="15.6" customHeight="1" x14ac:dyDescent="0.25">
      <c r="B120" s="1508"/>
      <c r="C120" s="1509"/>
      <c r="D120" s="1510"/>
      <c r="E120" s="1552"/>
      <c r="F120" s="1511"/>
      <c r="G120" s="1511"/>
    </row>
    <row r="121" spans="2:7" s="1484" customFormat="1" ht="19.5" customHeight="1" x14ac:dyDescent="0.2">
      <c r="B121" s="1498"/>
      <c r="C121" s="2768" t="s">
        <v>984</v>
      </c>
      <c r="D121" s="2769"/>
      <c r="E121" s="1550" t="s">
        <v>924</v>
      </c>
      <c r="F121" s="1502">
        <v>14134</v>
      </c>
      <c r="G121" s="1502">
        <v>11457</v>
      </c>
    </row>
    <row r="122" spans="2:7" s="1484" customFormat="1" ht="15" x14ac:dyDescent="0.2">
      <c r="B122" s="1498"/>
      <c r="C122" s="1499" t="s">
        <v>985</v>
      </c>
      <c r="D122" s="1500"/>
      <c r="E122" s="1550" t="s">
        <v>925</v>
      </c>
      <c r="F122" s="1502">
        <v>437027</v>
      </c>
      <c r="G122" s="1502">
        <v>445601</v>
      </c>
    </row>
    <row r="123" spans="2:7" s="1484" customFormat="1" ht="31.5" customHeight="1" x14ac:dyDescent="0.25">
      <c r="B123" s="1503" t="s">
        <v>986</v>
      </c>
      <c r="C123" s="2770" t="s">
        <v>987</v>
      </c>
      <c r="D123" s="2771"/>
      <c r="E123" s="1554" t="s">
        <v>927</v>
      </c>
      <c r="F123" s="1507">
        <f>SUM(F121:F122)</f>
        <v>451161</v>
      </c>
      <c r="G123" s="1507">
        <f>SUM(G121:G122)</f>
        <v>457058</v>
      </c>
    </row>
    <row r="124" spans="2:7" s="1484" customFormat="1" ht="11.1" customHeight="1" x14ac:dyDescent="0.2">
      <c r="B124" s="1498"/>
      <c r="C124" s="1499"/>
      <c r="D124" s="1500"/>
      <c r="E124" s="1550"/>
      <c r="F124" s="1502"/>
      <c r="G124" s="1502"/>
    </row>
    <row r="125" spans="2:7" s="1484" customFormat="1" ht="15" x14ac:dyDescent="0.2">
      <c r="B125" s="1498"/>
      <c r="C125" s="1499" t="s">
        <v>988</v>
      </c>
      <c r="D125" s="1500"/>
      <c r="E125" s="1550" t="s">
        <v>924</v>
      </c>
      <c r="F125" s="1502">
        <v>3894</v>
      </c>
      <c r="G125" s="1502">
        <v>4397</v>
      </c>
    </row>
    <row r="126" spans="2:7" s="1484" customFormat="1" ht="15" x14ac:dyDescent="0.2">
      <c r="B126" s="1498"/>
      <c r="C126" s="1555"/>
      <c r="D126" s="1500"/>
      <c r="E126" s="1550" t="s">
        <v>925</v>
      </c>
      <c r="F126" s="1502">
        <v>2764</v>
      </c>
      <c r="G126" s="1502">
        <v>1597</v>
      </c>
    </row>
    <row r="127" spans="2:7" s="1484" customFormat="1" ht="34.5" customHeight="1" x14ac:dyDescent="0.25">
      <c r="B127" s="1503" t="s">
        <v>989</v>
      </c>
      <c r="C127" s="2770" t="s">
        <v>988</v>
      </c>
      <c r="D127" s="2772"/>
      <c r="E127" s="1554" t="s">
        <v>927</v>
      </c>
      <c r="F127" s="1507">
        <f>SUM(F125:F126)</f>
        <v>6658</v>
      </c>
      <c r="G127" s="1507">
        <f>SUM(G125:G126)</f>
        <v>5994</v>
      </c>
    </row>
    <row r="128" spans="2:7" s="1484" customFormat="1" ht="11.1" customHeight="1" x14ac:dyDescent="0.2">
      <c r="B128" s="1498"/>
      <c r="C128" s="1499"/>
      <c r="D128" s="1500"/>
      <c r="E128" s="1550"/>
      <c r="F128" s="1502"/>
      <c r="G128" s="1502"/>
    </row>
    <row r="129" spans="2:7" s="1484" customFormat="1" ht="15" x14ac:dyDescent="0.2">
      <c r="B129" s="1498"/>
      <c r="C129" s="1499" t="s">
        <v>990</v>
      </c>
      <c r="D129" s="1500"/>
      <c r="E129" s="1550" t="s">
        <v>924</v>
      </c>
      <c r="F129" s="1502">
        <v>0</v>
      </c>
      <c r="G129" s="1502">
        <v>0</v>
      </c>
    </row>
    <row r="130" spans="2:7" s="1484" customFormat="1" ht="15" x14ac:dyDescent="0.2">
      <c r="B130" s="1498"/>
      <c r="C130" s="1499"/>
      <c r="D130" s="1500"/>
      <c r="E130" s="1550" t="s">
        <v>925</v>
      </c>
      <c r="F130" s="1502">
        <v>0</v>
      </c>
      <c r="G130" s="1502">
        <v>0</v>
      </c>
    </row>
    <row r="131" spans="2:7" s="1484" customFormat="1" ht="15.6" customHeight="1" x14ac:dyDescent="0.25">
      <c r="B131" s="1503" t="s">
        <v>991</v>
      </c>
      <c r="C131" s="1556" t="s">
        <v>990</v>
      </c>
      <c r="D131" s="1505"/>
      <c r="E131" s="1554" t="s">
        <v>927</v>
      </c>
      <c r="F131" s="1507">
        <f>SUM(F129:F130)</f>
        <v>0</v>
      </c>
      <c r="G131" s="1507">
        <f>SUM(G129:G130)</f>
        <v>0</v>
      </c>
    </row>
    <row r="132" spans="2:7" s="1484" customFormat="1" ht="15" x14ac:dyDescent="0.2">
      <c r="B132" s="1498"/>
      <c r="C132" s="1499"/>
      <c r="D132" s="1500"/>
      <c r="E132" s="1550"/>
      <c r="F132" s="1502"/>
      <c r="G132" s="1502"/>
    </row>
    <row r="133" spans="2:7" s="1484" customFormat="1" ht="15" x14ac:dyDescent="0.2">
      <c r="B133" s="1498"/>
      <c r="C133" s="1499" t="s">
        <v>992</v>
      </c>
      <c r="D133" s="1500"/>
      <c r="E133" s="1550" t="s">
        <v>924</v>
      </c>
      <c r="F133" s="1502">
        <f>+F121+F125+F129</f>
        <v>18028</v>
      </c>
      <c r="G133" s="1502">
        <f>+G121+G125+G129</f>
        <v>15854</v>
      </c>
    </row>
    <row r="134" spans="2:7" s="1484" customFormat="1" ht="15.75" thickBot="1" x14ac:dyDescent="0.25">
      <c r="B134" s="1498"/>
      <c r="C134" s="1499"/>
      <c r="D134" s="1500"/>
      <c r="E134" s="1550" t="s">
        <v>925</v>
      </c>
      <c r="F134" s="1502">
        <f>+F122+F126+F130</f>
        <v>439791</v>
      </c>
      <c r="G134" s="1502">
        <f>+G122+G126+G130</f>
        <v>447198</v>
      </c>
    </row>
    <row r="135" spans="2:7" s="1484" customFormat="1" ht="30" customHeight="1" thickBot="1" x14ac:dyDescent="0.3">
      <c r="B135" s="1542" t="s">
        <v>993</v>
      </c>
      <c r="C135" s="2773" t="s">
        <v>992</v>
      </c>
      <c r="D135" s="2774"/>
      <c r="E135" s="1557" t="s">
        <v>927</v>
      </c>
      <c r="F135" s="1544">
        <f>SUM(F133:F134)</f>
        <v>457819</v>
      </c>
      <c r="G135" s="1544">
        <f>SUM(G133:G134)</f>
        <v>463052</v>
      </c>
    </row>
    <row r="136" spans="2:7" s="1484" customFormat="1" ht="15" x14ac:dyDescent="0.2">
      <c r="B136" s="1498"/>
      <c r="C136" s="1499"/>
      <c r="D136" s="1500"/>
      <c r="E136" s="1550"/>
      <c r="F136" s="1502"/>
      <c r="G136" s="1502"/>
    </row>
    <row r="137" spans="2:7" s="1484" customFormat="1" ht="15.75" x14ac:dyDescent="0.25">
      <c r="B137" s="1498"/>
      <c r="C137" s="1509" t="s">
        <v>918</v>
      </c>
      <c r="D137" s="1500"/>
      <c r="E137" s="1550" t="s">
        <v>924</v>
      </c>
      <c r="F137" s="1502">
        <f>+F59+F71+F97+F113+F117+F133</f>
        <v>6088257</v>
      </c>
      <c r="G137" s="1502">
        <f>+G59+G71+G97+G113+G117+G133</f>
        <v>6282063</v>
      </c>
    </row>
    <row r="138" spans="2:7" s="1484" customFormat="1" ht="15.75" thickBot="1" x14ac:dyDescent="0.25">
      <c r="B138" s="1498"/>
      <c r="C138" s="1499"/>
      <c r="D138" s="1500"/>
      <c r="E138" s="1550" t="s">
        <v>925</v>
      </c>
      <c r="F138" s="1502">
        <f>+F60+F72+F98+F114+F118+F134</f>
        <v>83322614</v>
      </c>
      <c r="G138" s="1502">
        <f>+G60+G72+G98+G114+G118+G134</f>
        <v>97422892</v>
      </c>
    </row>
    <row r="139" spans="2:7" s="1484" customFormat="1" ht="30" customHeight="1" thickBot="1" x14ac:dyDescent="0.3">
      <c r="B139" s="1542"/>
      <c r="C139" s="2773" t="s">
        <v>994</v>
      </c>
      <c r="D139" s="2774"/>
      <c r="E139" s="1557" t="s">
        <v>927</v>
      </c>
      <c r="F139" s="1544">
        <f>SUM(F137:F138)</f>
        <v>89410871</v>
      </c>
      <c r="G139" s="1544">
        <f>SUM(G137:G138)</f>
        <v>103704955</v>
      </c>
    </row>
  </sheetData>
  <mergeCells count="17">
    <mergeCell ref="C119:D119"/>
    <mergeCell ref="B4:G4"/>
    <mergeCell ref="B5:G5"/>
    <mergeCell ref="C7:D7"/>
    <mergeCell ref="C57:D57"/>
    <mergeCell ref="C59:D59"/>
    <mergeCell ref="C61:D61"/>
    <mergeCell ref="C73:D73"/>
    <mergeCell ref="C76:D76"/>
    <mergeCell ref="C99:D99"/>
    <mergeCell ref="C107:D107"/>
    <mergeCell ref="C115:D115"/>
    <mergeCell ref="C121:D121"/>
    <mergeCell ref="C123:D123"/>
    <mergeCell ref="C127:D127"/>
    <mergeCell ref="C135:D135"/>
    <mergeCell ref="C139:D139"/>
  </mergeCells>
  <printOptions horizontalCentered="1" verticalCentered="1"/>
  <pageMargins left="0.19685039370078741" right="0.19685039370078741" top="0.27559055118110237" bottom="0.23622047244094491" header="0.27559055118110237" footer="0.23622047244094491"/>
  <pageSetup paperSize="9" scale="70" orientation="portrait" r:id="rId1"/>
  <headerFooter alignWithMargins="0">
    <oddHeader xml:space="preserve">&amp;R&amp;"Arial CE,Félkövér"&amp;11 &amp;12 23. melléklet a …../2020. (…….) önkormányzati rendelethez </oddHeader>
  </headerFooter>
  <rowBreaks count="1" manualBreakCount="1">
    <brk id="74" min="1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K88"/>
  <sheetViews>
    <sheetView zoomScale="85" zoomScaleNormal="85" zoomScaleSheetLayoutView="75" workbookViewId="0">
      <selection activeCell="P13" sqref="P13"/>
    </sheetView>
  </sheetViews>
  <sheetFormatPr defaultColWidth="10.6640625" defaultRowHeight="14.25" x14ac:dyDescent="0.2"/>
  <cols>
    <col min="1" max="1" width="10.6640625" style="1563"/>
    <col min="2" max="2" width="7.6640625" style="1562" customWidth="1"/>
    <col min="3" max="3" width="10.6640625" style="1563" customWidth="1"/>
    <col min="4" max="4" width="69.83203125" style="1563" customWidth="1"/>
    <col min="5" max="5" width="30.33203125" style="1563" customWidth="1"/>
    <col min="6" max="7" width="21.5" style="1563" customWidth="1"/>
    <col min="8" max="16384" width="10.6640625" style="1563"/>
  </cols>
  <sheetData>
    <row r="1" spans="2:8" ht="15.75" x14ac:dyDescent="0.25">
      <c r="F1" s="1564"/>
      <c r="G1" s="1564"/>
      <c r="H1" s="1564"/>
    </row>
    <row r="2" spans="2:8" ht="17.25" customHeight="1" x14ac:dyDescent="0.25">
      <c r="B2" s="2775" t="s">
        <v>1389</v>
      </c>
      <c r="C2" s="2775"/>
      <c r="D2" s="2775"/>
      <c r="E2" s="2775"/>
      <c r="F2" s="2775"/>
      <c r="G2" s="2775"/>
    </row>
    <row r="3" spans="2:8" ht="20.25" customHeight="1" x14ac:dyDescent="0.25">
      <c r="B3" s="2789" t="s">
        <v>995</v>
      </c>
      <c r="C3" s="2789"/>
      <c r="D3" s="2789"/>
      <c r="E3" s="2789"/>
      <c r="F3" s="2789"/>
      <c r="G3" s="2789"/>
    </row>
    <row r="4" spans="2:8" ht="15.75" thickBot="1" x14ac:dyDescent="0.3">
      <c r="B4" s="1565"/>
      <c r="C4" s="1565"/>
      <c r="D4" s="1565"/>
      <c r="E4" s="1565"/>
      <c r="F4" s="1566"/>
      <c r="G4" s="1566" t="s">
        <v>26</v>
      </c>
    </row>
    <row r="5" spans="2:8" ht="20.25" customHeight="1" x14ac:dyDescent="0.25">
      <c r="B5" s="1567"/>
      <c r="C5" s="2790" t="s">
        <v>42</v>
      </c>
      <c r="D5" s="2791"/>
      <c r="E5" s="1568"/>
      <c r="F5" s="1569" t="s">
        <v>920</v>
      </c>
      <c r="G5" s="1569" t="s">
        <v>1375</v>
      </c>
    </row>
    <row r="6" spans="2:8" ht="19.5" customHeight="1" x14ac:dyDescent="0.25">
      <c r="B6" s="1570"/>
      <c r="C6" s="1570"/>
      <c r="D6" s="1571"/>
      <c r="E6" s="1572"/>
      <c r="F6" s="1573" t="s">
        <v>921</v>
      </c>
      <c r="G6" s="1573" t="s">
        <v>921</v>
      </c>
    </row>
    <row r="7" spans="2:8" ht="16.5" customHeight="1" thickBot="1" x14ac:dyDescent="0.3">
      <c r="B7" s="1574"/>
      <c r="C7" s="1574"/>
      <c r="D7" s="1575"/>
      <c r="E7" s="1576"/>
      <c r="F7" s="1577" t="s">
        <v>922</v>
      </c>
      <c r="G7" s="1577" t="s">
        <v>1376</v>
      </c>
    </row>
    <row r="8" spans="2:8" ht="20.25" customHeight="1" x14ac:dyDescent="0.25">
      <c r="B8" s="1578"/>
      <c r="C8" s="1579"/>
      <c r="D8" s="1580"/>
      <c r="E8" s="1572"/>
      <c r="F8" s="1581"/>
      <c r="G8" s="1581"/>
    </row>
    <row r="9" spans="2:8" x14ac:dyDescent="0.2">
      <c r="B9" s="1582"/>
      <c r="C9" s="1583" t="s">
        <v>996</v>
      </c>
      <c r="D9" s="1584"/>
      <c r="E9" s="1585" t="s">
        <v>924</v>
      </c>
      <c r="F9" s="1586">
        <v>11929473</v>
      </c>
      <c r="G9" s="1586">
        <v>11929473</v>
      </c>
    </row>
    <row r="10" spans="2:8" x14ac:dyDescent="0.2">
      <c r="B10" s="1582"/>
      <c r="C10" s="1583"/>
      <c r="D10" s="1584"/>
      <c r="E10" s="1585" t="s">
        <v>925</v>
      </c>
      <c r="F10" s="1586">
        <v>86560778</v>
      </c>
      <c r="G10" s="1586">
        <v>86560778</v>
      </c>
    </row>
    <row r="11" spans="2:8" ht="19.5" customHeight="1" x14ac:dyDescent="0.25">
      <c r="B11" s="1587" t="s">
        <v>997</v>
      </c>
      <c r="C11" s="1588" t="s">
        <v>996</v>
      </c>
      <c r="D11" s="1589"/>
      <c r="E11" s="1590" t="s">
        <v>927</v>
      </c>
      <c r="F11" s="1591">
        <f>SUM(F9:F10)</f>
        <v>98490251</v>
      </c>
      <c r="G11" s="1591">
        <f>SUM(G9:G10)</f>
        <v>98490251</v>
      </c>
    </row>
    <row r="12" spans="2:8" ht="15.75" customHeight="1" x14ac:dyDescent="0.2">
      <c r="B12" s="1582"/>
      <c r="C12" s="1583"/>
      <c r="D12" s="1584"/>
      <c r="E12" s="1585"/>
      <c r="F12" s="1586"/>
      <c r="G12" s="1586"/>
    </row>
    <row r="13" spans="2:8" x14ac:dyDescent="0.2">
      <c r="B13" s="1582"/>
      <c r="C13" s="1583" t="s">
        <v>998</v>
      </c>
      <c r="D13" s="1584"/>
      <c r="E13" s="1585" t="s">
        <v>924</v>
      </c>
      <c r="F13" s="1586">
        <v>-2468422</v>
      </c>
      <c r="G13" s="1586">
        <v>-2468422</v>
      </c>
    </row>
    <row r="14" spans="2:8" x14ac:dyDescent="0.2">
      <c r="B14" s="1582"/>
      <c r="C14" s="1593"/>
      <c r="D14" s="1584"/>
      <c r="E14" s="1585" t="s">
        <v>925</v>
      </c>
      <c r="F14" s="1586">
        <v>216342</v>
      </c>
      <c r="G14" s="1586">
        <v>216330</v>
      </c>
    </row>
    <row r="15" spans="2:8" ht="20.25" customHeight="1" x14ac:dyDescent="0.25">
      <c r="B15" s="1587" t="s">
        <v>999</v>
      </c>
      <c r="C15" s="1588" t="s">
        <v>998</v>
      </c>
      <c r="D15" s="1589"/>
      <c r="E15" s="1590" t="s">
        <v>927</v>
      </c>
      <c r="F15" s="1591">
        <f>SUM(F13:F14)</f>
        <v>-2252080</v>
      </c>
      <c r="G15" s="1591">
        <f>SUM(G13:G14)</f>
        <v>-2252092</v>
      </c>
    </row>
    <row r="16" spans="2:8" x14ac:dyDescent="0.2">
      <c r="B16" s="1582"/>
      <c r="C16" s="1583"/>
      <c r="D16" s="1584"/>
      <c r="E16" s="1585"/>
      <c r="F16" s="1586"/>
      <c r="G16" s="1586"/>
    </row>
    <row r="17" spans="2:7" ht="15" customHeight="1" x14ac:dyDescent="0.2">
      <c r="B17" s="1582"/>
      <c r="C17" s="1583" t="s">
        <v>1000</v>
      </c>
      <c r="D17" s="1584"/>
      <c r="E17" s="1585" t="s">
        <v>924</v>
      </c>
      <c r="F17" s="1586">
        <v>150025</v>
      </c>
      <c r="G17" s="1586">
        <v>150025</v>
      </c>
    </row>
    <row r="18" spans="2:7" ht="15.75" customHeight="1" x14ac:dyDescent="0.25">
      <c r="B18" s="1582"/>
      <c r="C18" s="1583"/>
      <c r="D18" s="2920"/>
      <c r="E18" s="1585" t="s">
        <v>925</v>
      </c>
      <c r="F18" s="1586">
        <v>771117</v>
      </c>
      <c r="G18" s="1586">
        <v>771117</v>
      </c>
    </row>
    <row r="19" spans="2:7" ht="18.75" customHeight="1" x14ac:dyDescent="0.25">
      <c r="B19" s="1587" t="s">
        <v>1001</v>
      </c>
      <c r="C19" s="1588" t="s">
        <v>1000</v>
      </c>
      <c r="D19" s="1589"/>
      <c r="E19" s="1590" t="s">
        <v>927</v>
      </c>
      <c r="F19" s="1591">
        <f>SUM(F17:F18)</f>
        <v>921142</v>
      </c>
      <c r="G19" s="1591">
        <f>SUM(G17:G18)</f>
        <v>921142</v>
      </c>
    </row>
    <row r="20" spans="2:7" x14ac:dyDescent="0.2">
      <c r="B20" s="1582"/>
      <c r="C20" s="1583"/>
      <c r="D20" s="1584"/>
      <c r="E20" s="1585"/>
      <c r="F20" s="1586"/>
      <c r="G20" s="1586"/>
    </row>
    <row r="21" spans="2:7" x14ac:dyDescent="0.2">
      <c r="B21" s="1582"/>
      <c r="C21" s="1583" t="s">
        <v>1002</v>
      </c>
      <c r="D21" s="1584"/>
      <c r="E21" s="1585" t="s">
        <v>924</v>
      </c>
      <c r="F21" s="1586">
        <v>-4050102</v>
      </c>
      <c r="G21" s="1586">
        <f>-4234264</f>
        <v>-4234264</v>
      </c>
    </row>
    <row r="22" spans="2:7" x14ac:dyDescent="0.2">
      <c r="B22" s="1582"/>
      <c r="C22" s="1583"/>
      <c r="D22" s="1584"/>
      <c r="E22" s="1585" t="s">
        <v>925</v>
      </c>
      <c r="F22" s="1586">
        <v>-18067568</v>
      </c>
      <c r="G22" s="1586">
        <v>-18167089</v>
      </c>
    </row>
    <row r="23" spans="2:7" ht="18.75" customHeight="1" x14ac:dyDescent="0.25">
      <c r="B23" s="1587" t="s">
        <v>1003</v>
      </c>
      <c r="C23" s="1588" t="s">
        <v>1002</v>
      </c>
      <c r="D23" s="1589"/>
      <c r="E23" s="1590" t="s">
        <v>927</v>
      </c>
      <c r="F23" s="1591">
        <f>SUM(F21:F22)</f>
        <v>-22117670</v>
      </c>
      <c r="G23" s="1591">
        <f>SUM(G21:G22)</f>
        <v>-22401353</v>
      </c>
    </row>
    <row r="24" spans="2:7" x14ac:dyDescent="0.2">
      <c r="B24" s="1582"/>
      <c r="C24" s="1583"/>
      <c r="D24" s="1584"/>
      <c r="E24" s="1585"/>
      <c r="F24" s="1586"/>
      <c r="G24" s="1586"/>
    </row>
    <row r="25" spans="2:7" ht="15" customHeight="1" x14ac:dyDescent="0.2">
      <c r="B25" s="1582"/>
      <c r="C25" s="1583" t="s">
        <v>1004</v>
      </c>
      <c r="D25" s="1584"/>
      <c r="E25" s="1585" t="s">
        <v>924</v>
      </c>
      <c r="F25" s="1586">
        <v>0</v>
      </c>
      <c r="G25" s="1586">
        <v>0</v>
      </c>
    </row>
    <row r="26" spans="2:7" ht="10.5" customHeight="1" x14ac:dyDescent="0.2">
      <c r="B26" s="1582"/>
      <c r="C26" s="1583"/>
      <c r="D26" s="1584"/>
      <c r="E26" s="1585" t="s">
        <v>925</v>
      </c>
      <c r="F26" s="1586">
        <v>0</v>
      </c>
      <c r="G26" s="1586">
        <v>0</v>
      </c>
    </row>
    <row r="27" spans="2:7" ht="19.5" customHeight="1" x14ac:dyDescent="0.25">
      <c r="B27" s="1587" t="s">
        <v>1005</v>
      </c>
      <c r="C27" s="1588" t="s">
        <v>1004</v>
      </c>
      <c r="D27" s="1589"/>
      <c r="E27" s="1590" t="s">
        <v>927</v>
      </c>
      <c r="F27" s="1591">
        <f>SUM(F25:F26)</f>
        <v>0</v>
      </c>
      <c r="G27" s="1591">
        <f>SUM(G25:G26)</f>
        <v>0</v>
      </c>
    </row>
    <row r="28" spans="2:7" x14ac:dyDescent="0.2">
      <c r="B28" s="1582"/>
      <c r="C28" s="1583"/>
      <c r="D28" s="1584"/>
      <c r="E28" s="1585"/>
      <c r="F28" s="1586"/>
      <c r="G28" s="1586"/>
    </row>
    <row r="29" spans="2:7" x14ac:dyDescent="0.2">
      <c r="B29" s="1582"/>
      <c r="C29" s="1583" t="s">
        <v>1006</v>
      </c>
      <c r="D29" s="1584"/>
      <c r="E29" s="1585" t="s">
        <v>924</v>
      </c>
      <c r="F29" s="1586">
        <v>-184163</v>
      </c>
      <c r="G29" s="1586">
        <v>106878</v>
      </c>
    </row>
    <row r="30" spans="2:7" x14ac:dyDescent="0.2">
      <c r="B30" s="1582"/>
      <c r="C30" s="1583"/>
      <c r="D30" s="1584"/>
      <c r="E30" s="1585" t="s">
        <v>925</v>
      </c>
      <c r="F30" s="1586">
        <v>-99521</v>
      </c>
      <c r="G30" s="1586">
        <v>1962738</v>
      </c>
    </row>
    <row r="31" spans="2:7" ht="20.25" customHeight="1" x14ac:dyDescent="0.25">
      <c r="B31" s="1587" t="s">
        <v>1007</v>
      </c>
      <c r="C31" s="1588" t="s">
        <v>1006</v>
      </c>
      <c r="D31" s="1589"/>
      <c r="E31" s="1590" t="s">
        <v>927</v>
      </c>
      <c r="F31" s="1591">
        <f>SUM(F29:F30)</f>
        <v>-283684</v>
      </c>
      <c r="G31" s="1591">
        <f>SUM(G29:G30)</f>
        <v>2069616</v>
      </c>
    </row>
    <row r="32" spans="2:7" ht="15" customHeight="1" x14ac:dyDescent="0.25">
      <c r="B32" s="1578"/>
      <c r="C32" s="1594"/>
      <c r="D32" s="1580"/>
      <c r="E32" s="1572"/>
      <c r="F32" s="1581"/>
      <c r="G32" s="1581"/>
    </row>
    <row r="33" spans="2:7" x14ac:dyDescent="0.2">
      <c r="B33" s="1582"/>
      <c r="C33" s="1583" t="s">
        <v>1008</v>
      </c>
      <c r="D33" s="1584"/>
      <c r="E33" s="1585" t="s">
        <v>924</v>
      </c>
      <c r="F33" s="1586">
        <f>+F9+F13+F17+F21+F25+F29</f>
        <v>5376811</v>
      </c>
      <c r="G33" s="1586">
        <f>+G9+G13+G17+G21+G25+G29</f>
        <v>5483690</v>
      </c>
    </row>
    <row r="34" spans="2:7" ht="15" thickBot="1" x14ac:dyDescent="0.25">
      <c r="B34" s="1582"/>
      <c r="C34" s="1583"/>
      <c r="D34" s="1584"/>
      <c r="E34" s="1585" t="s">
        <v>925</v>
      </c>
      <c r="F34" s="1586">
        <f>+F10+F14+F18+F22+F26+F30</f>
        <v>69381148</v>
      </c>
      <c r="G34" s="1586">
        <f>+G10+G14+G18+G22+G26+G30</f>
        <v>71343874</v>
      </c>
    </row>
    <row r="35" spans="2:7" ht="24" customHeight="1" thickBot="1" x14ac:dyDescent="0.3">
      <c r="B35" s="1595" t="s">
        <v>1009</v>
      </c>
      <c r="C35" s="2787" t="s">
        <v>1010</v>
      </c>
      <c r="D35" s="2788"/>
      <c r="E35" s="1596" t="s">
        <v>927</v>
      </c>
      <c r="F35" s="1597">
        <f>SUM(F33:F34)</f>
        <v>74757959</v>
      </c>
      <c r="G35" s="1597">
        <f>SUM(G33:G34)</f>
        <v>76827564</v>
      </c>
    </row>
    <row r="36" spans="2:7" ht="15" x14ac:dyDescent="0.25">
      <c r="B36" s="1578"/>
      <c r="C36" s="1579"/>
      <c r="D36" s="1580"/>
      <c r="E36" s="1572"/>
      <c r="F36" s="1581"/>
      <c r="G36" s="1581"/>
    </row>
    <row r="37" spans="2:7" ht="12" customHeight="1" x14ac:dyDescent="0.2">
      <c r="B37" s="1582"/>
      <c r="C37" s="1583" t="s">
        <v>1011</v>
      </c>
      <c r="D37" s="1584"/>
      <c r="E37" s="1585" t="s">
        <v>924</v>
      </c>
      <c r="F37" s="1586">
        <v>87034</v>
      </c>
      <c r="G37" s="1586">
        <v>66649</v>
      </c>
    </row>
    <row r="38" spans="2:7" ht="12" customHeight="1" x14ac:dyDescent="0.2">
      <c r="B38" s="1582"/>
      <c r="C38" s="1583"/>
      <c r="D38" s="1584"/>
      <c r="E38" s="1585" t="s">
        <v>925</v>
      </c>
      <c r="F38" s="1586">
        <v>500068</v>
      </c>
      <c r="G38" s="1586">
        <v>496639</v>
      </c>
    </row>
    <row r="39" spans="2:7" ht="21" customHeight="1" x14ac:dyDescent="0.25">
      <c r="B39" s="1587" t="s">
        <v>1012</v>
      </c>
      <c r="C39" s="1588" t="s">
        <v>1011</v>
      </c>
      <c r="D39" s="1589"/>
      <c r="E39" s="1590" t="s">
        <v>927</v>
      </c>
      <c r="F39" s="1591">
        <f>SUM(F37:F38)</f>
        <v>587102</v>
      </c>
      <c r="G39" s="1591">
        <f>SUM(G37:G38)</f>
        <v>563288</v>
      </c>
    </row>
    <row r="40" spans="2:7" ht="12.75" customHeight="1" x14ac:dyDescent="0.2">
      <c r="B40" s="1582"/>
      <c r="C40" s="1583"/>
      <c r="D40" s="1584"/>
      <c r="E40" s="1585"/>
      <c r="F40" s="1586"/>
      <c r="G40" s="1586"/>
    </row>
    <row r="41" spans="2:7" x14ac:dyDescent="0.2">
      <c r="B41" s="1582"/>
      <c r="C41" s="1583" t="s">
        <v>1013</v>
      </c>
      <c r="D41" s="1584"/>
      <c r="E41" s="1585" t="s">
        <v>924</v>
      </c>
      <c r="F41" s="1586">
        <v>14977</v>
      </c>
      <c r="G41" s="1586">
        <v>6429</v>
      </c>
    </row>
    <row r="42" spans="2:7" x14ac:dyDescent="0.2">
      <c r="B42" s="1582"/>
      <c r="C42" s="1593"/>
      <c r="D42" s="1584"/>
      <c r="E42" s="1585" t="s">
        <v>925</v>
      </c>
      <c r="F42" s="1586">
        <v>93155</v>
      </c>
      <c r="G42" s="1586">
        <v>1778121</v>
      </c>
    </row>
    <row r="43" spans="2:7" ht="16.5" customHeight="1" x14ac:dyDescent="0.25">
      <c r="B43" s="1587" t="s">
        <v>1014</v>
      </c>
      <c r="C43" s="1588" t="s">
        <v>1013</v>
      </c>
      <c r="D43" s="1589"/>
      <c r="E43" s="1590" t="s">
        <v>927</v>
      </c>
      <c r="F43" s="1591">
        <f>SUM(F41:F42)</f>
        <v>108132</v>
      </c>
      <c r="G43" s="1591">
        <f>SUM(G41:G42)</f>
        <v>1784550</v>
      </c>
    </row>
    <row r="44" spans="2:7" x14ac:dyDescent="0.2">
      <c r="B44" s="1582"/>
      <c r="C44" s="1583"/>
      <c r="D44" s="1584"/>
      <c r="E44" s="1585"/>
      <c r="F44" s="1586"/>
      <c r="G44" s="1586"/>
    </row>
    <row r="45" spans="2:7" ht="15" customHeight="1" x14ac:dyDescent="0.2">
      <c r="B45" s="1582"/>
      <c r="C45" s="1583" t="s">
        <v>1015</v>
      </c>
      <c r="D45" s="1584"/>
      <c r="E45" s="1585" t="s">
        <v>924</v>
      </c>
      <c r="F45" s="1586">
        <v>6756</v>
      </c>
      <c r="G45" s="1586">
        <v>17061</v>
      </c>
    </row>
    <row r="46" spans="2:7" ht="12.75" customHeight="1" x14ac:dyDescent="0.2">
      <c r="B46" s="1582"/>
      <c r="C46" s="1583"/>
      <c r="D46" s="1584"/>
      <c r="E46" s="1585" t="s">
        <v>925</v>
      </c>
      <c r="F46" s="1586">
        <v>358740</v>
      </c>
      <c r="G46" s="1586">
        <v>741296</v>
      </c>
    </row>
    <row r="47" spans="2:7" ht="17.25" customHeight="1" x14ac:dyDescent="0.25">
      <c r="B47" s="1587" t="s">
        <v>1016</v>
      </c>
      <c r="C47" s="1588" t="s">
        <v>1015</v>
      </c>
      <c r="D47" s="1589"/>
      <c r="E47" s="1590" t="s">
        <v>927</v>
      </c>
      <c r="F47" s="1591">
        <f>SUM(F45:F46)</f>
        <v>365496</v>
      </c>
      <c r="G47" s="1591">
        <f>SUM(G45:G46)</f>
        <v>758357</v>
      </c>
    </row>
    <row r="48" spans="2:7" ht="15" x14ac:dyDescent="0.25">
      <c r="B48" s="1578"/>
      <c r="C48" s="1594"/>
      <c r="D48" s="1580"/>
      <c r="E48" s="1572"/>
      <c r="F48" s="1581"/>
      <c r="G48" s="1581"/>
    </row>
    <row r="49" spans="2:11" x14ac:dyDescent="0.2">
      <c r="B49" s="1582"/>
      <c r="C49" s="1583" t="s">
        <v>1017</v>
      </c>
      <c r="D49" s="1584"/>
      <c r="E49" s="1585" t="s">
        <v>924</v>
      </c>
      <c r="F49" s="1586">
        <f>+F37+F41+F45</f>
        <v>108767</v>
      </c>
      <c r="G49" s="1586">
        <f>+G37+G41+G45</f>
        <v>90139</v>
      </c>
    </row>
    <row r="50" spans="2:11" ht="15" thickBot="1" x14ac:dyDescent="0.25">
      <c r="B50" s="1582"/>
      <c r="C50" s="1583"/>
      <c r="D50" s="1584"/>
      <c r="E50" s="1585" t="s">
        <v>925</v>
      </c>
      <c r="F50" s="1586">
        <f>+F38+F42+F46</f>
        <v>951963</v>
      </c>
      <c r="G50" s="1586">
        <f>+G38+G42+G46</f>
        <v>3016056</v>
      </c>
    </row>
    <row r="51" spans="2:11" ht="21.75" customHeight="1" thickBot="1" x14ac:dyDescent="0.3">
      <c r="B51" s="1595" t="s">
        <v>1018</v>
      </c>
      <c r="C51" s="2787" t="s">
        <v>1017</v>
      </c>
      <c r="D51" s="2788"/>
      <c r="E51" s="1596" t="s">
        <v>927</v>
      </c>
      <c r="F51" s="1597">
        <f>SUM(F49:F50)</f>
        <v>1060730</v>
      </c>
      <c r="G51" s="1597">
        <f>SUM(G49:G50)</f>
        <v>3106195</v>
      </c>
      <c r="H51" s="1585"/>
      <c r="I51" s="1585"/>
      <c r="J51" s="1585"/>
      <c r="K51" s="1585"/>
    </row>
    <row r="52" spans="2:11" ht="12.75" customHeight="1" x14ac:dyDescent="0.25">
      <c r="B52" s="1598"/>
      <c r="C52" s="1599"/>
      <c r="D52" s="1600"/>
      <c r="E52" s="1601"/>
      <c r="F52" s="1602"/>
      <c r="G52" s="1602"/>
      <c r="H52" s="1585"/>
      <c r="I52" s="1585"/>
      <c r="J52" s="1585"/>
      <c r="K52" s="1585"/>
    </row>
    <row r="53" spans="2:11" ht="12.75" customHeight="1" x14ac:dyDescent="0.25">
      <c r="B53" s="1598"/>
      <c r="C53" s="1599"/>
      <c r="D53" s="1600"/>
      <c r="E53" s="1601"/>
      <c r="F53" s="1602"/>
      <c r="G53" s="1602"/>
      <c r="H53" s="1585"/>
      <c r="I53" s="1585"/>
      <c r="J53" s="1585"/>
      <c r="K53" s="1585"/>
    </row>
    <row r="54" spans="2:11" ht="12" customHeight="1" x14ac:dyDescent="0.2">
      <c r="B54" s="1582"/>
      <c r="C54" s="1583" t="s">
        <v>1019</v>
      </c>
      <c r="D54" s="1584"/>
      <c r="E54" s="1585" t="s">
        <v>924</v>
      </c>
      <c r="F54" s="1586">
        <v>0</v>
      </c>
      <c r="G54" s="1586">
        <v>0</v>
      </c>
      <c r="H54" s="1585"/>
      <c r="I54" s="1585"/>
      <c r="J54" s="1585"/>
      <c r="K54" s="1585"/>
    </row>
    <row r="55" spans="2:11" ht="12" customHeight="1" thickBot="1" x14ac:dyDescent="0.25">
      <c r="B55" s="1582"/>
      <c r="C55" s="1583"/>
      <c r="D55" s="1584"/>
      <c r="E55" s="1585" t="s">
        <v>925</v>
      </c>
      <c r="F55" s="1586">
        <v>0</v>
      </c>
      <c r="G55" s="1586"/>
      <c r="H55" s="1585"/>
      <c r="I55" s="1585"/>
      <c r="J55" s="1585"/>
      <c r="K55" s="1585"/>
    </row>
    <row r="56" spans="2:11" ht="35.25" customHeight="1" thickBot="1" x14ac:dyDescent="0.3">
      <c r="B56" s="1595" t="s">
        <v>1020</v>
      </c>
      <c r="C56" s="2787" t="s">
        <v>1019</v>
      </c>
      <c r="D56" s="2788"/>
      <c r="E56" s="1596" t="s">
        <v>927</v>
      </c>
      <c r="F56" s="1597">
        <f>SUM(F54:F55)</f>
        <v>0</v>
      </c>
      <c r="G56" s="1597">
        <f>SUM(G54:G55)</f>
        <v>0</v>
      </c>
      <c r="H56" s="1585"/>
      <c r="I56" s="1585"/>
      <c r="J56" s="1585"/>
      <c r="K56" s="1585"/>
    </row>
    <row r="57" spans="2:11" ht="12" customHeight="1" x14ac:dyDescent="0.25">
      <c r="B57" s="1578"/>
      <c r="C57" s="1579"/>
      <c r="D57" s="1580"/>
      <c r="E57" s="1572"/>
      <c r="F57" s="1581"/>
      <c r="G57" s="1581"/>
    </row>
    <row r="58" spans="2:11" ht="15" customHeight="1" x14ac:dyDescent="0.2">
      <c r="B58" s="1582"/>
      <c r="C58" s="1583" t="s">
        <v>1021</v>
      </c>
      <c r="D58" s="1584"/>
      <c r="E58" s="1585" t="s">
        <v>924</v>
      </c>
      <c r="F58" s="1586">
        <v>23069</v>
      </c>
      <c r="G58" s="1586">
        <v>23800</v>
      </c>
      <c r="H58" s="1585"/>
      <c r="I58" s="1585"/>
      <c r="J58" s="1585"/>
    </row>
    <row r="59" spans="2:11" ht="12.75" customHeight="1" x14ac:dyDescent="0.2">
      <c r="B59" s="1582"/>
      <c r="C59" s="1583"/>
      <c r="D59" s="1584"/>
      <c r="E59" s="1585" t="s">
        <v>925</v>
      </c>
      <c r="F59" s="1586">
        <v>76628</v>
      </c>
      <c r="G59" s="1586">
        <v>4429272</v>
      </c>
    </row>
    <row r="60" spans="2:11" ht="30.75" customHeight="1" x14ac:dyDescent="0.25">
      <c r="B60" s="1587" t="s">
        <v>1022</v>
      </c>
      <c r="C60" s="2785" t="s">
        <v>1023</v>
      </c>
      <c r="D60" s="2786"/>
      <c r="E60" s="1590" t="s">
        <v>927</v>
      </c>
      <c r="F60" s="1591">
        <f>SUM(F58:F59)</f>
        <v>99697</v>
      </c>
      <c r="G60" s="1591">
        <f>SUM(G58:G59)</f>
        <v>4453072</v>
      </c>
    </row>
    <row r="61" spans="2:11" x14ac:dyDescent="0.2">
      <c r="B61" s="1582"/>
      <c r="C61" s="1583"/>
      <c r="D61" s="1584"/>
      <c r="E61" s="1585"/>
      <c r="F61" s="1586"/>
      <c r="G61" s="1586"/>
    </row>
    <row r="62" spans="2:11" x14ac:dyDescent="0.2">
      <c r="B62" s="1582"/>
      <c r="C62" s="1583" t="s">
        <v>1025</v>
      </c>
      <c r="D62" s="1584"/>
      <c r="E62" s="1585" t="s">
        <v>924</v>
      </c>
      <c r="F62" s="1586">
        <v>578798</v>
      </c>
      <c r="G62" s="1586">
        <v>680464</v>
      </c>
    </row>
    <row r="63" spans="2:11" x14ac:dyDescent="0.2">
      <c r="B63" s="1582"/>
      <c r="C63" s="1593"/>
      <c r="D63" s="1584"/>
      <c r="E63" s="1585" t="s">
        <v>925</v>
      </c>
      <c r="F63" s="1586">
        <v>261289</v>
      </c>
      <c r="G63" s="1586">
        <v>174095</v>
      </c>
    </row>
    <row r="64" spans="2:11" ht="19.5" customHeight="1" x14ac:dyDescent="0.25">
      <c r="B64" s="1587" t="s">
        <v>1024</v>
      </c>
      <c r="C64" s="1588" t="s">
        <v>1025</v>
      </c>
      <c r="D64" s="1589"/>
      <c r="E64" s="1590" t="s">
        <v>927</v>
      </c>
      <c r="F64" s="1591">
        <f>SUM(F62:F63)</f>
        <v>840087</v>
      </c>
      <c r="G64" s="1591">
        <f>SUM(G62:G63)</f>
        <v>854559</v>
      </c>
    </row>
    <row r="65" spans="2:7" ht="12.75" customHeight="1" x14ac:dyDescent="0.2">
      <c r="B65" s="1582"/>
      <c r="C65" s="1583"/>
      <c r="D65" s="1584"/>
      <c r="E65" s="1585"/>
      <c r="F65" s="1586"/>
      <c r="G65" s="1586"/>
    </row>
    <row r="66" spans="2:7" x14ac:dyDescent="0.2">
      <c r="B66" s="1582"/>
      <c r="C66" s="1583" t="s">
        <v>1026</v>
      </c>
      <c r="D66" s="1584"/>
      <c r="E66" s="1585" t="s">
        <v>924</v>
      </c>
      <c r="F66" s="1586">
        <v>812</v>
      </c>
      <c r="G66" s="1586">
        <v>3970</v>
      </c>
    </row>
    <row r="67" spans="2:7" x14ac:dyDescent="0.2">
      <c r="B67" s="1582"/>
      <c r="C67" s="1583"/>
      <c r="D67" s="1584"/>
      <c r="E67" s="1585" t="s">
        <v>925</v>
      </c>
      <c r="F67" s="1586">
        <v>12651586</v>
      </c>
      <c r="G67" s="1586">
        <v>18459595</v>
      </c>
    </row>
    <row r="68" spans="2:7" ht="16.5" customHeight="1" x14ac:dyDescent="0.25">
      <c r="B68" s="1587" t="s">
        <v>1027</v>
      </c>
      <c r="C68" s="1588" t="s">
        <v>1026</v>
      </c>
      <c r="D68" s="1589"/>
      <c r="E68" s="1590" t="s">
        <v>927</v>
      </c>
      <c r="F68" s="1591">
        <f>SUM(F66:F67)</f>
        <v>12652398</v>
      </c>
      <c r="G68" s="1591">
        <f>SUM(G66:G67)</f>
        <v>18463565</v>
      </c>
    </row>
    <row r="69" spans="2:7" x14ac:dyDescent="0.2">
      <c r="B69" s="1582"/>
      <c r="C69" s="1583"/>
      <c r="D69" s="1584"/>
      <c r="E69" s="1585"/>
      <c r="F69" s="1586"/>
      <c r="G69" s="1586"/>
    </row>
    <row r="70" spans="2:7" ht="15" customHeight="1" x14ac:dyDescent="0.2">
      <c r="B70" s="1582"/>
      <c r="C70" s="1583" t="s">
        <v>1029</v>
      </c>
      <c r="D70" s="1584"/>
      <c r="E70" s="1585" t="s">
        <v>924</v>
      </c>
      <c r="F70" s="1586">
        <f>+F58+F62+F66</f>
        <v>602679</v>
      </c>
      <c r="G70" s="1586">
        <f>+G58+G62+G66</f>
        <v>708234</v>
      </c>
    </row>
    <row r="71" spans="2:7" ht="15" thickBot="1" x14ac:dyDescent="0.25">
      <c r="B71" s="1582"/>
      <c r="C71" s="1583"/>
      <c r="D71" s="1584"/>
      <c r="E71" s="1585" t="s">
        <v>925</v>
      </c>
      <c r="F71" s="1586">
        <f>+F59+F63+F67</f>
        <v>12989503</v>
      </c>
      <c r="G71" s="1586">
        <f>+G59+G63+G67</f>
        <v>23062962</v>
      </c>
    </row>
    <row r="72" spans="2:7" ht="24.75" customHeight="1" thickBot="1" x14ac:dyDescent="0.3">
      <c r="B72" s="1595" t="s">
        <v>1028</v>
      </c>
      <c r="C72" s="2787" t="s">
        <v>1029</v>
      </c>
      <c r="D72" s="2788"/>
      <c r="E72" s="1596" t="s">
        <v>927</v>
      </c>
      <c r="F72" s="1597">
        <f>SUM(F70:F71)</f>
        <v>13592182</v>
      </c>
      <c r="G72" s="1597">
        <f>SUM(G70:G71)</f>
        <v>23771196</v>
      </c>
    </row>
    <row r="73" spans="2:7" x14ac:dyDescent="0.2">
      <c r="B73" s="1582"/>
      <c r="C73" s="1583"/>
      <c r="D73" s="1584"/>
      <c r="E73" s="1585"/>
      <c r="F73" s="1586"/>
      <c r="G73" s="1586"/>
    </row>
    <row r="74" spans="2:7" ht="15" x14ac:dyDescent="0.25">
      <c r="B74" s="1582"/>
      <c r="C74" s="1579" t="s">
        <v>995</v>
      </c>
      <c r="D74" s="1584"/>
      <c r="E74" s="1585" t="s">
        <v>924</v>
      </c>
      <c r="F74" s="1586">
        <f>+F33+F49+F54+F70</f>
        <v>6088257</v>
      </c>
      <c r="G74" s="1586">
        <f>+G33+G49+G54+G70</f>
        <v>6282063</v>
      </c>
    </row>
    <row r="75" spans="2:7" ht="15" thickBot="1" x14ac:dyDescent="0.25">
      <c r="B75" s="1582"/>
      <c r="C75" s="1583"/>
      <c r="D75" s="1584"/>
      <c r="E75" s="1585" t="s">
        <v>925</v>
      </c>
      <c r="F75" s="1586">
        <f>+F34+F50+F55+F71</f>
        <v>83322614</v>
      </c>
      <c r="G75" s="1586">
        <f>+G34+G50+G55+G71</f>
        <v>97422892</v>
      </c>
    </row>
    <row r="76" spans="2:7" ht="24.75" customHeight="1" thickBot="1" x14ac:dyDescent="0.3">
      <c r="B76" s="1595"/>
      <c r="C76" s="2787" t="s">
        <v>1030</v>
      </c>
      <c r="D76" s="2788"/>
      <c r="E76" s="1596" t="s">
        <v>927</v>
      </c>
      <c r="F76" s="1597">
        <f>SUM(F74:F75)</f>
        <v>89410871</v>
      </c>
      <c r="G76" s="1597">
        <f>SUM(G74:G75)</f>
        <v>103704955</v>
      </c>
    </row>
    <row r="77" spans="2:7" ht="12.75" customHeight="1" x14ac:dyDescent="0.2"/>
    <row r="78" spans="2:7" x14ac:dyDescent="0.2">
      <c r="F78" s="1592">
        <f>+'23 eszközök'!F139</f>
        <v>89410871</v>
      </c>
      <c r="G78" s="1592">
        <f>+'23 eszközök'!G139</f>
        <v>103704955</v>
      </c>
    </row>
    <row r="79" spans="2:7" x14ac:dyDescent="0.2">
      <c r="F79" s="1592">
        <f>+F76-F78</f>
        <v>0</v>
      </c>
      <c r="G79" s="1592">
        <f>+G76-G78</f>
        <v>0</v>
      </c>
    </row>
    <row r="82" spans="8:8" ht="15" customHeight="1" x14ac:dyDescent="0.2"/>
    <row r="83" spans="8:8" ht="12" customHeight="1" x14ac:dyDescent="0.2"/>
    <row r="84" spans="8:8" x14ac:dyDescent="0.2">
      <c r="H84" s="1592"/>
    </row>
    <row r="85" spans="8:8" x14ac:dyDescent="0.2">
      <c r="H85" s="1592"/>
    </row>
    <row r="86" spans="8:8" x14ac:dyDescent="0.2">
      <c r="H86" s="1592"/>
    </row>
    <row r="88" spans="8:8" ht="21" customHeight="1" x14ac:dyDescent="0.2"/>
  </sheetData>
  <mergeCells count="9">
    <mergeCell ref="C60:D60"/>
    <mergeCell ref="C72:D72"/>
    <mergeCell ref="C76:D76"/>
    <mergeCell ref="B2:G2"/>
    <mergeCell ref="B3:G3"/>
    <mergeCell ref="C5:D5"/>
    <mergeCell ref="C35:D35"/>
    <mergeCell ref="C51:D51"/>
    <mergeCell ref="C56:D56"/>
  </mergeCells>
  <printOptions horizontalCentered="1" verticalCentered="1"/>
  <pageMargins left="0.19685039370078741" right="0.19685039370078741" top="0.39370078740157483" bottom="0.35433070866141736" header="0.15748031496062992" footer="0.31496062992125984"/>
  <pageSetup paperSize="9" scale="69" orientation="portrait" r:id="rId1"/>
  <headerFooter alignWithMargins="0">
    <oddHeader>&amp;R&amp;"Arial CE,Félkövér"&amp;13 24. melléklet a …../2020. (…….) önkormányzati rendelethez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3:L208"/>
  <sheetViews>
    <sheetView zoomScale="75" zoomScaleNormal="75" workbookViewId="0">
      <selection activeCell="J20" sqref="J20"/>
    </sheetView>
  </sheetViews>
  <sheetFormatPr defaultColWidth="12" defaultRowHeight="15" x14ac:dyDescent="0.2"/>
  <cols>
    <col min="1" max="1" width="5.33203125" style="1603" customWidth="1"/>
    <col min="2" max="2" width="44" style="1603" customWidth="1"/>
    <col min="3" max="3" width="13.1640625" style="1628" customWidth="1"/>
    <col min="4" max="4" width="63.5" style="1603" customWidth="1"/>
    <col min="5" max="5" width="13.1640625" style="1628" customWidth="1"/>
    <col min="6" max="6" width="15.6640625" style="1603" customWidth="1"/>
    <col min="7" max="8" width="12" style="1603"/>
    <col min="9" max="9" width="12" style="1603" customWidth="1"/>
    <col min="10" max="16384" width="12" style="1603"/>
  </cols>
  <sheetData>
    <row r="3" spans="2:6" ht="18.75" customHeight="1" x14ac:dyDescent="0.3">
      <c r="B3" s="2793" t="s">
        <v>881</v>
      </c>
      <c r="C3" s="2793"/>
      <c r="D3" s="2793"/>
      <c r="E3" s="2793"/>
      <c r="F3" s="2793"/>
    </row>
    <row r="4" spans="2:6" ht="24" customHeight="1" x14ac:dyDescent="0.25">
      <c r="B4" s="2794" t="s">
        <v>1386</v>
      </c>
      <c r="C4" s="2794"/>
      <c r="D4" s="2794"/>
      <c r="E4" s="2794"/>
      <c r="F4" s="2794"/>
    </row>
    <row r="5" spans="2:6" s="1604" customFormat="1" ht="24" customHeight="1" x14ac:dyDescent="0.25">
      <c r="B5" s="2795" t="s">
        <v>1031</v>
      </c>
      <c r="C5" s="2795"/>
      <c r="D5" s="2795"/>
      <c r="E5" s="2795"/>
      <c r="F5" s="2795"/>
    </row>
    <row r="6" spans="2:6" ht="16.5" x14ac:dyDescent="0.25">
      <c r="B6" s="2795" t="s">
        <v>1032</v>
      </c>
      <c r="C6" s="2795"/>
      <c r="D6" s="2795"/>
      <c r="E6" s="2795"/>
      <c r="F6" s="2795"/>
    </row>
    <row r="7" spans="2:6" ht="16.5" x14ac:dyDescent="0.25">
      <c r="B7" s="2795" t="s">
        <v>1033</v>
      </c>
      <c r="C7" s="2795"/>
      <c r="D7" s="2795"/>
      <c r="E7" s="2795"/>
      <c r="F7" s="2795"/>
    </row>
    <row r="8" spans="2:6" ht="17.25" thickBot="1" x14ac:dyDescent="0.3">
      <c r="B8" s="2792" t="s">
        <v>1034</v>
      </c>
      <c r="C8" s="2792"/>
      <c r="D8" s="2792"/>
      <c r="E8" s="2792"/>
      <c r="F8" s="2792"/>
    </row>
    <row r="9" spans="2:6" ht="42" customHeight="1" thickBot="1" x14ac:dyDescent="0.3">
      <c r="B9" s="1605" t="s">
        <v>1035</v>
      </c>
      <c r="C9" s="1606" t="s">
        <v>1036</v>
      </c>
      <c r="D9" s="1607" t="s">
        <v>1037</v>
      </c>
      <c r="E9" s="1608" t="s">
        <v>1038</v>
      </c>
      <c r="F9" s="1609" t="s">
        <v>1039</v>
      </c>
    </row>
    <row r="10" spans="2:6" ht="24.75" customHeight="1" x14ac:dyDescent="0.25">
      <c r="B10" s="1610" t="s">
        <v>1040</v>
      </c>
      <c r="C10" s="1611"/>
      <c r="D10" s="1612"/>
      <c r="E10" s="1613"/>
      <c r="F10" s="1614"/>
    </row>
    <row r="11" spans="2:6" x14ac:dyDescent="0.2">
      <c r="B11" s="1615" t="s">
        <v>1041</v>
      </c>
      <c r="C11" s="1616">
        <v>50846</v>
      </c>
      <c r="D11" s="1617" t="s">
        <v>1042</v>
      </c>
      <c r="E11" s="1618">
        <v>28873</v>
      </c>
      <c r="F11" s="1614"/>
    </row>
    <row r="12" spans="2:6" x14ac:dyDescent="0.2">
      <c r="B12" s="1615"/>
      <c r="C12" s="1616"/>
      <c r="D12" s="1617" t="s">
        <v>1043</v>
      </c>
      <c r="E12" s="1618">
        <v>14078</v>
      </c>
      <c r="F12" s="1614"/>
    </row>
    <row r="13" spans="2:6" x14ac:dyDescent="0.2">
      <c r="B13" s="1615"/>
      <c r="C13" s="1616"/>
      <c r="D13" s="1617" t="s">
        <v>1044</v>
      </c>
      <c r="E13" s="1618">
        <v>4524</v>
      </c>
      <c r="F13" s="1614"/>
    </row>
    <row r="14" spans="2:6" x14ac:dyDescent="0.2">
      <c r="B14" s="1615"/>
      <c r="C14" s="1619"/>
      <c r="D14" s="1617" t="s">
        <v>1045</v>
      </c>
      <c r="E14" s="1618">
        <v>1135</v>
      </c>
      <c r="F14" s="1614"/>
    </row>
    <row r="15" spans="2:6" x14ac:dyDescent="0.2">
      <c r="B15" s="1615"/>
      <c r="C15" s="1619"/>
      <c r="D15" s="1617" t="s">
        <v>1046</v>
      </c>
      <c r="E15" s="1618">
        <v>1500</v>
      </c>
      <c r="F15" s="1614"/>
    </row>
    <row r="16" spans="2:6" x14ac:dyDescent="0.2">
      <c r="B16" s="1615"/>
      <c r="C16" s="1616"/>
      <c r="D16" s="1617" t="s">
        <v>1047</v>
      </c>
      <c r="E16" s="1618">
        <v>736</v>
      </c>
      <c r="F16" s="1614"/>
    </row>
    <row r="17" spans="2:9" s="1604" customFormat="1" ht="23.25" customHeight="1" thickBot="1" x14ac:dyDescent="0.3">
      <c r="B17" s="1620"/>
      <c r="C17" s="1621">
        <f>SUM(C11:C16)</f>
        <v>50846</v>
      </c>
      <c r="D17" s="1622"/>
      <c r="E17" s="1623">
        <f>SUM(E11:E16)</f>
        <v>50846</v>
      </c>
      <c r="F17" s="1624">
        <f>C17-E17</f>
        <v>0</v>
      </c>
    </row>
    <row r="18" spans="2:9" s="1604" customFormat="1" ht="19.5" customHeight="1" x14ac:dyDescent="0.25">
      <c r="B18" s="1610" t="s">
        <v>1048</v>
      </c>
      <c r="C18" s="1619"/>
      <c r="D18" s="2919"/>
      <c r="E18" s="1613"/>
      <c r="F18" s="1625"/>
      <c r="I18" s="1603"/>
    </row>
    <row r="19" spans="2:9" x14ac:dyDescent="0.2">
      <c r="B19" s="1615" t="s">
        <v>1049</v>
      </c>
      <c r="C19" s="1616">
        <v>488825</v>
      </c>
      <c r="D19" s="1617" t="s">
        <v>1050</v>
      </c>
      <c r="E19" s="1618">
        <v>32035</v>
      </c>
      <c r="F19" s="1614"/>
    </row>
    <row r="20" spans="2:9" x14ac:dyDescent="0.2">
      <c r="B20" s="1615" t="s">
        <v>76</v>
      </c>
      <c r="C20" s="1619"/>
      <c r="D20" s="1617" t="s">
        <v>1051</v>
      </c>
      <c r="E20" s="1618">
        <v>4070</v>
      </c>
      <c r="F20" s="1614"/>
      <c r="I20" s="1603" t="s">
        <v>76</v>
      </c>
    </row>
    <row r="21" spans="2:9" x14ac:dyDescent="0.2">
      <c r="B21" s="1615" t="s">
        <v>76</v>
      </c>
      <c r="C21" s="1619" t="s">
        <v>76</v>
      </c>
      <c r="D21" s="1617" t="s">
        <v>1052</v>
      </c>
      <c r="E21" s="1618">
        <v>47933</v>
      </c>
      <c r="F21" s="1614"/>
    </row>
    <row r="22" spans="2:9" x14ac:dyDescent="0.2">
      <c r="B22" s="1615"/>
      <c r="C22" s="1616"/>
      <c r="D22" s="1617" t="s">
        <v>1053</v>
      </c>
      <c r="E22" s="1618">
        <v>1982</v>
      </c>
      <c r="F22" s="1614"/>
    </row>
    <row r="23" spans="2:9" x14ac:dyDescent="0.2">
      <c r="B23" s="1615"/>
      <c r="C23" s="1616"/>
      <c r="D23" s="1617" t="s">
        <v>1054</v>
      </c>
      <c r="E23" s="1618">
        <v>6481</v>
      </c>
      <c r="F23" s="1614"/>
    </row>
    <row r="24" spans="2:9" x14ac:dyDescent="0.2">
      <c r="B24" s="1615"/>
      <c r="C24" s="1619"/>
      <c r="D24" s="1617" t="s">
        <v>1055</v>
      </c>
      <c r="E24" s="1618">
        <v>6222</v>
      </c>
      <c r="F24" s="1614"/>
    </row>
    <row r="25" spans="2:9" x14ac:dyDescent="0.2">
      <c r="B25" s="1615"/>
      <c r="C25" s="1616"/>
      <c r="D25" s="1617" t="s">
        <v>1056</v>
      </c>
      <c r="E25" s="1618">
        <v>9089</v>
      </c>
      <c r="F25" s="1614"/>
    </row>
    <row r="26" spans="2:9" x14ac:dyDescent="0.2">
      <c r="B26" s="1615"/>
      <c r="C26" s="1619"/>
      <c r="D26" s="1617" t="s">
        <v>1057</v>
      </c>
      <c r="E26" s="1618">
        <v>538</v>
      </c>
      <c r="F26" s="1614"/>
    </row>
    <row r="27" spans="2:9" x14ac:dyDescent="0.2">
      <c r="B27" s="1615"/>
      <c r="C27" s="1619"/>
      <c r="D27" s="1617" t="s">
        <v>1058</v>
      </c>
      <c r="E27" s="1618">
        <v>729</v>
      </c>
      <c r="F27" s="1614"/>
    </row>
    <row r="28" spans="2:9" x14ac:dyDescent="0.2">
      <c r="B28" s="1615"/>
      <c r="C28" s="1619"/>
      <c r="D28" s="1617" t="s">
        <v>1059</v>
      </c>
      <c r="E28" s="1618">
        <f>450+21863</f>
        <v>22313</v>
      </c>
      <c r="F28" s="1614"/>
    </row>
    <row r="29" spans="2:9" x14ac:dyDescent="0.2">
      <c r="B29" s="1615"/>
      <c r="C29" s="1619"/>
      <c r="D29" s="1617" t="s">
        <v>1060</v>
      </c>
      <c r="E29" s="1618">
        <v>22728</v>
      </c>
      <c r="F29" s="1614"/>
    </row>
    <row r="30" spans="2:9" x14ac:dyDescent="0.2">
      <c r="B30" s="1615"/>
      <c r="C30" s="1619"/>
      <c r="D30" s="1617" t="s">
        <v>1061</v>
      </c>
      <c r="E30" s="1618">
        <v>17603</v>
      </c>
      <c r="F30" s="1614"/>
    </row>
    <row r="31" spans="2:9" x14ac:dyDescent="0.2">
      <c r="B31" s="1615"/>
      <c r="C31" s="1616"/>
      <c r="D31" s="1617" t="s">
        <v>1062</v>
      </c>
      <c r="E31" s="1618">
        <v>1126</v>
      </c>
      <c r="F31" s="1614"/>
    </row>
    <row r="32" spans="2:9" x14ac:dyDescent="0.2">
      <c r="B32" s="1615"/>
      <c r="C32" s="1616"/>
      <c r="D32" s="1617" t="s">
        <v>1063</v>
      </c>
      <c r="E32" s="1618">
        <v>10907</v>
      </c>
      <c r="F32" s="1614"/>
    </row>
    <row r="33" spans="2:7" x14ac:dyDescent="0.2">
      <c r="B33" s="1615"/>
      <c r="C33" s="1619"/>
      <c r="D33" s="1617" t="s">
        <v>1064</v>
      </c>
      <c r="E33" s="1618">
        <v>30809</v>
      </c>
      <c r="F33" s="1614"/>
    </row>
    <row r="34" spans="2:7" s="1604" customFormat="1" ht="24.75" customHeight="1" thickBot="1" x14ac:dyDescent="0.3">
      <c r="B34" s="1620"/>
      <c r="C34" s="1621">
        <f>SUM(C19:C31)</f>
        <v>488825</v>
      </c>
      <c r="D34" s="1622"/>
      <c r="E34" s="1623">
        <f>SUM(E19:E33)</f>
        <v>214565</v>
      </c>
      <c r="F34" s="1624">
        <f>C34-E34</f>
        <v>274260</v>
      </c>
      <c r="G34" s="1604" t="s">
        <v>76</v>
      </c>
    </row>
    <row r="35" spans="2:7" ht="18.75" customHeight="1" x14ac:dyDescent="0.25">
      <c r="B35" s="1610" t="s">
        <v>1065</v>
      </c>
      <c r="C35" s="1626"/>
      <c r="D35" s="1617"/>
      <c r="E35" s="1618"/>
      <c r="F35" s="1627"/>
    </row>
    <row r="36" spans="2:7" x14ac:dyDescent="0.2">
      <c r="B36" s="1615" t="s">
        <v>1066</v>
      </c>
      <c r="C36" s="1616">
        <v>493187</v>
      </c>
      <c r="D36" s="1617" t="s">
        <v>1067</v>
      </c>
      <c r="E36" s="1618">
        <v>9851</v>
      </c>
      <c r="F36" s="1614"/>
      <c r="G36" s="1603" t="s">
        <v>76</v>
      </c>
    </row>
    <row r="37" spans="2:7" x14ac:dyDescent="0.2">
      <c r="B37" s="1615" t="s">
        <v>1068</v>
      </c>
      <c r="C37" s="1616">
        <v>-28127</v>
      </c>
      <c r="D37" s="1617" t="s">
        <v>1069</v>
      </c>
      <c r="E37" s="1618">
        <v>19307</v>
      </c>
      <c r="F37" s="1614"/>
    </row>
    <row r="38" spans="2:7" x14ac:dyDescent="0.2">
      <c r="B38" s="1615" t="s">
        <v>76</v>
      </c>
      <c r="C38" s="1619" t="s">
        <v>76</v>
      </c>
      <c r="D38" s="1617" t="s">
        <v>1070</v>
      </c>
      <c r="E38" s="1618">
        <v>15266</v>
      </c>
      <c r="F38" s="1614"/>
      <c r="G38" s="1603" t="s">
        <v>76</v>
      </c>
    </row>
    <row r="39" spans="2:7" x14ac:dyDescent="0.2">
      <c r="B39" s="1615"/>
      <c r="C39" s="1619"/>
      <c r="D39" s="1617" t="s">
        <v>1071</v>
      </c>
      <c r="E39" s="1618">
        <v>30965</v>
      </c>
      <c r="F39" s="1614"/>
      <c r="G39" s="1628" t="s">
        <v>76</v>
      </c>
    </row>
    <row r="40" spans="2:7" x14ac:dyDescent="0.2">
      <c r="B40" s="1615"/>
      <c r="C40" s="1619"/>
      <c r="D40" s="1617" t="s">
        <v>1055</v>
      </c>
      <c r="E40" s="1618">
        <v>113</v>
      </c>
      <c r="F40" s="1614"/>
    </row>
    <row r="41" spans="2:7" x14ac:dyDescent="0.2">
      <c r="B41" s="1615"/>
      <c r="C41" s="1619"/>
      <c r="D41" s="1617" t="s">
        <v>1072</v>
      </c>
      <c r="E41" s="1618">
        <f>18500+69022</f>
        <v>87522</v>
      </c>
      <c r="F41" s="1614"/>
    </row>
    <row r="42" spans="2:7" x14ac:dyDescent="0.2">
      <c r="B42" s="1615"/>
      <c r="C42" s="1619"/>
      <c r="D42" s="1617" t="s">
        <v>1073</v>
      </c>
      <c r="E42" s="1618">
        <f>26681+18717</f>
        <v>45398</v>
      </c>
      <c r="F42" s="1614"/>
    </row>
    <row r="43" spans="2:7" x14ac:dyDescent="0.2">
      <c r="B43" s="1615"/>
      <c r="C43" s="1619"/>
      <c r="D43" s="1617" t="s">
        <v>1059</v>
      </c>
      <c r="E43" s="1618">
        <f>200+41364+3500</f>
        <v>45064</v>
      </c>
      <c r="F43" s="1614"/>
    </row>
    <row r="44" spans="2:7" x14ac:dyDescent="0.2">
      <c r="B44" s="1615"/>
      <c r="C44" s="1619"/>
      <c r="D44" s="1617" t="s">
        <v>1060</v>
      </c>
      <c r="E44" s="1618">
        <v>44264</v>
      </c>
      <c r="F44" s="1614"/>
    </row>
    <row r="45" spans="2:7" x14ac:dyDescent="0.2">
      <c r="B45" s="1615"/>
      <c r="C45" s="1619"/>
      <c r="D45" s="1617" t="s">
        <v>1074</v>
      </c>
      <c r="E45" s="1618">
        <f>24875+383+1163</f>
        <v>26421</v>
      </c>
      <c r="F45" s="1614"/>
    </row>
    <row r="46" spans="2:7" x14ac:dyDescent="0.2">
      <c r="B46" s="1615"/>
      <c r="C46" s="1619"/>
      <c r="D46" s="1617" t="s">
        <v>1075</v>
      </c>
      <c r="E46" s="1618">
        <v>960</v>
      </c>
      <c r="F46" s="1614"/>
    </row>
    <row r="47" spans="2:7" x14ac:dyDescent="0.2">
      <c r="B47" s="1615"/>
      <c r="C47" s="1619"/>
      <c r="D47" s="1617" t="s">
        <v>1076</v>
      </c>
      <c r="E47" s="1618">
        <v>4527</v>
      </c>
      <c r="F47" s="1614"/>
    </row>
    <row r="48" spans="2:7" s="1604" customFormat="1" ht="21.75" customHeight="1" thickBot="1" x14ac:dyDescent="0.3">
      <c r="B48" s="1620"/>
      <c r="C48" s="1621">
        <f>SUM(C36:C47)</f>
        <v>465060</v>
      </c>
      <c r="D48" s="1622"/>
      <c r="E48" s="1623">
        <f>SUM(E36:E47)</f>
        <v>329658</v>
      </c>
      <c r="F48" s="1624">
        <f>F34+C48-E48</f>
        <v>409662</v>
      </c>
      <c r="G48" s="1629" t="s">
        <v>76</v>
      </c>
    </row>
    <row r="49" spans="2:7" ht="15.95" customHeight="1" x14ac:dyDescent="0.25">
      <c r="B49" s="1610" t="s">
        <v>1077</v>
      </c>
      <c r="C49" s="1618"/>
      <c r="D49" s="1630" t="s">
        <v>1078</v>
      </c>
      <c r="E49" s="1618">
        <v>133269</v>
      </c>
      <c r="F49" s="1614"/>
      <c r="G49" s="1603" t="s">
        <v>76</v>
      </c>
    </row>
    <row r="50" spans="2:7" ht="15.95" customHeight="1" x14ac:dyDescent="0.2">
      <c r="B50" s="1615" t="s">
        <v>1066</v>
      </c>
      <c r="C50" s="1616">
        <v>193170</v>
      </c>
      <c r="D50" s="1617" t="s">
        <v>1079</v>
      </c>
      <c r="E50" s="1618">
        <v>525</v>
      </c>
      <c r="F50" s="1614"/>
      <c r="G50" s="1628" t="s">
        <v>76</v>
      </c>
    </row>
    <row r="51" spans="2:7" ht="15.95" customHeight="1" x14ac:dyDescent="0.2">
      <c r="B51" s="1615" t="s">
        <v>1068</v>
      </c>
      <c r="C51" s="1616">
        <v>-4770</v>
      </c>
      <c r="D51" s="1617" t="s">
        <v>1080</v>
      </c>
      <c r="E51" s="1618">
        <v>140734</v>
      </c>
      <c r="F51" s="1614"/>
    </row>
    <row r="52" spans="2:7" ht="15.95" customHeight="1" x14ac:dyDescent="0.2">
      <c r="B52" s="1615"/>
      <c r="C52" s="1619"/>
      <c r="D52" s="1617" t="s">
        <v>1081</v>
      </c>
      <c r="E52" s="1618">
        <v>406</v>
      </c>
      <c r="F52" s="1614"/>
    </row>
    <row r="53" spans="2:7" ht="15.95" customHeight="1" x14ac:dyDescent="0.2">
      <c r="B53" s="1615" t="s">
        <v>1082</v>
      </c>
      <c r="C53" s="1616">
        <v>5312</v>
      </c>
      <c r="D53" s="1617" t="s">
        <v>1083</v>
      </c>
      <c r="E53" s="1618">
        <v>375</v>
      </c>
      <c r="F53" s="1614"/>
    </row>
    <row r="54" spans="2:7" ht="15.95" customHeight="1" x14ac:dyDescent="0.2">
      <c r="B54" s="1615"/>
      <c r="C54" s="1619"/>
      <c r="D54" s="1617" t="s">
        <v>1084</v>
      </c>
      <c r="E54" s="1618">
        <f>10759+332</f>
        <v>11091</v>
      </c>
      <c r="F54" s="1614"/>
    </row>
    <row r="55" spans="2:7" ht="15.95" customHeight="1" x14ac:dyDescent="0.2">
      <c r="B55" s="1615"/>
      <c r="C55" s="1619"/>
      <c r="D55" s="1617" t="s">
        <v>1085</v>
      </c>
      <c r="E55" s="1618">
        <v>4187</v>
      </c>
      <c r="F55" s="1614"/>
    </row>
    <row r="56" spans="2:7" ht="15.95" customHeight="1" x14ac:dyDescent="0.2">
      <c r="B56" s="1615"/>
      <c r="C56" s="1619"/>
      <c r="D56" s="1617" t="s">
        <v>1086</v>
      </c>
      <c r="E56" s="1618">
        <v>128635</v>
      </c>
      <c r="F56" s="1614"/>
    </row>
    <row r="57" spans="2:7" ht="20.100000000000001" customHeight="1" thickBot="1" x14ac:dyDescent="0.3">
      <c r="B57" s="1620"/>
      <c r="C57" s="1621">
        <f>SUM(C50:C56)</f>
        <v>193712</v>
      </c>
      <c r="D57" s="1622"/>
      <c r="E57" s="1623">
        <f>SUM(E49:E56)</f>
        <v>419222</v>
      </c>
      <c r="F57" s="1624">
        <f>F48+C57-E57</f>
        <v>184152</v>
      </c>
    </row>
    <row r="58" spans="2:7" ht="15.95" customHeight="1" x14ac:dyDescent="0.25">
      <c r="B58" s="1610" t="s">
        <v>1087</v>
      </c>
      <c r="C58" s="1618"/>
      <c r="D58" s="1630" t="s">
        <v>1088</v>
      </c>
      <c r="E58" s="1618">
        <v>4152</v>
      </c>
      <c r="F58" s="1627" t="s">
        <v>76</v>
      </c>
    </row>
    <row r="59" spans="2:7" ht="15.95" customHeight="1" x14ac:dyDescent="0.2">
      <c r="B59" s="1615" t="s">
        <v>1066</v>
      </c>
      <c r="C59" s="1631">
        <v>200124</v>
      </c>
      <c r="D59" s="1617" t="s">
        <v>1089</v>
      </c>
      <c r="E59" s="1618">
        <v>1408</v>
      </c>
      <c r="F59" s="1614"/>
    </row>
    <row r="60" spans="2:7" ht="15.95" customHeight="1" x14ac:dyDescent="0.2">
      <c r="B60" s="1615" t="s">
        <v>1068</v>
      </c>
      <c r="C60" s="1631">
        <v>-345</v>
      </c>
      <c r="D60" s="1617" t="s">
        <v>1080</v>
      </c>
      <c r="E60" s="1618">
        <v>65692</v>
      </c>
      <c r="F60" s="1614"/>
    </row>
    <row r="61" spans="2:7" ht="15.95" customHeight="1" x14ac:dyDescent="0.2">
      <c r="B61" s="1615" t="s">
        <v>76</v>
      </c>
      <c r="C61" s="1631"/>
      <c r="D61" s="1617" t="s">
        <v>1090</v>
      </c>
      <c r="E61" s="1618">
        <v>14958</v>
      </c>
      <c r="F61" s="1614"/>
    </row>
    <row r="62" spans="2:7" ht="15.95" customHeight="1" x14ac:dyDescent="0.2">
      <c r="B62" s="1632" t="s">
        <v>1082</v>
      </c>
      <c r="C62" s="1631">
        <v>5731</v>
      </c>
      <c r="D62" s="1617" t="s">
        <v>1091</v>
      </c>
      <c r="E62" s="1618">
        <v>12874</v>
      </c>
      <c r="F62" s="1614"/>
    </row>
    <row r="63" spans="2:7" ht="15.95" customHeight="1" x14ac:dyDescent="0.2">
      <c r="B63" s="1615" t="s">
        <v>76</v>
      </c>
      <c r="C63" s="1631"/>
      <c r="D63" s="1617" t="s">
        <v>1092</v>
      </c>
      <c r="E63" s="1618">
        <v>20264</v>
      </c>
      <c r="F63" s="1614"/>
    </row>
    <row r="64" spans="2:7" ht="15.95" customHeight="1" x14ac:dyDescent="0.2">
      <c r="B64" s="1615"/>
      <c r="C64" s="1631"/>
      <c r="D64" s="1617" t="s">
        <v>1093</v>
      </c>
      <c r="E64" s="1618">
        <v>66482</v>
      </c>
      <c r="F64" s="1614"/>
    </row>
    <row r="65" spans="2:7" ht="20.100000000000001" customHeight="1" thickBot="1" x14ac:dyDescent="0.3">
      <c r="B65" s="1620"/>
      <c r="C65" s="1633">
        <f>SUM(C58:C64)</f>
        <v>205510</v>
      </c>
      <c r="D65" s="1622"/>
      <c r="E65" s="1623">
        <f>SUM(E58:E64)</f>
        <v>185830</v>
      </c>
      <c r="F65" s="1624">
        <f>F57+C65-E65</f>
        <v>203832</v>
      </c>
    </row>
    <row r="66" spans="2:7" ht="15.95" customHeight="1" x14ac:dyDescent="0.25">
      <c r="B66" s="1610" t="s">
        <v>1094</v>
      </c>
      <c r="C66" s="1634"/>
      <c r="D66" s="1630" t="s">
        <v>1093</v>
      </c>
      <c r="E66" s="1618">
        <f>44950+117070</f>
        <v>162020</v>
      </c>
      <c r="F66" s="1614"/>
    </row>
    <row r="67" spans="2:7" ht="15.95" customHeight="1" x14ac:dyDescent="0.2">
      <c r="B67" s="1615" t="s">
        <v>1095</v>
      </c>
      <c r="C67" s="1631">
        <v>141152</v>
      </c>
      <c r="D67" s="1617" t="s">
        <v>1080</v>
      </c>
      <c r="E67" s="1618">
        <v>66926</v>
      </c>
      <c r="F67" s="1614"/>
    </row>
    <row r="68" spans="2:7" ht="15.95" customHeight="1" x14ac:dyDescent="0.2">
      <c r="B68" s="1615" t="s">
        <v>1096</v>
      </c>
      <c r="C68" s="1631">
        <v>93279</v>
      </c>
      <c r="D68" s="1617" t="s">
        <v>1097</v>
      </c>
      <c r="E68" s="1618">
        <v>17229</v>
      </c>
      <c r="F68" s="1614"/>
    </row>
    <row r="69" spans="2:7" ht="15.95" customHeight="1" x14ac:dyDescent="0.2">
      <c r="B69" s="1615"/>
      <c r="C69" s="1631"/>
      <c r="D69" s="1617" t="s">
        <v>1098</v>
      </c>
      <c r="E69" s="1618">
        <f>4000+842+8600+169+10926</f>
        <v>24537</v>
      </c>
      <c r="F69" s="1614"/>
    </row>
    <row r="70" spans="2:7" ht="20.100000000000001" customHeight="1" thickBot="1" x14ac:dyDescent="0.3">
      <c r="B70" s="1620"/>
      <c r="C70" s="1633">
        <f>SUM(C67:C69)</f>
        <v>234431</v>
      </c>
      <c r="D70" s="1622"/>
      <c r="E70" s="1623">
        <f>SUM(E66:E69)</f>
        <v>270712</v>
      </c>
      <c r="F70" s="1624">
        <f>F65+C70-E70</f>
        <v>167551</v>
      </c>
    </row>
    <row r="71" spans="2:7" s="1604" customFormat="1" ht="37.5" customHeight="1" thickBot="1" x14ac:dyDescent="0.3">
      <c r="B71" s="1605" t="s">
        <v>1035</v>
      </c>
      <c r="C71" s="1606" t="s">
        <v>1036</v>
      </c>
      <c r="D71" s="1607" t="s">
        <v>1037</v>
      </c>
      <c r="E71" s="1608" t="s">
        <v>1038</v>
      </c>
      <c r="F71" s="1609" t="s">
        <v>1039</v>
      </c>
      <c r="G71" s="1629"/>
    </row>
    <row r="72" spans="2:7" ht="15.95" customHeight="1" x14ac:dyDescent="0.25">
      <c r="B72" s="1635" t="s">
        <v>1099</v>
      </c>
      <c r="C72" s="1636"/>
      <c r="D72" s="1637" t="s">
        <v>1093</v>
      </c>
      <c r="E72" s="1638">
        <v>139680</v>
      </c>
      <c r="F72" s="1639"/>
    </row>
    <row r="73" spans="2:7" ht="15.95" customHeight="1" x14ac:dyDescent="0.2">
      <c r="B73" s="1615" t="s">
        <v>1095</v>
      </c>
      <c r="C73" s="1631">
        <v>133061</v>
      </c>
      <c r="D73" s="1617" t="s">
        <v>1100</v>
      </c>
      <c r="E73" s="1618">
        <v>1612</v>
      </c>
      <c r="F73" s="1614"/>
    </row>
    <row r="74" spans="2:7" ht="15.95" customHeight="1" x14ac:dyDescent="0.2">
      <c r="B74" s="1615"/>
      <c r="C74" s="1631"/>
      <c r="D74" s="1617" t="s">
        <v>1080</v>
      </c>
      <c r="E74" s="1618">
        <f>14300+69001</f>
        <v>83301</v>
      </c>
      <c r="F74" s="1614"/>
    </row>
    <row r="75" spans="2:7" ht="15.95" customHeight="1" x14ac:dyDescent="0.2">
      <c r="B75" s="1615" t="s">
        <v>1096</v>
      </c>
      <c r="C75" s="1631">
        <v>116625</v>
      </c>
      <c r="D75" s="1617" t="s">
        <v>1097</v>
      </c>
      <c r="E75" s="1618">
        <v>14221</v>
      </c>
      <c r="F75" s="1614"/>
    </row>
    <row r="76" spans="2:7" x14ac:dyDescent="0.2">
      <c r="B76" s="1615"/>
      <c r="C76" s="1631"/>
      <c r="D76" s="1617" t="s">
        <v>1098</v>
      </c>
      <c r="E76" s="1618">
        <v>9144</v>
      </c>
      <c r="F76" s="1614"/>
    </row>
    <row r="77" spans="2:7" ht="20.100000000000001" customHeight="1" thickBot="1" x14ac:dyDescent="0.3">
      <c r="B77" s="1620"/>
      <c r="C77" s="1633">
        <f>SUM(C73:C76)</f>
        <v>249686</v>
      </c>
      <c r="D77" s="1622"/>
      <c r="E77" s="1623">
        <f>SUM(E72:E76)</f>
        <v>247958</v>
      </c>
      <c r="F77" s="1624">
        <f>F70+C77-E77</f>
        <v>169279</v>
      </c>
    </row>
    <row r="78" spans="2:7" ht="15.95" customHeight="1" x14ac:dyDescent="0.25">
      <c r="B78" s="1635" t="s">
        <v>1101</v>
      </c>
      <c r="C78" s="1636"/>
      <c r="D78" s="1637" t="s">
        <v>1093</v>
      </c>
      <c r="E78" s="1638">
        <v>96430</v>
      </c>
      <c r="F78" s="1639"/>
    </row>
    <row r="79" spans="2:7" ht="15.95" customHeight="1" x14ac:dyDescent="0.2">
      <c r="B79" s="1615" t="s">
        <v>1095</v>
      </c>
      <c r="C79" s="1631">
        <v>83899</v>
      </c>
      <c r="D79" s="1617" t="s">
        <v>1100</v>
      </c>
      <c r="E79" s="1618">
        <v>1263</v>
      </c>
      <c r="F79" s="1614"/>
    </row>
    <row r="80" spans="2:7" ht="15.95" customHeight="1" x14ac:dyDescent="0.2">
      <c r="B80" s="1615"/>
      <c r="C80" s="1631"/>
      <c r="D80" s="1617" t="s">
        <v>1102</v>
      </c>
      <c r="E80" s="1618">
        <v>53368</v>
      </c>
      <c r="F80" s="1614"/>
    </row>
    <row r="81" spans="2:12" ht="15.95" customHeight="1" x14ac:dyDescent="0.2">
      <c r="B81" s="1615" t="s">
        <v>1096</v>
      </c>
      <c r="C81" s="1631">
        <v>117221</v>
      </c>
      <c r="D81" s="1617" t="s">
        <v>1103</v>
      </c>
      <c r="E81" s="1618">
        <v>81240</v>
      </c>
      <c r="F81" s="1614"/>
    </row>
    <row r="82" spans="2:12" ht="15.95" customHeight="1" x14ac:dyDescent="0.2">
      <c r="B82" s="1640"/>
      <c r="C82" s="1631"/>
      <c r="D82" s="1617" t="s">
        <v>1097</v>
      </c>
      <c r="E82" s="1618">
        <v>15709</v>
      </c>
      <c r="F82" s="1614"/>
    </row>
    <row r="83" spans="2:12" ht="15.95" customHeight="1" x14ac:dyDescent="0.2">
      <c r="B83" s="1615"/>
      <c r="C83" s="1631"/>
      <c r="D83" s="1617" t="s">
        <v>1104</v>
      </c>
      <c r="E83" s="1618">
        <v>5701</v>
      </c>
      <c r="F83" s="1614"/>
    </row>
    <row r="84" spans="2:12" ht="20.100000000000001" customHeight="1" thickBot="1" x14ac:dyDescent="0.3">
      <c r="B84" s="1620"/>
      <c r="C84" s="1633">
        <f>SUM(C79:C83)</f>
        <v>201120</v>
      </c>
      <c r="D84" s="1622"/>
      <c r="E84" s="1623">
        <f>SUM(E78:E83)</f>
        <v>253711</v>
      </c>
      <c r="F84" s="1624">
        <f>F77+C84-E84</f>
        <v>116688</v>
      </c>
    </row>
    <row r="85" spans="2:12" ht="15.95" customHeight="1" x14ac:dyDescent="0.25">
      <c r="B85" s="1635" t="s">
        <v>1105</v>
      </c>
      <c r="C85" s="1636"/>
      <c r="D85" s="1637" t="s">
        <v>1093</v>
      </c>
      <c r="E85" s="1638">
        <v>107592</v>
      </c>
      <c r="F85" s="1639"/>
    </row>
    <row r="86" spans="2:12" ht="15.95" customHeight="1" x14ac:dyDescent="0.2">
      <c r="B86" s="1615" t="s">
        <v>1095</v>
      </c>
      <c r="C86" s="1631">
        <f>47847+375359</f>
        <v>423206</v>
      </c>
      <c r="D86" s="1617" t="s">
        <v>1100</v>
      </c>
      <c r="E86" s="1618">
        <v>1085</v>
      </c>
      <c r="F86" s="1614"/>
      <c r="H86" s="1617"/>
      <c r="I86" s="1617"/>
      <c r="J86" s="1617"/>
      <c r="K86" s="1617"/>
      <c r="L86" s="1617"/>
    </row>
    <row r="87" spans="2:12" ht="15.95" customHeight="1" x14ac:dyDescent="0.2">
      <c r="B87" s="1615"/>
      <c r="C87" s="1631"/>
      <c r="D87" s="1617" t="s">
        <v>1102</v>
      </c>
      <c r="E87" s="1618">
        <v>55184</v>
      </c>
      <c r="F87" s="1614"/>
      <c r="H87" s="1617"/>
      <c r="I87" s="1617"/>
      <c r="J87" s="1617"/>
      <c r="K87" s="1617"/>
      <c r="L87" s="1617"/>
    </row>
    <row r="88" spans="2:12" ht="15.95" customHeight="1" x14ac:dyDescent="0.2">
      <c r="B88" s="1615" t="s">
        <v>1096</v>
      </c>
      <c r="C88" s="1631">
        <v>156276</v>
      </c>
      <c r="D88" s="1617" t="s">
        <v>1106</v>
      </c>
      <c r="E88" s="1618">
        <f>385641+36610-220707</f>
        <v>201544</v>
      </c>
      <c r="F88" s="1614"/>
      <c r="H88" s="1617"/>
      <c r="I88" s="1617"/>
      <c r="J88" s="1617"/>
      <c r="K88" s="1617"/>
      <c r="L88" s="1617"/>
    </row>
    <row r="89" spans="2:12" ht="15.95" customHeight="1" x14ac:dyDescent="0.2">
      <c r="B89" s="1615"/>
      <c r="C89" s="1634"/>
      <c r="D89" s="1641" t="s">
        <v>1097</v>
      </c>
      <c r="E89" s="1618">
        <v>10566</v>
      </c>
      <c r="F89" s="1614"/>
      <c r="H89" s="1617"/>
      <c r="I89" s="1617"/>
      <c r="J89" s="1617"/>
      <c r="K89" s="1617"/>
      <c r="L89" s="1617"/>
    </row>
    <row r="90" spans="2:12" ht="15.95" customHeight="1" x14ac:dyDescent="0.2">
      <c r="B90" s="1615"/>
      <c r="C90" s="1631"/>
      <c r="D90" s="1617" t="s">
        <v>1104</v>
      </c>
      <c r="E90" s="1618">
        <v>5926</v>
      </c>
      <c r="F90" s="1614"/>
      <c r="H90" s="1617"/>
      <c r="I90" s="1617"/>
      <c r="J90" s="1617"/>
      <c r="K90" s="1617"/>
      <c r="L90" s="1617"/>
    </row>
    <row r="91" spans="2:12" ht="20.100000000000001" customHeight="1" thickBot="1" x14ac:dyDescent="0.3">
      <c r="B91" s="1620"/>
      <c r="C91" s="1633">
        <f>SUM(C86:C90)</f>
        <v>579482</v>
      </c>
      <c r="D91" s="1622"/>
      <c r="E91" s="1623">
        <f>SUM(E85:E90)</f>
        <v>381897</v>
      </c>
      <c r="F91" s="1624">
        <f>F84+C91-E91</f>
        <v>314273</v>
      </c>
      <c r="H91" s="1617"/>
      <c r="I91" s="1617"/>
      <c r="J91" s="1617"/>
      <c r="K91" s="1617"/>
      <c r="L91" s="1617"/>
    </row>
    <row r="92" spans="2:12" ht="15.95" customHeight="1" x14ac:dyDescent="0.25">
      <c r="B92" s="1610" t="s">
        <v>1107</v>
      </c>
      <c r="C92" s="1631"/>
      <c r="D92" s="1617" t="s">
        <v>1093</v>
      </c>
      <c r="E92" s="1618">
        <v>90541</v>
      </c>
      <c r="F92" s="1614"/>
      <c r="H92" s="1617"/>
      <c r="I92" s="1617"/>
      <c r="J92" s="1617"/>
      <c r="K92" s="1617"/>
      <c r="L92" s="1617"/>
    </row>
    <row r="93" spans="2:12" ht="15.95" customHeight="1" x14ac:dyDescent="0.2">
      <c r="B93" s="1615" t="s">
        <v>1095</v>
      </c>
      <c r="C93" s="1631"/>
      <c r="D93" s="1617" t="s">
        <v>1100</v>
      </c>
      <c r="E93" s="1618">
        <v>1085</v>
      </c>
      <c r="F93" s="1614"/>
      <c r="H93" s="1617"/>
      <c r="I93" s="1617"/>
      <c r="J93" s="1617"/>
      <c r="K93" s="1617"/>
      <c r="L93" s="1617"/>
    </row>
    <row r="94" spans="2:12" ht="15.95" customHeight="1" x14ac:dyDescent="0.2">
      <c r="B94" s="1615"/>
      <c r="C94" s="1631"/>
      <c r="D94" s="1617" t="s">
        <v>1102</v>
      </c>
      <c r="E94" s="1618">
        <v>31851</v>
      </c>
      <c r="F94" s="1614"/>
      <c r="H94" s="1617"/>
      <c r="I94" s="1617"/>
      <c r="J94" s="1617"/>
      <c r="K94" s="1617"/>
      <c r="L94" s="1617"/>
    </row>
    <row r="95" spans="2:12" ht="15.95" customHeight="1" x14ac:dyDescent="0.2">
      <c r="B95" s="1615" t="s">
        <v>1096</v>
      </c>
      <c r="C95" s="1631">
        <v>144167</v>
      </c>
      <c r="D95" s="1617" t="s">
        <v>1106</v>
      </c>
      <c r="E95" s="1618">
        <v>53846</v>
      </c>
      <c r="F95" s="1614"/>
      <c r="H95" s="1617"/>
      <c r="I95" s="1617"/>
      <c r="J95" s="1617"/>
      <c r="K95" s="1617"/>
      <c r="L95" s="1617"/>
    </row>
    <row r="96" spans="2:12" ht="15.95" customHeight="1" x14ac:dyDescent="0.2">
      <c r="B96" s="1640"/>
      <c r="C96" s="1631"/>
      <c r="D96" s="1617" t="s">
        <v>1097</v>
      </c>
      <c r="E96" s="1618">
        <v>635</v>
      </c>
      <c r="F96" s="1614"/>
      <c r="H96" s="1617"/>
      <c r="I96" s="1617"/>
      <c r="J96" s="1617"/>
      <c r="K96" s="1617"/>
      <c r="L96" s="1617"/>
    </row>
    <row r="97" spans="2:12" ht="15.95" customHeight="1" x14ac:dyDescent="0.2">
      <c r="B97" s="1615"/>
      <c r="C97" s="1631"/>
      <c r="D97" s="1617" t="s">
        <v>1104</v>
      </c>
      <c r="E97" s="1618"/>
      <c r="F97" s="1614"/>
      <c r="H97" s="1617"/>
      <c r="I97" s="1617"/>
      <c r="J97" s="1617"/>
      <c r="K97" s="1617"/>
      <c r="L97" s="1617"/>
    </row>
    <row r="98" spans="2:12" ht="20.100000000000001" customHeight="1" thickBot="1" x14ac:dyDescent="0.3">
      <c r="B98" s="1620"/>
      <c r="C98" s="1633">
        <f>SUM(C93:C97)</f>
        <v>144167</v>
      </c>
      <c r="D98" s="1622"/>
      <c r="E98" s="1623">
        <f>SUM(E92:E97)</f>
        <v>177958</v>
      </c>
      <c r="F98" s="1624">
        <f>F91+C98-E98</f>
        <v>280482</v>
      </c>
      <c r="H98" s="1617"/>
      <c r="I98" s="1617"/>
      <c r="J98" s="1617"/>
      <c r="K98" s="1617"/>
      <c r="L98" s="1617"/>
    </row>
    <row r="99" spans="2:12" ht="15.95" customHeight="1" x14ac:dyDescent="0.25">
      <c r="B99" s="1610" t="s">
        <v>1108</v>
      </c>
      <c r="C99" s="1631"/>
      <c r="D99" s="1617" t="s">
        <v>1093</v>
      </c>
      <c r="E99" s="1618">
        <v>65050</v>
      </c>
      <c r="F99" s="1614"/>
      <c r="H99" s="1617"/>
      <c r="I99" s="1617"/>
      <c r="J99" s="1617"/>
      <c r="K99" s="1617"/>
      <c r="L99" s="1617"/>
    </row>
    <row r="100" spans="2:12" ht="15.95" customHeight="1" x14ac:dyDescent="0.2">
      <c r="B100" s="1615" t="s">
        <v>1095</v>
      </c>
      <c r="C100" s="1631"/>
      <c r="D100" s="1617" t="s">
        <v>1100</v>
      </c>
      <c r="E100" s="1618">
        <v>1085</v>
      </c>
      <c r="F100" s="1614"/>
      <c r="H100" s="1617"/>
      <c r="I100" s="1617"/>
      <c r="J100" s="1617"/>
      <c r="K100" s="1617"/>
      <c r="L100" s="1617"/>
    </row>
    <row r="101" spans="2:12" ht="15.95" customHeight="1" x14ac:dyDescent="0.2">
      <c r="B101" s="1615"/>
      <c r="C101" s="1631"/>
      <c r="D101" s="1617" t="s">
        <v>1102</v>
      </c>
      <c r="E101" s="1618">
        <v>65231</v>
      </c>
      <c r="F101" s="1614"/>
      <c r="H101" s="1617"/>
      <c r="I101" s="1617"/>
      <c r="J101" s="1617"/>
      <c r="K101" s="1617"/>
      <c r="L101" s="1617"/>
    </row>
    <row r="102" spans="2:12" ht="15.95" customHeight="1" x14ac:dyDescent="0.2">
      <c r="B102" s="1615" t="s">
        <v>1096</v>
      </c>
      <c r="C102" s="1631">
        <v>117418</v>
      </c>
      <c r="D102" s="1617" t="s">
        <v>1109</v>
      </c>
      <c r="E102" s="1618">
        <v>87849</v>
      </c>
      <c r="F102" s="1614"/>
      <c r="H102" s="1617"/>
      <c r="I102" s="1617"/>
      <c r="J102" s="1617"/>
      <c r="K102" s="1617"/>
      <c r="L102" s="1617"/>
    </row>
    <row r="103" spans="2:12" ht="15.95" customHeight="1" x14ac:dyDescent="0.2">
      <c r="B103" s="1640"/>
      <c r="C103" s="1631"/>
      <c r="D103" s="1617" t="s">
        <v>1110</v>
      </c>
      <c r="E103" s="1617">
        <v>4500</v>
      </c>
      <c r="F103" s="1614"/>
      <c r="H103" s="1617"/>
      <c r="I103" s="1617"/>
      <c r="J103" s="1617"/>
      <c r="K103" s="1617"/>
      <c r="L103" s="1617"/>
    </row>
    <row r="104" spans="2:12" ht="15.95" customHeight="1" x14ac:dyDescent="0.2">
      <c r="B104" s="1615"/>
      <c r="C104" s="1631"/>
      <c r="D104" s="1641" t="s">
        <v>1097</v>
      </c>
      <c r="E104" s="1618">
        <v>638</v>
      </c>
      <c r="F104" s="1614"/>
      <c r="H104" s="1617"/>
      <c r="I104" s="1617"/>
      <c r="J104" s="1617"/>
      <c r="K104" s="1617"/>
      <c r="L104" s="1617"/>
    </row>
    <row r="105" spans="2:12" ht="15.95" customHeight="1" x14ac:dyDescent="0.25">
      <c r="B105" s="1615"/>
      <c r="C105" s="1631"/>
      <c r="D105" s="1428" t="s">
        <v>1111</v>
      </c>
      <c r="E105" s="1613">
        <v>9971</v>
      </c>
      <c r="F105" s="1614"/>
      <c r="H105" s="1617"/>
      <c r="I105" s="1617"/>
      <c r="J105" s="1617"/>
      <c r="K105" s="1617"/>
      <c r="L105" s="1617"/>
    </row>
    <row r="106" spans="2:12" ht="20.100000000000001" customHeight="1" thickBot="1" x14ac:dyDescent="0.3">
      <c r="B106" s="1620"/>
      <c r="C106" s="1633">
        <f>SUM(C100:C105)</f>
        <v>117418</v>
      </c>
      <c r="D106" s="1622"/>
      <c r="E106" s="1623">
        <f>SUM(E99:E105)</f>
        <v>234324</v>
      </c>
      <c r="F106" s="1624">
        <f>F98+C106-E106</f>
        <v>163576</v>
      </c>
      <c r="H106" s="1617"/>
      <c r="I106" s="1617"/>
      <c r="J106" s="1617"/>
      <c r="K106" s="1617"/>
      <c r="L106" s="1617"/>
    </row>
    <row r="107" spans="2:12" ht="15.95" customHeight="1" x14ac:dyDescent="0.25">
      <c r="B107" s="1610" t="s">
        <v>1112</v>
      </c>
      <c r="C107" s="1631"/>
      <c r="D107" s="1617" t="s">
        <v>1093</v>
      </c>
      <c r="E107" s="1618">
        <v>85080</v>
      </c>
      <c r="F107" s="1614"/>
      <c r="H107" s="1617"/>
      <c r="I107" s="1617"/>
      <c r="J107" s="1617"/>
      <c r="K107" s="1617"/>
      <c r="L107" s="1617"/>
    </row>
    <row r="108" spans="2:12" ht="15.95" customHeight="1" x14ac:dyDescent="0.2">
      <c r="B108" s="1615" t="s">
        <v>1095</v>
      </c>
      <c r="C108" s="1631">
        <v>22826</v>
      </c>
      <c r="D108" s="1617" t="s">
        <v>1100</v>
      </c>
      <c r="E108" s="1618">
        <v>1085</v>
      </c>
      <c r="F108" s="1614"/>
      <c r="H108" s="1617"/>
      <c r="I108" s="1617"/>
      <c r="J108" s="1617"/>
      <c r="K108" s="1617"/>
      <c r="L108" s="1617"/>
    </row>
    <row r="109" spans="2:12" ht="15.95" customHeight="1" x14ac:dyDescent="0.2">
      <c r="B109" s="1615"/>
      <c r="C109" s="1631"/>
      <c r="D109" s="1617" t="s">
        <v>1102</v>
      </c>
      <c r="E109" s="1618">
        <v>53128</v>
      </c>
      <c r="F109" s="1614"/>
      <c r="H109" s="1617"/>
      <c r="I109" s="1617"/>
      <c r="J109" s="1617"/>
      <c r="K109" s="1617"/>
      <c r="L109" s="1617"/>
    </row>
    <row r="110" spans="2:12" ht="15.95" customHeight="1" x14ac:dyDescent="0.2">
      <c r="B110" s="1615" t="s">
        <v>1096</v>
      </c>
      <c r="C110" s="1631">
        <v>114943</v>
      </c>
      <c r="D110" s="1617" t="s">
        <v>1113</v>
      </c>
      <c r="E110" s="1618">
        <v>4849</v>
      </c>
      <c r="F110" s="1614"/>
      <c r="H110" s="1617"/>
      <c r="I110" s="1617"/>
      <c r="J110" s="1617"/>
      <c r="K110" s="1617"/>
      <c r="L110" s="1617"/>
    </row>
    <row r="111" spans="2:12" ht="15.95" customHeight="1" x14ac:dyDescent="0.2">
      <c r="B111" s="1640"/>
      <c r="C111" s="1631"/>
      <c r="D111" s="1617" t="s">
        <v>1110</v>
      </c>
      <c r="E111" s="1618">
        <f>26500+42546</f>
        <v>69046</v>
      </c>
      <c r="F111" s="1614"/>
      <c r="H111" s="1617"/>
      <c r="I111" s="1617"/>
      <c r="J111" s="1617"/>
      <c r="K111" s="1617"/>
      <c r="L111" s="1617"/>
    </row>
    <row r="112" spans="2:12" ht="15.95" customHeight="1" x14ac:dyDescent="0.2">
      <c r="B112" s="1615"/>
      <c r="C112" s="1631"/>
      <c r="D112" s="1617" t="s">
        <v>1114</v>
      </c>
      <c r="E112" s="1618">
        <v>792</v>
      </c>
      <c r="F112" s="1614"/>
      <c r="H112" s="1617"/>
      <c r="I112" s="1617"/>
      <c r="J112" s="1617"/>
      <c r="K112" s="1617"/>
      <c r="L112" s="1617"/>
    </row>
    <row r="113" spans="2:12" ht="15.95" customHeight="1" x14ac:dyDescent="0.25">
      <c r="B113" s="1615"/>
      <c r="C113" s="1631"/>
      <c r="D113" s="1428" t="s">
        <v>1111</v>
      </c>
      <c r="E113" s="1613">
        <f>113+4233</f>
        <v>4346</v>
      </c>
      <c r="F113" s="1614"/>
      <c r="H113" s="1617"/>
      <c r="I113" s="1617"/>
      <c r="J113" s="1617"/>
      <c r="K113" s="1617"/>
      <c r="L113" s="1617"/>
    </row>
    <row r="114" spans="2:12" ht="20.100000000000001" customHeight="1" thickBot="1" x14ac:dyDescent="0.3">
      <c r="B114" s="1620"/>
      <c r="C114" s="1633">
        <f>SUM(C108:C113)</f>
        <v>137769</v>
      </c>
      <c r="D114" s="1622"/>
      <c r="E114" s="1623">
        <f>SUM(E107:E113)</f>
        <v>218326</v>
      </c>
      <c r="F114" s="1624">
        <f>F106+C114-E114</f>
        <v>83019</v>
      </c>
      <c r="H114" s="1617"/>
      <c r="I114" s="1617"/>
      <c r="J114" s="1617"/>
      <c r="K114" s="1617"/>
      <c r="L114" s="1617"/>
    </row>
    <row r="115" spans="2:12" ht="15.75" x14ac:dyDescent="0.25">
      <c r="B115" s="1610" t="s">
        <v>1115</v>
      </c>
      <c r="C115" s="1631"/>
      <c r="D115" s="1617" t="s">
        <v>1093</v>
      </c>
      <c r="E115" s="1618">
        <v>68260</v>
      </c>
      <c r="F115" s="1614"/>
      <c r="H115" s="1617"/>
      <c r="I115" s="1617"/>
      <c r="J115" s="1617"/>
      <c r="K115" s="1617"/>
      <c r="L115" s="1617"/>
    </row>
    <row r="116" spans="2:12" x14ac:dyDescent="0.2">
      <c r="B116" s="1615" t="s">
        <v>1095</v>
      </c>
      <c r="C116" s="1642"/>
      <c r="D116" s="1617" t="s">
        <v>1100</v>
      </c>
      <c r="E116" s="1643">
        <v>1085</v>
      </c>
      <c r="F116" s="1614"/>
    </row>
    <row r="117" spans="2:12" x14ac:dyDescent="0.2">
      <c r="B117" s="1615"/>
      <c r="C117" s="1631"/>
      <c r="D117" s="1617" t="s">
        <v>1102</v>
      </c>
      <c r="E117" s="1618">
        <v>34439</v>
      </c>
      <c r="F117" s="1614"/>
    </row>
    <row r="118" spans="2:12" x14ac:dyDescent="0.2">
      <c r="B118" s="1615" t="s">
        <v>1096</v>
      </c>
      <c r="C118" s="1631">
        <v>109083</v>
      </c>
      <c r="D118" s="1617" t="s">
        <v>1110</v>
      </c>
      <c r="E118" s="1618">
        <f>18655+679</f>
        <v>19334</v>
      </c>
      <c r="F118" s="1614"/>
    </row>
    <row r="119" spans="2:12" x14ac:dyDescent="0.2">
      <c r="B119" s="1640"/>
      <c r="C119" s="1631"/>
      <c r="D119" s="1617" t="s">
        <v>1114</v>
      </c>
      <c r="E119" s="1618">
        <v>526</v>
      </c>
      <c r="F119" s="1614"/>
    </row>
    <row r="120" spans="2:12" ht="15.75" x14ac:dyDescent="0.25">
      <c r="B120" s="1615"/>
      <c r="C120" s="1631"/>
      <c r="D120" s="1428" t="s">
        <v>1111</v>
      </c>
      <c r="E120" s="1613">
        <v>81239</v>
      </c>
      <c r="F120" s="1614"/>
    </row>
    <row r="121" spans="2:12" ht="16.5" thickBot="1" x14ac:dyDescent="0.3">
      <c r="B121" s="1620"/>
      <c r="C121" s="1633">
        <f>SUM(C116:C120)</f>
        <v>109083</v>
      </c>
      <c r="D121" s="1622"/>
      <c r="E121" s="1623">
        <f>SUM(E115:E120)</f>
        <v>204883</v>
      </c>
      <c r="F121" s="1624">
        <f>F114+C121-E121</f>
        <v>-12781</v>
      </c>
    </row>
    <row r="122" spans="2:12" ht="15.75" x14ac:dyDescent="0.25">
      <c r="B122" s="1610" t="s">
        <v>1116</v>
      </c>
      <c r="C122" s="1631"/>
      <c r="D122" s="1617" t="s">
        <v>1093</v>
      </c>
      <c r="E122" s="1618">
        <v>13900</v>
      </c>
      <c r="F122" s="1614"/>
    </row>
    <row r="123" spans="2:12" x14ac:dyDescent="0.2">
      <c r="B123" s="1615" t="s">
        <v>1095</v>
      </c>
      <c r="C123" s="1642"/>
      <c r="D123" s="1617" t="s">
        <v>1100</v>
      </c>
      <c r="E123" s="1643">
        <v>1085</v>
      </c>
      <c r="F123" s="1614"/>
    </row>
    <row r="124" spans="2:12" x14ac:dyDescent="0.2">
      <c r="B124" s="1615"/>
      <c r="C124" s="1631"/>
      <c r="D124" s="1617" t="s">
        <v>1102</v>
      </c>
      <c r="E124" s="1618">
        <v>18194</v>
      </c>
      <c r="F124" s="1614"/>
    </row>
    <row r="125" spans="2:12" x14ac:dyDescent="0.2">
      <c r="B125" s="1615" t="s">
        <v>1096</v>
      </c>
      <c r="C125" s="1631">
        <v>97239</v>
      </c>
      <c r="D125" s="1617" t="s">
        <v>1110</v>
      </c>
      <c r="E125" s="1618">
        <v>14103</v>
      </c>
      <c r="F125" s="1614"/>
    </row>
    <row r="126" spans="2:12" x14ac:dyDescent="0.2">
      <c r="B126" s="1640"/>
      <c r="C126" s="1631"/>
      <c r="D126" s="1617" t="s">
        <v>1114</v>
      </c>
      <c r="E126" s="1618">
        <v>206</v>
      </c>
      <c r="F126" s="1614"/>
      <c r="G126" s="1644"/>
    </row>
    <row r="127" spans="2:12" ht="15.75" x14ac:dyDescent="0.25">
      <c r="B127" s="1615"/>
      <c r="C127" s="1631"/>
      <c r="D127" s="1428" t="s">
        <v>1111</v>
      </c>
      <c r="E127" s="1613">
        <f>205083+3377</f>
        <v>208460</v>
      </c>
      <c r="F127" s="1614"/>
    </row>
    <row r="128" spans="2:12" ht="16.5" thickBot="1" x14ac:dyDescent="0.3">
      <c r="B128" s="1620"/>
      <c r="C128" s="1633">
        <f>SUM(C123:C127)</f>
        <v>97239</v>
      </c>
      <c r="D128" s="1622"/>
      <c r="E128" s="1623">
        <f>SUM(E122:E127)</f>
        <v>255948</v>
      </c>
      <c r="F128" s="1624">
        <f>F121+C128-E128</f>
        <v>-171490</v>
      </c>
    </row>
    <row r="129" spans="2:7" ht="15.75" x14ac:dyDescent="0.25">
      <c r="B129" s="1610" t="s">
        <v>1117</v>
      </c>
      <c r="C129" s="1631"/>
      <c r="D129" s="1617" t="s">
        <v>1093</v>
      </c>
      <c r="E129" s="1618">
        <v>1100</v>
      </c>
      <c r="F129" s="1614"/>
    </row>
    <row r="130" spans="2:7" x14ac:dyDescent="0.2">
      <c r="B130" s="1615" t="s">
        <v>1095</v>
      </c>
      <c r="C130" s="1642"/>
      <c r="D130" s="1617" t="s">
        <v>1118</v>
      </c>
      <c r="E130" s="1618">
        <v>17241</v>
      </c>
      <c r="F130" s="1614"/>
    </row>
    <row r="131" spans="2:7" ht="30" x14ac:dyDescent="0.2">
      <c r="B131" s="1615"/>
      <c r="C131" s="1631"/>
      <c r="D131" s="1645" t="s">
        <v>1119</v>
      </c>
      <c r="E131" s="1618">
        <v>52</v>
      </c>
      <c r="F131" s="1614"/>
    </row>
    <row r="132" spans="2:7" x14ac:dyDescent="0.2">
      <c r="B132" s="1615" t="s">
        <v>1096</v>
      </c>
      <c r="C132" s="1646">
        <v>82793</v>
      </c>
      <c r="D132" s="1617" t="s">
        <v>1114</v>
      </c>
      <c r="E132" s="1618">
        <v>658</v>
      </c>
      <c r="F132" s="1614"/>
    </row>
    <row r="133" spans="2:7" ht="15.75" x14ac:dyDescent="0.25">
      <c r="B133" s="1640"/>
      <c r="C133" s="1631"/>
      <c r="D133" s="1428" t="s">
        <v>1111</v>
      </c>
      <c r="E133" s="1613">
        <f>1029+305355</f>
        <v>306384</v>
      </c>
      <c r="F133" s="1614"/>
    </row>
    <row r="134" spans="2:7" ht="16.5" thickBot="1" x14ac:dyDescent="0.3">
      <c r="B134" s="1620"/>
      <c r="C134" s="1633">
        <f>SUM(C130:C133)</f>
        <v>82793</v>
      </c>
      <c r="D134" s="1622"/>
      <c r="E134" s="1623">
        <f>SUM(E129:E133)</f>
        <v>325435</v>
      </c>
      <c r="F134" s="1624">
        <f>F128+C134-E134</f>
        <v>-414132</v>
      </c>
    </row>
    <row r="135" spans="2:7" ht="15.75" x14ac:dyDescent="0.25">
      <c r="B135" s="1610" t="s">
        <v>1120</v>
      </c>
      <c r="C135" s="1631"/>
      <c r="D135" s="1617" t="s">
        <v>1093</v>
      </c>
      <c r="E135" s="1618"/>
      <c r="F135" s="1614"/>
    </row>
    <row r="136" spans="2:7" x14ac:dyDescent="0.2">
      <c r="B136" s="1615" t="s">
        <v>1095</v>
      </c>
      <c r="C136" s="1642"/>
      <c r="D136" s="1617" t="s">
        <v>1118</v>
      </c>
      <c r="E136" s="1618">
        <v>15156</v>
      </c>
      <c r="F136" s="1614"/>
    </row>
    <row r="137" spans="2:7" ht="30" x14ac:dyDescent="0.2">
      <c r="B137" s="1615"/>
      <c r="C137" s="1631"/>
      <c r="D137" s="1645" t="s">
        <v>1119</v>
      </c>
      <c r="E137" s="1618">
        <v>2076</v>
      </c>
      <c r="F137" s="1614"/>
    </row>
    <row r="138" spans="2:7" x14ac:dyDescent="0.2">
      <c r="B138" s="1615" t="s">
        <v>1096</v>
      </c>
      <c r="C138" s="1646">
        <v>70598</v>
      </c>
      <c r="D138" s="1617" t="s">
        <v>1114</v>
      </c>
      <c r="E138" s="1618">
        <v>39</v>
      </c>
      <c r="F138" s="1614"/>
    </row>
    <row r="139" spans="2:7" ht="15.75" x14ac:dyDescent="0.25">
      <c r="B139" s="1640"/>
      <c r="C139" s="1631"/>
      <c r="D139" s="1428" t="s">
        <v>1111</v>
      </c>
      <c r="E139" s="1613">
        <f>861+4013+59376+1135</f>
        <v>65385</v>
      </c>
      <c r="F139" s="1614"/>
    </row>
    <row r="140" spans="2:7" ht="16.5" thickBot="1" x14ac:dyDescent="0.3">
      <c r="B140" s="1620"/>
      <c r="C140" s="1633">
        <f>SUM(C136:C138)</f>
        <v>70598</v>
      </c>
      <c r="D140" s="1622"/>
      <c r="E140" s="1623">
        <f>SUM(E135:E139)</f>
        <v>82656</v>
      </c>
      <c r="F140" s="1624">
        <f>F134+C140-E140</f>
        <v>-426190</v>
      </c>
    </row>
    <row r="141" spans="2:7" ht="15.75" x14ac:dyDescent="0.25">
      <c r="B141" s="1610" t="s">
        <v>1121</v>
      </c>
      <c r="C141" s="1631"/>
      <c r="D141" s="1617" t="s">
        <v>1093</v>
      </c>
      <c r="E141" s="1618"/>
      <c r="F141" s="1614"/>
    </row>
    <row r="142" spans="2:7" x14ac:dyDescent="0.2">
      <c r="B142" s="1615" t="s">
        <v>1095</v>
      </c>
      <c r="C142" s="1642"/>
      <c r="D142" s="1617" t="s">
        <v>1118</v>
      </c>
      <c r="E142" s="1618"/>
      <c r="F142" s="1614"/>
    </row>
    <row r="143" spans="2:7" ht="30" x14ac:dyDescent="0.2">
      <c r="B143" s="1615"/>
      <c r="C143" s="1631"/>
      <c r="D143" s="1645" t="s">
        <v>1119</v>
      </c>
      <c r="E143" s="1618">
        <v>1845</v>
      </c>
      <c r="F143" s="1614"/>
      <c r="G143" s="1644"/>
    </row>
    <row r="144" spans="2:7" x14ac:dyDescent="0.2">
      <c r="B144" s="1615" t="s">
        <v>1096</v>
      </c>
      <c r="C144" s="1646">
        <v>58874</v>
      </c>
      <c r="D144" s="1617" t="s">
        <v>1114</v>
      </c>
      <c r="E144" s="1618">
        <v>73</v>
      </c>
      <c r="F144" s="1614"/>
    </row>
    <row r="145" spans="2:9" ht="15.75" x14ac:dyDescent="0.25">
      <c r="B145" s="1640"/>
      <c r="C145" s="1631"/>
      <c r="D145" s="1428" t="s">
        <v>1111</v>
      </c>
      <c r="E145" s="1613">
        <v>0</v>
      </c>
      <c r="F145" s="1614"/>
    </row>
    <row r="146" spans="2:9" ht="16.5" thickBot="1" x14ac:dyDescent="0.3">
      <c r="B146" s="1620"/>
      <c r="C146" s="1633">
        <f>SUM(C142:C144)</f>
        <v>58874</v>
      </c>
      <c r="D146" s="1622"/>
      <c r="E146" s="1623">
        <f>SUM(E141:E145)</f>
        <v>1918</v>
      </c>
      <c r="F146" s="1624">
        <f>F140+C146-E146</f>
        <v>-369234</v>
      </c>
      <c r="G146"/>
      <c r="H146"/>
      <c r="I146"/>
    </row>
    <row r="147" spans="2:9" ht="15.75" x14ac:dyDescent="0.25">
      <c r="B147" s="1610" t="s">
        <v>1122</v>
      </c>
      <c r="C147" s="1631"/>
      <c r="D147" s="1617"/>
      <c r="E147" s="1618"/>
      <c r="F147" s="1614"/>
      <c r="G147"/>
      <c r="H147"/>
      <c r="I147"/>
    </row>
    <row r="148" spans="2:9" ht="15.75" x14ac:dyDescent="0.25">
      <c r="B148" s="1615" t="s">
        <v>1095</v>
      </c>
      <c r="C148" s="1642"/>
      <c r="D148" s="1617" t="s">
        <v>1123</v>
      </c>
      <c r="E148" s="1618">
        <v>49982</v>
      </c>
      <c r="F148" s="1614"/>
      <c r="G148" s="1647"/>
      <c r="H148"/>
      <c r="I148"/>
    </row>
    <row r="149" spans="2:9" x14ac:dyDescent="0.2">
      <c r="B149" s="1615"/>
      <c r="C149" s="1631"/>
      <c r="D149" s="1645" t="s">
        <v>1124</v>
      </c>
      <c r="E149" s="1618">
        <v>19718</v>
      </c>
      <c r="F149" s="1614"/>
      <c r="G149"/>
      <c r="H149"/>
      <c r="I149"/>
    </row>
    <row r="150" spans="2:9" ht="15.75" x14ac:dyDescent="0.25">
      <c r="B150" s="1615" t="s">
        <v>1096</v>
      </c>
      <c r="C150" s="1646">
        <v>62648</v>
      </c>
      <c r="D150" s="1617" t="s">
        <v>1114</v>
      </c>
      <c r="E150" s="1618"/>
      <c r="F150" s="1614"/>
      <c r="G150" s="1647"/>
      <c r="H150"/>
      <c r="I150"/>
    </row>
    <row r="151" spans="2:9" ht="15.75" x14ac:dyDescent="0.25">
      <c r="B151" s="1640"/>
      <c r="C151" s="1631"/>
      <c r="D151" s="1428" t="s">
        <v>1111</v>
      </c>
      <c r="E151" s="1613">
        <v>0</v>
      </c>
      <c r="F151" s="1614"/>
      <c r="G151"/>
      <c r="H151"/>
      <c r="I151"/>
    </row>
    <row r="152" spans="2:9" ht="16.5" thickBot="1" x14ac:dyDescent="0.3">
      <c r="B152" s="1620"/>
      <c r="C152" s="1633">
        <f>SUM(C148:C150)</f>
        <v>62648</v>
      </c>
      <c r="D152" s="1622"/>
      <c r="E152" s="1623">
        <f>SUM(E147:E151)</f>
        <v>69700</v>
      </c>
      <c r="F152" s="1624">
        <f>F146+C152-E152</f>
        <v>-376286</v>
      </c>
      <c r="G152"/>
      <c r="H152"/>
      <c r="I152"/>
    </row>
    <row r="153" spans="2:9" ht="15.75" x14ac:dyDescent="0.25">
      <c r="B153" s="1635" t="s">
        <v>1125</v>
      </c>
      <c r="C153" s="1636"/>
      <c r="D153" s="1637"/>
      <c r="E153" s="1638"/>
      <c r="F153" s="1639"/>
      <c r="G153"/>
      <c r="H153"/>
      <c r="I153"/>
    </row>
    <row r="154" spans="2:9" x14ac:dyDescent="0.2">
      <c r="B154" s="1615" t="s">
        <v>1095</v>
      </c>
      <c r="C154" s="1642">
        <v>26046</v>
      </c>
      <c r="D154" s="1645" t="s">
        <v>1124</v>
      </c>
      <c r="E154" s="1618">
        <v>19764</v>
      </c>
      <c r="F154" s="1614"/>
      <c r="G154"/>
      <c r="H154"/>
      <c r="I154"/>
    </row>
    <row r="155" spans="2:9" x14ac:dyDescent="0.2">
      <c r="B155" s="1615"/>
      <c r="C155" s="1631"/>
      <c r="D155" s="1648" t="s">
        <v>1111</v>
      </c>
      <c r="E155" s="1618">
        <v>4</v>
      </c>
      <c r="F155" s="1614"/>
      <c r="G155"/>
      <c r="H155"/>
      <c r="I155"/>
    </row>
    <row r="156" spans="2:9" x14ac:dyDescent="0.2">
      <c r="B156" s="1615" t="s">
        <v>1096</v>
      </c>
      <c r="C156" s="1646">
        <v>50065</v>
      </c>
      <c r="D156" s="1617" t="s">
        <v>1126</v>
      </c>
      <c r="E156" s="1618">
        <v>2366</v>
      </c>
      <c r="F156" s="1614"/>
      <c r="G156"/>
      <c r="H156"/>
      <c r="I156"/>
    </row>
    <row r="157" spans="2:9" ht="15.75" x14ac:dyDescent="0.25">
      <c r="B157" s="1640"/>
      <c r="C157" s="1631"/>
      <c r="D157" s="1428"/>
      <c r="E157" s="1613"/>
      <c r="F157" s="1614"/>
      <c r="G157"/>
      <c r="H157"/>
      <c r="I157"/>
    </row>
    <row r="158" spans="2:9" ht="16.5" thickBot="1" x14ac:dyDescent="0.3">
      <c r="B158" s="1620"/>
      <c r="C158" s="1633">
        <f>SUM(C154:C157)</f>
        <v>76111</v>
      </c>
      <c r="D158" s="1622"/>
      <c r="E158" s="1623">
        <f>SUM(E154:E157)</f>
        <v>22134</v>
      </c>
      <c r="F158" s="1624">
        <f>+F152+C158-E158</f>
        <v>-322309</v>
      </c>
      <c r="G158"/>
      <c r="H158"/>
      <c r="I158"/>
    </row>
    <row r="159" spans="2:9" ht="15.75" x14ac:dyDescent="0.25">
      <c r="B159" s="1635" t="s">
        <v>1127</v>
      </c>
      <c r="C159" s="1649"/>
      <c r="D159" s="1637"/>
      <c r="E159" s="1638"/>
      <c r="F159" s="1650"/>
      <c r="G159"/>
      <c r="H159"/>
      <c r="I159"/>
    </row>
    <row r="160" spans="2:9" ht="15.75" x14ac:dyDescent="0.25">
      <c r="B160" s="1615" t="s">
        <v>1095</v>
      </c>
      <c r="C160" s="1651">
        <v>74316</v>
      </c>
      <c r="D160" s="1645" t="s">
        <v>1124</v>
      </c>
      <c r="E160" s="1618">
        <v>23662</v>
      </c>
      <c r="F160" s="1652"/>
      <c r="G160"/>
      <c r="H160"/>
      <c r="I160"/>
    </row>
    <row r="161" spans="2:9" ht="15.75" x14ac:dyDescent="0.25">
      <c r="B161" s="1615"/>
      <c r="C161" s="1653"/>
      <c r="D161" s="1648" t="s">
        <v>1111</v>
      </c>
      <c r="E161" s="1618">
        <v>1948</v>
      </c>
      <c r="F161" s="1652"/>
      <c r="G161"/>
      <c r="H161"/>
      <c r="I161"/>
    </row>
    <row r="162" spans="2:9" ht="15.75" x14ac:dyDescent="0.25">
      <c r="B162" s="1615" t="s">
        <v>1096</v>
      </c>
      <c r="C162" s="26">
        <v>40185</v>
      </c>
      <c r="D162" s="1617" t="s">
        <v>1126</v>
      </c>
      <c r="E162" s="1618">
        <v>1953</v>
      </c>
      <c r="F162" s="1652"/>
      <c r="G162"/>
      <c r="H162"/>
      <c r="I162"/>
    </row>
    <row r="163" spans="2:9" ht="15.75" x14ac:dyDescent="0.25">
      <c r="B163" s="1654"/>
      <c r="C163" s="1655"/>
      <c r="D163" s="1656"/>
      <c r="E163" s="1657"/>
      <c r="F163" s="1658"/>
      <c r="G163"/>
      <c r="H163"/>
      <c r="I163"/>
    </row>
    <row r="164" spans="2:9" ht="16.5" thickBot="1" x14ac:dyDescent="0.3">
      <c r="B164" s="1659"/>
      <c r="C164" s="1660">
        <f>SUM(C160:C163)</f>
        <v>114501</v>
      </c>
      <c r="D164" s="1661"/>
      <c r="E164" s="1662">
        <f>SUM(E160:E163)</f>
        <v>27563</v>
      </c>
      <c r="F164" s="1663">
        <f>+F158+C164-E164</f>
        <v>-235371</v>
      </c>
      <c r="G164"/>
      <c r="H164"/>
      <c r="I164"/>
    </row>
    <row r="165" spans="2:9" ht="15.75" x14ac:dyDescent="0.25">
      <c r="B165" s="1635" t="s">
        <v>1128</v>
      </c>
      <c r="C165" s="1649"/>
      <c r="D165" s="1637"/>
      <c r="E165" s="1638"/>
      <c r="F165" s="1650"/>
      <c r="G165"/>
      <c r="H165"/>
      <c r="I165"/>
    </row>
    <row r="166" spans="2:9" ht="15.75" x14ac:dyDescent="0.25">
      <c r="B166" s="1615" t="s">
        <v>1095</v>
      </c>
      <c r="C166" s="1651">
        <v>78723</v>
      </c>
      <c r="D166" s="1664" t="s">
        <v>1124</v>
      </c>
      <c r="E166" s="1643">
        <v>29980</v>
      </c>
      <c r="F166" s="1652"/>
      <c r="G166"/>
      <c r="H166"/>
      <c r="I166"/>
    </row>
    <row r="167" spans="2:9" ht="15.75" x14ac:dyDescent="0.25">
      <c r="B167" s="1615"/>
      <c r="C167" s="1651"/>
      <c r="D167" s="39" t="s">
        <v>1111</v>
      </c>
      <c r="E167" s="1643">
        <v>3028</v>
      </c>
      <c r="F167" s="1652"/>
      <c r="G167"/>
      <c r="H167"/>
      <c r="I167"/>
    </row>
    <row r="168" spans="2:9" ht="15.75" x14ac:dyDescent="0.25">
      <c r="B168" s="1615" t="s">
        <v>1096</v>
      </c>
      <c r="C168" s="26">
        <v>31847</v>
      </c>
      <c r="D168" s="1665" t="s">
        <v>1126</v>
      </c>
      <c r="E168" s="1643">
        <v>1895</v>
      </c>
      <c r="F168" s="1652"/>
      <c r="G168"/>
      <c r="H168"/>
      <c r="I168"/>
    </row>
    <row r="169" spans="2:9" ht="15.75" x14ac:dyDescent="0.25">
      <c r="B169" s="1615"/>
      <c r="C169" s="26"/>
      <c r="D169" s="1665" t="s">
        <v>1129</v>
      </c>
      <c r="E169" s="1643">
        <v>25575</v>
      </c>
      <c r="F169" s="1652"/>
      <c r="G169"/>
      <c r="H169"/>
      <c r="I169"/>
    </row>
    <row r="170" spans="2:9" ht="15.75" x14ac:dyDescent="0.25">
      <c r="B170" s="1615"/>
      <c r="C170" s="26"/>
      <c r="D170" s="1665" t="s">
        <v>1130</v>
      </c>
      <c r="E170" s="1643">
        <v>16000</v>
      </c>
      <c r="F170" s="1652"/>
      <c r="G170"/>
      <c r="H170"/>
      <c r="I170"/>
    </row>
    <row r="171" spans="2:9" ht="15.75" x14ac:dyDescent="0.25">
      <c r="B171" s="1654"/>
      <c r="C171" s="1666"/>
      <c r="D171" s="1656"/>
      <c r="E171" s="1667"/>
      <c r="F171" s="1658"/>
      <c r="G171"/>
      <c r="H171"/>
      <c r="I171"/>
    </row>
    <row r="172" spans="2:9" ht="16.5" thickBot="1" x14ac:dyDescent="0.3">
      <c r="B172" s="1659"/>
      <c r="C172" s="1668">
        <f>SUM(C166:C171)</f>
        <v>110570</v>
      </c>
      <c r="D172" s="1669"/>
      <c r="E172" s="1670">
        <f>SUM(E166:E171)</f>
        <v>76478</v>
      </c>
      <c r="F172" s="1663">
        <f>+F164+C172-E172</f>
        <v>-201279</v>
      </c>
      <c r="G172"/>
      <c r="H172"/>
      <c r="I172"/>
    </row>
    <row r="173" spans="2:9" ht="15.75" x14ac:dyDescent="0.25">
      <c r="B173" s="1635" t="s">
        <v>1131</v>
      </c>
      <c r="C173" s="1671"/>
      <c r="D173" s="1672"/>
      <c r="E173" s="1673"/>
      <c r="F173" s="1650"/>
      <c r="G173"/>
      <c r="H173"/>
      <c r="I173"/>
    </row>
    <row r="174" spans="2:9" ht="15.75" x14ac:dyDescent="0.25">
      <c r="B174" s="1615" t="s">
        <v>1095</v>
      </c>
      <c r="C174" s="1651">
        <v>55643</v>
      </c>
      <c r="D174" s="1664" t="s">
        <v>1124</v>
      </c>
      <c r="E174" s="1643">
        <v>29995</v>
      </c>
      <c r="F174" s="1652"/>
      <c r="G174"/>
      <c r="H174"/>
      <c r="I174"/>
    </row>
    <row r="175" spans="2:9" ht="15.75" x14ac:dyDescent="0.25">
      <c r="B175" s="1615"/>
      <c r="C175" s="1651"/>
      <c r="D175" s="39" t="s">
        <v>1111</v>
      </c>
      <c r="E175" s="1643">
        <v>128</v>
      </c>
      <c r="F175" s="1652"/>
      <c r="G175"/>
      <c r="H175"/>
      <c r="I175"/>
    </row>
    <row r="176" spans="2:9" ht="15.75" x14ac:dyDescent="0.25">
      <c r="B176" s="1615" t="s">
        <v>1096</v>
      </c>
      <c r="C176" s="26">
        <v>27450</v>
      </c>
      <c r="D176" s="1665" t="s">
        <v>1126</v>
      </c>
      <c r="E176" s="1643">
        <v>1837</v>
      </c>
      <c r="F176" s="1652"/>
      <c r="G176"/>
      <c r="H176"/>
      <c r="I176"/>
    </row>
    <row r="177" spans="2:9" ht="15.75" x14ac:dyDescent="0.25">
      <c r="B177" s="1615"/>
      <c r="C177" s="26"/>
      <c r="D177" s="1665" t="s">
        <v>1129</v>
      </c>
      <c r="E177" s="1643">
        <v>111151</v>
      </c>
      <c r="F177" s="1652"/>
      <c r="G177"/>
      <c r="H177"/>
      <c r="I177"/>
    </row>
    <row r="178" spans="2:9" ht="15.75" x14ac:dyDescent="0.25">
      <c r="B178" s="1615"/>
      <c r="C178" s="1674"/>
      <c r="D178" s="1617"/>
      <c r="E178" s="1675"/>
      <c r="F178" s="1652"/>
      <c r="G178"/>
      <c r="H178"/>
      <c r="I178"/>
    </row>
    <row r="179" spans="2:9" ht="15.75" x14ac:dyDescent="0.25">
      <c r="B179" s="1654"/>
      <c r="C179" s="1655"/>
      <c r="D179" s="1656"/>
      <c r="E179" s="1657"/>
      <c r="F179" s="1658"/>
      <c r="G179"/>
      <c r="H179"/>
      <c r="I179"/>
    </row>
    <row r="180" spans="2:9" ht="16.5" thickBot="1" x14ac:dyDescent="0.3">
      <c r="B180" s="1659"/>
      <c r="C180" s="1660">
        <f>SUM(C174:C179)</f>
        <v>83093</v>
      </c>
      <c r="D180" s="1661"/>
      <c r="E180" s="1662">
        <f>SUM(E174:E179)</f>
        <v>143111</v>
      </c>
      <c r="F180" s="1663">
        <f>+F172+C180-E180</f>
        <v>-261297</v>
      </c>
      <c r="G180"/>
      <c r="H180"/>
      <c r="I180"/>
    </row>
    <row r="181" spans="2:9" ht="15.75" x14ac:dyDescent="0.25">
      <c r="B181" s="1635" t="s">
        <v>1132</v>
      </c>
      <c r="C181" s="1671"/>
      <c r="D181" s="1672"/>
      <c r="E181" s="1673"/>
      <c r="F181" s="1650"/>
      <c r="G181"/>
      <c r="H181"/>
      <c r="I181"/>
    </row>
    <row r="182" spans="2:9" ht="15.75" x14ac:dyDescent="0.25">
      <c r="B182" s="1615" t="s">
        <v>1095</v>
      </c>
      <c r="C182" s="1651">
        <v>83142</v>
      </c>
      <c r="D182" s="1664" t="s">
        <v>1124</v>
      </c>
      <c r="E182" s="1643">
        <v>33745</v>
      </c>
      <c r="F182" s="1652"/>
      <c r="G182"/>
      <c r="H182"/>
      <c r="I182"/>
    </row>
    <row r="183" spans="2:9" ht="15.75" x14ac:dyDescent="0.25">
      <c r="B183" s="1615" t="s">
        <v>1096</v>
      </c>
      <c r="C183" s="26">
        <v>23910</v>
      </c>
      <c r="D183" s="1665" t="s">
        <v>1126</v>
      </c>
      <c r="E183" s="1643">
        <v>1779</v>
      </c>
      <c r="F183" s="1652"/>
      <c r="G183"/>
      <c r="H183"/>
      <c r="I183"/>
    </row>
    <row r="184" spans="2:9" ht="15.75" x14ac:dyDescent="0.25">
      <c r="B184" s="1615"/>
      <c r="C184" s="26"/>
      <c r="D184" s="1665" t="s">
        <v>1129</v>
      </c>
      <c r="E184" s="1643">
        <v>24603</v>
      </c>
      <c r="F184" s="1652"/>
      <c r="G184"/>
      <c r="H184"/>
      <c r="I184"/>
    </row>
    <row r="185" spans="2:9" ht="15.75" x14ac:dyDescent="0.25">
      <c r="B185" s="1615"/>
      <c r="C185" s="1674"/>
      <c r="D185" s="1617"/>
      <c r="E185" s="1675"/>
      <c r="F185" s="1652"/>
      <c r="G185"/>
      <c r="H185"/>
      <c r="I185"/>
    </row>
    <row r="186" spans="2:9" ht="15.75" x14ac:dyDescent="0.25">
      <c r="B186" s="1654"/>
      <c r="C186" s="1655"/>
      <c r="D186" s="1656"/>
      <c r="E186" s="1657"/>
      <c r="F186" s="1658"/>
      <c r="G186"/>
      <c r="H186"/>
      <c r="I186"/>
    </row>
    <row r="187" spans="2:9" ht="16.5" thickBot="1" x14ac:dyDescent="0.3">
      <c r="B187" s="1659"/>
      <c r="C187" s="1660">
        <f>SUM(C182:C186)</f>
        <v>107052</v>
      </c>
      <c r="D187" s="1661"/>
      <c r="E187" s="1662">
        <f>SUM(E182:E186)</f>
        <v>60127</v>
      </c>
      <c r="F187" s="1663">
        <f>+F180+C187-E187</f>
        <v>-214372</v>
      </c>
      <c r="G187"/>
      <c r="H187"/>
      <c r="I187"/>
    </row>
    <row r="188" spans="2:9" ht="15.75" x14ac:dyDescent="0.25">
      <c r="B188" s="1635" t="s">
        <v>919</v>
      </c>
      <c r="C188" s="1671"/>
      <c r="D188" s="1672"/>
      <c r="E188" s="1673"/>
      <c r="F188" s="1650"/>
      <c r="G188"/>
      <c r="H188"/>
      <c r="I188"/>
    </row>
    <row r="189" spans="2:9" ht="15.75" x14ac:dyDescent="0.25">
      <c r="B189" s="1615" t="s">
        <v>1095</v>
      </c>
      <c r="C189" s="1651">
        <v>95353</v>
      </c>
      <c r="D189" s="1664" t="s">
        <v>1124</v>
      </c>
      <c r="E189" s="1643">
        <v>31639</v>
      </c>
      <c r="F189" s="1652"/>
      <c r="G189"/>
      <c r="H189"/>
      <c r="I189"/>
    </row>
    <row r="190" spans="2:9" ht="15.75" x14ac:dyDescent="0.25">
      <c r="B190" s="1615" t="s">
        <v>1096</v>
      </c>
      <c r="C190" s="26">
        <v>16052</v>
      </c>
      <c r="D190" s="1665" t="s">
        <v>1126</v>
      </c>
      <c r="E190" s="1643">
        <v>383</v>
      </c>
      <c r="F190" s="1652"/>
      <c r="G190"/>
      <c r="H190"/>
      <c r="I190"/>
    </row>
    <row r="191" spans="2:9" ht="15.75" x14ac:dyDescent="0.25">
      <c r="B191" s="1615"/>
      <c r="C191" s="26"/>
      <c r="D191" s="1665" t="s">
        <v>1129</v>
      </c>
      <c r="E191" s="1643">
        <v>56335</v>
      </c>
      <c r="F191" s="1652"/>
      <c r="G191"/>
      <c r="H191"/>
      <c r="I191"/>
    </row>
    <row r="192" spans="2:9" ht="15.75" x14ac:dyDescent="0.25">
      <c r="B192" s="1615"/>
      <c r="C192" s="1674"/>
      <c r="D192" s="1617"/>
      <c r="E192" s="1675"/>
      <c r="F192" s="1652"/>
      <c r="G192"/>
      <c r="H192"/>
      <c r="I192"/>
    </row>
    <row r="193" spans="2:9" ht="15.75" x14ac:dyDescent="0.25">
      <c r="B193" s="1654"/>
      <c r="C193" s="1655"/>
      <c r="D193" s="1656"/>
      <c r="E193" s="1657"/>
      <c r="F193" s="1658"/>
      <c r="G193"/>
      <c r="H193"/>
      <c r="I193"/>
    </row>
    <row r="194" spans="2:9" ht="16.5" thickBot="1" x14ac:dyDescent="0.3">
      <c r="B194" s="1659"/>
      <c r="C194" s="1660">
        <f>SUM(C189:C193)</f>
        <v>111405</v>
      </c>
      <c r="D194" s="1661"/>
      <c r="E194" s="1662">
        <f>SUM(E189:E193)</f>
        <v>88357</v>
      </c>
      <c r="F194" s="1663">
        <f>+F187+C194-E194</f>
        <v>-191324</v>
      </c>
      <c r="G194"/>
      <c r="H194"/>
      <c r="I194"/>
    </row>
    <row r="195" spans="2:9" ht="15.75" x14ac:dyDescent="0.25">
      <c r="B195" s="1635" t="s">
        <v>908</v>
      </c>
      <c r="C195" s="1671"/>
      <c r="D195" s="1672"/>
      <c r="E195" s="1673"/>
      <c r="F195" s="1650"/>
      <c r="G195"/>
      <c r="H195"/>
      <c r="I195"/>
    </row>
    <row r="196" spans="2:9" ht="15.75" x14ac:dyDescent="0.25">
      <c r="B196" s="1615" t="s">
        <v>1095</v>
      </c>
      <c r="C196" s="1651">
        <v>44466</v>
      </c>
      <c r="D196" s="1664" t="s">
        <v>1124</v>
      </c>
      <c r="E196" s="1643">
        <v>29314</v>
      </c>
      <c r="F196" s="1652"/>
      <c r="G196"/>
      <c r="H196"/>
      <c r="I196"/>
    </row>
    <row r="197" spans="2:9" ht="15.75" x14ac:dyDescent="0.25">
      <c r="B197" s="1615" t="s">
        <v>1096</v>
      </c>
      <c r="C197" s="26">
        <v>10823</v>
      </c>
      <c r="D197" s="1665" t="s">
        <v>1129</v>
      </c>
      <c r="E197" s="1643">
        <v>36529</v>
      </c>
      <c r="F197" s="1652"/>
      <c r="G197"/>
      <c r="H197"/>
      <c r="I197"/>
    </row>
    <row r="198" spans="2:9" ht="15.75" x14ac:dyDescent="0.25">
      <c r="B198" s="1615"/>
      <c r="C198" s="26"/>
      <c r="D198" s="1665"/>
      <c r="E198" s="1643"/>
      <c r="F198" s="1652"/>
      <c r="G198"/>
      <c r="H198"/>
      <c r="I198"/>
    </row>
    <row r="199" spans="2:9" ht="15.75" x14ac:dyDescent="0.25">
      <c r="B199" s="1615"/>
      <c r="C199" s="1674"/>
      <c r="D199" s="1617"/>
      <c r="E199" s="1675"/>
      <c r="F199" s="1652"/>
      <c r="G199"/>
      <c r="H199"/>
      <c r="I199"/>
    </row>
    <row r="200" spans="2:9" ht="15.75" x14ac:dyDescent="0.25">
      <c r="B200" s="1654"/>
      <c r="C200" s="1655"/>
      <c r="D200" s="1656"/>
      <c r="E200" s="1657"/>
      <c r="F200" s="1658"/>
      <c r="G200"/>
      <c r="H200"/>
      <c r="I200"/>
    </row>
    <row r="201" spans="2:9" ht="16.5" thickBot="1" x14ac:dyDescent="0.3">
      <c r="B201" s="1659"/>
      <c r="C201" s="1660">
        <f>SUM(C196:C200)</f>
        <v>55289</v>
      </c>
      <c r="D201" s="1661"/>
      <c r="E201" s="1662">
        <f>SUM(E196:E200)</f>
        <v>65843</v>
      </c>
      <c r="F201" s="1663">
        <f>+F194+C201-E201</f>
        <v>-201878</v>
      </c>
      <c r="G201"/>
      <c r="H201"/>
      <c r="I201"/>
    </row>
    <row r="202" spans="2:9" ht="15.75" x14ac:dyDescent="0.25">
      <c r="B202" s="1635" t="s">
        <v>909</v>
      </c>
      <c r="C202" s="1671"/>
      <c r="D202" s="1672"/>
      <c r="E202" s="1673"/>
      <c r="F202" s="1650"/>
      <c r="G202"/>
      <c r="H202"/>
      <c r="I202"/>
    </row>
    <row r="203" spans="2:9" ht="15.75" x14ac:dyDescent="0.25">
      <c r="B203" s="1615" t="s">
        <v>1095</v>
      </c>
      <c r="C203" s="1651">
        <v>82343</v>
      </c>
      <c r="D203" s="1664" t="s">
        <v>1124</v>
      </c>
      <c r="E203" s="1643">
        <v>29269</v>
      </c>
      <c r="F203" s="1652"/>
      <c r="G203"/>
      <c r="H203"/>
      <c r="I203"/>
    </row>
    <row r="204" spans="2:9" ht="15.75" x14ac:dyDescent="0.25">
      <c r="B204" s="1615" t="s">
        <v>1096</v>
      </c>
      <c r="C204" s="26">
        <v>9185</v>
      </c>
      <c r="D204" s="1665" t="s">
        <v>1129</v>
      </c>
      <c r="E204" s="1643">
        <v>58546</v>
      </c>
      <c r="F204" s="1652"/>
      <c r="G204"/>
      <c r="H204"/>
      <c r="I204"/>
    </row>
    <row r="205" spans="2:9" ht="15.75" x14ac:dyDescent="0.25">
      <c r="B205" s="1615"/>
      <c r="C205" s="26"/>
      <c r="D205" s="1665"/>
      <c r="E205" s="1643"/>
      <c r="F205" s="1652"/>
      <c r="G205"/>
      <c r="H205"/>
      <c r="I205"/>
    </row>
    <row r="206" spans="2:9" ht="15.75" x14ac:dyDescent="0.25">
      <c r="B206" s="1615"/>
      <c r="C206" s="1674"/>
      <c r="D206" s="1617"/>
      <c r="E206" s="1675"/>
      <c r="F206" s="1652"/>
      <c r="G206"/>
      <c r="H206"/>
      <c r="I206"/>
    </row>
    <row r="207" spans="2:9" ht="15.75" x14ac:dyDescent="0.25">
      <c r="B207" s="1654"/>
      <c r="C207" s="1655"/>
      <c r="D207" s="1656"/>
      <c r="E207" s="1657"/>
      <c r="F207" s="1658"/>
      <c r="G207"/>
      <c r="H207"/>
      <c r="I207"/>
    </row>
    <row r="208" spans="2:9" ht="16.5" thickBot="1" x14ac:dyDescent="0.3">
      <c r="B208" s="1659"/>
      <c r="C208" s="1660">
        <f>SUM(C203:C207)</f>
        <v>91528</v>
      </c>
      <c r="D208" s="1661"/>
      <c r="E208" s="1662">
        <f>SUM(E203:E207)</f>
        <v>87815</v>
      </c>
      <c r="F208" s="1663">
        <f>+F201+C208-E208</f>
        <v>-198165</v>
      </c>
      <c r="G208"/>
      <c r="H208"/>
      <c r="I208"/>
    </row>
  </sheetData>
  <mergeCells count="6">
    <mergeCell ref="B8:F8"/>
    <mergeCell ref="B3:F3"/>
    <mergeCell ref="B4:F4"/>
    <mergeCell ref="B5:F5"/>
    <mergeCell ref="B6:F6"/>
    <mergeCell ref="B7:F7"/>
  </mergeCells>
  <printOptions horizontalCentered="1" verticalCentered="1"/>
  <pageMargins left="0.19685039370078741" right="0.19685039370078741" top="0.19685039370078741" bottom="0.19685039370078741" header="0" footer="0.31496062992125984"/>
  <pageSetup paperSize="9" scale="62" orientation="portrait" r:id="rId1"/>
  <headerFooter alignWithMargins="0">
    <oddHeader>&amp;C &amp;R&amp;"Arial CE,Félkövér"&amp;14 25. melléklet a …../2020. (…….) önkormányzati rendelethez</oddHeader>
    <oddFooter xml:space="preserve">&amp;C </oddFooter>
  </headerFooter>
  <rowBreaks count="2" manualBreakCount="2">
    <brk id="77" min="1" max="5" man="1"/>
    <brk id="152" min="1" max="5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J36"/>
  <sheetViews>
    <sheetView zoomScale="75" zoomScaleNormal="75" workbookViewId="0">
      <selection activeCell="U13" sqref="U13"/>
    </sheetView>
  </sheetViews>
  <sheetFormatPr defaultColWidth="12" defaultRowHeight="15" x14ac:dyDescent="0.2"/>
  <cols>
    <col min="1" max="1" width="3.6640625" style="1676" customWidth="1"/>
    <col min="2" max="2" width="6.6640625" style="1676" customWidth="1"/>
    <col min="3" max="4" width="12" style="1676" customWidth="1"/>
    <col min="5" max="5" width="111.33203125" style="1676" customWidth="1"/>
    <col min="6" max="6" width="22.5" style="1677" customWidth="1"/>
    <col min="7" max="7" width="24.83203125" style="1676" customWidth="1"/>
    <col min="8" max="16384" width="12" style="1676"/>
  </cols>
  <sheetData>
    <row r="2" spans="2:10" ht="18" x14ac:dyDescent="0.25">
      <c r="G2" s="1678"/>
    </row>
    <row r="3" spans="2:10" ht="24" customHeight="1" x14ac:dyDescent="0.35">
      <c r="B3" s="2799" t="s">
        <v>1133</v>
      </c>
      <c r="C3" s="2799"/>
      <c r="D3" s="2799"/>
      <c r="E3" s="2799"/>
      <c r="F3" s="2799"/>
      <c r="G3" s="2799"/>
    </row>
    <row r="4" spans="2:10" ht="24.75" customHeight="1" x14ac:dyDescent="0.35">
      <c r="B4" s="2799" t="s">
        <v>1385</v>
      </c>
      <c r="C4" s="2799"/>
      <c r="D4" s="2799"/>
      <c r="E4" s="2799"/>
      <c r="F4" s="2799"/>
      <c r="G4" s="2799"/>
    </row>
    <row r="5" spans="2:10" ht="15.75" x14ac:dyDescent="0.25">
      <c r="D5" s="1679"/>
      <c r="E5" s="1679"/>
    </row>
    <row r="6" spans="2:10" ht="18.75" thickBot="1" x14ac:dyDescent="0.3">
      <c r="B6" s="1680"/>
      <c r="C6" s="1680" t="s">
        <v>76</v>
      </c>
      <c r="D6" s="1680"/>
      <c r="E6" s="1680"/>
      <c r="F6" s="1681" t="s">
        <v>76</v>
      </c>
      <c r="G6" s="2580" t="s">
        <v>26</v>
      </c>
    </row>
    <row r="7" spans="2:10" s="1686" customFormat="1" ht="18.75" x14ac:dyDescent="0.3">
      <c r="B7" s="1682"/>
      <c r="C7" s="1683" t="s">
        <v>76</v>
      </c>
      <c r="D7" s="1683" t="s">
        <v>76</v>
      </c>
      <c r="E7" s="1683"/>
      <c r="F7" s="1684" t="s">
        <v>76</v>
      </c>
      <c r="G7" s="1685"/>
    </row>
    <row r="8" spans="2:10" s="1686" customFormat="1" ht="18" customHeight="1" x14ac:dyDescent="0.25">
      <c r="B8" s="2800" t="s">
        <v>42</v>
      </c>
      <c r="C8" s="2801"/>
      <c r="D8" s="2801"/>
      <c r="E8" s="2801"/>
      <c r="F8" s="2802" t="s">
        <v>1134</v>
      </c>
      <c r="G8" s="2803"/>
    </row>
    <row r="9" spans="2:10" s="1686" customFormat="1" ht="38.25" customHeight="1" thickBot="1" x14ac:dyDescent="0.3">
      <c r="B9" s="1687"/>
      <c r="C9" s="1688"/>
      <c r="D9" s="1688"/>
      <c r="E9" s="1688"/>
      <c r="F9" s="1689" t="s">
        <v>1036</v>
      </c>
      <c r="G9" s="1690" t="s">
        <v>1135</v>
      </c>
    </row>
    <row r="10" spans="2:10" s="1696" customFormat="1" ht="23.1" customHeight="1" x14ac:dyDescent="0.25">
      <c r="B10" s="1691" t="s">
        <v>243</v>
      </c>
      <c r="C10" s="1692" t="s">
        <v>1136</v>
      </c>
      <c r="D10" s="1693"/>
      <c r="E10" s="1693"/>
      <c r="F10" s="1694">
        <v>323</v>
      </c>
      <c r="G10" s="1695">
        <f>F10/F$22*100</f>
        <v>0.23378691372321947</v>
      </c>
    </row>
    <row r="11" spans="2:10" s="1696" customFormat="1" ht="31.5" customHeight="1" thickBot="1" x14ac:dyDescent="0.3">
      <c r="B11" s="1697" t="s">
        <v>46</v>
      </c>
      <c r="C11" s="1698" t="s">
        <v>1137</v>
      </c>
      <c r="D11" s="1698"/>
      <c r="E11" s="1698"/>
      <c r="F11" s="1699">
        <f>SUM(F10:F10)</f>
        <v>323</v>
      </c>
      <c r="G11" s="1700">
        <f t="shared" ref="G11:G17" si="0">F11/F$22*100</f>
        <v>0.23378691372321947</v>
      </c>
    </row>
    <row r="12" spans="2:10" s="1704" customFormat="1" ht="22.5" customHeight="1" x14ac:dyDescent="0.25">
      <c r="B12" s="1701" t="s">
        <v>244</v>
      </c>
      <c r="C12" s="1693" t="s">
        <v>1138</v>
      </c>
      <c r="D12" s="1693"/>
      <c r="E12" s="1693"/>
      <c r="F12" s="1694">
        <v>0</v>
      </c>
      <c r="G12" s="1702">
        <f t="shared" si="0"/>
        <v>0</v>
      </c>
      <c r="H12" s="1703"/>
      <c r="I12" s="1703"/>
      <c r="J12" s="1703"/>
    </row>
    <row r="13" spans="2:10" s="1686" customFormat="1" ht="32.25" customHeight="1" thickBot="1" x14ac:dyDescent="0.3">
      <c r="B13" s="1705" t="s">
        <v>245</v>
      </c>
      <c r="C13" s="1706" t="s">
        <v>1139</v>
      </c>
      <c r="D13" s="1706"/>
      <c r="E13" s="1706"/>
      <c r="F13" s="1707">
        <f>SUM(F12:F12)</f>
        <v>0</v>
      </c>
      <c r="G13" s="1708">
        <f t="shared" si="0"/>
        <v>0</v>
      </c>
    </row>
    <row r="14" spans="2:10" s="1704" customFormat="1" ht="23.1" customHeight="1" x14ac:dyDescent="0.25">
      <c r="B14" s="1710" t="s">
        <v>247</v>
      </c>
      <c r="C14" s="1693" t="s">
        <v>1140</v>
      </c>
      <c r="D14" s="1693"/>
      <c r="E14" s="1693"/>
      <c r="F14" s="1694">
        <v>11962</v>
      </c>
      <c r="G14" s="1711">
        <f t="shared" si="0"/>
        <v>8.6580775911986088</v>
      </c>
      <c r="H14" s="1703"/>
      <c r="I14" s="1703"/>
      <c r="J14" s="1703"/>
    </row>
    <row r="15" spans="2:10" s="1696" customFormat="1" ht="39" customHeight="1" x14ac:dyDescent="0.3">
      <c r="B15" s="1701" t="s">
        <v>808</v>
      </c>
      <c r="C15" s="2796" t="s">
        <v>1141</v>
      </c>
      <c r="D15" s="2797"/>
      <c r="E15" s="2798"/>
      <c r="F15" s="1694">
        <v>119957</v>
      </c>
      <c r="G15" s="1702">
        <f t="shared" si="0"/>
        <v>86.824696004632301</v>
      </c>
      <c r="H15" s="1703"/>
      <c r="I15" s="1703"/>
      <c r="J15" s="1703"/>
    </row>
    <row r="16" spans="2:10" s="1696" customFormat="1" ht="39" customHeight="1" x14ac:dyDescent="0.3">
      <c r="B16" s="1701" t="s">
        <v>1142</v>
      </c>
      <c r="C16" s="2796" t="s">
        <v>1143</v>
      </c>
      <c r="D16" s="2797"/>
      <c r="E16" s="2798"/>
      <c r="F16" s="1694">
        <v>0</v>
      </c>
      <c r="G16" s="1702">
        <f t="shared" si="0"/>
        <v>0</v>
      </c>
      <c r="H16" s="1703"/>
      <c r="I16" s="1703"/>
      <c r="J16" s="1703"/>
    </row>
    <row r="17" spans="2:7" s="1686" customFormat="1" ht="32.25" customHeight="1" thickBot="1" x14ac:dyDescent="0.3">
      <c r="B17" s="1705" t="s">
        <v>1144</v>
      </c>
      <c r="C17" s="1706" t="s">
        <v>1145</v>
      </c>
      <c r="D17" s="1706"/>
      <c r="E17" s="1706"/>
      <c r="F17" s="1707">
        <f>SUM(F14:F16)</f>
        <v>131919</v>
      </c>
      <c r="G17" s="1708">
        <f t="shared" si="0"/>
        <v>95.48277359583092</v>
      </c>
    </row>
    <row r="18" spans="2:7" s="1716" customFormat="1" ht="20.100000000000001" customHeight="1" x14ac:dyDescent="0.25">
      <c r="B18" s="1712"/>
      <c r="C18" s="1713"/>
      <c r="D18" s="2918"/>
      <c r="E18" s="1713"/>
      <c r="F18" s="1714"/>
      <c r="G18" s="1715"/>
    </row>
    <row r="19" spans="2:7" s="1686" customFormat="1" ht="23.1" customHeight="1" x14ac:dyDescent="0.35">
      <c r="B19" s="1717" t="s">
        <v>1146</v>
      </c>
      <c r="C19" s="1713" t="s">
        <v>1147</v>
      </c>
      <c r="D19" s="1713"/>
      <c r="E19" s="1718"/>
      <c r="F19" s="1714">
        <f>5280+114</f>
        <v>5394</v>
      </c>
      <c r="G19" s="1719">
        <f>F19/F$22*100</f>
        <v>3.904169079328315</v>
      </c>
    </row>
    <row r="20" spans="2:7" s="1686" customFormat="1" ht="23.1" customHeight="1" x14ac:dyDescent="0.25">
      <c r="B20" s="1720" t="s">
        <v>1148</v>
      </c>
      <c r="C20" s="1721" t="s">
        <v>1149</v>
      </c>
      <c r="D20" s="1721"/>
      <c r="E20" s="1721"/>
      <c r="F20" s="1722">
        <v>0</v>
      </c>
      <c r="G20" s="1723">
        <f>F20/F$22*100</f>
        <v>0</v>
      </c>
    </row>
    <row r="21" spans="2:7" s="1686" customFormat="1" ht="23.1" customHeight="1" x14ac:dyDescent="0.25">
      <c r="B21" s="1720" t="s">
        <v>1150</v>
      </c>
      <c r="C21" s="1713" t="s">
        <v>1151</v>
      </c>
      <c r="D21" s="1713"/>
      <c r="E21" s="1713"/>
      <c r="F21" s="1694">
        <v>524</v>
      </c>
      <c r="G21" s="1719">
        <f>F21/F$22*100</f>
        <v>0.37927041111754489</v>
      </c>
    </row>
    <row r="22" spans="2:7" s="1686" customFormat="1" ht="23.1" customHeight="1" thickBot="1" x14ac:dyDescent="0.3">
      <c r="B22" s="1724" t="s">
        <v>1152</v>
      </c>
      <c r="C22" s="1725" t="s">
        <v>1153</v>
      </c>
      <c r="D22" s="1725"/>
      <c r="E22" s="1725"/>
      <c r="F22" s="1726">
        <f>+F11+F13+F17+F19+F20+F21</f>
        <v>138160</v>
      </c>
      <c r="G22" s="1727">
        <f>F22/F$22*100</f>
        <v>100</v>
      </c>
    </row>
    <row r="23" spans="2:7" s="1686" customFormat="1" ht="29.25" customHeight="1" x14ac:dyDescent="0.25">
      <c r="F23" s="1709"/>
      <c r="G23" s="1728">
        <f>+G11+G13+G17+G19+G20+G21</f>
        <v>100</v>
      </c>
    </row>
    <row r="24" spans="2:7" ht="20.100000000000001" customHeight="1" x14ac:dyDescent="0.2">
      <c r="G24" s="1677"/>
    </row>
    <row r="25" spans="2:7" ht="20.100000000000001" customHeight="1" x14ac:dyDescent="0.2">
      <c r="G25" s="1677"/>
    </row>
    <row r="26" spans="2:7" ht="20.100000000000001" customHeight="1" x14ac:dyDescent="0.2">
      <c r="G26" s="1677"/>
    </row>
    <row r="27" spans="2:7" ht="30.75" customHeight="1" x14ac:dyDescent="0.2">
      <c r="G27" s="1677"/>
    </row>
    <row r="28" spans="2:7" ht="20.100000000000001" customHeight="1" x14ac:dyDescent="0.2">
      <c r="G28" s="1677"/>
    </row>
    <row r="29" spans="2:7" ht="14.25" customHeight="1" x14ac:dyDescent="0.2">
      <c r="G29" s="1677"/>
    </row>
    <row r="30" spans="2:7" x14ac:dyDescent="0.2">
      <c r="G30" s="1677"/>
    </row>
    <row r="31" spans="2:7" x14ac:dyDescent="0.2">
      <c r="G31" s="1677"/>
    </row>
    <row r="32" spans="2:7" x14ac:dyDescent="0.2">
      <c r="G32" s="1677"/>
    </row>
    <row r="33" spans="7:7" x14ac:dyDescent="0.2">
      <c r="G33" s="1677"/>
    </row>
    <row r="34" spans="7:7" x14ac:dyDescent="0.2">
      <c r="G34" s="1677"/>
    </row>
    <row r="35" spans="7:7" x14ac:dyDescent="0.2">
      <c r="G35" s="1677"/>
    </row>
    <row r="36" spans="7:7" x14ac:dyDescent="0.2">
      <c r="G36" s="1677"/>
    </row>
  </sheetData>
  <mergeCells count="6">
    <mergeCell ref="C16:E16"/>
    <mergeCell ref="B3:G3"/>
    <mergeCell ref="B4:G4"/>
    <mergeCell ref="B8:E8"/>
    <mergeCell ref="F8:G8"/>
    <mergeCell ref="C15:E15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2" orientation="portrait" r:id="rId1"/>
  <headerFooter alignWithMargins="0">
    <oddHeader xml:space="preserve">&amp;R&amp;"Arial,Félkövér"&amp;16  &amp;14 26. melléklet a …../2020. (…….) önkormányzati rendelethez
 </oddHeader>
    <oddFooter xml:space="preserve">&amp;C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O41"/>
  <sheetViews>
    <sheetView zoomScaleNormal="100" workbookViewId="0">
      <selection activeCell="J20" sqref="J20"/>
    </sheetView>
  </sheetViews>
  <sheetFormatPr defaultColWidth="10.6640625" defaultRowHeight="12.75" x14ac:dyDescent="0.2"/>
  <cols>
    <col min="1" max="1" width="4.33203125" style="1729" customWidth="1"/>
    <col min="2" max="2" width="5.5" style="1729" customWidth="1"/>
    <col min="3" max="3" width="10.6640625" style="1729" customWidth="1"/>
    <col min="4" max="4" width="48.6640625" style="1729" customWidth="1"/>
    <col min="5" max="5" width="16.83203125" style="1729" customWidth="1"/>
    <col min="6" max="7" width="12.5" style="1729" customWidth="1"/>
    <col min="8" max="8" width="13.6640625" style="1729" customWidth="1"/>
    <col min="9" max="9" width="16.33203125" style="1729" customWidth="1"/>
    <col min="10" max="10" width="13.6640625" style="1729" customWidth="1"/>
    <col min="11" max="11" width="15.5" style="1729" customWidth="1"/>
    <col min="12" max="12" width="10.6640625" style="1729"/>
    <col min="13" max="13" width="11.83203125" style="1729" bestFit="1" customWidth="1"/>
    <col min="14" max="14" width="10.6640625" style="1729"/>
    <col min="15" max="15" width="13" style="1729" customWidth="1"/>
    <col min="16" max="16384" width="10.6640625" style="1729"/>
  </cols>
  <sheetData>
    <row r="2" spans="1:11" ht="21" customHeight="1" x14ac:dyDescent="0.25">
      <c r="A2" s="2832" t="s">
        <v>1421</v>
      </c>
      <c r="B2" s="2832"/>
      <c r="C2" s="2832"/>
      <c r="D2" s="2832"/>
      <c r="E2" s="2832"/>
      <c r="F2" s="2832"/>
      <c r="G2" s="2832"/>
      <c r="H2" s="2832"/>
      <c r="I2" s="2832"/>
      <c r="J2" s="2832"/>
      <c r="K2" s="2832"/>
    </row>
    <row r="3" spans="1:11" x14ac:dyDescent="0.2">
      <c r="A3" s="1730"/>
      <c r="B3" s="1730"/>
      <c r="C3" s="1730"/>
      <c r="D3" s="1730"/>
      <c r="E3" s="1730"/>
      <c r="F3" s="1730"/>
      <c r="G3" s="1730"/>
      <c r="H3" s="1730"/>
      <c r="I3" s="1730"/>
      <c r="J3" s="1730"/>
      <c r="K3" s="1730"/>
    </row>
    <row r="4" spans="1:11" ht="13.5" thickBot="1" x14ac:dyDescent="0.25">
      <c r="A4" s="2833"/>
      <c r="B4" s="2833"/>
      <c r="C4" s="2833"/>
      <c r="D4" s="2833"/>
      <c r="E4" s="2833"/>
      <c r="F4" s="2833"/>
      <c r="G4" s="2833"/>
      <c r="H4" s="2833"/>
      <c r="I4" s="2833"/>
      <c r="J4" s="2833"/>
      <c r="K4" s="1731"/>
    </row>
    <row r="5" spans="1:11" x14ac:dyDescent="0.2">
      <c r="A5" s="2834" t="s">
        <v>882</v>
      </c>
      <c r="B5" s="2835"/>
      <c r="C5" s="2840" t="s">
        <v>42</v>
      </c>
      <c r="D5" s="2835"/>
      <c r="E5" s="2843" t="s">
        <v>1154</v>
      </c>
      <c r="F5" s="2844"/>
      <c r="G5" s="2844"/>
      <c r="H5" s="2844"/>
      <c r="I5" s="2844"/>
      <c r="J5" s="2844"/>
      <c r="K5" s="2845"/>
    </row>
    <row r="6" spans="1:11" x14ac:dyDescent="0.2">
      <c r="A6" s="2836"/>
      <c r="B6" s="2837"/>
      <c r="C6" s="2841"/>
      <c r="D6" s="2837"/>
      <c r="E6" s="2846" t="s">
        <v>1155</v>
      </c>
      <c r="F6" s="2847"/>
      <c r="G6" s="2848"/>
      <c r="H6" s="2846" t="s">
        <v>1156</v>
      </c>
      <c r="I6" s="2847"/>
      <c r="J6" s="2847"/>
      <c r="K6" s="2849"/>
    </row>
    <row r="7" spans="1:11" x14ac:dyDescent="0.2">
      <c r="A7" s="2836"/>
      <c r="B7" s="2837"/>
      <c r="C7" s="2841"/>
      <c r="D7" s="2837"/>
      <c r="E7" s="2850" t="s">
        <v>1157</v>
      </c>
      <c r="F7" s="2852" t="s">
        <v>1158</v>
      </c>
      <c r="G7" s="2853"/>
      <c r="H7" s="2856" t="s">
        <v>1159</v>
      </c>
      <c r="I7" s="2857"/>
      <c r="J7" s="2852" t="s">
        <v>1160</v>
      </c>
      <c r="K7" s="2858"/>
    </row>
    <row r="8" spans="1:11" x14ac:dyDescent="0.2">
      <c r="A8" s="2836"/>
      <c r="B8" s="2837"/>
      <c r="C8" s="2841"/>
      <c r="D8" s="2837"/>
      <c r="E8" s="2851"/>
      <c r="F8" s="2854"/>
      <c r="G8" s="2855"/>
      <c r="H8" s="2860" t="s">
        <v>1161</v>
      </c>
      <c r="I8" s="2861"/>
      <c r="J8" s="2854"/>
      <c r="K8" s="2859"/>
    </row>
    <row r="9" spans="1:11" x14ac:dyDescent="0.2">
      <c r="A9" s="2836"/>
      <c r="B9" s="2837"/>
      <c r="C9" s="2841"/>
      <c r="D9" s="2837"/>
      <c r="E9" s="1732" t="s">
        <v>1162</v>
      </c>
      <c r="F9" s="1732" t="s">
        <v>1163</v>
      </c>
      <c r="G9" s="1732" t="s">
        <v>1164</v>
      </c>
      <c r="H9" s="1732" t="s">
        <v>1165</v>
      </c>
      <c r="I9" s="1732" t="s">
        <v>1166</v>
      </c>
      <c r="J9" s="1732" t="s">
        <v>1165</v>
      </c>
      <c r="K9" s="1733" t="s">
        <v>1166</v>
      </c>
    </row>
    <row r="10" spans="1:11" ht="13.5" thickBot="1" x14ac:dyDescent="0.25">
      <c r="A10" s="2838"/>
      <c r="B10" s="2839"/>
      <c r="C10" s="2842"/>
      <c r="D10" s="2839"/>
      <c r="E10" s="1734" t="s">
        <v>1167</v>
      </c>
      <c r="F10" s="1734" t="s">
        <v>1168</v>
      </c>
      <c r="G10" s="1734" t="s">
        <v>1169</v>
      </c>
      <c r="H10" s="1734" t="s">
        <v>1170</v>
      </c>
      <c r="I10" s="1734" t="s">
        <v>1171</v>
      </c>
      <c r="J10" s="1734" t="s">
        <v>1172</v>
      </c>
      <c r="K10" s="1735" t="s">
        <v>1173</v>
      </c>
    </row>
    <row r="11" spans="1:11" s="2053" customFormat="1" ht="15" customHeight="1" x14ac:dyDescent="0.2">
      <c r="A11" s="2828" t="s">
        <v>1174</v>
      </c>
      <c r="B11" s="2829"/>
      <c r="C11" s="2830" t="s">
        <v>1175</v>
      </c>
      <c r="D11" s="2831"/>
      <c r="E11" s="1736">
        <v>4070</v>
      </c>
      <c r="F11" s="1739">
        <v>1815</v>
      </c>
      <c r="G11" s="1736">
        <v>1680</v>
      </c>
      <c r="H11" s="1739">
        <v>4022</v>
      </c>
      <c r="I11" s="1736">
        <v>82510785</v>
      </c>
      <c r="J11" s="1739">
        <v>4055</v>
      </c>
      <c r="K11" s="2052">
        <v>111549221</v>
      </c>
    </row>
    <row r="12" spans="1:11" s="2053" customFormat="1" ht="15" customHeight="1" x14ac:dyDescent="0.2">
      <c r="A12" s="2814" t="s">
        <v>1176</v>
      </c>
      <c r="B12" s="2815"/>
      <c r="C12" s="2816" t="s">
        <v>1177</v>
      </c>
      <c r="D12" s="2817"/>
      <c r="E12" s="1741">
        <v>13</v>
      </c>
      <c r="F12" s="1744">
        <v>17</v>
      </c>
      <c r="G12" s="1741">
        <v>8678</v>
      </c>
      <c r="H12" s="1744">
        <v>13</v>
      </c>
      <c r="I12" s="1741">
        <v>2421166</v>
      </c>
      <c r="J12" s="1744">
        <v>13</v>
      </c>
      <c r="K12" s="2054">
        <v>2306899</v>
      </c>
    </row>
    <row r="13" spans="1:11" s="2053" customFormat="1" ht="15" customHeight="1" x14ac:dyDescent="0.2">
      <c r="A13" s="2814" t="s">
        <v>1178</v>
      </c>
      <c r="B13" s="2815"/>
      <c r="C13" s="2816" t="s">
        <v>1179</v>
      </c>
      <c r="D13" s="2817"/>
      <c r="E13" s="1741">
        <v>0</v>
      </c>
      <c r="F13" s="1744">
        <v>0</v>
      </c>
      <c r="G13" s="1741">
        <v>0</v>
      </c>
      <c r="H13" s="1744">
        <v>0</v>
      </c>
      <c r="I13" s="1741">
        <v>0</v>
      </c>
      <c r="J13" s="1744">
        <v>0</v>
      </c>
      <c r="K13" s="2054">
        <v>0</v>
      </c>
    </row>
    <row r="14" spans="1:11" s="2053" customFormat="1" ht="15" customHeight="1" x14ac:dyDescent="0.2">
      <c r="A14" s="2814" t="s">
        <v>1180</v>
      </c>
      <c r="B14" s="2815"/>
      <c r="C14" s="2816" t="s">
        <v>1181</v>
      </c>
      <c r="D14" s="2817"/>
      <c r="E14" s="1741">
        <v>14</v>
      </c>
      <c r="F14" s="1744"/>
      <c r="G14" s="1741"/>
      <c r="H14" s="1744">
        <v>14</v>
      </c>
      <c r="I14" s="1741">
        <v>14407883</v>
      </c>
      <c r="J14" s="1744">
        <v>14</v>
      </c>
      <c r="K14" s="2054">
        <v>12273532</v>
      </c>
    </row>
    <row r="15" spans="1:11" s="2053" customFormat="1" ht="15" customHeight="1" thickBot="1" x14ac:dyDescent="0.25">
      <c r="A15" s="2818" t="s">
        <v>1182</v>
      </c>
      <c r="B15" s="2819"/>
      <c r="C15" s="2820" t="s">
        <v>1183</v>
      </c>
      <c r="D15" s="2821"/>
      <c r="E15" s="2055">
        <v>4097</v>
      </c>
      <c r="F15" s="2055">
        <v>1833</v>
      </c>
      <c r="G15" s="2055">
        <v>358</v>
      </c>
      <c r="H15" s="2055">
        <v>4049</v>
      </c>
      <c r="I15" s="2055">
        <v>99339834</v>
      </c>
      <c r="J15" s="2055">
        <v>4082</v>
      </c>
      <c r="K15" s="2056">
        <v>126129652</v>
      </c>
    </row>
    <row r="16" spans="1:11" s="2053" customFormat="1" ht="15" customHeight="1" x14ac:dyDescent="0.2">
      <c r="A16" s="2822" t="s">
        <v>1184</v>
      </c>
      <c r="B16" s="2823"/>
      <c r="C16" s="2057" t="s">
        <v>1185</v>
      </c>
      <c r="D16" s="2058"/>
      <c r="E16" s="1746">
        <v>1966</v>
      </c>
      <c r="F16" s="1747">
        <v>848</v>
      </c>
      <c r="G16" s="1746">
        <v>4338</v>
      </c>
      <c r="H16" s="1747">
        <v>1964</v>
      </c>
      <c r="I16" s="1746">
        <v>32193085</v>
      </c>
      <c r="J16" s="1747">
        <v>1956</v>
      </c>
      <c r="K16" s="2059">
        <v>59874124</v>
      </c>
    </row>
    <row r="17" spans="1:15" ht="15" customHeight="1" x14ac:dyDescent="0.2">
      <c r="A17" s="2812" t="s">
        <v>1186</v>
      </c>
      <c r="B17" s="2824"/>
      <c r="C17" s="2825" t="s">
        <v>1187</v>
      </c>
      <c r="D17" s="2826"/>
      <c r="E17" s="1738">
        <v>0</v>
      </c>
      <c r="F17" s="1737">
        <v>0</v>
      </c>
      <c r="G17" s="1738">
        <v>0</v>
      </c>
      <c r="H17" s="1739">
        <v>0</v>
      </c>
      <c r="I17" s="1736">
        <v>0</v>
      </c>
      <c r="J17" s="1737">
        <v>0</v>
      </c>
      <c r="K17" s="1740">
        <v>0</v>
      </c>
    </row>
    <row r="18" spans="1:15" ht="15" customHeight="1" x14ac:dyDescent="0.25">
      <c r="A18" s="2806" t="s">
        <v>1188</v>
      </c>
      <c r="B18" s="2807"/>
      <c r="C18" s="1748" t="s">
        <v>1189</v>
      </c>
      <c r="D18" s="2917" t="s">
        <v>1190</v>
      </c>
      <c r="E18" s="1743">
        <v>3556</v>
      </c>
      <c r="F18" s="1742">
        <v>902</v>
      </c>
      <c r="G18" s="1743">
        <v>6249</v>
      </c>
      <c r="H18" s="1744">
        <v>3539</v>
      </c>
      <c r="I18" s="1741">
        <v>97147326</v>
      </c>
      <c r="J18" s="1742">
        <v>3541</v>
      </c>
      <c r="K18" s="1745">
        <v>123506715</v>
      </c>
    </row>
    <row r="19" spans="1:15" ht="15" customHeight="1" x14ac:dyDescent="0.2">
      <c r="A19" s="2812" t="s">
        <v>1191</v>
      </c>
      <c r="B19" s="2824"/>
      <c r="C19" s="1750" t="s">
        <v>1192</v>
      </c>
      <c r="D19" s="1749" t="s">
        <v>1193</v>
      </c>
      <c r="E19" s="1743">
        <v>541</v>
      </c>
      <c r="F19" s="1742">
        <v>930</v>
      </c>
      <c r="G19" s="1743">
        <v>4109</v>
      </c>
      <c r="H19" s="1744">
        <v>510</v>
      </c>
      <c r="I19" s="1741">
        <v>2192508</v>
      </c>
      <c r="J19" s="1742">
        <v>541</v>
      </c>
      <c r="K19" s="1745">
        <v>2622937</v>
      </c>
      <c r="L19" s="1751"/>
      <c r="M19" s="1751"/>
      <c r="N19" s="1751"/>
      <c r="O19" s="1751"/>
    </row>
    <row r="20" spans="1:15" ht="15" customHeight="1" x14ac:dyDescent="0.2">
      <c r="A20" s="2804" t="s">
        <v>1194</v>
      </c>
      <c r="B20" s="2827"/>
      <c r="C20" s="1752"/>
      <c r="D20" s="1753" t="s">
        <v>1195</v>
      </c>
      <c r="E20" s="1754">
        <v>1909</v>
      </c>
      <c r="F20" s="1755">
        <v>822</v>
      </c>
      <c r="G20" s="1754">
        <v>129</v>
      </c>
      <c r="H20" s="1756">
        <v>1866</v>
      </c>
      <c r="I20" s="1757">
        <v>50149947</v>
      </c>
      <c r="J20" s="1755">
        <v>1903</v>
      </c>
      <c r="K20" s="1758">
        <v>48390609</v>
      </c>
    </row>
    <row r="21" spans="1:15" ht="15" customHeight="1" x14ac:dyDescent="0.2">
      <c r="A21" s="2806" t="s">
        <v>1196</v>
      </c>
      <c r="B21" s="2807"/>
      <c r="C21" s="1759" t="s">
        <v>1189</v>
      </c>
      <c r="D21" s="1749" t="s">
        <v>1197</v>
      </c>
      <c r="E21" s="1760">
        <v>870</v>
      </c>
      <c r="F21" s="1742">
        <v>432</v>
      </c>
      <c r="G21" s="1743">
        <v>9299</v>
      </c>
      <c r="H21" s="1744">
        <v>865</v>
      </c>
      <c r="I21" s="1741">
        <v>45515791</v>
      </c>
      <c r="J21" s="1742">
        <v>869</v>
      </c>
      <c r="K21" s="1745">
        <v>67249998</v>
      </c>
    </row>
    <row r="22" spans="1:15" ht="15" customHeight="1" x14ac:dyDescent="0.2">
      <c r="A22" s="2812" t="s">
        <v>1198</v>
      </c>
      <c r="B22" s="2824"/>
      <c r="C22" s="1761" t="s">
        <v>1192</v>
      </c>
      <c r="D22" s="1762" t="s">
        <v>1199</v>
      </c>
      <c r="E22" s="1738">
        <v>1315</v>
      </c>
      <c r="F22" s="1737">
        <v>578</v>
      </c>
      <c r="G22" s="1738">
        <v>930</v>
      </c>
      <c r="H22" s="1739">
        <v>1315</v>
      </c>
      <c r="I22" s="1736">
        <v>3640487</v>
      </c>
      <c r="J22" s="1737">
        <v>1307</v>
      </c>
      <c r="K22" s="1740">
        <v>10455436</v>
      </c>
      <c r="L22" s="1751"/>
      <c r="M22" s="1751"/>
      <c r="N22" s="1751"/>
      <c r="O22" s="1751"/>
    </row>
    <row r="23" spans="1:15" ht="15" customHeight="1" x14ac:dyDescent="0.2">
      <c r="A23" s="2806" t="s">
        <v>1200</v>
      </c>
      <c r="B23" s="2807"/>
      <c r="C23" s="2810" t="s">
        <v>1201</v>
      </c>
      <c r="D23" s="2811"/>
      <c r="E23" s="1743">
        <v>1100</v>
      </c>
      <c r="F23" s="1742">
        <v>1259</v>
      </c>
      <c r="G23" s="1743">
        <v>2177</v>
      </c>
      <c r="H23" s="1744">
        <v>1056</v>
      </c>
      <c r="I23" s="1741">
        <v>19170051</v>
      </c>
      <c r="J23" s="1742">
        <v>1095</v>
      </c>
      <c r="K23" s="1745">
        <v>20592910</v>
      </c>
    </row>
    <row r="24" spans="1:15" ht="15" customHeight="1" x14ac:dyDescent="0.2">
      <c r="A24" s="2804" t="s">
        <v>1202</v>
      </c>
      <c r="B24" s="2805"/>
      <c r="C24" s="1753"/>
      <c r="D24" s="1753" t="s">
        <v>1203</v>
      </c>
      <c r="E24" s="1754">
        <v>1023</v>
      </c>
      <c r="F24" s="1755">
        <v>1154</v>
      </c>
      <c r="G24" s="1754">
        <v>7692</v>
      </c>
      <c r="H24" s="1756">
        <v>1015</v>
      </c>
      <c r="I24" s="1757">
        <v>19147001</v>
      </c>
      <c r="J24" s="1755">
        <v>1018</v>
      </c>
      <c r="K24" s="1758">
        <v>20569824</v>
      </c>
    </row>
    <row r="25" spans="1:15" ht="15" customHeight="1" x14ac:dyDescent="0.2">
      <c r="A25" s="2806" t="s">
        <v>1204</v>
      </c>
      <c r="B25" s="2807"/>
      <c r="C25" s="1763" t="s">
        <v>1205</v>
      </c>
      <c r="D25" s="1749" t="s">
        <v>1206</v>
      </c>
      <c r="E25" s="1760">
        <v>72</v>
      </c>
      <c r="F25" s="1742">
        <v>13</v>
      </c>
      <c r="G25" s="1743">
        <v>8524</v>
      </c>
      <c r="H25" s="1744">
        <v>36</v>
      </c>
      <c r="I25" s="1741">
        <v>22640</v>
      </c>
      <c r="J25" s="1742">
        <v>72</v>
      </c>
      <c r="K25" s="1745">
        <v>22676</v>
      </c>
    </row>
    <row r="26" spans="1:15" ht="15" customHeight="1" x14ac:dyDescent="0.2">
      <c r="A26" s="2812" t="s">
        <v>1207</v>
      </c>
      <c r="B26" s="2813"/>
      <c r="C26" s="1762" t="s">
        <v>1192</v>
      </c>
      <c r="D26" s="1762" t="s">
        <v>1208</v>
      </c>
      <c r="E26" s="1738">
        <v>5</v>
      </c>
      <c r="F26" s="1737">
        <v>90</v>
      </c>
      <c r="G26" s="1738">
        <v>5961</v>
      </c>
      <c r="H26" s="1737">
        <v>5</v>
      </c>
      <c r="I26" s="1738">
        <v>410</v>
      </c>
      <c r="J26" s="1737">
        <v>5</v>
      </c>
      <c r="K26" s="1740">
        <v>410</v>
      </c>
    </row>
    <row r="27" spans="1:15" ht="15" customHeight="1" x14ac:dyDescent="0.2">
      <c r="A27" s="2806" t="s">
        <v>1209</v>
      </c>
      <c r="B27" s="2807"/>
      <c r="C27" s="2810" t="s">
        <v>1210</v>
      </c>
      <c r="D27" s="2811"/>
      <c r="E27" s="1743">
        <v>1212</v>
      </c>
      <c r="F27" s="1742">
        <v>561</v>
      </c>
      <c r="G27" s="1743">
        <v>1106</v>
      </c>
      <c r="H27" s="1742">
        <v>1210</v>
      </c>
      <c r="I27" s="1743">
        <v>61676237</v>
      </c>
      <c r="J27" s="1742">
        <v>1212</v>
      </c>
      <c r="K27" s="1745">
        <v>80947986</v>
      </c>
    </row>
    <row r="28" spans="1:15" ht="15" customHeight="1" x14ac:dyDescent="0.2">
      <c r="A28" s="2804" t="s">
        <v>1211</v>
      </c>
      <c r="B28" s="2805"/>
      <c r="C28" s="1753"/>
      <c r="D28" s="1753" t="s">
        <v>1203</v>
      </c>
      <c r="E28" s="1754">
        <v>1104</v>
      </c>
      <c r="F28" s="1755">
        <v>515</v>
      </c>
      <c r="G28" s="1754">
        <v>7092</v>
      </c>
      <c r="H28" s="1755">
        <v>1104</v>
      </c>
      <c r="I28" s="1754">
        <v>60891603</v>
      </c>
      <c r="J28" s="1755">
        <v>1104</v>
      </c>
      <c r="K28" s="1758">
        <v>80131656</v>
      </c>
    </row>
    <row r="29" spans="1:15" ht="15" customHeight="1" x14ac:dyDescent="0.2">
      <c r="A29" s="2806" t="s">
        <v>1212</v>
      </c>
      <c r="B29" s="2807"/>
      <c r="C29" s="1763" t="s">
        <v>1213</v>
      </c>
      <c r="D29" s="1749" t="s">
        <v>1206</v>
      </c>
      <c r="E29" s="1760">
        <v>0</v>
      </c>
      <c r="F29" s="1742">
        <v>0</v>
      </c>
      <c r="G29" s="1743">
        <v>0</v>
      </c>
      <c r="H29" s="1742">
        <v>0</v>
      </c>
      <c r="I29" s="1743">
        <v>0</v>
      </c>
      <c r="J29" s="1742">
        <v>0</v>
      </c>
      <c r="K29" s="1745">
        <v>0</v>
      </c>
    </row>
    <row r="30" spans="1:15" ht="15" customHeight="1" x14ac:dyDescent="0.2">
      <c r="A30" s="2806" t="s">
        <v>1214</v>
      </c>
      <c r="B30" s="2807"/>
      <c r="C30" s="1764" t="s">
        <v>1192</v>
      </c>
      <c r="D30" s="1749" t="s">
        <v>1208</v>
      </c>
      <c r="E30" s="1760">
        <v>3</v>
      </c>
      <c r="F30" s="1742">
        <v>0</v>
      </c>
      <c r="G30" s="1743">
        <v>3538</v>
      </c>
      <c r="H30" s="1742">
        <v>3</v>
      </c>
      <c r="I30" s="1743">
        <v>24472</v>
      </c>
      <c r="J30" s="1742">
        <v>3</v>
      </c>
      <c r="K30" s="1745">
        <v>56163</v>
      </c>
    </row>
    <row r="31" spans="1:15" ht="15" customHeight="1" x14ac:dyDescent="0.2">
      <c r="A31" s="2806" t="s">
        <v>1215</v>
      </c>
      <c r="B31" s="2807"/>
      <c r="C31" s="1762"/>
      <c r="D31" s="1762" t="s">
        <v>1216</v>
      </c>
      <c r="E31" s="1738">
        <v>21</v>
      </c>
      <c r="F31" s="1737">
        <v>2</v>
      </c>
      <c r="G31" s="1738">
        <v>7320</v>
      </c>
      <c r="H31" s="1737">
        <v>21</v>
      </c>
      <c r="I31" s="1738">
        <v>167929</v>
      </c>
      <c r="J31" s="1737">
        <v>21</v>
      </c>
      <c r="K31" s="1740">
        <v>309036</v>
      </c>
    </row>
    <row r="32" spans="1:15" ht="15" customHeight="1" x14ac:dyDescent="0.2">
      <c r="A32" s="2806" t="s">
        <v>1217</v>
      </c>
      <c r="B32" s="2807"/>
      <c r="C32" s="2810" t="s">
        <v>1218</v>
      </c>
      <c r="D32" s="2811"/>
      <c r="E32" s="1743">
        <v>1760</v>
      </c>
      <c r="F32" s="1742"/>
      <c r="G32" s="1743"/>
      <c r="H32" s="1742">
        <v>1759</v>
      </c>
      <c r="I32" s="1743">
        <v>3291205</v>
      </c>
      <c r="J32" s="1742">
        <v>1751</v>
      </c>
      <c r="K32" s="1745">
        <v>11511790</v>
      </c>
    </row>
    <row r="33" spans="1:13" ht="15" customHeight="1" x14ac:dyDescent="0.2">
      <c r="A33" s="2804" t="s">
        <v>1219</v>
      </c>
      <c r="B33" s="2805"/>
      <c r="C33" s="1753"/>
      <c r="D33" s="1753" t="s">
        <v>1203</v>
      </c>
      <c r="E33" s="1754">
        <v>1754</v>
      </c>
      <c r="F33" s="1755"/>
      <c r="G33" s="1754"/>
      <c r="H33" s="1755">
        <v>1753</v>
      </c>
      <c r="I33" s="1754">
        <v>3282643</v>
      </c>
      <c r="J33" s="1755">
        <v>1745</v>
      </c>
      <c r="K33" s="1758">
        <v>11473770</v>
      </c>
    </row>
    <row r="34" spans="1:13" ht="15" customHeight="1" x14ac:dyDescent="0.2">
      <c r="A34" s="2806" t="s">
        <v>1220</v>
      </c>
      <c r="B34" s="2807"/>
      <c r="C34" s="1763" t="s">
        <v>1221</v>
      </c>
      <c r="D34" s="1749" t="s">
        <v>1206</v>
      </c>
      <c r="E34" s="1760">
        <v>0</v>
      </c>
      <c r="F34" s="1742"/>
      <c r="G34" s="1743"/>
      <c r="H34" s="1742">
        <v>0</v>
      </c>
      <c r="I34" s="1743">
        <v>0</v>
      </c>
      <c r="J34" s="1742">
        <v>0</v>
      </c>
      <c r="K34" s="1745">
        <v>0</v>
      </c>
    </row>
    <row r="35" spans="1:13" ht="15" customHeight="1" x14ac:dyDescent="0.2">
      <c r="A35" s="2812" t="s">
        <v>1222</v>
      </c>
      <c r="B35" s="2813"/>
      <c r="C35" s="1762" t="s">
        <v>1192</v>
      </c>
      <c r="D35" s="1762" t="s">
        <v>1208</v>
      </c>
      <c r="E35" s="1738">
        <v>6</v>
      </c>
      <c r="F35" s="1737"/>
      <c r="G35" s="1738"/>
      <c r="H35" s="1737">
        <v>6</v>
      </c>
      <c r="I35" s="1738">
        <v>8605</v>
      </c>
      <c r="J35" s="1737">
        <v>6</v>
      </c>
      <c r="K35" s="1740">
        <v>38063</v>
      </c>
    </row>
    <row r="36" spans="1:13" ht="15" customHeight="1" x14ac:dyDescent="0.2">
      <c r="A36" s="2804" t="s">
        <v>1223</v>
      </c>
      <c r="B36" s="2805"/>
      <c r="C36" s="1765"/>
      <c r="D36" s="1766" t="s">
        <v>1224</v>
      </c>
      <c r="E36" s="1754">
        <v>132</v>
      </c>
      <c r="F36" s="1755">
        <v>645</v>
      </c>
      <c r="G36" s="1754">
        <v>7980</v>
      </c>
      <c r="H36" s="1755">
        <v>98</v>
      </c>
      <c r="I36" s="1754">
        <v>769661</v>
      </c>
      <c r="J36" s="1755">
        <v>132</v>
      </c>
      <c r="K36" s="1758">
        <v>1185854</v>
      </c>
    </row>
    <row r="37" spans="1:13" ht="15" customHeight="1" x14ac:dyDescent="0.2">
      <c r="A37" s="2806" t="s">
        <v>1225</v>
      </c>
      <c r="B37" s="2807"/>
      <c r="C37" s="1764" t="s">
        <v>1226</v>
      </c>
      <c r="D37" s="1767" t="s">
        <v>1227</v>
      </c>
      <c r="E37" s="1760">
        <v>6</v>
      </c>
      <c r="F37" s="1742">
        <v>9</v>
      </c>
      <c r="G37" s="1743">
        <v>8414</v>
      </c>
      <c r="H37" s="1742">
        <v>6</v>
      </c>
      <c r="I37" s="1743">
        <v>745870</v>
      </c>
      <c r="J37" s="1742">
        <v>6</v>
      </c>
      <c r="K37" s="1745">
        <v>747855</v>
      </c>
    </row>
    <row r="38" spans="1:13" ht="15" customHeight="1" thickBot="1" x14ac:dyDescent="0.25">
      <c r="A38" s="2808">
        <v>28</v>
      </c>
      <c r="B38" s="2809"/>
      <c r="C38" s="1768" t="s">
        <v>1192</v>
      </c>
      <c r="D38" s="1769" t="s">
        <v>1228</v>
      </c>
      <c r="E38" s="1770">
        <v>290</v>
      </c>
      <c r="F38" s="1771">
        <v>70</v>
      </c>
      <c r="G38" s="1770">
        <v>4860</v>
      </c>
      <c r="H38" s="1771">
        <v>290</v>
      </c>
      <c r="I38" s="1770">
        <v>9455345</v>
      </c>
      <c r="J38" s="1771">
        <v>285</v>
      </c>
      <c r="K38" s="1772">
        <v>13594458</v>
      </c>
      <c r="M38" s="1751"/>
    </row>
    <row r="40" spans="1:13" x14ac:dyDescent="0.2">
      <c r="E40" s="1751"/>
    </row>
    <row r="41" spans="1:13" x14ac:dyDescent="0.2">
      <c r="E41" s="1751"/>
      <c r="F41" s="1751"/>
      <c r="G41" s="1751"/>
      <c r="H41" s="1751"/>
      <c r="I41" s="1751"/>
      <c r="J41" s="1751"/>
      <c r="K41" s="1751"/>
    </row>
  </sheetData>
  <mergeCells count="49">
    <mergeCell ref="A2:K2"/>
    <mergeCell ref="A4:J4"/>
    <mergeCell ref="A5:B10"/>
    <mergeCell ref="C5:D10"/>
    <mergeCell ref="E5:K5"/>
    <mergeCell ref="E6:G6"/>
    <mergeCell ref="H6:K6"/>
    <mergeCell ref="E7:E8"/>
    <mergeCell ref="F7:G8"/>
    <mergeCell ref="H7:I7"/>
    <mergeCell ref="J7:K8"/>
    <mergeCell ref="H8:I8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25:B25"/>
    <mergeCell ref="A16:B16"/>
    <mergeCell ref="A17:B17"/>
    <mergeCell ref="C17:D17"/>
    <mergeCell ref="A18:B18"/>
    <mergeCell ref="A19:B19"/>
    <mergeCell ref="A20:B20"/>
    <mergeCell ref="A21:B21"/>
    <mergeCell ref="A22:B22"/>
    <mergeCell ref="A23:B23"/>
    <mergeCell ref="C23:D23"/>
    <mergeCell ref="A24:B24"/>
    <mergeCell ref="C32:D32"/>
    <mergeCell ref="A33:B33"/>
    <mergeCell ref="A34:B34"/>
    <mergeCell ref="A35:B35"/>
    <mergeCell ref="A26:B26"/>
    <mergeCell ref="A27:B27"/>
    <mergeCell ref="C27:D27"/>
    <mergeCell ref="A28:B28"/>
    <mergeCell ref="A29:B29"/>
    <mergeCell ref="A30:B30"/>
    <mergeCell ref="A36:B36"/>
    <mergeCell ref="A37:B37"/>
    <mergeCell ref="A38:B38"/>
    <mergeCell ref="A31:B31"/>
    <mergeCell ref="A32:B3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9" orientation="landscape" r:id="rId1"/>
  <headerFooter alignWithMargins="0">
    <oddHeader>&amp;R&amp;"Arial,Félkövér"&amp;12 27. melléklet a …../2020. (…….) önkormányzati rendelethez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N90"/>
  <sheetViews>
    <sheetView zoomScale="75" zoomScaleNormal="75" workbookViewId="0">
      <selection activeCell="J20" sqref="J20"/>
    </sheetView>
  </sheetViews>
  <sheetFormatPr defaultColWidth="10.6640625" defaultRowHeight="15" x14ac:dyDescent="0.2"/>
  <cols>
    <col min="1" max="1" width="10.6640625" style="1774"/>
    <col min="2" max="2" width="11.5" style="1773" customWidth="1"/>
    <col min="3" max="3" width="8.83203125" style="1774" customWidth="1"/>
    <col min="4" max="4" width="118" style="1774" customWidth="1"/>
    <col min="5" max="5" width="26" style="1774" customWidth="1"/>
    <col min="6" max="6" width="23.5" style="1774" customWidth="1"/>
    <col min="7" max="7" width="24.1640625" style="1774" customWidth="1"/>
    <col min="8" max="8" width="19.1640625" style="1775" bestFit="1" customWidth="1"/>
    <col min="9" max="9" width="19.83203125" style="1774" bestFit="1" customWidth="1"/>
    <col min="10" max="10" width="18.83203125" style="1774" customWidth="1"/>
    <col min="11" max="12" width="10.6640625" style="1774"/>
    <col min="13" max="13" width="28" style="1774" customWidth="1"/>
    <col min="14" max="16384" width="10.6640625" style="1774"/>
  </cols>
  <sheetData>
    <row r="1" spans="2:14" ht="18" x14ac:dyDescent="0.25">
      <c r="I1" s="1776"/>
    </row>
    <row r="2" spans="2:14" ht="18" x14ac:dyDescent="0.25">
      <c r="E2" s="1678"/>
      <c r="F2" s="1777"/>
    </row>
    <row r="5" spans="2:14" ht="21.75" customHeight="1" x14ac:dyDescent="0.35">
      <c r="B5" s="2864" t="s">
        <v>1420</v>
      </c>
      <c r="C5" s="2864"/>
      <c r="D5" s="2864"/>
      <c r="E5" s="2864"/>
      <c r="F5" s="2864"/>
      <c r="G5" s="2864"/>
    </row>
    <row r="6" spans="2:14" ht="15.75" thickBot="1" x14ac:dyDescent="0.25">
      <c r="G6" s="1778" t="s">
        <v>26</v>
      </c>
    </row>
    <row r="7" spans="2:14" s="1776" customFormat="1" ht="20.100000000000001" customHeight="1" thickBot="1" x14ac:dyDescent="0.3">
      <c r="B7" s="1779" t="s">
        <v>918</v>
      </c>
      <c r="C7" s="1780"/>
      <c r="D7" s="1780"/>
      <c r="E7" s="2865"/>
      <c r="F7" s="2866"/>
      <c r="G7" s="2867"/>
      <c r="H7" s="1781" t="s">
        <v>1229</v>
      </c>
    </row>
    <row r="8" spans="2:14" ht="20.100000000000001" customHeight="1" thickBot="1" x14ac:dyDescent="0.3">
      <c r="B8" s="1782"/>
      <c r="C8" s="1783"/>
      <c r="D8" s="1783"/>
      <c r="E8" s="1784" t="s">
        <v>1230</v>
      </c>
      <c r="F8" s="1785" t="s">
        <v>1231</v>
      </c>
      <c r="G8" s="1786" t="s">
        <v>1232</v>
      </c>
    </row>
    <row r="9" spans="2:14" s="1792" customFormat="1" ht="20.100000000000001" customHeight="1" thickBot="1" x14ac:dyDescent="0.35">
      <c r="B9" s="1787" t="s">
        <v>1233</v>
      </c>
      <c r="C9" s="1788" t="s">
        <v>1234</v>
      </c>
      <c r="D9" s="1788"/>
      <c r="E9" s="1789">
        <f>+E10+E17+E48+E52</f>
        <v>105538846</v>
      </c>
      <c r="F9" s="1789">
        <f>+F10+F17+F48+F52</f>
        <v>27935291</v>
      </c>
      <c r="G9" s="1790">
        <f>+G10+G17+G48+G52</f>
        <v>84068922</v>
      </c>
      <c r="H9" s="1791">
        <f>+'23 eszközök'!G61</f>
        <v>84068922</v>
      </c>
    </row>
    <row r="10" spans="2:14" s="1798" customFormat="1" ht="20.100000000000001" customHeight="1" thickBot="1" x14ac:dyDescent="0.35">
      <c r="B10" s="1793" t="s">
        <v>931</v>
      </c>
      <c r="C10" s="1794" t="s">
        <v>1235</v>
      </c>
      <c r="D10" s="1794"/>
      <c r="E10" s="1795">
        <f>+E11+E15</f>
        <v>645472</v>
      </c>
      <c r="F10" s="1795">
        <f>+F11+F15</f>
        <v>628218</v>
      </c>
      <c r="G10" s="1796">
        <f>+G15+G11</f>
        <v>17254</v>
      </c>
      <c r="H10" s="1797">
        <f>+'23 eszközök'!G21</f>
        <v>17254</v>
      </c>
      <c r="I10" s="1792"/>
    </row>
    <row r="11" spans="2:14" s="1804" customFormat="1" ht="20.100000000000001" customHeight="1" x14ac:dyDescent="0.3">
      <c r="B11" s="1799" t="s">
        <v>1236</v>
      </c>
      <c r="C11" s="1800" t="s">
        <v>923</v>
      </c>
      <c r="D11" s="1800"/>
      <c r="E11" s="1801">
        <f>SUM(E12:E14)</f>
        <v>332264</v>
      </c>
      <c r="F11" s="1801">
        <f>SUM(F12:F14)</f>
        <v>318231</v>
      </c>
      <c r="G11" s="1802">
        <f>SUM(G12:G14)</f>
        <v>14033</v>
      </c>
      <c r="H11" s="1798"/>
      <c r="I11" s="1792"/>
      <c r="J11" s="1798"/>
      <c r="K11" s="1798"/>
      <c r="N11" s="1798"/>
    </row>
    <row r="12" spans="2:14" s="1809" customFormat="1" ht="20.100000000000001" customHeight="1" x14ac:dyDescent="0.3">
      <c r="B12" s="1805"/>
      <c r="C12" s="1806" t="s">
        <v>1738</v>
      </c>
      <c r="D12" s="1806"/>
      <c r="E12" s="1807">
        <v>20249</v>
      </c>
      <c r="F12" s="1806">
        <v>19183</v>
      </c>
      <c r="G12" s="1808">
        <f>E12-F12</f>
        <v>1066</v>
      </c>
      <c r="H12" s="1803"/>
      <c r="I12" s="1792"/>
      <c r="J12" s="1798"/>
      <c r="K12" s="1798"/>
      <c r="N12" s="1798"/>
    </row>
    <row r="13" spans="2:14" s="1809" customFormat="1" ht="20.100000000000001" customHeight="1" x14ac:dyDescent="0.3">
      <c r="B13" s="1805"/>
      <c r="C13" s="1806" t="s">
        <v>1237</v>
      </c>
      <c r="D13" s="1806"/>
      <c r="E13" s="1807">
        <v>312015</v>
      </c>
      <c r="F13" s="1806">
        <v>299048</v>
      </c>
      <c r="G13" s="1808">
        <f>E13-F13</f>
        <v>12967</v>
      </c>
      <c r="H13" s="1803"/>
      <c r="I13" s="1792"/>
      <c r="J13" s="1798"/>
      <c r="K13" s="1798"/>
      <c r="N13" s="1798"/>
    </row>
    <row r="14" spans="2:14" s="1809" customFormat="1" ht="20.100000000000001" customHeight="1" x14ac:dyDescent="0.3">
      <c r="B14" s="1810"/>
      <c r="C14" s="1811" t="s">
        <v>1238</v>
      </c>
      <c r="D14" s="1811"/>
      <c r="E14" s="1812">
        <v>0</v>
      </c>
      <c r="F14" s="1811">
        <v>0</v>
      </c>
      <c r="G14" s="1813">
        <f>E14-F14</f>
        <v>0</v>
      </c>
      <c r="H14" s="1803"/>
      <c r="I14" s="1792"/>
      <c r="J14" s="1798"/>
      <c r="K14" s="1798"/>
      <c r="N14" s="1798"/>
    </row>
    <row r="15" spans="2:14" s="1804" customFormat="1" ht="20.100000000000001" customHeight="1" x14ac:dyDescent="0.3">
      <c r="B15" s="1814" t="s">
        <v>929</v>
      </c>
      <c r="C15" s="1815" t="s">
        <v>928</v>
      </c>
      <c r="D15" s="1815"/>
      <c r="E15" s="1816">
        <f>SUM(E16)</f>
        <v>313208</v>
      </c>
      <c r="F15" s="1816">
        <f>SUM(F16)</f>
        <v>309987</v>
      </c>
      <c r="G15" s="1817">
        <f>SUM(G16)</f>
        <v>3221</v>
      </c>
      <c r="H15" s="1803"/>
      <c r="I15" s="1792"/>
      <c r="J15" s="1798"/>
      <c r="K15" s="1798"/>
      <c r="N15" s="1798"/>
    </row>
    <row r="16" spans="2:14" s="1809" customFormat="1" ht="20.100000000000001" customHeight="1" thickBot="1" x14ac:dyDescent="0.35">
      <c r="B16" s="1810"/>
      <c r="C16" s="1811" t="s">
        <v>1237</v>
      </c>
      <c r="D16" s="1811"/>
      <c r="E16" s="1812">
        <f>313207+1</f>
        <v>313208</v>
      </c>
      <c r="F16" s="1811">
        <v>309987</v>
      </c>
      <c r="G16" s="1813">
        <f>E16-F16</f>
        <v>3221</v>
      </c>
      <c r="H16" s="1803"/>
      <c r="I16" s="1792"/>
      <c r="J16" s="1798"/>
      <c r="K16" s="1798"/>
      <c r="N16" s="1798"/>
    </row>
    <row r="17" spans="2:14" s="1798" customFormat="1" ht="20.100000000000001" customHeight="1" thickBot="1" x14ac:dyDescent="0.35">
      <c r="B17" s="1793" t="s">
        <v>943</v>
      </c>
      <c r="C17" s="1794" t="s">
        <v>1239</v>
      </c>
      <c r="D17" s="1794"/>
      <c r="E17" s="1795">
        <f>+E18+E39+E43+E44</f>
        <v>104023221</v>
      </c>
      <c r="F17" s="1795">
        <f>+F18+F39+F43+F44</f>
        <v>27252558</v>
      </c>
      <c r="G17" s="1818">
        <f>E17-F17</f>
        <v>76770663</v>
      </c>
      <c r="H17" s="1797">
        <f>+'23 eszközök'!G41</f>
        <v>76770663</v>
      </c>
      <c r="I17" s="1792"/>
    </row>
    <row r="18" spans="2:14" s="1823" customFormat="1" ht="20.100000000000001" customHeight="1" x14ac:dyDescent="0.25">
      <c r="B18" s="1819" t="s">
        <v>934</v>
      </c>
      <c r="C18" s="1820" t="s">
        <v>933</v>
      </c>
      <c r="D18" s="2916"/>
      <c r="E18" s="1821">
        <f>+E19+E26+E35</f>
        <v>93654953</v>
      </c>
      <c r="F18" s="1821">
        <f>+F19+F26+F35</f>
        <v>23166371</v>
      </c>
      <c r="G18" s="1822">
        <f>+G19+G26+G35</f>
        <v>70488582</v>
      </c>
      <c r="H18" s="1797">
        <f>+'23 eszközök'!G25</f>
        <v>70488582</v>
      </c>
      <c r="J18" s="1798"/>
      <c r="K18" s="1798"/>
      <c r="N18" s="1798"/>
    </row>
    <row r="19" spans="2:14" s="1829" customFormat="1" ht="20.100000000000001" customHeight="1" x14ac:dyDescent="0.25">
      <c r="B19" s="1824"/>
      <c r="C19" s="1825" t="s">
        <v>1240</v>
      </c>
      <c r="D19" s="1826"/>
      <c r="E19" s="1827">
        <f>SUM(E20:E25)</f>
        <v>49451610</v>
      </c>
      <c r="F19" s="1827">
        <f>SUM(F20:F25)</f>
        <v>13117626</v>
      </c>
      <c r="G19" s="1828">
        <f>SUM(G20:G25)</f>
        <v>36333984</v>
      </c>
      <c r="H19" s="1803"/>
      <c r="J19" s="1798"/>
    </row>
    <row r="20" spans="2:14" s="1809" customFormat="1" ht="20.100000000000001" customHeight="1" x14ac:dyDescent="0.25">
      <c r="B20" s="1810"/>
      <c r="C20" s="1830" t="s">
        <v>1241</v>
      </c>
      <c r="D20" s="1811" t="s">
        <v>1242</v>
      </c>
      <c r="E20" s="1812">
        <v>33781951</v>
      </c>
      <c r="F20" s="1811">
        <v>9961230</v>
      </c>
      <c r="G20" s="1813">
        <f t="shared" ref="G20:G25" si="0">E20-F20</f>
        <v>23820721</v>
      </c>
      <c r="H20" s="1803"/>
      <c r="I20" s="1804"/>
      <c r="J20" s="1798"/>
    </row>
    <row r="21" spans="2:14" s="1809" customFormat="1" ht="20.100000000000001" customHeight="1" x14ac:dyDescent="0.25">
      <c r="B21" s="1805"/>
      <c r="C21" s="1831" t="s">
        <v>1241</v>
      </c>
      <c r="D21" s="1806" t="s">
        <v>1243</v>
      </c>
      <c r="E21" s="1807">
        <v>10779638</v>
      </c>
      <c r="F21" s="1806">
        <v>2599989</v>
      </c>
      <c r="G21" s="1808">
        <f t="shared" si="0"/>
        <v>8179649</v>
      </c>
      <c r="H21" s="1803"/>
      <c r="I21" s="1804"/>
      <c r="J21" s="1798"/>
    </row>
    <row r="22" spans="2:14" s="1809" customFormat="1" ht="20.100000000000001" customHeight="1" x14ac:dyDescent="0.25">
      <c r="B22" s="1805"/>
      <c r="C22" s="1831" t="s">
        <v>1241</v>
      </c>
      <c r="D22" s="1806" t="s">
        <v>1244</v>
      </c>
      <c r="E22" s="1807">
        <v>687649</v>
      </c>
      <c r="F22" s="1806">
        <v>152</v>
      </c>
      <c r="G22" s="1808">
        <f t="shared" si="0"/>
        <v>687497</v>
      </c>
      <c r="H22" s="1803"/>
      <c r="I22" s="1804"/>
      <c r="J22" s="1798"/>
    </row>
    <row r="23" spans="2:14" s="1809" customFormat="1" ht="20.100000000000001" customHeight="1" x14ac:dyDescent="0.25">
      <c r="B23" s="1805"/>
      <c r="C23" s="1831" t="s">
        <v>1241</v>
      </c>
      <c r="D23" s="1806" t="s">
        <v>1245</v>
      </c>
      <c r="E23" s="1807">
        <v>1103227</v>
      </c>
      <c r="F23" s="1806">
        <v>318258</v>
      </c>
      <c r="G23" s="1808">
        <f t="shared" si="0"/>
        <v>784969</v>
      </c>
      <c r="H23" s="1803"/>
      <c r="I23" s="1804"/>
      <c r="J23" s="1798"/>
    </row>
    <row r="24" spans="2:14" s="1809" customFormat="1" ht="20.100000000000001" customHeight="1" x14ac:dyDescent="0.25">
      <c r="B24" s="1805"/>
      <c r="C24" s="1831" t="s">
        <v>1241</v>
      </c>
      <c r="D24" s="1806" t="s">
        <v>1246</v>
      </c>
      <c r="E24" s="1807">
        <f>66139+150111+76094-1</f>
        <v>292343</v>
      </c>
      <c r="F24" s="1806">
        <f>6048+29482+20401</f>
        <v>55931</v>
      </c>
      <c r="G24" s="1808">
        <f t="shared" si="0"/>
        <v>236412</v>
      </c>
      <c r="H24" s="1803"/>
      <c r="I24" s="1804"/>
      <c r="J24" s="1798"/>
    </row>
    <row r="25" spans="2:14" s="1809" customFormat="1" ht="38.25" customHeight="1" x14ac:dyDescent="0.25">
      <c r="B25" s="1810"/>
      <c r="C25" s="1832" t="s">
        <v>1241</v>
      </c>
      <c r="D25" s="1833" t="s">
        <v>1247</v>
      </c>
      <c r="E25" s="1812">
        <v>2806802</v>
      </c>
      <c r="F25" s="1811">
        <v>182066</v>
      </c>
      <c r="G25" s="1813">
        <f t="shared" si="0"/>
        <v>2624736</v>
      </c>
      <c r="H25" s="1803"/>
      <c r="I25" s="1804"/>
      <c r="J25" s="1798"/>
    </row>
    <row r="26" spans="2:14" s="1829" customFormat="1" ht="20.100000000000001" customHeight="1" x14ac:dyDescent="0.25">
      <c r="B26" s="1824"/>
      <c r="C26" s="1825" t="s">
        <v>1248</v>
      </c>
      <c r="D26" s="1826"/>
      <c r="E26" s="1827">
        <f>SUM(E27:E34)</f>
        <v>40996440</v>
      </c>
      <c r="F26" s="1827">
        <f>SUM(F27:F34)</f>
        <v>9527425</v>
      </c>
      <c r="G26" s="1828">
        <f>SUM(G27:G34)</f>
        <v>31469015</v>
      </c>
      <c r="H26" s="1803"/>
      <c r="J26" s="1798"/>
    </row>
    <row r="27" spans="2:14" s="1809" customFormat="1" ht="20.100000000000001" customHeight="1" x14ac:dyDescent="0.25">
      <c r="B27" s="1810"/>
      <c r="C27" s="1830" t="s">
        <v>1241</v>
      </c>
      <c r="D27" s="1811" t="s">
        <v>1249</v>
      </c>
      <c r="E27" s="1812">
        <v>4084123</v>
      </c>
      <c r="F27" s="1811">
        <v>1261891</v>
      </c>
      <c r="G27" s="1813">
        <f t="shared" ref="G27:G34" si="1">E27-F27</f>
        <v>2822232</v>
      </c>
      <c r="H27" s="1803"/>
      <c r="I27" s="1804"/>
      <c r="J27" s="1798"/>
    </row>
    <row r="28" spans="2:14" s="1809" customFormat="1" ht="20.100000000000001" customHeight="1" x14ac:dyDescent="0.25">
      <c r="B28" s="1805"/>
      <c r="C28" s="1831" t="s">
        <v>1241</v>
      </c>
      <c r="D28" s="1806" t="s">
        <v>1250</v>
      </c>
      <c r="E28" s="1807">
        <v>281298</v>
      </c>
      <c r="F28" s="1806">
        <v>41000</v>
      </c>
      <c r="G28" s="1808">
        <f t="shared" si="1"/>
        <v>240298</v>
      </c>
      <c r="H28" s="1803"/>
      <c r="I28" s="1804"/>
      <c r="J28" s="1798"/>
    </row>
    <row r="29" spans="2:14" s="1809" customFormat="1" ht="20.100000000000001" customHeight="1" x14ac:dyDescent="0.25">
      <c r="B29" s="1805"/>
      <c r="C29" s="1831" t="s">
        <v>1241</v>
      </c>
      <c r="D29" s="1806" t="s">
        <v>1251</v>
      </c>
      <c r="E29" s="1807">
        <v>428571</v>
      </c>
      <c r="F29" s="1806">
        <v>138607</v>
      </c>
      <c r="G29" s="1808">
        <f t="shared" si="1"/>
        <v>289964</v>
      </c>
      <c r="H29" s="1803"/>
      <c r="I29" s="1804"/>
      <c r="J29" s="1798"/>
    </row>
    <row r="30" spans="2:14" s="1809" customFormat="1" ht="20.100000000000001" customHeight="1" x14ac:dyDescent="0.25">
      <c r="B30" s="1805"/>
      <c r="C30" s="1831" t="s">
        <v>1241</v>
      </c>
      <c r="D30" s="1806" t="s">
        <v>1245</v>
      </c>
      <c r="E30" s="1807">
        <v>5403121</v>
      </c>
      <c r="F30" s="1806">
        <v>1310634</v>
      </c>
      <c r="G30" s="1808">
        <f t="shared" si="1"/>
        <v>4092487</v>
      </c>
      <c r="H30" s="1803"/>
      <c r="I30" s="1804"/>
      <c r="J30" s="1798"/>
    </row>
    <row r="31" spans="2:14" s="1809" customFormat="1" ht="20.100000000000001" customHeight="1" x14ac:dyDescent="0.25">
      <c r="B31" s="1805"/>
      <c r="C31" s="1831" t="s">
        <v>1241</v>
      </c>
      <c r="D31" s="1806" t="s">
        <v>1252</v>
      </c>
      <c r="E31" s="1807">
        <f>1664568+205543</f>
        <v>1870111</v>
      </c>
      <c r="F31" s="1806">
        <f>10781+1576</f>
        <v>12357</v>
      </c>
      <c r="G31" s="1808">
        <f t="shared" si="1"/>
        <v>1857754</v>
      </c>
      <c r="H31" s="1803"/>
      <c r="I31" s="1804"/>
      <c r="J31" s="1798"/>
    </row>
    <row r="32" spans="2:14" s="1809" customFormat="1" ht="20.100000000000001" customHeight="1" x14ac:dyDescent="0.25">
      <c r="B32" s="1805"/>
      <c r="C32" s="1831" t="s">
        <v>1241</v>
      </c>
      <c r="D32" s="2453" t="s">
        <v>1743</v>
      </c>
      <c r="E32" s="1807">
        <v>201300</v>
      </c>
      <c r="F32" s="1806">
        <v>7021</v>
      </c>
      <c r="G32" s="1808">
        <f t="shared" si="1"/>
        <v>194279</v>
      </c>
      <c r="H32" s="1803"/>
      <c r="I32" s="1804"/>
      <c r="J32" s="1798"/>
    </row>
    <row r="33" spans="2:10" s="1809" customFormat="1" ht="20.100000000000001" customHeight="1" x14ac:dyDescent="0.25">
      <c r="B33" s="1805"/>
      <c r="C33" s="1831" t="s">
        <v>1241</v>
      </c>
      <c r="D33" s="1806" t="s">
        <v>1246</v>
      </c>
      <c r="E33" s="1807">
        <f>410901+367+42959+3520011+6860963+9069515+1750981+600669+1617768</f>
        <v>23874134</v>
      </c>
      <c r="F33" s="1806">
        <f>98834+364+3892+1312717+1458020+3146139+56425+21417+279090</f>
        <v>6376898</v>
      </c>
      <c r="G33" s="1808">
        <f t="shared" si="1"/>
        <v>17497236</v>
      </c>
      <c r="H33" s="1803"/>
      <c r="I33" s="1804"/>
      <c r="J33" s="1798"/>
    </row>
    <row r="34" spans="2:10" s="1809" customFormat="1" ht="39" customHeight="1" x14ac:dyDescent="0.25">
      <c r="B34" s="1810"/>
      <c r="C34" s="1832" t="s">
        <v>1241</v>
      </c>
      <c r="D34" s="1833" t="s">
        <v>1253</v>
      </c>
      <c r="E34" s="1812">
        <f>4853783-1</f>
        <v>4853782</v>
      </c>
      <c r="F34" s="1811">
        <f>379018-1</f>
        <v>379017</v>
      </c>
      <c r="G34" s="1808">
        <f t="shared" si="1"/>
        <v>4474765</v>
      </c>
      <c r="H34" s="1803"/>
      <c r="I34" s="1804"/>
      <c r="J34" s="1798"/>
    </row>
    <row r="35" spans="2:10" s="1829" customFormat="1" ht="20.100000000000001" customHeight="1" x14ac:dyDescent="0.25">
      <c r="B35" s="1824"/>
      <c r="C35" s="1825" t="s">
        <v>1238</v>
      </c>
      <c r="D35" s="1826"/>
      <c r="E35" s="1827">
        <f>SUM(E36:E38)</f>
        <v>3206903</v>
      </c>
      <c r="F35" s="1827">
        <f>SUM(F36:F38)</f>
        <v>521320</v>
      </c>
      <c r="G35" s="1828">
        <f>SUM(G36:G38)</f>
        <v>2685583</v>
      </c>
      <c r="H35" s="1803"/>
      <c r="J35" s="1798"/>
    </row>
    <row r="36" spans="2:10" s="1809" customFormat="1" ht="20.100000000000001" customHeight="1" x14ac:dyDescent="0.25">
      <c r="B36" s="1810"/>
      <c r="C36" s="1830" t="s">
        <v>1241</v>
      </c>
      <c r="D36" s="1811" t="s">
        <v>1254</v>
      </c>
      <c r="E36" s="1812">
        <v>41706</v>
      </c>
      <c r="F36" s="1811">
        <v>0</v>
      </c>
      <c r="G36" s="1813">
        <f>E36-F36</f>
        <v>41706</v>
      </c>
      <c r="H36" s="1803"/>
      <c r="I36" s="1804"/>
      <c r="J36" s="1798"/>
    </row>
    <row r="37" spans="2:10" s="1809" customFormat="1" ht="20.100000000000001" customHeight="1" x14ac:dyDescent="0.25">
      <c r="B37" s="1805"/>
      <c r="C37" s="1831" t="s">
        <v>1241</v>
      </c>
      <c r="D37" s="1806" t="s">
        <v>1246</v>
      </c>
      <c r="E37" s="1807">
        <f>3096240+65891</f>
        <v>3162131</v>
      </c>
      <c r="F37" s="1806">
        <f>511444+9876</f>
        <v>521320</v>
      </c>
      <c r="G37" s="1808">
        <f>E37-F37</f>
        <v>2640811</v>
      </c>
      <c r="H37" s="1803"/>
      <c r="I37" s="1804"/>
      <c r="J37" s="1798"/>
    </row>
    <row r="38" spans="2:10" s="1809" customFormat="1" ht="40.5" customHeight="1" x14ac:dyDescent="0.25">
      <c r="B38" s="1810"/>
      <c r="C38" s="1832" t="s">
        <v>1241</v>
      </c>
      <c r="D38" s="1833" t="s">
        <v>1255</v>
      </c>
      <c r="E38" s="1812">
        <v>3066</v>
      </c>
      <c r="F38" s="1811">
        <v>0</v>
      </c>
      <c r="G38" s="1813">
        <f>E38-F38</f>
        <v>3066</v>
      </c>
      <c r="H38" s="1803"/>
      <c r="I38" s="1804"/>
      <c r="J38" s="1798"/>
    </row>
    <row r="39" spans="2:10" s="1839" customFormat="1" ht="20.100000000000001" customHeight="1" x14ac:dyDescent="0.25">
      <c r="B39" s="1834" t="s">
        <v>1256</v>
      </c>
      <c r="C39" s="1835" t="s">
        <v>1257</v>
      </c>
      <c r="D39" s="1835"/>
      <c r="E39" s="1836">
        <f>SUM(E40:E42)</f>
        <v>6074892</v>
      </c>
      <c r="F39" s="1836">
        <f>SUM(F40:F42)</f>
        <v>4085679</v>
      </c>
      <c r="G39" s="1837">
        <f>SUM(G40:G42)</f>
        <v>1989213</v>
      </c>
      <c r="H39" s="1838">
        <f>+'23 eszközök'!G29</f>
        <v>1989213</v>
      </c>
      <c r="I39" s="1823"/>
      <c r="J39" s="1798"/>
    </row>
    <row r="40" spans="2:10" ht="20.100000000000001" customHeight="1" x14ac:dyDescent="0.25">
      <c r="B40" s="1782"/>
      <c r="C40" s="1783" t="s">
        <v>1258</v>
      </c>
      <c r="D40" s="1783"/>
      <c r="E40" s="1840">
        <v>1025676</v>
      </c>
      <c r="F40" s="1783">
        <v>0</v>
      </c>
      <c r="G40" s="1841">
        <f>E40-F40</f>
        <v>1025676</v>
      </c>
      <c r="H40" s="1842"/>
      <c r="J40" s="1798"/>
    </row>
    <row r="41" spans="2:10" ht="20.100000000000001" customHeight="1" x14ac:dyDescent="0.25">
      <c r="B41" s="1843"/>
      <c r="C41" s="1844" t="s">
        <v>1259</v>
      </c>
      <c r="D41" s="1844"/>
      <c r="E41" s="1845">
        <f>5049219-3</f>
        <v>5049216</v>
      </c>
      <c r="F41" s="1844">
        <v>4085679</v>
      </c>
      <c r="G41" s="1846">
        <f>E41-F41</f>
        <v>963537</v>
      </c>
      <c r="H41" s="1842"/>
      <c r="J41" s="1798"/>
    </row>
    <row r="42" spans="2:10" ht="20.100000000000001" customHeight="1" x14ac:dyDescent="0.25">
      <c r="B42" s="1847"/>
      <c r="C42" s="1848" t="s">
        <v>1260</v>
      </c>
      <c r="D42" s="1848"/>
      <c r="E42" s="1849">
        <v>0</v>
      </c>
      <c r="F42" s="1848">
        <v>0</v>
      </c>
      <c r="G42" s="1850">
        <f>E42-F42</f>
        <v>0</v>
      </c>
      <c r="H42" s="1842"/>
      <c r="J42" s="1798"/>
    </row>
    <row r="43" spans="2:10" s="1839" customFormat="1" ht="20.100000000000001" customHeight="1" x14ac:dyDescent="0.25">
      <c r="B43" s="1851" t="s">
        <v>939</v>
      </c>
      <c r="C43" s="1852" t="s">
        <v>1261</v>
      </c>
      <c r="D43" s="1852"/>
      <c r="E43" s="1853">
        <v>508</v>
      </c>
      <c r="F43" s="1853">
        <v>508</v>
      </c>
      <c r="G43" s="1854">
        <f>E43-F43</f>
        <v>0</v>
      </c>
      <c r="H43" s="1838"/>
      <c r="J43" s="1798"/>
    </row>
    <row r="44" spans="2:10" s="1839" customFormat="1" ht="20.100000000000001" customHeight="1" x14ac:dyDescent="0.25">
      <c r="B44" s="1855" t="s">
        <v>1262</v>
      </c>
      <c r="C44" s="1856" t="s">
        <v>940</v>
      </c>
      <c r="D44" s="1856"/>
      <c r="E44" s="1857">
        <f>SUM(E45:E46)</f>
        <v>4292868</v>
      </c>
      <c r="F44" s="1857">
        <f>SUM(F45:F46)</f>
        <v>0</v>
      </c>
      <c r="G44" s="1858">
        <f>SUM(G45:G46)</f>
        <v>4292868</v>
      </c>
      <c r="H44" s="1838">
        <f>+'23 eszközök'!G37</f>
        <v>4292868</v>
      </c>
      <c r="J44" s="1798"/>
    </row>
    <row r="45" spans="2:10" ht="20.100000000000001" customHeight="1" x14ac:dyDescent="0.25">
      <c r="B45" s="1843"/>
      <c r="C45" s="1859" t="s">
        <v>1263</v>
      </c>
      <c r="D45" s="1859"/>
      <c r="E45" s="1860">
        <v>3260144</v>
      </c>
      <c r="F45" s="1859">
        <v>0</v>
      </c>
      <c r="G45" s="1846">
        <f>E45-F45</f>
        <v>3260144</v>
      </c>
      <c r="H45" s="1842"/>
      <c r="J45" s="1798"/>
    </row>
    <row r="46" spans="2:10" ht="20.100000000000001" customHeight="1" x14ac:dyDescent="0.25">
      <c r="B46" s="1843"/>
      <c r="C46" s="1859" t="s">
        <v>1264</v>
      </c>
      <c r="D46" s="1859"/>
      <c r="E46" s="1860">
        <v>1032724</v>
      </c>
      <c r="F46" s="1859">
        <v>0</v>
      </c>
      <c r="G46" s="1846">
        <f>E46-F46</f>
        <v>1032724</v>
      </c>
      <c r="H46" s="1842"/>
      <c r="J46" s="1798"/>
    </row>
    <row r="47" spans="2:10" s="1839" customFormat="1" ht="20.100000000000001" customHeight="1" thickBot="1" x14ac:dyDescent="0.3">
      <c r="B47" s="1855" t="s">
        <v>1265</v>
      </c>
      <c r="C47" s="1856" t="s">
        <v>1266</v>
      </c>
      <c r="D47" s="1861"/>
      <c r="E47" s="1862">
        <v>0</v>
      </c>
      <c r="F47" s="1861">
        <v>0</v>
      </c>
      <c r="G47" s="1858">
        <f>E47-F47</f>
        <v>0</v>
      </c>
      <c r="H47" s="1838"/>
      <c r="J47" s="1798"/>
    </row>
    <row r="48" spans="2:10" s="1868" customFormat="1" ht="20.100000000000001" customHeight="1" thickBot="1" x14ac:dyDescent="0.3">
      <c r="B48" s="1863" t="s">
        <v>950</v>
      </c>
      <c r="C48" s="1864" t="s">
        <v>1267</v>
      </c>
      <c r="D48" s="1865"/>
      <c r="E48" s="1866"/>
      <c r="F48" s="1865"/>
      <c r="G48" s="1867">
        <f>SUM(G49:G51)</f>
        <v>6465367</v>
      </c>
      <c r="H48" s="1838"/>
      <c r="J48" s="1798"/>
    </row>
    <row r="49" spans="2:10" s="1873" customFormat="1" ht="20.100000000000001" customHeight="1" x14ac:dyDescent="0.2">
      <c r="B49" s="1869" t="s">
        <v>1268</v>
      </c>
      <c r="C49" s="1870" t="s">
        <v>1269</v>
      </c>
      <c r="D49" s="1871"/>
      <c r="E49" s="1872"/>
      <c r="F49" s="1871"/>
      <c r="G49" s="1898">
        <v>6465367</v>
      </c>
      <c r="H49" s="1775"/>
    </row>
    <row r="50" spans="2:10" s="1873" customFormat="1" ht="20.100000000000001" customHeight="1" x14ac:dyDescent="0.2">
      <c r="B50" s="1874" t="s">
        <v>948</v>
      </c>
      <c r="C50" s="1875" t="s">
        <v>1270</v>
      </c>
      <c r="D50" s="1876"/>
      <c r="E50" s="1877"/>
      <c r="F50" s="1876"/>
      <c r="G50" s="1898">
        <v>0</v>
      </c>
      <c r="H50" s="1775"/>
    </row>
    <row r="51" spans="2:10" s="1873" customFormat="1" ht="20.100000000000001" customHeight="1" thickBot="1" x14ac:dyDescent="0.25">
      <c r="B51" s="1869" t="s">
        <v>1271</v>
      </c>
      <c r="C51" s="1870" t="s">
        <v>1272</v>
      </c>
      <c r="D51" s="1871"/>
      <c r="E51" s="1872"/>
      <c r="F51" s="1871"/>
      <c r="G51" s="1912">
        <v>0</v>
      </c>
      <c r="H51" s="1775"/>
    </row>
    <row r="52" spans="2:10" s="1868" customFormat="1" ht="20.100000000000001" customHeight="1" thickBot="1" x14ac:dyDescent="0.3">
      <c r="B52" s="1863" t="s">
        <v>1273</v>
      </c>
      <c r="C52" s="1864" t="s">
        <v>1274</v>
      </c>
      <c r="D52" s="1865"/>
      <c r="E52" s="1866">
        <f>SUM(E53)</f>
        <v>870153</v>
      </c>
      <c r="F52" s="1866">
        <f t="shared" ref="F52:G52" si="2">SUM(F53)</f>
        <v>54515</v>
      </c>
      <c r="G52" s="2450">
        <f t="shared" si="2"/>
        <v>815638</v>
      </c>
      <c r="H52" s="1838">
        <f>+'23 eszközök'!G56</f>
        <v>815638</v>
      </c>
      <c r="J52" s="1798"/>
    </row>
    <row r="53" spans="2:10" ht="20.100000000000001" customHeight="1" thickBot="1" x14ac:dyDescent="0.3">
      <c r="B53" s="1782" t="s">
        <v>1275</v>
      </c>
      <c r="C53" s="1878" t="s">
        <v>1276</v>
      </c>
      <c r="D53" s="1879"/>
      <c r="E53" s="1880">
        <f>870154-1</f>
        <v>870153</v>
      </c>
      <c r="F53" s="1879">
        <v>54515</v>
      </c>
      <c r="G53" s="1813">
        <f>+E53-F53</f>
        <v>815638</v>
      </c>
      <c r="H53" s="1842"/>
    </row>
    <row r="54" spans="2:10" s="1868" customFormat="1" ht="20.100000000000001" customHeight="1" thickBot="1" x14ac:dyDescent="0.3">
      <c r="B54" s="1863" t="s">
        <v>1277</v>
      </c>
      <c r="C54" s="1864" t="s">
        <v>1278</v>
      </c>
      <c r="D54" s="1865"/>
      <c r="E54" s="1866" t="s">
        <v>76</v>
      </c>
      <c r="F54" s="1865"/>
      <c r="G54" s="1796">
        <f>SUM(G55:G56)</f>
        <v>24167</v>
      </c>
      <c r="H54" s="1838">
        <f>+'23 eszközök'!G73</f>
        <v>24167</v>
      </c>
      <c r="J54" s="1798"/>
    </row>
    <row r="55" spans="2:10" s="1873" customFormat="1" ht="20.100000000000001" customHeight="1" x14ac:dyDescent="0.2">
      <c r="B55" s="1869" t="s">
        <v>957</v>
      </c>
      <c r="C55" s="1870" t="s">
        <v>1279</v>
      </c>
      <c r="D55" s="1871"/>
      <c r="E55" s="1872" t="s">
        <v>76</v>
      </c>
      <c r="F55" s="1871"/>
      <c r="G55" s="1912">
        <v>24167</v>
      </c>
      <c r="H55" s="1775"/>
    </row>
    <row r="56" spans="2:10" s="1873" customFormat="1" ht="20.100000000000001" customHeight="1" x14ac:dyDescent="0.2">
      <c r="B56" s="1874" t="s">
        <v>959</v>
      </c>
      <c r="C56" s="1875" t="s">
        <v>958</v>
      </c>
      <c r="D56" s="1876"/>
      <c r="E56" s="1877" t="s">
        <v>76</v>
      </c>
      <c r="F56" s="1876"/>
      <c r="G56" s="1898">
        <v>0</v>
      </c>
      <c r="H56" s="1775"/>
    </row>
    <row r="57" spans="2:10" ht="20.100000000000001" customHeight="1" thickBot="1" x14ac:dyDescent="0.25">
      <c r="B57" s="1782"/>
      <c r="C57" s="1783"/>
      <c r="D57" s="1879"/>
      <c r="E57" s="1880"/>
      <c r="F57" s="1879"/>
      <c r="G57" s="1813"/>
    </row>
    <row r="58" spans="2:10" s="1868" customFormat="1" ht="20.100000000000001" customHeight="1" thickBot="1" x14ac:dyDescent="0.3">
      <c r="B58" s="1863" t="s">
        <v>973</v>
      </c>
      <c r="C58" s="1864" t="s">
        <v>1280</v>
      </c>
      <c r="D58" s="1865"/>
      <c r="E58" s="1866"/>
      <c r="F58" s="1865"/>
      <c r="G58" s="1796">
        <f>SUM(G59:G62)</f>
        <v>13333596</v>
      </c>
      <c r="H58" s="1838">
        <f>+'23 eszközök'!G99</f>
        <v>13333596</v>
      </c>
      <c r="J58" s="1798"/>
    </row>
    <row r="59" spans="2:10" s="1873" customFormat="1" ht="20.100000000000001" customHeight="1" x14ac:dyDescent="0.2">
      <c r="B59" s="1869" t="s">
        <v>965</v>
      </c>
      <c r="C59" s="1870" t="s">
        <v>964</v>
      </c>
      <c r="D59" s="1871"/>
      <c r="E59" s="1872"/>
      <c r="F59" s="1871"/>
      <c r="G59" s="2451">
        <v>0</v>
      </c>
      <c r="H59" s="1775"/>
    </row>
    <row r="60" spans="2:10" s="1873" customFormat="1" ht="20.100000000000001" customHeight="1" x14ac:dyDescent="0.2">
      <c r="B60" s="1874" t="s">
        <v>967</v>
      </c>
      <c r="C60" s="1875" t="s">
        <v>966</v>
      </c>
      <c r="D60" s="1876"/>
      <c r="E60" s="1877"/>
      <c r="F60" s="1876"/>
      <c r="G60" s="2452">
        <v>1616</v>
      </c>
      <c r="H60" s="1775"/>
    </row>
    <row r="61" spans="2:10" s="1873" customFormat="1" ht="20.100000000000001" customHeight="1" x14ac:dyDescent="0.2">
      <c r="B61" s="1869" t="s">
        <v>969</v>
      </c>
      <c r="C61" s="1870" t="s">
        <v>968</v>
      </c>
      <c r="D61" s="1871"/>
      <c r="E61" s="1872"/>
      <c r="F61" s="1871"/>
      <c r="G61" s="2451">
        <v>13331382</v>
      </c>
      <c r="H61" s="1775"/>
    </row>
    <row r="62" spans="2:10" s="1873" customFormat="1" ht="20.100000000000001" customHeight="1" x14ac:dyDescent="0.2">
      <c r="B62" s="1874" t="s">
        <v>1281</v>
      </c>
      <c r="C62" s="1875" t="s">
        <v>970</v>
      </c>
      <c r="D62" s="1876"/>
      <c r="E62" s="1877"/>
      <c r="F62" s="1876"/>
      <c r="G62" s="2452">
        <v>598</v>
      </c>
      <c r="H62" s="1775"/>
    </row>
    <row r="63" spans="2:10" ht="20.100000000000001" customHeight="1" thickBot="1" x14ac:dyDescent="0.25">
      <c r="B63" s="1782"/>
      <c r="C63" s="1783"/>
      <c r="D63" s="1879"/>
      <c r="E63" s="1880"/>
      <c r="F63" s="1879"/>
      <c r="G63" s="1841"/>
    </row>
    <row r="64" spans="2:10" ht="20.100000000000001" customHeight="1" x14ac:dyDescent="0.2">
      <c r="B64" s="1881"/>
      <c r="C64" s="1882"/>
      <c r="D64" s="1883"/>
      <c r="E64" s="1884"/>
      <c r="F64" s="1883"/>
      <c r="G64" s="1885"/>
    </row>
    <row r="65" spans="2:8" s="1890" customFormat="1" ht="20.100000000000001" customHeight="1" x14ac:dyDescent="0.25">
      <c r="B65" s="1886" t="s">
        <v>1282</v>
      </c>
      <c r="C65" s="1887"/>
      <c r="D65" s="1887"/>
      <c r="E65" s="1888"/>
      <c r="F65" s="1887"/>
      <c r="G65" s="1889"/>
      <c r="H65" s="1842"/>
    </row>
    <row r="66" spans="2:8" s="1829" customFormat="1" ht="20.100000000000001" customHeight="1" x14ac:dyDescent="0.25">
      <c r="B66" s="1891"/>
      <c r="C66" s="1892" t="s">
        <v>1283</v>
      </c>
      <c r="D66" s="1892"/>
      <c r="E66" s="1893">
        <f>SUM(E67:E70)</f>
        <v>3899592</v>
      </c>
      <c r="F66" s="1893">
        <f>SUM(F67:F70)</f>
        <v>3899592</v>
      </c>
      <c r="G66" s="1894">
        <f>SUM(G67:G70)</f>
        <v>0</v>
      </c>
      <c r="H66" s="1803"/>
    </row>
    <row r="67" spans="2:8" s="1900" customFormat="1" ht="20.100000000000001" customHeight="1" x14ac:dyDescent="0.2">
      <c r="B67" s="1895"/>
      <c r="C67" s="1896" t="s">
        <v>1235</v>
      </c>
      <c r="D67" s="1896"/>
      <c r="E67" s="1897">
        <v>549261</v>
      </c>
      <c r="F67" s="1897">
        <v>549261</v>
      </c>
      <c r="G67" s="1898">
        <f>+E67-F67</f>
        <v>0</v>
      </c>
      <c r="H67" s="1899"/>
    </row>
    <row r="68" spans="2:8" s="1900" customFormat="1" ht="20.100000000000001" customHeight="1" x14ac:dyDescent="0.2">
      <c r="B68" s="1901"/>
      <c r="C68" s="1902" t="s">
        <v>1284</v>
      </c>
      <c r="D68" s="1902"/>
      <c r="E68" s="1903">
        <v>168083</v>
      </c>
      <c r="F68" s="1903">
        <v>168083</v>
      </c>
      <c r="G68" s="1898">
        <f>+E68-F68</f>
        <v>0</v>
      </c>
      <c r="H68" s="1899"/>
    </row>
    <row r="69" spans="2:8" s="1900" customFormat="1" ht="20.100000000000001" customHeight="1" x14ac:dyDescent="0.2">
      <c r="B69" s="1895"/>
      <c r="C69" s="1896" t="s">
        <v>1285</v>
      </c>
      <c r="D69" s="1896"/>
      <c r="E69" s="1897">
        <v>3182248</v>
      </c>
      <c r="F69" s="1897">
        <v>3182248</v>
      </c>
      <c r="G69" s="1898">
        <f>+E69-F69</f>
        <v>0</v>
      </c>
      <c r="H69" s="1899"/>
    </row>
    <row r="70" spans="2:8" s="1900" customFormat="1" ht="19.5" customHeight="1" x14ac:dyDescent="0.2">
      <c r="B70" s="1895"/>
      <c r="C70" s="1896" t="s">
        <v>938</v>
      </c>
      <c r="D70" s="1896"/>
      <c r="E70" s="1897">
        <v>0</v>
      </c>
      <c r="F70" s="1897">
        <v>0</v>
      </c>
      <c r="G70" s="1898">
        <f>+E70-F70</f>
        <v>0</v>
      </c>
      <c r="H70" s="1899"/>
    </row>
    <row r="71" spans="2:8" s="1804" customFormat="1" ht="19.5" customHeight="1" x14ac:dyDescent="0.25">
      <c r="B71" s="1799"/>
      <c r="C71" s="1811"/>
      <c r="D71" s="1800"/>
      <c r="E71" s="1812"/>
      <c r="F71" s="1800"/>
      <c r="G71" s="1802"/>
      <c r="H71" s="1803"/>
    </row>
    <row r="72" spans="2:8" s="1829" customFormat="1" ht="20.100000000000001" customHeight="1" x14ac:dyDescent="0.25">
      <c r="B72" s="1891"/>
      <c r="C72" s="1892" t="s">
        <v>1286</v>
      </c>
      <c r="D72" s="1892"/>
      <c r="E72" s="1893">
        <f>SUM(E73:E75)</f>
        <v>405326</v>
      </c>
      <c r="F72" s="1893">
        <f>SUM(F73:F75)</f>
        <v>405326</v>
      </c>
      <c r="G72" s="1894">
        <f>SUM(G73:G75)</f>
        <v>0</v>
      </c>
      <c r="H72" s="1803"/>
    </row>
    <row r="73" spans="2:8" s="1804" customFormat="1" ht="19.5" customHeight="1" x14ac:dyDescent="0.25">
      <c r="B73" s="1814"/>
      <c r="C73" s="1806" t="s">
        <v>1287</v>
      </c>
      <c r="D73" s="1815"/>
      <c r="E73" s="1807">
        <v>26665</v>
      </c>
      <c r="F73" s="1896">
        <v>26665</v>
      </c>
      <c r="G73" s="1898">
        <f>+E73-F73</f>
        <v>0</v>
      </c>
      <c r="H73" s="1803"/>
    </row>
    <row r="74" spans="2:8" s="1804" customFormat="1" ht="20.100000000000001" customHeight="1" x14ac:dyDescent="0.25">
      <c r="B74" s="1799"/>
      <c r="C74" s="1811" t="s">
        <v>1288</v>
      </c>
      <c r="D74" s="1800"/>
      <c r="E74" s="1812">
        <v>0</v>
      </c>
      <c r="F74" s="1902">
        <v>0</v>
      </c>
      <c r="G74" s="1898">
        <f>+E74-F74</f>
        <v>0</v>
      </c>
      <c r="H74" s="1803"/>
    </row>
    <row r="75" spans="2:8" s="1804" customFormat="1" ht="20.100000000000001" customHeight="1" x14ac:dyDescent="0.25">
      <c r="B75" s="1814"/>
      <c r="C75" s="1806" t="s">
        <v>1289</v>
      </c>
      <c r="D75" s="1815"/>
      <c r="E75" s="1807">
        <v>378661</v>
      </c>
      <c r="F75" s="1896">
        <v>378661</v>
      </c>
      <c r="G75" s="1898">
        <f>+E75-F75</f>
        <v>0</v>
      </c>
      <c r="H75" s="1803"/>
    </row>
    <row r="76" spans="2:8" s="1804" customFormat="1" ht="20.100000000000001" customHeight="1" x14ac:dyDescent="0.25">
      <c r="B76" s="1799"/>
      <c r="C76" s="1811"/>
      <c r="D76" s="1800"/>
      <c r="E76" s="1812"/>
      <c r="F76" s="1902"/>
      <c r="G76" s="1912"/>
      <c r="H76" s="1803"/>
    </row>
    <row r="77" spans="2:8" s="1804" customFormat="1" ht="20.100000000000001" customHeight="1" x14ac:dyDescent="0.25">
      <c r="B77" s="1891"/>
      <c r="C77" s="1892" t="s">
        <v>1416</v>
      </c>
      <c r="D77" s="1892"/>
      <c r="E77" s="1893"/>
      <c r="F77" s="1893"/>
      <c r="G77" s="2050"/>
      <c r="H77" s="1803"/>
    </row>
    <row r="78" spans="2:8" s="1804" customFormat="1" ht="20.100000000000001" customHeight="1" x14ac:dyDescent="0.25">
      <c r="B78" s="1824"/>
      <c r="C78" s="1826" t="s">
        <v>1415</v>
      </c>
      <c r="D78" s="1826"/>
      <c r="E78" s="2049"/>
      <c r="F78" s="2049"/>
      <c r="G78" s="1894"/>
      <c r="H78" s="1803"/>
    </row>
    <row r="79" spans="2:8" s="1900" customFormat="1" ht="36.75" customHeight="1" x14ac:dyDescent="0.2">
      <c r="B79" s="1901"/>
      <c r="C79" s="2872" t="s">
        <v>1744</v>
      </c>
      <c r="D79" s="2873"/>
      <c r="E79" s="1903">
        <v>756894127</v>
      </c>
      <c r="F79" s="1903"/>
      <c r="G79" s="1898"/>
      <c r="H79" s="1899"/>
    </row>
    <row r="80" spans="2:8" s="1900" customFormat="1" ht="20.100000000000001" customHeight="1" x14ac:dyDescent="0.2">
      <c r="B80" s="1895"/>
      <c r="C80" s="1896" t="s">
        <v>1417</v>
      </c>
      <c r="D80" s="1896"/>
      <c r="E80" s="1897"/>
      <c r="F80" s="1897"/>
      <c r="G80" s="1898"/>
      <c r="H80" s="1899"/>
    </row>
    <row r="81" spans="2:8" s="1900" customFormat="1" ht="20.100000000000001" customHeight="1" x14ac:dyDescent="0.2">
      <c r="B81" s="1901"/>
      <c r="C81" s="1902" t="s">
        <v>1419</v>
      </c>
      <c r="D81" s="1902"/>
      <c r="E81" s="1903">
        <v>69221545</v>
      </c>
      <c r="F81" s="1903"/>
      <c r="G81" s="1898"/>
      <c r="H81" s="1899"/>
    </row>
    <row r="82" spans="2:8" s="1900" customFormat="1" ht="20.100000000000001" customHeight="1" x14ac:dyDescent="0.2">
      <c r="B82" s="1895"/>
      <c r="C82" s="1896" t="s">
        <v>1418</v>
      </c>
      <c r="D82" s="1896"/>
      <c r="E82" s="1897">
        <v>18481126200</v>
      </c>
      <c r="F82" s="1897"/>
      <c r="G82" s="1898"/>
      <c r="H82" s="1899"/>
    </row>
    <row r="83" spans="2:8" s="1809" customFormat="1" ht="20.100000000000001" customHeight="1" x14ac:dyDescent="0.2">
      <c r="B83" s="1810"/>
      <c r="C83" s="1811"/>
      <c r="D83" s="1811"/>
      <c r="E83" s="1812"/>
      <c r="F83" s="1811"/>
      <c r="G83" s="1813"/>
      <c r="H83" s="1899"/>
    </row>
    <row r="84" spans="2:8" s="1823" customFormat="1" ht="20.100000000000001" customHeight="1" x14ac:dyDescent="0.25">
      <c r="B84" s="1904"/>
      <c r="C84" s="1826" t="s">
        <v>1290</v>
      </c>
      <c r="D84" s="1905"/>
      <c r="E84" s="1906">
        <f>SUM(E85:E89)</f>
        <v>10385659</v>
      </c>
      <c r="F84" s="1906">
        <f>SUM(F85:F89)</f>
        <v>4485292</v>
      </c>
      <c r="G84" s="2042">
        <f>SUM(G85:G89)</f>
        <v>5900367</v>
      </c>
      <c r="H84" s="1797"/>
    </row>
    <row r="85" spans="2:8" s="1911" customFormat="1" ht="33" customHeight="1" x14ac:dyDescent="0.2">
      <c r="B85" s="1907"/>
      <c r="C85" s="2868" t="s">
        <v>1291</v>
      </c>
      <c r="D85" s="2869"/>
      <c r="E85" s="1908">
        <v>108127</v>
      </c>
      <c r="F85" s="1909">
        <v>37487</v>
      </c>
      <c r="G85" s="1910">
        <f t="shared" ref="G85:G89" si="3">+E85-F85</f>
        <v>70640</v>
      </c>
      <c r="H85" s="1899"/>
    </row>
    <row r="86" spans="2:8" s="1900" customFormat="1" ht="33" customHeight="1" x14ac:dyDescent="0.2">
      <c r="B86" s="1901"/>
      <c r="C86" s="2870" t="s">
        <v>1292</v>
      </c>
      <c r="D86" s="2871"/>
      <c r="E86" s="1903">
        <v>4720772</v>
      </c>
      <c r="F86" s="1902">
        <v>1768047</v>
      </c>
      <c r="G86" s="1912">
        <f t="shared" si="3"/>
        <v>2952725</v>
      </c>
      <c r="H86" s="1899"/>
    </row>
    <row r="87" spans="2:8" s="1900" customFormat="1" ht="33" customHeight="1" x14ac:dyDescent="0.2">
      <c r="B87" s="1895"/>
      <c r="C87" s="2862" t="s">
        <v>1739</v>
      </c>
      <c r="D87" s="2863"/>
      <c r="E87" s="1897">
        <v>4391938</v>
      </c>
      <c r="F87" s="1896">
        <f>2059478+1</f>
        <v>2059479</v>
      </c>
      <c r="G87" s="1898">
        <f t="shared" si="3"/>
        <v>2332459</v>
      </c>
      <c r="H87" s="1899"/>
    </row>
    <row r="88" spans="2:8" s="1900" customFormat="1" ht="33" customHeight="1" x14ac:dyDescent="0.2">
      <c r="B88" s="1895"/>
      <c r="C88" s="2862" t="s">
        <v>1293</v>
      </c>
      <c r="D88" s="2863"/>
      <c r="E88" s="1897">
        <v>669285</v>
      </c>
      <c r="F88" s="1896">
        <v>364889</v>
      </c>
      <c r="G88" s="1898">
        <f t="shared" si="3"/>
        <v>304396</v>
      </c>
      <c r="H88" s="1899"/>
    </row>
    <row r="89" spans="2:8" s="1900" customFormat="1" ht="33" customHeight="1" x14ac:dyDescent="0.2">
      <c r="B89" s="1895"/>
      <c r="C89" s="2862" t="s">
        <v>1294</v>
      </c>
      <c r="D89" s="2863"/>
      <c r="E89" s="1897">
        <v>495537</v>
      </c>
      <c r="F89" s="1896">
        <v>255390</v>
      </c>
      <c r="G89" s="1898">
        <f t="shared" si="3"/>
        <v>240147</v>
      </c>
      <c r="H89" s="1899"/>
    </row>
    <row r="90" spans="2:8" s="1829" customFormat="1" ht="20.100000000000001" customHeight="1" thickBot="1" x14ac:dyDescent="0.3">
      <c r="B90" s="2043"/>
      <c r="C90" s="2044"/>
      <c r="D90" s="2044"/>
      <c r="E90" s="2045"/>
      <c r="F90" s="2044"/>
      <c r="G90" s="1913"/>
      <c r="H90" s="1803"/>
    </row>
  </sheetData>
  <mergeCells count="8">
    <mergeCell ref="C88:D88"/>
    <mergeCell ref="C89:D89"/>
    <mergeCell ref="B5:G5"/>
    <mergeCell ref="E7:G7"/>
    <mergeCell ref="C85:D85"/>
    <mergeCell ref="C86:D86"/>
    <mergeCell ref="C87:D87"/>
    <mergeCell ref="C79:D79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>
    <oddHeader>&amp;R&amp;"Arial CE,Normál"&amp;12 &amp;"Arial CE,Félkövér"&amp;13 28. melléklet a …../2020. (…….) önkormányzati rendelethez</oddHeader>
  </headerFooter>
  <rowBreaks count="1" manualBreakCount="1">
    <brk id="42" min="1" max="6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H248"/>
  <sheetViews>
    <sheetView zoomScale="55" zoomScaleNormal="55" zoomScaleSheetLayoutView="55" workbookViewId="0">
      <selection activeCell="J20" sqref="J20"/>
    </sheetView>
  </sheetViews>
  <sheetFormatPr defaultColWidth="12" defaultRowHeight="33.75" customHeight="1" x14ac:dyDescent="0.3"/>
  <cols>
    <col min="1" max="1" width="12" style="1916"/>
    <col min="2" max="2" width="131.6640625" style="1914" customWidth="1"/>
    <col min="3" max="3" width="175.5" style="1920" customWidth="1"/>
    <col min="4" max="4" width="45.6640625" style="1920" customWidth="1"/>
    <col min="5" max="5" width="13.6640625" style="1916" customWidth="1"/>
    <col min="6" max="6" width="30.33203125" style="1916" customWidth="1"/>
    <col min="7" max="8" width="12" style="1916"/>
    <col min="9" max="9" width="12.33203125" style="1916" customWidth="1"/>
    <col min="10" max="11" width="12" style="1916"/>
    <col min="12" max="12" width="19.83203125" style="1916" bestFit="1" customWidth="1"/>
    <col min="13" max="16384" width="12" style="1916"/>
  </cols>
  <sheetData>
    <row r="1" spans="2:4" ht="33.75" customHeight="1" x14ac:dyDescent="0.3">
      <c r="C1" s="1915"/>
      <c r="D1" s="1915"/>
    </row>
    <row r="2" spans="2:4" ht="33.75" customHeight="1" x14ac:dyDescent="0.3">
      <c r="B2" s="1917"/>
      <c r="C2" s="1915"/>
      <c r="D2" s="1915"/>
    </row>
    <row r="3" spans="2:4" s="1918" customFormat="1" ht="33.75" customHeight="1" x14ac:dyDescent="0.5">
      <c r="B3" s="2874" t="s">
        <v>820</v>
      </c>
      <c r="C3" s="2874"/>
      <c r="D3" s="2874"/>
    </row>
    <row r="4" spans="2:4" s="1919" customFormat="1" ht="33.75" customHeight="1" x14ac:dyDescent="0.5">
      <c r="B4" s="2874" t="s">
        <v>1485</v>
      </c>
      <c r="C4" s="2874"/>
      <c r="D4" s="2874"/>
    </row>
    <row r="5" spans="2:4" ht="33.75" customHeight="1" thickBot="1" x14ac:dyDescent="0.35"/>
    <row r="6" spans="2:4" s="1924" customFormat="1" ht="33.75" customHeight="1" x14ac:dyDescent="0.4">
      <c r="B6" s="1921" t="s">
        <v>1295</v>
      </c>
      <c r="C6" s="1922" t="s">
        <v>1296</v>
      </c>
      <c r="D6" s="1923" t="s">
        <v>1297</v>
      </c>
    </row>
    <row r="7" spans="2:4" s="1924" customFormat="1" ht="33.75" customHeight="1" x14ac:dyDescent="0.4">
      <c r="B7" s="2421"/>
      <c r="C7" s="2370"/>
      <c r="D7" s="2422" t="s">
        <v>26</v>
      </c>
    </row>
    <row r="8" spans="2:4" s="1924" customFormat="1" ht="33.75" customHeight="1" thickBot="1" x14ac:dyDescent="0.4">
      <c r="B8" s="2288"/>
      <c r="C8" s="2289"/>
      <c r="D8" s="2290"/>
    </row>
    <row r="9" spans="2:4" s="1924" customFormat="1" ht="33.75" customHeight="1" x14ac:dyDescent="0.35">
      <c r="B9" s="2291"/>
      <c r="C9" s="2292"/>
      <c r="D9" s="2293"/>
    </row>
    <row r="10" spans="2:4" ht="33.75" customHeight="1" x14ac:dyDescent="0.3">
      <c r="B10" s="2294" t="s">
        <v>1298</v>
      </c>
      <c r="C10" s="2295"/>
      <c r="D10" s="2295"/>
    </row>
    <row r="11" spans="2:4" ht="47.25" thickBot="1" x14ac:dyDescent="0.4">
      <c r="B11" s="2346" t="s">
        <v>1299</v>
      </c>
      <c r="C11" s="2296" t="s">
        <v>1486</v>
      </c>
      <c r="D11" s="2350">
        <f>[8]felhalmozás!D12</f>
        <v>786</v>
      </c>
    </row>
    <row r="12" spans="2:4" ht="33.75" customHeight="1" x14ac:dyDescent="0.35">
      <c r="B12" s="2423" t="s">
        <v>1300</v>
      </c>
      <c r="C12" s="2297" t="s">
        <v>1487</v>
      </c>
      <c r="D12" s="2351">
        <f>[8]felhalmozás!D13</f>
        <v>173</v>
      </c>
    </row>
    <row r="13" spans="2:4" ht="46.5" x14ac:dyDescent="0.35">
      <c r="B13" s="2347"/>
      <c r="C13" s="2298" t="s">
        <v>1488</v>
      </c>
      <c r="D13" s="2352">
        <f>[8]felhalmozás!D14</f>
        <v>775</v>
      </c>
    </row>
    <row r="14" spans="2:4" ht="33.75" customHeight="1" thickBot="1" x14ac:dyDescent="0.4">
      <c r="B14" s="2347"/>
      <c r="C14" s="2299" t="s">
        <v>1489</v>
      </c>
      <c r="D14" s="2352">
        <f>[8]felhalmozás!D15</f>
        <v>311</v>
      </c>
    </row>
    <row r="15" spans="2:4" ht="47.25" thickBot="1" x14ac:dyDescent="0.4">
      <c r="B15" s="2424" t="s">
        <v>1301</v>
      </c>
      <c r="C15" s="2300" t="s">
        <v>1490</v>
      </c>
      <c r="D15" s="2349">
        <f>[8]felhalmozás!D16</f>
        <v>2120</v>
      </c>
    </row>
    <row r="16" spans="2:4" ht="36" customHeight="1" thickBot="1" x14ac:dyDescent="0.4">
      <c r="B16" s="2425" t="s">
        <v>1302</v>
      </c>
      <c r="C16" s="2301" t="s">
        <v>1491</v>
      </c>
      <c r="D16" s="2350">
        <f>[8]felhalmozás!D17</f>
        <v>1185</v>
      </c>
    </row>
    <row r="17" spans="2:4" ht="33.75" customHeight="1" x14ac:dyDescent="0.35">
      <c r="B17" s="2423" t="s">
        <v>1303</v>
      </c>
      <c r="C17" s="2297" t="s">
        <v>1492</v>
      </c>
      <c r="D17" s="2351">
        <f>[8]felhalmozás!D18</f>
        <v>505</v>
      </c>
    </row>
    <row r="18" spans="2:4" ht="46.5" x14ac:dyDescent="0.35">
      <c r="B18" s="2347"/>
      <c r="C18" s="2298" t="s">
        <v>1493</v>
      </c>
      <c r="D18" s="2915">
        <f>[8]felhalmozás!D19</f>
        <v>3777</v>
      </c>
    </row>
    <row r="19" spans="2:4" ht="47.25" thickBot="1" x14ac:dyDescent="0.4">
      <c r="B19" s="2347"/>
      <c r="C19" s="2300" t="s">
        <v>1494</v>
      </c>
      <c r="D19" s="2353">
        <f>[8]felhalmozás!D20</f>
        <v>217</v>
      </c>
    </row>
    <row r="20" spans="2:4" ht="23.25" x14ac:dyDescent="0.35">
      <c r="B20" s="2423" t="s">
        <v>1304</v>
      </c>
      <c r="C20" s="2302" t="s">
        <v>1495</v>
      </c>
      <c r="D20" s="2351">
        <f>[8]felhalmozás!D21</f>
        <v>292</v>
      </c>
    </row>
    <row r="21" spans="2:4" ht="47.25" thickBot="1" x14ac:dyDescent="0.4">
      <c r="B21" s="2347"/>
      <c r="C21" s="2299" t="s">
        <v>1496</v>
      </c>
      <c r="D21" s="2353">
        <f>[8]felhalmozás!D22</f>
        <v>332</v>
      </c>
    </row>
    <row r="22" spans="2:4" ht="33.75" customHeight="1" x14ac:dyDescent="0.35">
      <c r="B22" s="2423" t="s">
        <v>1305</v>
      </c>
      <c r="C22" s="2303" t="s">
        <v>1497</v>
      </c>
      <c r="D22" s="2350">
        <f>[8]felhalmozás!D23</f>
        <v>2145</v>
      </c>
    </row>
    <row r="23" spans="2:4" ht="33.75" customHeight="1" x14ac:dyDescent="0.35">
      <c r="B23" s="2347"/>
      <c r="C23" s="2297" t="s">
        <v>1498</v>
      </c>
      <c r="D23" s="2350">
        <f>[8]felhalmozás!D24</f>
        <v>491</v>
      </c>
    </row>
    <row r="24" spans="2:4" ht="47.25" thickBot="1" x14ac:dyDescent="0.4">
      <c r="B24" s="2347"/>
      <c r="C24" s="2300" t="s">
        <v>1499</v>
      </c>
      <c r="D24" s="2350">
        <f>[8]felhalmozás!D25</f>
        <v>258</v>
      </c>
    </row>
    <row r="25" spans="2:4" ht="47.25" thickBot="1" x14ac:dyDescent="0.4">
      <c r="B25" s="2425" t="s">
        <v>1306</v>
      </c>
      <c r="C25" s="2301" t="s">
        <v>1500</v>
      </c>
      <c r="D25" s="2349">
        <f>[8]felhalmozás!D26</f>
        <v>799</v>
      </c>
    </row>
    <row r="26" spans="2:4" ht="36" customHeight="1" x14ac:dyDescent="0.35">
      <c r="B26" s="2424" t="s">
        <v>1307</v>
      </c>
      <c r="C26" s="2297" t="s">
        <v>1501</v>
      </c>
      <c r="D26" s="2350">
        <f>[8]felhalmozás!D27</f>
        <v>721</v>
      </c>
    </row>
    <row r="27" spans="2:4" ht="36" customHeight="1" x14ac:dyDescent="0.35">
      <c r="B27" s="2426"/>
      <c r="C27" s="2297" t="s">
        <v>1312</v>
      </c>
      <c r="D27" s="2350">
        <f>[8]felhalmozás!D28</f>
        <v>16</v>
      </c>
    </row>
    <row r="28" spans="2:4" ht="36" customHeight="1" thickBot="1" x14ac:dyDescent="0.4">
      <c r="B28" s="2426"/>
      <c r="C28" s="2300" t="s">
        <v>1502</v>
      </c>
      <c r="D28" s="2354">
        <f>[8]felhalmozás!D29</f>
        <v>487</v>
      </c>
    </row>
    <row r="29" spans="2:4" ht="36" customHeight="1" x14ac:dyDescent="0.35">
      <c r="B29" s="2424" t="s">
        <v>1308</v>
      </c>
      <c r="C29" s="2297" t="s">
        <v>1503</v>
      </c>
      <c r="D29" s="2351">
        <f>[8]felhalmozás!D30</f>
        <v>41</v>
      </c>
    </row>
    <row r="30" spans="2:4" ht="47.25" thickBot="1" x14ac:dyDescent="0.4">
      <c r="B30" s="2427"/>
      <c r="C30" s="2300" t="s">
        <v>1504</v>
      </c>
      <c r="D30" s="2350">
        <f>[8]felhalmozás!D31</f>
        <v>1100</v>
      </c>
    </row>
    <row r="31" spans="2:4" ht="47.25" thickBot="1" x14ac:dyDescent="0.4">
      <c r="B31" s="2423" t="s">
        <v>1309</v>
      </c>
      <c r="C31" s="2301" t="s">
        <v>1505</v>
      </c>
      <c r="D31" s="2349">
        <f>[8]felhalmozás!D32</f>
        <v>292</v>
      </c>
    </row>
    <row r="32" spans="2:4" ht="36" customHeight="1" x14ac:dyDescent="0.35">
      <c r="B32" s="2875" t="s">
        <v>1310</v>
      </c>
      <c r="C32" s="2304" t="s">
        <v>1506</v>
      </c>
      <c r="D32" s="2350">
        <f>[8]felhalmozás!D33</f>
        <v>419</v>
      </c>
    </row>
    <row r="33" spans="2:4" ht="36" customHeight="1" x14ac:dyDescent="0.35">
      <c r="B33" s="2876"/>
      <c r="C33" s="2297" t="s">
        <v>1507</v>
      </c>
      <c r="D33" s="2350">
        <f>[8]felhalmozás!D34</f>
        <v>267</v>
      </c>
    </row>
    <row r="34" spans="2:4" ht="36" customHeight="1" x14ac:dyDescent="0.35">
      <c r="B34" s="2876"/>
      <c r="C34" s="2297" t="s">
        <v>1508</v>
      </c>
      <c r="D34" s="2350">
        <f>[8]felhalmozás!D35</f>
        <v>811</v>
      </c>
    </row>
    <row r="35" spans="2:4" ht="36" customHeight="1" x14ac:dyDescent="0.35">
      <c r="B35" s="2876"/>
      <c r="C35" s="2304" t="s">
        <v>1495</v>
      </c>
      <c r="D35" s="2350">
        <f>[8]felhalmozás!D36</f>
        <v>318</v>
      </c>
    </row>
    <row r="36" spans="2:4" ht="36" customHeight="1" x14ac:dyDescent="0.35">
      <c r="B36" s="2876"/>
      <c r="C36" s="2297" t="s">
        <v>1509</v>
      </c>
      <c r="D36" s="2350">
        <f>[8]felhalmozás!D37</f>
        <v>24</v>
      </c>
    </row>
    <row r="37" spans="2:4" ht="69.75" x14ac:dyDescent="0.35">
      <c r="B37" s="2877"/>
      <c r="C37" s="2298" t="s">
        <v>1510</v>
      </c>
      <c r="D37" s="2352">
        <f>[8]felhalmozás!D38</f>
        <v>3001</v>
      </c>
    </row>
    <row r="38" spans="2:4" ht="24" thickBot="1" x14ac:dyDescent="0.4">
      <c r="B38" s="2428"/>
      <c r="C38" s="2300" t="s">
        <v>1511</v>
      </c>
      <c r="D38" s="2354">
        <f>[8]felhalmozás!D39</f>
        <v>518</v>
      </c>
    </row>
    <row r="39" spans="2:4" ht="47.25" thickBot="1" x14ac:dyDescent="0.4">
      <c r="B39" s="2423" t="s">
        <v>1311</v>
      </c>
      <c r="C39" s="2301" t="s">
        <v>1512</v>
      </c>
      <c r="D39" s="2351">
        <f>[8]felhalmozás!D40</f>
        <v>4195</v>
      </c>
    </row>
    <row r="40" spans="2:4" ht="47.25" thickBot="1" x14ac:dyDescent="0.4">
      <c r="B40" s="2423" t="s">
        <v>1313</v>
      </c>
      <c r="C40" s="2301" t="s">
        <v>1513</v>
      </c>
      <c r="D40" s="2351">
        <f>[8]felhalmozás!D41</f>
        <v>761</v>
      </c>
    </row>
    <row r="41" spans="2:4" ht="36" customHeight="1" x14ac:dyDescent="0.35">
      <c r="B41" s="2423" t="s">
        <v>1314</v>
      </c>
      <c r="C41" s="2297" t="s">
        <v>1514</v>
      </c>
      <c r="D41" s="2351">
        <f>[8]felhalmozás!D42</f>
        <v>530</v>
      </c>
    </row>
    <row r="42" spans="2:4" ht="36" customHeight="1" thickBot="1" x14ac:dyDescent="0.4">
      <c r="B42" s="2429"/>
      <c r="C42" s="2300" t="s">
        <v>1515</v>
      </c>
      <c r="D42" s="2353">
        <f>[8]felhalmozás!D43</f>
        <v>949</v>
      </c>
    </row>
    <row r="43" spans="2:4" ht="36" customHeight="1" x14ac:dyDescent="0.35">
      <c r="B43" s="2423" t="s">
        <v>1315</v>
      </c>
      <c r="C43" s="2302" t="s">
        <v>1516</v>
      </c>
      <c r="D43" s="2351">
        <f>[8]felhalmozás!D44</f>
        <v>182</v>
      </c>
    </row>
    <row r="44" spans="2:4" ht="47.25" thickBot="1" x14ac:dyDescent="0.4">
      <c r="B44" s="2429"/>
      <c r="C44" s="2300" t="s">
        <v>1517</v>
      </c>
      <c r="D44" s="2353">
        <f>[8]felhalmozás!D45</f>
        <v>1392</v>
      </c>
    </row>
    <row r="45" spans="2:4" ht="52.5" customHeight="1" thickBot="1" x14ac:dyDescent="0.4">
      <c r="B45" s="2423" t="s">
        <v>1316</v>
      </c>
      <c r="C45" s="2299" t="s">
        <v>1518</v>
      </c>
      <c r="D45" s="2350">
        <f>[8]felhalmozás!D46</f>
        <v>629</v>
      </c>
    </row>
    <row r="46" spans="2:4" ht="33.75" customHeight="1" x14ac:dyDescent="0.35">
      <c r="B46" s="2430" t="s">
        <v>1317</v>
      </c>
      <c r="C46" s="2303" t="s">
        <v>1519</v>
      </c>
      <c r="D46" s="2351">
        <f>[8]felhalmozás!D47</f>
        <v>787</v>
      </c>
    </row>
    <row r="47" spans="2:4" ht="33.75" customHeight="1" x14ac:dyDescent="0.35">
      <c r="B47" s="2346"/>
      <c r="C47" s="2305" t="s">
        <v>1520</v>
      </c>
      <c r="D47" s="2352">
        <f>[8]felhalmozás!D48</f>
        <v>496</v>
      </c>
    </row>
    <row r="48" spans="2:4" ht="36" customHeight="1" x14ac:dyDescent="0.35">
      <c r="B48" s="2346"/>
      <c r="C48" s="2298" t="s">
        <v>1495</v>
      </c>
      <c r="D48" s="2352">
        <f>[8]felhalmozás!D49</f>
        <v>292</v>
      </c>
    </row>
    <row r="49" spans="2:5" ht="33.75" customHeight="1" x14ac:dyDescent="0.35">
      <c r="B49" s="2346"/>
      <c r="C49" s="2305" t="s">
        <v>1521</v>
      </c>
      <c r="D49" s="2352">
        <f>[8]felhalmozás!D50</f>
        <v>21</v>
      </c>
    </row>
    <row r="50" spans="2:5" ht="54" customHeight="1" thickBot="1" x14ac:dyDescent="0.4">
      <c r="B50" s="2429"/>
      <c r="C50" s="2299" t="s">
        <v>1522</v>
      </c>
      <c r="D50" s="2353">
        <f>[8]felhalmozás!D51</f>
        <v>409</v>
      </c>
    </row>
    <row r="51" spans="2:5" s="1933" customFormat="1" ht="33.75" customHeight="1" thickBot="1" x14ac:dyDescent="0.4">
      <c r="B51" s="2306" t="s">
        <v>1318</v>
      </c>
      <c r="C51" s="2307"/>
      <c r="D51" s="2355">
        <f>SUM(D11:D50)</f>
        <v>32824</v>
      </c>
      <c r="E51" s="1916"/>
    </row>
    <row r="52" spans="2:5" ht="33.75" customHeight="1" x14ac:dyDescent="0.35">
      <c r="B52" s="2425" t="s">
        <v>181</v>
      </c>
      <c r="C52" s="2308" t="s">
        <v>1523</v>
      </c>
      <c r="D52" s="2351">
        <f>[8]felhalmozás!D53</f>
        <v>908</v>
      </c>
    </row>
    <row r="53" spans="2:5" ht="33.75" customHeight="1" x14ac:dyDescent="0.35">
      <c r="B53" s="2431"/>
      <c r="C53" s="2309" t="s">
        <v>1524</v>
      </c>
      <c r="D53" s="2350">
        <f>[8]felhalmozás!D54</f>
        <v>425</v>
      </c>
    </row>
    <row r="54" spans="2:5" ht="33.75" customHeight="1" x14ac:dyDescent="0.35">
      <c r="B54" s="2427"/>
      <c r="C54" s="2309" t="s">
        <v>1525</v>
      </c>
      <c r="D54" s="2350">
        <f>[8]felhalmozás!D55</f>
        <v>2561</v>
      </c>
    </row>
    <row r="55" spans="2:5" ht="23.25" x14ac:dyDescent="0.35">
      <c r="B55" s="2427"/>
      <c r="C55" s="2309" t="s">
        <v>1526</v>
      </c>
      <c r="D55" s="2350">
        <f>[8]felhalmozás!D56</f>
        <v>508</v>
      </c>
    </row>
    <row r="56" spans="2:5" ht="46.5" x14ac:dyDescent="0.35">
      <c r="B56" s="2427"/>
      <c r="C56" s="2309" t="s">
        <v>1527</v>
      </c>
      <c r="D56" s="2350">
        <f>[8]felhalmozás!D57</f>
        <v>1777</v>
      </c>
    </row>
    <row r="57" spans="2:5" ht="36" customHeight="1" x14ac:dyDescent="0.35">
      <c r="B57" s="2427"/>
      <c r="C57" s="2310" t="s">
        <v>1528</v>
      </c>
      <c r="D57" s="2350">
        <f>[8]felhalmozás!D58</f>
        <v>382</v>
      </c>
    </row>
    <row r="58" spans="2:5" ht="34.5" customHeight="1" x14ac:dyDescent="0.35">
      <c r="B58" s="2427"/>
      <c r="C58" s="2310" t="s">
        <v>1529</v>
      </c>
      <c r="D58" s="2350">
        <f>[8]felhalmozás!D59</f>
        <v>3000</v>
      </c>
    </row>
    <row r="59" spans="2:5" ht="46.5" x14ac:dyDescent="0.35">
      <c r="B59" s="2427"/>
      <c r="C59" s="2310" t="s">
        <v>1530</v>
      </c>
      <c r="D59" s="2350">
        <f>[8]felhalmozás!D60</f>
        <v>348</v>
      </c>
    </row>
    <row r="60" spans="2:5" ht="33.75" customHeight="1" x14ac:dyDescent="0.35">
      <c r="B60" s="2427"/>
      <c r="C60" s="2310" t="s">
        <v>1531</v>
      </c>
      <c r="D60" s="2350">
        <f>[8]felhalmozás!D61</f>
        <v>69</v>
      </c>
    </row>
    <row r="61" spans="2:5" ht="53.25" customHeight="1" x14ac:dyDescent="0.35">
      <c r="B61" s="2427"/>
      <c r="C61" s="2310" t="s">
        <v>1532</v>
      </c>
      <c r="D61" s="2350">
        <f>[8]felhalmozás!D62</f>
        <v>5642</v>
      </c>
    </row>
    <row r="62" spans="2:5" ht="33.75" customHeight="1" x14ac:dyDescent="0.35">
      <c r="B62" s="2427"/>
      <c r="C62" s="2310" t="s">
        <v>1533</v>
      </c>
      <c r="D62" s="2350">
        <f>[8]felhalmozás!D63</f>
        <v>838</v>
      </c>
    </row>
    <row r="63" spans="2:5" ht="36" customHeight="1" x14ac:dyDescent="0.35">
      <c r="B63" s="2427"/>
      <c r="C63" s="2310" t="s">
        <v>1534</v>
      </c>
      <c r="D63" s="2350">
        <f>[8]felhalmozás!D64</f>
        <v>327</v>
      </c>
    </row>
    <row r="64" spans="2:5" ht="36" customHeight="1" x14ac:dyDescent="0.35">
      <c r="B64" s="2427"/>
      <c r="C64" s="2310" t="s">
        <v>1535</v>
      </c>
      <c r="D64" s="2350">
        <f>[8]felhalmozás!D65</f>
        <v>191</v>
      </c>
    </row>
    <row r="65" spans="2:4" ht="33.75" customHeight="1" x14ac:dyDescent="0.35">
      <c r="B65" s="2427"/>
      <c r="C65" s="2310" t="s">
        <v>1536</v>
      </c>
      <c r="D65" s="2350">
        <f>[8]felhalmozás!D66</f>
        <v>273</v>
      </c>
    </row>
    <row r="66" spans="2:4" ht="33.75" customHeight="1" x14ac:dyDescent="0.35">
      <c r="B66" s="2427"/>
      <c r="C66" s="2310" t="s">
        <v>1537</v>
      </c>
      <c r="D66" s="2350">
        <f>[8]felhalmozás!D67</f>
        <v>418</v>
      </c>
    </row>
    <row r="67" spans="2:4" ht="33.75" customHeight="1" x14ac:dyDescent="0.35">
      <c r="B67" s="2427"/>
      <c r="C67" s="2309" t="s">
        <v>1538</v>
      </c>
      <c r="D67" s="2350">
        <f>[8]felhalmozás!D68</f>
        <v>349</v>
      </c>
    </row>
    <row r="68" spans="2:4" ht="33.75" customHeight="1" x14ac:dyDescent="0.35">
      <c r="B68" s="2427"/>
      <c r="C68" s="2309" t="s">
        <v>1539</v>
      </c>
      <c r="D68" s="2350">
        <f>[8]felhalmozás!D69</f>
        <v>166</v>
      </c>
    </row>
    <row r="69" spans="2:4" ht="33.75" customHeight="1" x14ac:dyDescent="0.35">
      <c r="B69" s="2427"/>
      <c r="C69" s="2309" t="s">
        <v>1540</v>
      </c>
      <c r="D69" s="2350">
        <f>[8]felhalmozás!D70</f>
        <v>174</v>
      </c>
    </row>
    <row r="70" spans="2:4" ht="46.5" x14ac:dyDescent="0.35">
      <c r="B70" s="2427"/>
      <c r="C70" s="2309" t="s">
        <v>1541</v>
      </c>
      <c r="D70" s="2350">
        <f>[8]felhalmozás!D71</f>
        <v>154</v>
      </c>
    </row>
    <row r="71" spans="2:4" ht="36" customHeight="1" x14ac:dyDescent="0.35">
      <c r="B71" s="2427"/>
      <c r="C71" s="2309" t="s">
        <v>1542</v>
      </c>
      <c r="D71" s="2350">
        <f>[8]felhalmozás!D72</f>
        <v>1545</v>
      </c>
    </row>
    <row r="72" spans="2:4" ht="34.5" customHeight="1" x14ac:dyDescent="0.35">
      <c r="B72" s="2427"/>
      <c r="C72" s="2309" t="s">
        <v>1543</v>
      </c>
      <c r="D72" s="2350">
        <f>[8]felhalmozás!D73</f>
        <v>842</v>
      </c>
    </row>
    <row r="73" spans="2:4" ht="34.5" customHeight="1" x14ac:dyDescent="0.35">
      <c r="B73" s="2427"/>
      <c r="C73" s="2309" t="s">
        <v>1544</v>
      </c>
      <c r="D73" s="2350">
        <f>[8]felhalmozás!D74</f>
        <v>5555</v>
      </c>
    </row>
    <row r="74" spans="2:4" ht="36" customHeight="1" x14ac:dyDescent="0.35">
      <c r="B74" s="2427"/>
      <c r="C74" s="2309" t="s">
        <v>1545</v>
      </c>
      <c r="D74" s="2350">
        <f>[8]felhalmozás!D75</f>
        <v>2768</v>
      </c>
    </row>
    <row r="75" spans="2:4" ht="34.5" customHeight="1" x14ac:dyDescent="0.35">
      <c r="B75" s="2427"/>
      <c r="C75" s="2309" t="s">
        <v>1546</v>
      </c>
      <c r="D75" s="2350">
        <f>[8]felhalmozás!D76</f>
        <v>272</v>
      </c>
    </row>
    <row r="76" spans="2:4" ht="34.5" customHeight="1" x14ac:dyDescent="0.35">
      <c r="B76" s="2427"/>
      <c r="C76" s="2309" t="s">
        <v>1547</v>
      </c>
      <c r="D76" s="2350">
        <f>[8]felhalmozás!D77</f>
        <v>484</v>
      </c>
    </row>
    <row r="77" spans="2:4" ht="46.5" x14ac:dyDescent="0.35">
      <c r="B77" s="2427"/>
      <c r="C77" s="2309" t="s">
        <v>1548</v>
      </c>
      <c r="D77" s="2350">
        <f>[8]felhalmozás!D78</f>
        <v>43</v>
      </c>
    </row>
    <row r="78" spans="2:4" ht="36" customHeight="1" x14ac:dyDescent="0.35">
      <c r="B78" s="2427"/>
      <c r="C78" s="2309" t="s">
        <v>1549</v>
      </c>
      <c r="D78" s="2350">
        <f>[8]felhalmozás!D79</f>
        <v>126</v>
      </c>
    </row>
    <row r="79" spans="2:4" ht="46.5" x14ac:dyDescent="0.35">
      <c r="B79" s="2427"/>
      <c r="C79" s="2309" t="s">
        <v>1550</v>
      </c>
      <c r="D79" s="2350">
        <f>[8]felhalmozás!D80</f>
        <v>184</v>
      </c>
    </row>
    <row r="80" spans="2:4" ht="33.75" customHeight="1" x14ac:dyDescent="0.35">
      <c r="B80" s="2427"/>
      <c r="C80" s="2309" t="s">
        <v>1551</v>
      </c>
      <c r="D80" s="2350">
        <f>[8]felhalmozás!D81</f>
        <v>1000</v>
      </c>
    </row>
    <row r="81" spans="2:4" ht="36" customHeight="1" x14ac:dyDescent="0.35">
      <c r="B81" s="2427"/>
      <c r="C81" s="2311" t="s">
        <v>1552</v>
      </c>
      <c r="D81" s="2350">
        <f>[8]felhalmozás!D82</f>
        <v>1062</v>
      </c>
    </row>
    <row r="82" spans="2:4" ht="23.25" x14ac:dyDescent="0.35">
      <c r="B82" s="2427"/>
      <c r="C82" s="2311" t="s">
        <v>1553</v>
      </c>
      <c r="D82" s="2350">
        <f>[8]felhalmozás!D83</f>
        <v>224</v>
      </c>
    </row>
    <row r="83" spans="2:4" ht="79.5" customHeight="1" x14ac:dyDescent="0.35">
      <c r="B83" s="2427"/>
      <c r="C83" s="2309" t="s">
        <v>1554</v>
      </c>
      <c r="D83" s="2350">
        <f>[8]felhalmozás!D84</f>
        <v>2157</v>
      </c>
    </row>
    <row r="84" spans="2:4" s="1933" customFormat="1" ht="33.75" customHeight="1" thickBot="1" x14ac:dyDescent="0.45">
      <c r="B84" s="2312" t="s">
        <v>1555</v>
      </c>
      <c r="C84" s="2313"/>
      <c r="D84" s="2356">
        <f>SUM(D52:D83)</f>
        <v>34772</v>
      </c>
    </row>
    <row r="85" spans="2:4" s="1933" customFormat="1" ht="33.75" customHeight="1" thickBot="1" x14ac:dyDescent="0.45">
      <c r="B85" s="2314" t="s">
        <v>1319</v>
      </c>
      <c r="C85" s="2315"/>
      <c r="D85" s="2357">
        <f>D84+D51</f>
        <v>67596</v>
      </c>
    </row>
    <row r="86" spans="2:4" ht="33.75" customHeight="1" x14ac:dyDescent="0.4">
      <c r="B86" s="2316" t="s">
        <v>1320</v>
      </c>
      <c r="C86" s="2317"/>
      <c r="D86" s="2358"/>
    </row>
    <row r="87" spans="2:4" ht="33.75" customHeight="1" thickBot="1" x14ac:dyDescent="0.45">
      <c r="B87" s="2432" t="s">
        <v>1321</v>
      </c>
      <c r="C87" s="2318"/>
      <c r="D87" s="2354"/>
    </row>
    <row r="88" spans="2:4" ht="36" customHeight="1" x14ac:dyDescent="0.35">
      <c r="B88" s="2433" t="s">
        <v>1322</v>
      </c>
      <c r="C88" s="2319" t="s">
        <v>1556</v>
      </c>
      <c r="D88" s="2350">
        <f>[8]felhalmozás!D89</f>
        <v>99</v>
      </c>
    </row>
    <row r="89" spans="2:4" ht="36" customHeight="1" x14ac:dyDescent="0.35">
      <c r="B89" s="2434"/>
      <c r="C89" s="2320" t="s">
        <v>1557</v>
      </c>
      <c r="D89" s="2350">
        <f>[8]felhalmozás!D90</f>
        <v>720</v>
      </c>
    </row>
    <row r="90" spans="2:4" ht="36" customHeight="1" x14ac:dyDescent="0.35">
      <c r="B90" s="2434"/>
      <c r="C90" s="2320" t="s">
        <v>1558</v>
      </c>
      <c r="D90" s="2350">
        <f>[8]felhalmozás!D91</f>
        <v>1995</v>
      </c>
    </row>
    <row r="91" spans="2:4" ht="36" customHeight="1" x14ac:dyDescent="0.35">
      <c r="B91" s="2434"/>
      <c r="C91" s="2321" t="s">
        <v>1559</v>
      </c>
      <c r="D91" s="2350">
        <f>[8]felhalmozás!D92</f>
        <v>194</v>
      </c>
    </row>
    <row r="92" spans="2:4" ht="36" customHeight="1" x14ac:dyDescent="0.35">
      <c r="B92" s="2434"/>
      <c r="C92" s="2322" t="s">
        <v>1560</v>
      </c>
      <c r="D92" s="2350">
        <f>[8]felhalmozás!D93</f>
        <v>480</v>
      </c>
    </row>
    <row r="93" spans="2:4" ht="36" customHeight="1" x14ac:dyDescent="0.35">
      <c r="B93" s="2434"/>
      <c r="C93" s="2321" t="s">
        <v>1561</v>
      </c>
      <c r="D93" s="2350">
        <f>[8]felhalmozás!D94</f>
        <v>763</v>
      </c>
    </row>
    <row r="94" spans="2:4" ht="36" customHeight="1" x14ac:dyDescent="0.35">
      <c r="B94" s="2434"/>
      <c r="C94" s="2321" t="s">
        <v>1562</v>
      </c>
      <c r="D94" s="2350">
        <f>[8]felhalmozás!D95</f>
        <v>1603</v>
      </c>
    </row>
    <row r="95" spans="2:4" ht="36" customHeight="1" x14ac:dyDescent="0.35">
      <c r="B95" s="2434"/>
      <c r="C95" s="2321" t="s">
        <v>1563</v>
      </c>
      <c r="D95" s="2350">
        <f>[8]felhalmozás!D96</f>
        <v>1154</v>
      </c>
    </row>
    <row r="96" spans="2:4" ht="36" customHeight="1" x14ac:dyDescent="0.35">
      <c r="B96" s="2434"/>
      <c r="C96" s="2321" t="s">
        <v>1564</v>
      </c>
      <c r="D96" s="2350">
        <f>[8]felhalmozás!D97</f>
        <v>3280</v>
      </c>
    </row>
    <row r="97" spans="2:4" ht="36" customHeight="1" x14ac:dyDescent="0.35">
      <c r="B97" s="2434"/>
      <c r="C97" s="2321" t="s">
        <v>1565</v>
      </c>
      <c r="D97" s="2350">
        <f>[8]felhalmozás!D98</f>
        <v>179</v>
      </c>
    </row>
    <row r="98" spans="2:4" ht="36" customHeight="1" x14ac:dyDescent="0.35">
      <c r="B98" s="2434"/>
      <c r="C98" s="2321" t="s">
        <v>1566</v>
      </c>
      <c r="D98" s="2350">
        <f>[8]felhalmozás!D99</f>
        <v>187</v>
      </c>
    </row>
    <row r="99" spans="2:4" ht="36" customHeight="1" x14ac:dyDescent="0.35">
      <c r="B99" s="2434"/>
      <c r="C99" s="2321" t="s">
        <v>1567</v>
      </c>
      <c r="D99" s="2350">
        <f>[8]felhalmozás!D100</f>
        <v>556</v>
      </c>
    </row>
    <row r="100" spans="2:4" ht="36" customHeight="1" x14ac:dyDescent="0.35">
      <c r="B100" s="2434"/>
      <c r="C100" s="2321" t="s">
        <v>1568</v>
      </c>
      <c r="D100" s="2350">
        <f>[8]felhalmozás!D101</f>
        <v>1021</v>
      </c>
    </row>
    <row r="101" spans="2:4" ht="36" customHeight="1" x14ac:dyDescent="0.35">
      <c r="B101" s="2434"/>
      <c r="C101" s="2321" t="s">
        <v>1569</v>
      </c>
      <c r="D101" s="2350">
        <f>[8]felhalmozás!D102</f>
        <v>1888</v>
      </c>
    </row>
    <row r="102" spans="2:4" ht="36" customHeight="1" x14ac:dyDescent="0.35">
      <c r="B102" s="2434"/>
      <c r="C102" s="2321" t="s">
        <v>1570</v>
      </c>
      <c r="D102" s="2350">
        <f>[8]felhalmozás!D103</f>
        <v>391</v>
      </c>
    </row>
    <row r="103" spans="2:4" ht="36" customHeight="1" x14ac:dyDescent="0.35">
      <c r="B103" s="2434"/>
      <c r="C103" s="2321" t="s">
        <v>1571</v>
      </c>
      <c r="D103" s="2350">
        <f>[8]felhalmozás!D104</f>
        <v>267</v>
      </c>
    </row>
    <row r="104" spans="2:4" ht="36" customHeight="1" x14ac:dyDescent="0.35">
      <c r="B104" s="2434"/>
      <c r="C104" s="2321" t="s">
        <v>1572</v>
      </c>
      <c r="D104" s="2350">
        <f>[8]felhalmozás!D105</f>
        <v>513</v>
      </c>
    </row>
    <row r="105" spans="2:4" ht="36" customHeight="1" x14ac:dyDescent="0.35">
      <c r="B105" s="2434"/>
      <c r="C105" s="2321" t="s">
        <v>1573</v>
      </c>
      <c r="D105" s="2350">
        <f>[8]felhalmozás!D106</f>
        <v>3288</v>
      </c>
    </row>
    <row r="106" spans="2:4" ht="57" customHeight="1" thickBot="1" x14ac:dyDescent="0.4">
      <c r="B106" s="2434"/>
      <c r="C106" s="2322" t="s">
        <v>1574</v>
      </c>
      <c r="D106" s="2350">
        <f>[8]felhalmozás!D107</f>
        <v>1016</v>
      </c>
    </row>
    <row r="107" spans="2:4" ht="33.75" customHeight="1" thickBot="1" x14ac:dyDescent="0.4">
      <c r="B107" s="2323" t="s">
        <v>1575</v>
      </c>
      <c r="C107" s="2324"/>
      <c r="D107" s="2355">
        <f>SUM(D88:D106)</f>
        <v>19594</v>
      </c>
    </row>
    <row r="108" spans="2:4" ht="51" customHeight="1" x14ac:dyDescent="0.35">
      <c r="B108" s="2433" t="s">
        <v>304</v>
      </c>
      <c r="C108" s="2322" t="s">
        <v>1576</v>
      </c>
      <c r="D108" s="2351">
        <f>[8]felhalmozás!D109</f>
        <v>126</v>
      </c>
    </row>
    <row r="109" spans="2:4" ht="36" customHeight="1" x14ac:dyDescent="0.35">
      <c r="B109" s="2435"/>
      <c r="C109" s="2322" t="s">
        <v>1577</v>
      </c>
      <c r="D109" s="2350">
        <f>[8]felhalmozás!D110</f>
        <v>403</v>
      </c>
    </row>
    <row r="110" spans="2:4" ht="102" customHeight="1" thickBot="1" x14ac:dyDescent="0.4">
      <c r="B110" s="2435"/>
      <c r="C110" s="2322" t="s">
        <v>1578</v>
      </c>
      <c r="D110" s="2350">
        <f>[8]felhalmozás!D111</f>
        <v>2596</v>
      </c>
    </row>
    <row r="111" spans="2:4" ht="33.75" customHeight="1" thickBot="1" x14ac:dyDescent="0.4">
      <c r="B111" s="2323" t="s">
        <v>1575</v>
      </c>
      <c r="C111" s="2325"/>
      <c r="D111" s="2355">
        <f>SUM(D108:D110)</f>
        <v>3125</v>
      </c>
    </row>
    <row r="112" spans="2:4" ht="36" customHeight="1" x14ac:dyDescent="0.35">
      <c r="B112" s="2436" t="s">
        <v>1323</v>
      </c>
      <c r="C112" s="2321" t="s">
        <v>1579</v>
      </c>
      <c r="D112" s="2350">
        <f>[8]felhalmozás!D113</f>
        <v>47</v>
      </c>
    </row>
    <row r="113" spans="2:4" ht="36" customHeight="1" x14ac:dyDescent="0.35">
      <c r="B113" s="2437"/>
      <c r="C113" s="2321" t="s">
        <v>1580</v>
      </c>
      <c r="D113" s="2350">
        <f>[8]felhalmozás!D114</f>
        <v>184</v>
      </c>
    </row>
    <row r="114" spans="2:4" ht="57" customHeight="1" x14ac:dyDescent="0.35">
      <c r="B114" s="2437"/>
      <c r="C114" s="2322" t="s">
        <v>1581</v>
      </c>
      <c r="D114" s="2350">
        <f>[8]felhalmozás!D115</f>
        <v>2004</v>
      </c>
    </row>
    <row r="115" spans="2:4" ht="36" customHeight="1" x14ac:dyDescent="0.35">
      <c r="B115" s="2437"/>
      <c r="C115" s="2321" t="s">
        <v>1582</v>
      </c>
      <c r="D115" s="2350">
        <f>[8]felhalmozás!D116</f>
        <v>941</v>
      </c>
    </row>
    <row r="116" spans="2:4" ht="36" customHeight="1" x14ac:dyDescent="0.35">
      <c r="B116" s="2437"/>
      <c r="C116" s="2322" t="s">
        <v>1583</v>
      </c>
      <c r="D116" s="2350">
        <f>[8]felhalmozás!D117</f>
        <v>10143</v>
      </c>
    </row>
    <row r="117" spans="2:4" ht="36" customHeight="1" x14ac:dyDescent="0.35">
      <c r="B117" s="2437"/>
      <c r="C117" s="2322" t="s">
        <v>1584</v>
      </c>
      <c r="D117" s="2350">
        <f>[8]felhalmozás!D118</f>
        <v>2775</v>
      </c>
    </row>
    <row r="118" spans="2:4" ht="36" customHeight="1" x14ac:dyDescent="0.35">
      <c r="B118" s="2437"/>
      <c r="C118" s="2321" t="s">
        <v>1585</v>
      </c>
      <c r="D118" s="2350">
        <f>[8]felhalmozás!D119</f>
        <v>1799</v>
      </c>
    </row>
    <row r="119" spans="2:4" ht="36" customHeight="1" x14ac:dyDescent="0.35">
      <c r="B119" s="2437"/>
      <c r="C119" s="2321" t="s">
        <v>1586</v>
      </c>
      <c r="D119" s="2350">
        <f>[8]felhalmozás!D120</f>
        <v>3960</v>
      </c>
    </row>
    <row r="120" spans="2:4" ht="36" customHeight="1" thickBot="1" x14ac:dyDescent="0.4">
      <c r="B120" s="2437"/>
      <c r="C120" s="2321" t="s">
        <v>1587</v>
      </c>
      <c r="D120" s="2350">
        <f>[8]felhalmozás!D121</f>
        <v>8305</v>
      </c>
    </row>
    <row r="121" spans="2:4" ht="36" customHeight="1" thickBot="1" x14ac:dyDescent="0.4">
      <c r="B121" s="2323" t="s">
        <v>1575</v>
      </c>
      <c r="C121" s="2326"/>
      <c r="D121" s="2355">
        <f>SUM(D112:D120)</f>
        <v>30158</v>
      </c>
    </row>
    <row r="122" spans="2:4" ht="36" customHeight="1" x14ac:dyDescent="0.35">
      <c r="B122" s="2449" t="s">
        <v>1324</v>
      </c>
      <c r="C122" s="2321" t="s">
        <v>1588</v>
      </c>
      <c r="D122" s="2351">
        <f>[8]felhalmozás!D123</f>
        <v>937</v>
      </c>
    </row>
    <row r="123" spans="2:4" ht="36" customHeight="1" x14ac:dyDescent="0.35">
      <c r="B123" s="2333"/>
      <c r="C123" s="2321" t="s">
        <v>1589</v>
      </c>
      <c r="D123" s="2350">
        <f>[8]felhalmozás!D124</f>
        <v>706</v>
      </c>
    </row>
    <row r="124" spans="2:4" ht="36" customHeight="1" x14ac:dyDescent="0.35">
      <c r="B124" s="2333"/>
      <c r="C124" s="2321" t="s">
        <v>1590</v>
      </c>
      <c r="D124" s="2350">
        <f>[8]felhalmozás!D125</f>
        <v>38</v>
      </c>
    </row>
    <row r="125" spans="2:4" ht="36" customHeight="1" x14ac:dyDescent="0.35">
      <c r="B125" s="2333"/>
      <c r="C125" s="2321" t="s">
        <v>1591</v>
      </c>
      <c r="D125" s="2350">
        <f>[8]felhalmozás!D126</f>
        <v>3400</v>
      </c>
    </row>
    <row r="126" spans="2:4" ht="36" customHeight="1" x14ac:dyDescent="0.35">
      <c r="B126" s="2333"/>
      <c r="C126" s="2321" t="s">
        <v>1592</v>
      </c>
      <c r="D126" s="2350">
        <f>[8]felhalmozás!D127</f>
        <v>643</v>
      </c>
    </row>
    <row r="127" spans="2:4" ht="36" customHeight="1" x14ac:dyDescent="0.35">
      <c r="B127" s="2333"/>
      <c r="C127" s="2321" t="s">
        <v>1593</v>
      </c>
      <c r="D127" s="2350">
        <f>[8]felhalmozás!D128</f>
        <v>2179</v>
      </c>
    </row>
    <row r="128" spans="2:4" ht="54.75" customHeight="1" x14ac:dyDescent="0.35">
      <c r="B128" s="2333"/>
      <c r="C128" s="2322" t="s">
        <v>1594</v>
      </c>
      <c r="D128" s="2350">
        <f>[8]felhalmozás!D129</f>
        <v>785</v>
      </c>
    </row>
    <row r="129" spans="2:8" ht="36" customHeight="1" thickBot="1" x14ac:dyDescent="0.4">
      <c r="B129" s="2333"/>
      <c r="C129" s="2321" t="s">
        <v>1595</v>
      </c>
      <c r="D129" s="2350">
        <f>[8]felhalmozás!D130</f>
        <v>1015</v>
      </c>
    </row>
    <row r="130" spans="2:8" ht="36" customHeight="1" thickBot="1" x14ac:dyDescent="0.4">
      <c r="B130" s="2323" t="s">
        <v>1575</v>
      </c>
      <c r="C130" s="2327"/>
      <c r="D130" s="2355">
        <f>SUM(D122:D129)</f>
        <v>9703</v>
      </c>
    </row>
    <row r="131" spans="2:8" ht="36" customHeight="1" x14ac:dyDescent="0.35">
      <c r="B131" s="2449" t="s">
        <v>1326</v>
      </c>
      <c r="C131" s="2322" t="s">
        <v>1596</v>
      </c>
      <c r="D131" s="2350">
        <f>[8]felhalmozás!D132</f>
        <v>94</v>
      </c>
    </row>
    <row r="132" spans="2:8" ht="46.5" x14ac:dyDescent="0.35">
      <c r="B132" s="2333"/>
      <c r="C132" s="2322" t="s">
        <v>1597</v>
      </c>
      <c r="D132" s="2350">
        <f>[8]felhalmozás!D133</f>
        <v>1086</v>
      </c>
    </row>
    <row r="133" spans="2:8" ht="36" customHeight="1" x14ac:dyDescent="0.35">
      <c r="B133" s="2435"/>
      <c r="C133" s="2322" t="s">
        <v>1598</v>
      </c>
      <c r="D133" s="2350">
        <f>[8]felhalmozás!D134</f>
        <v>1452</v>
      </c>
    </row>
    <row r="134" spans="2:8" ht="53.25" customHeight="1" x14ac:dyDescent="0.35">
      <c r="B134" s="2435"/>
      <c r="C134" s="2322" t="s">
        <v>1599</v>
      </c>
      <c r="D134" s="2350">
        <f>[8]felhalmozás!D135</f>
        <v>6904</v>
      </c>
    </row>
    <row r="135" spans="2:8" ht="36" customHeight="1" x14ac:dyDescent="0.35">
      <c r="B135" s="2435"/>
      <c r="C135" s="2322" t="s">
        <v>1600</v>
      </c>
      <c r="D135" s="2350">
        <f>[8]felhalmozás!D136</f>
        <v>826</v>
      </c>
      <c r="H135" s="1936"/>
    </row>
    <row r="136" spans="2:8" ht="102.75" customHeight="1" x14ac:dyDescent="0.35">
      <c r="B136" s="2435"/>
      <c r="C136" s="2322" t="s">
        <v>1601</v>
      </c>
      <c r="D136" s="2350">
        <f>[8]felhalmozás!D137</f>
        <v>2003</v>
      </c>
    </row>
    <row r="137" spans="2:8" ht="36" customHeight="1" x14ac:dyDescent="0.35">
      <c r="B137" s="2435"/>
      <c r="C137" s="2322" t="s">
        <v>1602</v>
      </c>
      <c r="D137" s="2350">
        <f>[8]felhalmozás!D138</f>
        <v>1642</v>
      </c>
    </row>
    <row r="138" spans="2:8" ht="36" customHeight="1" x14ac:dyDescent="0.35">
      <c r="B138" s="2435"/>
      <c r="C138" s="2321" t="s">
        <v>1603</v>
      </c>
      <c r="D138" s="2350">
        <f>[8]felhalmozás!D139</f>
        <v>5000</v>
      </c>
    </row>
    <row r="139" spans="2:8" ht="36" customHeight="1" thickBot="1" x14ac:dyDescent="0.4">
      <c r="B139" s="2435"/>
      <c r="C139" s="2321" t="s">
        <v>1604</v>
      </c>
      <c r="D139" s="2350">
        <f>[8]felhalmozás!D140</f>
        <v>1000</v>
      </c>
    </row>
    <row r="140" spans="2:8" ht="36" customHeight="1" thickBot="1" x14ac:dyDescent="0.4">
      <c r="B140" s="2323" t="s">
        <v>1575</v>
      </c>
      <c r="C140" s="2328"/>
      <c r="D140" s="2355">
        <f>SUM(D131:D139)</f>
        <v>20007</v>
      </c>
    </row>
    <row r="141" spans="2:8" s="1933" customFormat="1" ht="36" customHeight="1" thickBot="1" x14ac:dyDescent="0.45">
      <c r="B141" s="2323" t="s">
        <v>1605</v>
      </c>
      <c r="C141" s="2315"/>
      <c r="D141" s="2355">
        <f>D107+D111+D121+D130+D140</f>
        <v>82587</v>
      </c>
      <c r="E141" s="1916"/>
    </row>
    <row r="142" spans="2:8" ht="36" customHeight="1" x14ac:dyDescent="0.4">
      <c r="B142" s="2438" t="s">
        <v>1327</v>
      </c>
      <c r="C142" s="2317"/>
      <c r="D142" s="2358"/>
    </row>
    <row r="143" spans="2:8" ht="57.75" customHeight="1" x14ac:dyDescent="0.35">
      <c r="B143" s="2439" t="s">
        <v>1328</v>
      </c>
      <c r="C143" s="2329" t="s">
        <v>1606</v>
      </c>
      <c r="D143" s="2359">
        <f>[8]felhalmozás!D144</f>
        <v>546.1</v>
      </c>
    </row>
    <row r="144" spans="2:8" ht="36" customHeight="1" x14ac:dyDescent="0.35">
      <c r="B144" s="2434"/>
      <c r="C144" s="2321" t="s">
        <v>1607</v>
      </c>
      <c r="D144" s="2350">
        <f>[8]felhalmozás!D145</f>
        <v>1778</v>
      </c>
    </row>
    <row r="145" spans="2:4" ht="36" customHeight="1" x14ac:dyDescent="0.35">
      <c r="B145" s="2434"/>
      <c r="C145" s="2321" t="s">
        <v>1608</v>
      </c>
      <c r="D145" s="2350">
        <f>[8]felhalmozás!D146</f>
        <v>269.24</v>
      </c>
    </row>
    <row r="146" spans="2:4" ht="36" customHeight="1" x14ac:dyDescent="0.35">
      <c r="B146" s="2434"/>
      <c r="C146" s="2311" t="s">
        <v>1609</v>
      </c>
      <c r="D146" s="2350">
        <f>[8]felhalmozás!D147</f>
        <v>3483.4160000000002</v>
      </c>
    </row>
    <row r="147" spans="2:4" ht="57.75" customHeight="1" x14ac:dyDescent="0.35">
      <c r="B147" s="2434"/>
      <c r="C147" s="2311" t="s">
        <v>1610</v>
      </c>
      <c r="D147" s="2350">
        <f>[8]felhalmozás!D148</f>
        <v>438.774</v>
      </c>
    </row>
    <row r="148" spans="2:4" ht="36" customHeight="1" x14ac:dyDescent="0.35">
      <c r="B148" s="2434"/>
      <c r="C148" s="2311" t="s">
        <v>1611</v>
      </c>
      <c r="D148" s="2350">
        <f>[8]felhalmozás!D149</f>
        <v>986.76499999999999</v>
      </c>
    </row>
    <row r="149" spans="2:4" ht="36" customHeight="1" x14ac:dyDescent="0.35">
      <c r="B149" s="2434"/>
      <c r="C149" s="2311" t="s">
        <v>1612</v>
      </c>
      <c r="D149" s="2350">
        <f>[8]felhalmozás!D150</f>
        <v>2757.1509999999998</v>
      </c>
    </row>
    <row r="150" spans="2:4" ht="69.75" x14ac:dyDescent="0.35">
      <c r="B150" s="2434"/>
      <c r="C150" s="2311" t="s">
        <v>1613</v>
      </c>
      <c r="D150" s="2350">
        <f>[8]felhalmozás!D151</f>
        <v>1059.4100000000001</v>
      </c>
    </row>
    <row r="151" spans="2:4" ht="36" customHeight="1" x14ac:dyDescent="0.35">
      <c r="B151" s="2434"/>
      <c r="C151" s="2311" t="s">
        <v>1614</v>
      </c>
      <c r="D151" s="2350">
        <f>[8]felhalmozás!D152</f>
        <v>544.1</v>
      </c>
    </row>
    <row r="152" spans="2:4" ht="36" customHeight="1" x14ac:dyDescent="0.35">
      <c r="B152" s="2434"/>
      <c r="C152" s="2311" t="s">
        <v>1615</v>
      </c>
      <c r="D152" s="2350">
        <f>[8]felhalmozás!D153</f>
        <v>778.69799999999998</v>
      </c>
    </row>
    <row r="153" spans="2:4" ht="36" customHeight="1" x14ac:dyDescent="0.35">
      <c r="B153" s="2434"/>
      <c r="C153" s="2311" t="s">
        <v>1616</v>
      </c>
      <c r="D153" s="2350">
        <f>[8]felhalmozás!D154</f>
        <v>839.4</v>
      </c>
    </row>
    <row r="154" spans="2:4" ht="36" customHeight="1" x14ac:dyDescent="0.35">
      <c r="B154" s="2434"/>
      <c r="C154" s="2311" t="s">
        <v>1617</v>
      </c>
      <c r="D154" s="2350">
        <f>[8]felhalmozás!D155</f>
        <v>887.74699999999996</v>
      </c>
    </row>
    <row r="155" spans="2:4" ht="36" customHeight="1" x14ac:dyDescent="0.35">
      <c r="B155" s="2434"/>
      <c r="C155" s="2311" t="s">
        <v>1618</v>
      </c>
      <c r="D155" s="2350">
        <f>[8]felhalmozás!D156</f>
        <v>931.2</v>
      </c>
    </row>
    <row r="156" spans="2:4" ht="46.5" x14ac:dyDescent="0.35">
      <c r="B156" s="2434"/>
      <c r="C156" s="2311" t="s">
        <v>1619</v>
      </c>
      <c r="D156" s="2350">
        <f>[8]felhalmozás!D157</f>
        <v>1143.6859999999999</v>
      </c>
    </row>
    <row r="157" spans="2:4" ht="70.5" thickBot="1" x14ac:dyDescent="0.4">
      <c r="B157" s="2434"/>
      <c r="C157" s="2311" t="s">
        <v>1620</v>
      </c>
      <c r="D157" s="2350">
        <f>[8]felhalmozás!D158</f>
        <v>998.37599999999998</v>
      </c>
    </row>
    <row r="158" spans="2:4" ht="36" customHeight="1" thickBot="1" x14ac:dyDescent="0.45">
      <c r="B158" s="2323" t="s">
        <v>1575</v>
      </c>
      <c r="C158" s="2315"/>
      <c r="D158" s="2355">
        <f>SUM(D143:D157)</f>
        <v>17442.063000000002</v>
      </c>
    </row>
    <row r="159" spans="2:4" ht="36" customHeight="1" x14ac:dyDescent="0.4">
      <c r="B159" s="2438" t="s">
        <v>1329</v>
      </c>
      <c r="C159" s="2317"/>
      <c r="D159" s="2358"/>
    </row>
    <row r="160" spans="2:4" ht="36" customHeight="1" x14ac:dyDescent="0.35">
      <c r="B160" s="2434" t="s">
        <v>1330</v>
      </c>
      <c r="C160" s="2319" t="s">
        <v>1621</v>
      </c>
      <c r="D160" s="2350">
        <f>[8]felhalmozás!D161</f>
        <v>179.99700000000001</v>
      </c>
    </row>
    <row r="161" spans="2:4" ht="36" customHeight="1" x14ac:dyDescent="0.35">
      <c r="B161" s="2434" t="s">
        <v>1331</v>
      </c>
      <c r="C161" s="2329" t="s">
        <v>1622</v>
      </c>
      <c r="D161" s="2350">
        <f>[8]felhalmozás!D162</f>
        <v>6695.7190000000001</v>
      </c>
    </row>
    <row r="162" spans="2:4" ht="36" customHeight="1" x14ac:dyDescent="0.35">
      <c r="B162" s="2434"/>
      <c r="C162" s="2320" t="s">
        <v>1623</v>
      </c>
      <c r="D162" s="2350">
        <f>[8]felhalmozás!D163</f>
        <v>1423.1</v>
      </c>
    </row>
    <row r="163" spans="2:4" ht="36" customHeight="1" x14ac:dyDescent="0.35">
      <c r="B163" s="2434"/>
      <c r="C163" s="2320" t="s">
        <v>1624</v>
      </c>
      <c r="D163" s="2350">
        <f>[8]felhalmozás!D164</f>
        <v>554.4</v>
      </c>
    </row>
    <row r="164" spans="2:4" ht="36" customHeight="1" x14ac:dyDescent="0.35">
      <c r="B164" s="2434"/>
      <c r="C164" s="2320" t="s">
        <v>1625</v>
      </c>
      <c r="D164" s="2350">
        <f>[8]felhalmozás!D165</f>
        <v>2322</v>
      </c>
    </row>
    <row r="165" spans="2:4" ht="36" customHeight="1" x14ac:dyDescent="0.35">
      <c r="B165" s="2434"/>
      <c r="C165" s="2320" t="s">
        <v>1626</v>
      </c>
      <c r="D165" s="2350">
        <f>[8]felhalmozás!D166</f>
        <v>24.384</v>
      </c>
    </row>
    <row r="166" spans="2:4" ht="36" customHeight="1" x14ac:dyDescent="0.35">
      <c r="B166" s="2434"/>
      <c r="C166" s="2320" t="s">
        <v>1627</v>
      </c>
      <c r="D166" s="2350">
        <f>[8]felhalmozás!D167</f>
        <v>216.09100000000001</v>
      </c>
    </row>
    <row r="167" spans="2:4" ht="36" customHeight="1" x14ac:dyDescent="0.35">
      <c r="B167" s="2434"/>
      <c r="C167" s="2320" t="s">
        <v>1628</v>
      </c>
      <c r="D167" s="2352">
        <f>[8]felhalmozás!D168</f>
        <v>641.47699999999998</v>
      </c>
    </row>
    <row r="168" spans="2:4" ht="36" customHeight="1" x14ac:dyDescent="0.35">
      <c r="B168" s="2434"/>
      <c r="C168" s="2320" t="s">
        <v>1629</v>
      </c>
      <c r="D168" s="2352">
        <f>[8]felhalmozás!D169</f>
        <v>939.8</v>
      </c>
    </row>
    <row r="169" spans="2:4" ht="36" customHeight="1" x14ac:dyDescent="0.35">
      <c r="B169" s="2434"/>
      <c r="C169" s="2320" t="s">
        <v>1630</v>
      </c>
      <c r="D169" s="2352">
        <f>[8]felhalmozás!D170</f>
        <v>1520</v>
      </c>
    </row>
    <row r="170" spans="2:4" ht="23.25" x14ac:dyDescent="0.35">
      <c r="B170" s="2434"/>
      <c r="C170" s="2311" t="s">
        <v>1631</v>
      </c>
      <c r="D170" s="2352">
        <f>[8]felhalmozás!D171</f>
        <v>334.99</v>
      </c>
    </row>
    <row r="171" spans="2:4" ht="36" customHeight="1" x14ac:dyDescent="0.35">
      <c r="B171" s="2434"/>
      <c r="C171" s="2320" t="s">
        <v>1632</v>
      </c>
      <c r="D171" s="2352">
        <f>[8]felhalmozás!D172</f>
        <v>500.47300000000001</v>
      </c>
    </row>
    <row r="172" spans="2:4" ht="105" customHeight="1" thickBot="1" x14ac:dyDescent="0.4">
      <c r="B172" s="2434"/>
      <c r="C172" s="2311" t="s">
        <v>1633</v>
      </c>
      <c r="D172" s="2352">
        <f>[8]felhalmozás!D173</f>
        <v>1978.8019999999999</v>
      </c>
    </row>
    <row r="173" spans="2:4" s="1933" customFormat="1" ht="36" customHeight="1" thickBot="1" x14ac:dyDescent="0.45">
      <c r="B173" s="2323" t="s">
        <v>1575</v>
      </c>
      <c r="C173" s="2315"/>
      <c r="D173" s="2355">
        <f>SUM(D160:D172)</f>
        <v>17331.233</v>
      </c>
    </row>
    <row r="174" spans="2:4" ht="36" customHeight="1" x14ac:dyDescent="0.4">
      <c r="B174" s="2440" t="s">
        <v>1634</v>
      </c>
      <c r="C174" s="2317"/>
      <c r="D174" s="2358"/>
    </row>
    <row r="175" spans="2:4" ht="36" customHeight="1" x14ac:dyDescent="0.35">
      <c r="B175" s="2441" t="s">
        <v>1333</v>
      </c>
      <c r="C175" s="2330" t="s">
        <v>1635</v>
      </c>
      <c r="D175" s="2350"/>
    </row>
    <row r="176" spans="2:4" ht="36" customHeight="1" x14ac:dyDescent="0.35">
      <c r="B176" s="2442" t="s">
        <v>1636</v>
      </c>
      <c r="C176" s="2319" t="s">
        <v>1637</v>
      </c>
      <c r="D176" s="2350">
        <f>[8]felhalmozás!D177</f>
        <v>406.4</v>
      </c>
    </row>
    <row r="177" spans="2:4" ht="36" customHeight="1" x14ac:dyDescent="0.35">
      <c r="B177" s="2442"/>
      <c r="C177" s="2330" t="s">
        <v>1638</v>
      </c>
      <c r="D177" s="2350"/>
    </row>
    <row r="178" spans="2:4" ht="36" customHeight="1" x14ac:dyDescent="0.35">
      <c r="B178" s="2442" t="s">
        <v>1336</v>
      </c>
      <c r="C178" s="2311" t="s">
        <v>1639</v>
      </c>
      <c r="D178" s="2350">
        <f>[8]felhalmozás!D179</f>
        <v>1086.9549999999999</v>
      </c>
    </row>
    <row r="179" spans="2:4" ht="36" customHeight="1" x14ac:dyDescent="0.35">
      <c r="B179" s="2443"/>
      <c r="C179" s="2320" t="s">
        <v>1640</v>
      </c>
      <c r="D179" s="2352">
        <f>[8]felhalmozás!D180</f>
        <v>2667.924</v>
      </c>
    </row>
    <row r="180" spans="2:4" ht="36" customHeight="1" x14ac:dyDescent="0.35">
      <c r="B180" s="2442"/>
      <c r="C180" s="2331" t="s">
        <v>1641</v>
      </c>
      <c r="D180" s="2350">
        <f>[8]felhalmozás!D181</f>
        <v>1546.624</v>
      </c>
    </row>
    <row r="181" spans="2:4" ht="36" customHeight="1" x14ac:dyDescent="0.35">
      <c r="B181" s="2442"/>
      <c r="C181" s="2332" t="s">
        <v>1642</v>
      </c>
      <c r="D181" s="2352">
        <f>[8]felhalmozás!D182</f>
        <v>1407.665</v>
      </c>
    </row>
    <row r="182" spans="2:4" ht="36" customHeight="1" x14ac:dyDescent="0.35">
      <c r="B182" s="2442" t="s">
        <v>1643</v>
      </c>
      <c r="C182" s="2332" t="s">
        <v>1644</v>
      </c>
      <c r="D182" s="2352">
        <f>[8]felhalmozás!D183</f>
        <v>2988.8</v>
      </c>
    </row>
    <row r="183" spans="2:4" ht="36" customHeight="1" x14ac:dyDescent="0.35">
      <c r="B183" s="2442" t="s">
        <v>1337</v>
      </c>
      <c r="C183" s="2333" t="s">
        <v>1645</v>
      </c>
      <c r="D183" s="2352">
        <f>[8]felhalmozás!D184</f>
        <v>502.41199999999998</v>
      </c>
    </row>
    <row r="184" spans="2:4" ht="36" customHeight="1" x14ac:dyDescent="0.35">
      <c r="B184" s="2443"/>
      <c r="C184" s="2334" t="s">
        <v>1646</v>
      </c>
      <c r="D184" s="2352"/>
    </row>
    <row r="185" spans="2:4" ht="36" customHeight="1" x14ac:dyDescent="0.35">
      <c r="B185" s="2442" t="s">
        <v>1336</v>
      </c>
      <c r="C185" s="2319" t="s">
        <v>1647</v>
      </c>
      <c r="D185" s="2350">
        <f>[8]felhalmozás!D186</f>
        <v>211.9</v>
      </c>
    </row>
    <row r="186" spans="2:4" ht="36" customHeight="1" x14ac:dyDescent="0.35">
      <c r="B186" s="2442"/>
      <c r="C186" s="2319" t="s">
        <v>1648</v>
      </c>
      <c r="D186" s="2350">
        <f>[8]felhalmozás!D187</f>
        <v>85.7</v>
      </c>
    </row>
    <row r="187" spans="2:4" ht="36" customHeight="1" x14ac:dyDescent="0.35">
      <c r="B187" s="2442" t="s">
        <v>1334</v>
      </c>
      <c r="C187" s="2331" t="s">
        <v>1649</v>
      </c>
      <c r="D187" s="2350">
        <f>[8]felhalmozás!D188</f>
        <v>112.71299999999999</v>
      </c>
    </row>
    <row r="188" spans="2:4" ht="36" customHeight="1" x14ac:dyDescent="0.35">
      <c r="B188" s="2443"/>
      <c r="C188" s="2335" t="s">
        <v>1650</v>
      </c>
      <c r="D188" s="2350"/>
    </row>
    <row r="189" spans="2:4" ht="36" customHeight="1" x14ac:dyDescent="0.35">
      <c r="B189" s="2442" t="s">
        <v>1651</v>
      </c>
      <c r="C189" s="2331" t="s">
        <v>1652</v>
      </c>
      <c r="D189" s="2350">
        <f>[8]felhalmozás!D190</f>
        <v>99.332999999999998</v>
      </c>
    </row>
    <row r="190" spans="2:4" ht="36" customHeight="1" x14ac:dyDescent="0.35">
      <c r="B190" s="2443"/>
      <c r="C190" s="2331" t="s">
        <v>1653</v>
      </c>
      <c r="D190" s="2350">
        <f>[8]felhalmozás!D191</f>
        <v>355.09199999999998</v>
      </c>
    </row>
    <row r="191" spans="2:4" ht="36" customHeight="1" x14ac:dyDescent="0.35">
      <c r="B191" s="2443"/>
      <c r="C191" s="2331" t="s">
        <v>1654</v>
      </c>
      <c r="D191" s="2350">
        <f>[8]felhalmozás!D192</f>
        <v>108.999</v>
      </c>
    </row>
    <row r="192" spans="2:4" ht="36" customHeight="1" x14ac:dyDescent="0.35">
      <c r="B192" s="2442" t="s">
        <v>1340</v>
      </c>
      <c r="C192" s="2332" t="s">
        <v>1655</v>
      </c>
      <c r="D192" s="2350">
        <f>[8]felhalmozás!D193</f>
        <v>145.63</v>
      </c>
    </row>
    <row r="193" spans="2:4" ht="36" customHeight="1" x14ac:dyDescent="0.35">
      <c r="B193" s="2442"/>
      <c r="C193" s="2332" t="s">
        <v>1656</v>
      </c>
      <c r="D193" s="2352">
        <f>[8]felhalmozás!D194</f>
        <v>317.83</v>
      </c>
    </row>
    <row r="194" spans="2:4" ht="36" customHeight="1" x14ac:dyDescent="0.35">
      <c r="B194" s="2442" t="s">
        <v>1341</v>
      </c>
      <c r="C194" s="2319" t="s">
        <v>1657</v>
      </c>
      <c r="D194" s="2350">
        <f>[8]felhalmozás!D195</f>
        <v>195.44800000000001</v>
      </c>
    </row>
    <row r="195" spans="2:4" ht="36" customHeight="1" x14ac:dyDescent="0.35">
      <c r="B195" s="2442" t="s">
        <v>1643</v>
      </c>
      <c r="C195" s="2331" t="s">
        <v>1658</v>
      </c>
      <c r="D195" s="2350">
        <f>[8]felhalmozás!D196</f>
        <v>154.023</v>
      </c>
    </row>
    <row r="196" spans="2:4" ht="36" customHeight="1" x14ac:dyDescent="0.35">
      <c r="B196" s="2443"/>
      <c r="C196" s="2331" t="s">
        <v>1659</v>
      </c>
      <c r="D196" s="2350">
        <f>[8]felhalmozás!D197</f>
        <v>331.47</v>
      </c>
    </row>
    <row r="197" spans="2:4" ht="36" customHeight="1" x14ac:dyDescent="0.35">
      <c r="B197" s="2443"/>
      <c r="C197" s="2331" t="s">
        <v>1660</v>
      </c>
      <c r="D197" s="2350">
        <f>[8]felhalmozás!D198</f>
        <v>181.41200000000001</v>
      </c>
    </row>
    <row r="198" spans="2:4" ht="36" customHeight="1" x14ac:dyDescent="0.35">
      <c r="B198" s="2443"/>
      <c r="C198" s="2332" t="s">
        <v>1661</v>
      </c>
      <c r="D198" s="2352">
        <f>[8]felhalmozás!D199</f>
        <v>181.85400000000001</v>
      </c>
    </row>
    <row r="199" spans="2:4" ht="36" customHeight="1" x14ac:dyDescent="0.35">
      <c r="B199" s="2442"/>
      <c r="C199" s="2331" t="s">
        <v>1662</v>
      </c>
      <c r="D199" s="2350">
        <f>[8]felhalmozás!D200</f>
        <v>1138.97</v>
      </c>
    </row>
    <row r="200" spans="2:4" ht="36" customHeight="1" x14ac:dyDescent="0.35">
      <c r="B200" s="2442" t="s">
        <v>1338</v>
      </c>
      <c r="C200" s="2331" t="s">
        <v>1663</v>
      </c>
      <c r="D200" s="2350">
        <f>[8]felhalmozás!D201</f>
        <v>105.861</v>
      </c>
    </row>
    <row r="201" spans="2:4" ht="36" customHeight="1" x14ac:dyDescent="0.35">
      <c r="B201" s="2442" t="s">
        <v>1336</v>
      </c>
      <c r="C201" s="2331" t="s">
        <v>1664</v>
      </c>
      <c r="D201" s="2352">
        <f>[8]felhalmozás!D202</f>
        <v>8304.9680000000008</v>
      </c>
    </row>
    <row r="202" spans="2:4" ht="36" customHeight="1" x14ac:dyDescent="0.35">
      <c r="B202" s="2442"/>
      <c r="C202" s="2331" t="s">
        <v>1665</v>
      </c>
      <c r="D202" s="2350">
        <f>[8]felhalmozás!D203</f>
        <v>78.872</v>
      </c>
    </row>
    <row r="203" spans="2:4" ht="36" customHeight="1" x14ac:dyDescent="0.35">
      <c r="B203" s="2443"/>
      <c r="C203" s="2331" t="s">
        <v>1666</v>
      </c>
      <c r="D203" s="2350">
        <f>[8]felhalmozás!D204</f>
        <v>109.988</v>
      </c>
    </row>
    <row r="204" spans="2:4" ht="36" customHeight="1" x14ac:dyDescent="0.35">
      <c r="B204" s="2443"/>
      <c r="C204" s="2332" t="s">
        <v>1667</v>
      </c>
      <c r="D204" s="2352">
        <f>[8]felhalmozás!D205</f>
        <v>144.58600000000001</v>
      </c>
    </row>
    <row r="205" spans="2:4" ht="36" customHeight="1" x14ac:dyDescent="0.35">
      <c r="B205" s="2443"/>
      <c r="C205" s="2331" t="s">
        <v>1668</v>
      </c>
      <c r="D205" s="2352">
        <f>[8]felhalmozás!D206</f>
        <v>800.83</v>
      </c>
    </row>
    <row r="206" spans="2:4" ht="36" customHeight="1" x14ac:dyDescent="0.35">
      <c r="B206" s="2443"/>
      <c r="C206" s="2331" t="s">
        <v>1669</v>
      </c>
      <c r="D206" s="2352">
        <f>[8]felhalmozás!D207</f>
        <v>274.74099999999999</v>
      </c>
    </row>
    <row r="207" spans="2:4" ht="36" customHeight="1" x14ac:dyDescent="0.35">
      <c r="B207" s="2443"/>
      <c r="C207" s="2331" t="s">
        <v>1670</v>
      </c>
      <c r="D207" s="2352">
        <f>[8]felhalmozás!D208</f>
        <v>65.542000000000002</v>
      </c>
    </row>
    <row r="208" spans="2:4" ht="36" customHeight="1" x14ac:dyDescent="0.35">
      <c r="B208" s="2442" t="s">
        <v>1339</v>
      </c>
      <c r="C208" s="2331" t="s">
        <v>1671</v>
      </c>
      <c r="D208" s="2352">
        <f>[8]felhalmozás!D209</f>
        <v>30.988</v>
      </c>
    </row>
    <row r="209" spans="2:7" ht="36" customHeight="1" x14ac:dyDescent="0.35">
      <c r="B209" s="2443"/>
      <c r="C209" s="2331" t="s">
        <v>1672</v>
      </c>
      <c r="D209" s="2352">
        <f>[8]felhalmozás!D210</f>
        <v>92.840999999999994</v>
      </c>
    </row>
    <row r="210" spans="2:7" ht="36" customHeight="1" x14ac:dyDescent="0.35">
      <c r="B210" s="2443"/>
      <c r="C210" s="2332" t="s">
        <v>1673</v>
      </c>
      <c r="D210" s="2352">
        <f>[8]felhalmozás!D211</f>
        <v>80</v>
      </c>
    </row>
    <row r="211" spans="2:7" ht="36" customHeight="1" x14ac:dyDescent="0.35">
      <c r="B211" s="2442"/>
      <c r="C211" s="2331" t="s">
        <v>1669</v>
      </c>
      <c r="D211" s="2350">
        <f>[8]felhalmozás!D212</f>
        <v>42.087000000000003</v>
      </c>
    </row>
    <row r="212" spans="2:7" ht="36" customHeight="1" x14ac:dyDescent="0.35">
      <c r="B212" s="2442" t="s">
        <v>1674</v>
      </c>
      <c r="C212" s="2332" t="s">
        <v>1675</v>
      </c>
      <c r="D212" s="2352">
        <f>[8]felhalmozás!D213</f>
        <v>319.89999999999998</v>
      </c>
    </row>
    <row r="213" spans="2:7" ht="36" customHeight="1" x14ac:dyDescent="0.35">
      <c r="B213" s="2442"/>
      <c r="C213" s="2332" t="s">
        <v>1676</v>
      </c>
      <c r="D213" s="2352">
        <f>[8]felhalmozás!D214</f>
        <v>170.97300000000001</v>
      </c>
    </row>
    <row r="214" spans="2:7" ht="36" customHeight="1" x14ac:dyDescent="0.35">
      <c r="B214" s="2442" t="s">
        <v>1334</v>
      </c>
      <c r="C214" s="2332" t="s">
        <v>1677</v>
      </c>
      <c r="D214" s="2352">
        <f>[8]felhalmozás!D215</f>
        <v>127.569</v>
      </c>
    </row>
    <row r="215" spans="2:7" ht="36" customHeight="1" x14ac:dyDescent="0.35">
      <c r="B215" s="2442"/>
      <c r="C215" s="2331" t="s">
        <v>1678</v>
      </c>
      <c r="D215" s="2350">
        <f>[8]felhalmozás!D216</f>
        <v>152.99</v>
      </c>
    </row>
    <row r="216" spans="2:7" ht="36" customHeight="1" x14ac:dyDescent="0.35">
      <c r="B216" s="2442" t="s">
        <v>1679</v>
      </c>
      <c r="C216" s="2331" t="s">
        <v>1680</v>
      </c>
      <c r="D216" s="2350">
        <f>[8]felhalmozás!D217</f>
        <v>71.980999999999995</v>
      </c>
    </row>
    <row r="217" spans="2:7" ht="36" customHeight="1" x14ac:dyDescent="0.35">
      <c r="B217" s="2442" t="s">
        <v>1335</v>
      </c>
      <c r="C217" s="2331" t="s">
        <v>1681</v>
      </c>
      <c r="D217" s="2350">
        <f>[8]felhalmozás!D218</f>
        <v>106.9</v>
      </c>
    </row>
    <row r="218" spans="2:7" ht="36" customHeight="1" thickBot="1" x14ac:dyDescent="0.4">
      <c r="B218" s="2442"/>
      <c r="C218" s="2336" t="s">
        <v>1682</v>
      </c>
      <c r="D218" s="2352">
        <f>[8]felhalmozás!D219</f>
        <v>341.24099999999999</v>
      </c>
    </row>
    <row r="219" spans="2:7" ht="36" customHeight="1" thickBot="1" x14ac:dyDescent="0.4">
      <c r="B219" s="2337" t="s">
        <v>1575</v>
      </c>
      <c r="C219" s="2327"/>
      <c r="D219" s="2360">
        <f>SUM(D176:D218)</f>
        <v>25650.01200000001</v>
      </c>
    </row>
    <row r="220" spans="2:7" ht="36" customHeight="1" x14ac:dyDescent="0.4">
      <c r="B220" s="2444" t="s">
        <v>1342</v>
      </c>
      <c r="C220" s="2318"/>
      <c r="D220" s="2361"/>
      <c r="G220" s="2338"/>
    </row>
    <row r="221" spans="2:7" s="1933" customFormat="1" ht="36" customHeight="1" x14ac:dyDescent="0.35">
      <c r="B221" s="2441" t="s">
        <v>1343</v>
      </c>
      <c r="C221" s="2319" t="s">
        <v>1683</v>
      </c>
      <c r="D221" s="2362">
        <f>[8]felhalmozás!D222</f>
        <v>117</v>
      </c>
      <c r="E221" s="1916"/>
    </row>
    <row r="222" spans="2:7" s="1933" customFormat="1" ht="36" customHeight="1" x14ac:dyDescent="0.35">
      <c r="B222" s="2445"/>
      <c r="C222" s="2320" t="s">
        <v>1684</v>
      </c>
      <c r="D222" s="2362">
        <f>[8]felhalmozás!D223</f>
        <v>6354.8209999999999</v>
      </c>
    </row>
    <row r="223" spans="2:7" s="1933" customFormat="1" ht="36" customHeight="1" x14ac:dyDescent="0.35">
      <c r="B223" s="2445"/>
      <c r="C223" s="2319" t="s">
        <v>1685</v>
      </c>
      <c r="D223" s="2362">
        <f>[8]felhalmozás!D224</f>
        <v>1071.8800000000001</v>
      </c>
    </row>
    <row r="224" spans="2:7" s="1933" customFormat="1" ht="36" customHeight="1" x14ac:dyDescent="0.35">
      <c r="B224" s="2445"/>
      <c r="C224" s="2320" t="s">
        <v>1686</v>
      </c>
      <c r="D224" s="2362">
        <f>[8]felhalmozás!D225</f>
        <v>44.07</v>
      </c>
    </row>
    <row r="225" spans="2:4" s="1933" customFormat="1" ht="78.75" customHeight="1" thickBot="1" x14ac:dyDescent="0.4">
      <c r="B225" s="2445"/>
      <c r="C225" s="2339" t="s">
        <v>1687</v>
      </c>
      <c r="D225" s="2363">
        <f>[8]felhalmozás!D226</f>
        <v>435.86700000000002</v>
      </c>
    </row>
    <row r="226" spans="2:4" s="1933" customFormat="1" ht="33.75" customHeight="1" thickBot="1" x14ac:dyDescent="0.4">
      <c r="B226" s="2323" t="s">
        <v>1688</v>
      </c>
      <c r="C226" s="2340"/>
      <c r="D226" s="2355">
        <f>SUM(D221:D225)</f>
        <v>8023.6379999999999</v>
      </c>
    </row>
    <row r="227" spans="2:4" s="1933" customFormat="1" ht="36" customHeight="1" x14ac:dyDescent="0.35">
      <c r="B227" s="2439" t="s">
        <v>1689</v>
      </c>
      <c r="C227" s="2341" t="s">
        <v>1690</v>
      </c>
      <c r="D227" s="2350">
        <f>[8]felhalmozás!D228</f>
        <v>4495</v>
      </c>
    </row>
    <row r="228" spans="2:4" s="1933" customFormat="1" ht="36" customHeight="1" x14ac:dyDescent="0.35">
      <c r="B228" s="2439" t="s">
        <v>1691</v>
      </c>
      <c r="C228" s="2341" t="s">
        <v>1692</v>
      </c>
      <c r="D228" s="2350">
        <f>[8]felhalmozás!D229</f>
        <v>1524</v>
      </c>
    </row>
    <row r="229" spans="2:4" s="1933" customFormat="1" ht="36" customHeight="1" x14ac:dyDescent="0.35">
      <c r="B229" s="1944"/>
      <c r="C229" s="2320" t="s">
        <v>1693</v>
      </c>
      <c r="D229" s="2350">
        <f>[8]felhalmozás!D230</f>
        <v>8516</v>
      </c>
    </row>
    <row r="230" spans="2:4" s="1933" customFormat="1" ht="36" customHeight="1" x14ac:dyDescent="0.35">
      <c r="B230" s="1944"/>
      <c r="C230" s="2320" t="s">
        <v>1694</v>
      </c>
      <c r="D230" s="2350">
        <f>[8]felhalmozás!D231</f>
        <v>7348</v>
      </c>
    </row>
    <row r="231" spans="2:4" s="1933" customFormat="1" ht="36" customHeight="1" x14ac:dyDescent="0.35">
      <c r="B231" s="1944"/>
      <c r="C231" s="2320" t="s">
        <v>1695</v>
      </c>
      <c r="D231" s="2350">
        <f>[8]felhalmozás!D232</f>
        <v>1522</v>
      </c>
    </row>
    <row r="232" spans="2:4" s="1933" customFormat="1" ht="36" customHeight="1" x14ac:dyDescent="0.35">
      <c r="B232" s="1944"/>
      <c r="C232" s="2320" t="s">
        <v>1696</v>
      </c>
      <c r="D232" s="2350">
        <f>[8]felhalmozás!D233</f>
        <v>728</v>
      </c>
    </row>
    <row r="233" spans="2:4" s="1933" customFormat="1" ht="36" customHeight="1" x14ac:dyDescent="0.35">
      <c r="B233" s="1944"/>
      <c r="C233" s="2320" t="s">
        <v>1697</v>
      </c>
      <c r="D233" s="2350">
        <f>[8]felhalmozás!D234</f>
        <v>10048</v>
      </c>
    </row>
    <row r="234" spans="2:4" s="1933" customFormat="1" ht="36" customHeight="1" x14ac:dyDescent="0.35">
      <c r="B234" s="1944"/>
      <c r="C234" s="2320" t="s">
        <v>1698</v>
      </c>
      <c r="D234" s="2350">
        <f>[8]felhalmozás!D235</f>
        <v>2476</v>
      </c>
    </row>
    <row r="235" spans="2:4" s="1933" customFormat="1" ht="36" customHeight="1" x14ac:dyDescent="0.35">
      <c r="B235" s="1944"/>
      <c r="C235" s="2320" t="s">
        <v>1699</v>
      </c>
      <c r="D235" s="2350">
        <f>[8]felhalmozás!D236</f>
        <v>2306</v>
      </c>
    </row>
    <row r="236" spans="2:4" s="1933" customFormat="1" ht="36" customHeight="1" x14ac:dyDescent="0.35">
      <c r="B236" s="1944"/>
      <c r="C236" s="2320" t="s">
        <v>1700</v>
      </c>
      <c r="D236" s="2350">
        <f>[8]felhalmozás!D237</f>
        <v>1159</v>
      </c>
    </row>
    <row r="237" spans="2:4" s="1933" customFormat="1" ht="36" customHeight="1" x14ac:dyDescent="0.35">
      <c r="B237" s="1944"/>
      <c r="C237" s="2320" t="s">
        <v>1701</v>
      </c>
      <c r="D237" s="2350">
        <f>[8]felhalmozás!D238</f>
        <v>2161</v>
      </c>
    </row>
    <row r="238" spans="2:4" s="1933" customFormat="1" ht="52.5" customHeight="1" thickBot="1" x14ac:dyDescent="0.4">
      <c r="B238" s="1944"/>
      <c r="C238" s="2311" t="s">
        <v>1702</v>
      </c>
      <c r="D238" s="2350">
        <f>[8]felhalmozás!D239</f>
        <v>4213</v>
      </c>
    </row>
    <row r="239" spans="2:4" s="1933" customFormat="1" ht="36" customHeight="1" thickBot="1" x14ac:dyDescent="0.4">
      <c r="B239" s="2323" t="s">
        <v>1688</v>
      </c>
      <c r="C239" s="2342"/>
      <c r="D239" s="2364">
        <f>SUM(D227:D238)</f>
        <v>46496</v>
      </c>
    </row>
    <row r="240" spans="2:4" s="1933" customFormat="1" ht="36" customHeight="1" x14ac:dyDescent="0.35">
      <c r="B240" s="2446" t="s">
        <v>1345</v>
      </c>
      <c r="C240" s="2343"/>
      <c r="D240" s="2358"/>
    </row>
    <row r="241" spans="2:5" ht="36" customHeight="1" x14ac:dyDescent="0.35">
      <c r="B241" s="2447"/>
      <c r="C241" s="2319" t="s">
        <v>1703</v>
      </c>
      <c r="D241" s="2350">
        <f>[8]felhalmozás!D242</f>
        <v>83.058000000000007</v>
      </c>
    </row>
    <row r="242" spans="2:5" ht="36" customHeight="1" x14ac:dyDescent="0.35">
      <c r="B242" s="2448"/>
      <c r="C242" s="2320" t="s">
        <v>1704</v>
      </c>
      <c r="D242" s="2350">
        <f>[8]felhalmozás!D243</f>
        <v>175.45</v>
      </c>
    </row>
    <row r="243" spans="2:5" ht="105" customHeight="1" thickBot="1" x14ac:dyDescent="0.4">
      <c r="B243" s="2448"/>
      <c r="C243" s="2311" t="s">
        <v>1705</v>
      </c>
      <c r="D243" s="2350">
        <f>[8]felhalmozás!D244</f>
        <v>1023.254</v>
      </c>
    </row>
    <row r="244" spans="2:5" ht="36" customHeight="1" thickBot="1" x14ac:dyDescent="0.45">
      <c r="B244" s="2323" t="s">
        <v>1688</v>
      </c>
      <c r="C244" s="2315"/>
      <c r="D244" s="2364">
        <f>SUM(D241:D243)</f>
        <v>1281.7619999999999</v>
      </c>
    </row>
    <row r="245" spans="2:5" ht="36" customHeight="1" thickBot="1" x14ac:dyDescent="0.45">
      <c r="B245" s="2323" t="s">
        <v>1346</v>
      </c>
      <c r="C245" s="2315"/>
      <c r="D245" s="2355">
        <f>8024+46496+1282</f>
        <v>55802</v>
      </c>
      <c r="E245" s="1933"/>
    </row>
    <row r="246" spans="2:5" s="1933" customFormat="1" ht="36" customHeight="1" thickBot="1" x14ac:dyDescent="0.45">
      <c r="B246" s="2323" t="s">
        <v>1347</v>
      </c>
      <c r="C246" s="2315"/>
      <c r="D246" s="2355">
        <f>D141+D158+D173+D219+D245</f>
        <v>198812.30800000002</v>
      </c>
      <c r="E246" s="1916"/>
    </row>
    <row r="247" spans="2:5" ht="36" customHeight="1" thickBot="1" x14ac:dyDescent="0.4">
      <c r="B247" s="2344" t="s">
        <v>1348</v>
      </c>
      <c r="C247" s="2345"/>
      <c r="D247" s="2365">
        <f>D85+D246</f>
        <v>266408.30800000002</v>
      </c>
      <c r="E247" s="1933"/>
    </row>
    <row r="248" spans="2:5" ht="33.75" customHeight="1" x14ac:dyDescent="0.35">
      <c r="C248" s="1943"/>
    </row>
  </sheetData>
  <mergeCells count="3">
    <mergeCell ref="B3:D3"/>
    <mergeCell ref="B4:D4"/>
    <mergeCell ref="B32:B37"/>
  </mergeCells>
  <printOptions horizontalCentered="1" verticalCentered="1"/>
  <pageMargins left="0.39370078740157483" right="0" top="0.39370078740157483" bottom="7.874015748031496E-2" header="0.31496062992125984" footer="0.31496062992125984"/>
  <pageSetup paperSize="9" scale="35" orientation="portrait" r:id="rId1"/>
  <headerFooter alignWithMargins="0">
    <oddHeader>&amp;R&amp;"Arial CE,Félkövér"&amp;28 &amp;24 &amp;22 29. melléklet a …../2020. (…….) önkormányzati rendelethez</oddHeader>
  </headerFooter>
  <rowBreaks count="5" manualBreakCount="5">
    <brk id="51" min="1" max="3" man="1"/>
    <brk id="85" min="1" max="3" man="1"/>
    <brk id="121" min="1" max="3" man="1"/>
    <brk id="158" min="1" max="3" man="1"/>
    <brk id="219" min="1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0"/>
  <sheetViews>
    <sheetView zoomScale="75" zoomScaleNormal="75" zoomScaleSheetLayoutView="75" workbookViewId="0">
      <selection activeCell="J20" sqref="J20"/>
    </sheetView>
  </sheetViews>
  <sheetFormatPr defaultColWidth="9.33203125" defaultRowHeight="21" customHeight="1" x14ac:dyDescent="0.3"/>
  <cols>
    <col min="1" max="1" width="19" style="68" customWidth="1"/>
    <col min="2" max="2" width="5" style="140" customWidth="1"/>
    <col min="3" max="3" width="5.6640625" style="140" customWidth="1"/>
    <col min="4" max="5" width="2.33203125" style="140" customWidth="1"/>
    <col min="6" max="6" width="164.6640625" style="140" customWidth="1"/>
    <col min="7" max="9" width="25.83203125" style="140" customWidth="1"/>
    <col min="10" max="10" width="31.1640625" style="140" customWidth="1"/>
    <col min="11" max="11" width="16.6640625" style="5" bestFit="1" customWidth="1"/>
    <col min="12" max="12" width="24.6640625" style="1129" customWidth="1"/>
    <col min="13" max="13" width="25.5" style="156" bestFit="1" customWidth="1"/>
    <col min="14" max="14" width="37.83203125" style="157" customWidth="1"/>
    <col min="15" max="15" width="24.1640625" style="157" customWidth="1"/>
    <col min="16" max="16" width="10.1640625" style="157" bestFit="1" customWidth="1"/>
    <col min="17" max="17" width="9.33203125" style="10"/>
    <col min="18" max="18" width="16.83203125" style="10" bestFit="1" customWidth="1"/>
    <col min="19" max="16384" width="9.33203125" style="10"/>
  </cols>
  <sheetData>
    <row r="1" spans="1:16" ht="21" customHeight="1" x14ac:dyDescent="0.3">
      <c r="B1" s="2633"/>
      <c r="C1" s="2633"/>
      <c r="D1" s="2633"/>
      <c r="E1" s="2633"/>
      <c r="F1" s="2633"/>
    </row>
    <row r="2" spans="1:16" ht="24.75" customHeight="1" x14ac:dyDescent="0.4">
      <c r="B2" s="2641" t="s">
        <v>321</v>
      </c>
      <c r="C2" s="2641"/>
      <c r="D2" s="2641"/>
      <c r="E2" s="2641"/>
      <c r="F2" s="2641"/>
      <c r="G2" s="2641"/>
      <c r="H2" s="2641"/>
      <c r="I2" s="2641"/>
      <c r="J2" s="2641"/>
    </row>
    <row r="3" spans="1:16" ht="24.75" customHeight="1" x14ac:dyDescent="0.3">
      <c r="B3" s="138"/>
      <c r="C3" s="138"/>
      <c r="D3" s="138"/>
      <c r="E3" s="138"/>
      <c r="F3" s="138"/>
    </row>
    <row r="4" spans="1:16" ht="24.75" customHeight="1" thickBot="1" x14ac:dyDescent="0.35">
      <c r="C4" s="141"/>
      <c r="D4" s="141"/>
      <c r="E4" s="141"/>
      <c r="F4" s="142"/>
      <c r="J4" s="40" t="s">
        <v>26</v>
      </c>
    </row>
    <row r="5" spans="1:16" ht="29.25" customHeight="1" x14ac:dyDescent="0.3">
      <c r="B5" s="169"/>
      <c r="C5" s="170"/>
      <c r="D5" s="170"/>
      <c r="E5" s="170"/>
      <c r="F5" s="171" t="s">
        <v>42</v>
      </c>
      <c r="G5" s="2637" t="s">
        <v>517</v>
      </c>
      <c r="H5" s="2638"/>
      <c r="I5" s="172" t="s">
        <v>685</v>
      </c>
      <c r="J5" s="173" t="s">
        <v>139</v>
      </c>
    </row>
    <row r="6" spans="1:16" ht="29.25" customHeight="1" thickBot="1" x14ac:dyDescent="0.35">
      <c r="B6" s="174"/>
      <c r="C6" s="175"/>
      <c r="D6" s="175"/>
      <c r="E6" s="175"/>
      <c r="F6" s="176"/>
      <c r="G6" s="177" t="s">
        <v>264</v>
      </c>
      <c r="H6" s="178" t="s">
        <v>137</v>
      </c>
      <c r="I6" s="179" t="s">
        <v>138</v>
      </c>
      <c r="J6" s="180" t="s">
        <v>140</v>
      </c>
    </row>
    <row r="7" spans="1:16" ht="29.25" customHeight="1" x14ac:dyDescent="0.3">
      <c r="B7" s="181" t="s">
        <v>325</v>
      </c>
      <c r="C7" s="182"/>
      <c r="D7" s="183"/>
      <c r="E7" s="183"/>
      <c r="F7" s="184"/>
      <c r="G7" s="439"/>
      <c r="H7" s="185"/>
      <c r="I7" s="185"/>
      <c r="J7" s="292"/>
    </row>
    <row r="8" spans="1:16" s="51" customFormat="1" ht="29.25" customHeight="1" x14ac:dyDescent="0.3">
      <c r="A8" s="445"/>
      <c r="B8" s="186"/>
      <c r="C8" s="188" t="s">
        <v>489</v>
      </c>
      <c r="D8" s="188"/>
      <c r="E8" s="188"/>
      <c r="F8" s="517"/>
      <c r="G8" s="192">
        <v>90</v>
      </c>
      <c r="H8" s="194">
        <v>17648</v>
      </c>
      <c r="I8" s="518">
        <v>17648</v>
      </c>
      <c r="J8" s="265">
        <f t="shared" ref="J8:J15" si="0">+I8/H8*100</f>
        <v>100</v>
      </c>
      <c r="K8" s="114"/>
      <c r="L8" s="1130"/>
      <c r="M8" s="408"/>
      <c r="N8" s="409"/>
      <c r="O8" s="408"/>
      <c r="P8" s="158"/>
    </row>
    <row r="9" spans="1:16" s="51" customFormat="1" ht="29.25" customHeight="1" x14ac:dyDescent="0.3">
      <c r="A9" s="72"/>
      <c r="B9" s="186"/>
      <c r="C9" s="609"/>
      <c r="D9" s="597"/>
      <c r="E9" s="597"/>
      <c r="F9" s="580" t="s">
        <v>567</v>
      </c>
      <c r="G9" s="610"/>
      <c r="H9" s="611">
        <v>1958</v>
      </c>
      <c r="I9" s="612">
        <v>1958</v>
      </c>
      <c r="J9" s="207">
        <f t="shared" si="0"/>
        <v>100</v>
      </c>
      <c r="K9" s="114"/>
      <c r="L9" s="1130"/>
      <c r="M9" s="408"/>
      <c r="N9" s="160"/>
      <c r="O9" s="159"/>
      <c r="P9" s="158"/>
    </row>
    <row r="10" spans="1:16" s="51" customFormat="1" ht="29.25" customHeight="1" x14ac:dyDescent="0.3">
      <c r="A10" s="72"/>
      <c r="B10" s="186"/>
      <c r="C10" s="189"/>
      <c r="D10" s="540"/>
      <c r="E10" s="540"/>
      <c r="F10" s="579" t="s">
        <v>568</v>
      </c>
      <c r="G10" s="541"/>
      <c r="H10" s="542">
        <v>15600</v>
      </c>
      <c r="I10" s="543">
        <v>15600</v>
      </c>
      <c r="J10" s="207">
        <f t="shared" si="0"/>
        <v>100</v>
      </c>
      <c r="K10" s="114"/>
      <c r="L10" s="1130"/>
      <c r="M10" s="408"/>
      <c r="N10" s="160"/>
      <c r="O10" s="159"/>
      <c r="P10" s="158"/>
    </row>
    <row r="11" spans="1:16" s="51" customFormat="1" ht="29.25" customHeight="1" x14ac:dyDescent="0.3">
      <c r="A11" s="445"/>
      <c r="B11" s="186"/>
      <c r="C11" s="544" t="s">
        <v>490</v>
      </c>
      <c r="D11" s="544"/>
      <c r="E11" s="544"/>
      <c r="F11" s="545"/>
      <c r="G11" s="546">
        <v>1589172</v>
      </c>
      <c r="H11" s="547">
        <v>1633494</v>
      </c>
      <c r="I11" s="548">
        <v>1633494</v>
      </c>
      <c r="J11" s="549">
        <f t="shared" si="0"/>
        <v>100</v>
      </c>
      <c r="K11" s="114"/>
      <c r="L11" s="1130"/>
      <c r="M11" s="408"/>
      <c r="N11" s="409"/>
      <c r="O11" s="408"/>
      <c r="P11" s="158"/>
    </row>
    <row r="12" spans="1:16" s="51" customFormat="1" ht="51" customHeight="1" x14ac:dyDescent="0.3">
      <c r="A12" s="519"/>
      <c r="B12" s="186"/>
      <c r="C12" s="2634" t="s">
        <v>491</v>
      </c>
      <c r="D12" s="2635"/>
      <c r="E12" s="2635"/>
      <c r="F12" s="2636"/>
      <c r="G12" s="192">
        <v>1299918</v>
      </c>
      <c r="H12" s="194">
        <v>1501525</v>
      </c>
      <c r="I12" s="518">
        <v>1501525</v>
      </c>
      <c r="J12" s="265">
        <f t="shared" si="0"/>
        <v>100</v>
      </c>
      <c r="K12" s="114"/>
      <c r="L12" s="1130"/>
      <c r="M12" s="408"/>
      <c r="N12" s="409"/>
      <c r="O12" s="409"/>
      <c r="P12" s="158"/>
    </row>
    <row r="13" spans="1:16" s="51" customFormat="1" ht="30" customHeight="1" x14ac:dyDescent="0.3">
      <c r="A13" s="444"/>
      <c r="B13" s="186"/>
      <c r="C13" s="189"/>
      <c r="D13" s="596" t="s">
        <v>467</v>
      </c>
      <c r="E13" s="540"/>
      <c r="F13" s="596"/>
      <c r="G13" s="192"/>
      <c r="H13" s="190"/>
      <c r="I13" s="190"/>
      <c r="J13" s="191"/>
      <c r="K13" s="114"/>
      <c r="L13" s="1130"/>
      <c r="M13" s="408"/>
      <c r="N13" s="160"/>
      <c r="O13" s="160"/>
      <c r="P13" s="158"/>
    </row>
    <row r="14" spans="1:16" s="51" customFormat="1" ht="30" customHeight="1" x14ac:dyDescent="0.3">
      <c r="A14" s="444"/>
      <c r="B14" s="186"/>
      <c r="C14" s="189"/>
      <c r="D14" s="597"/>
      <c r="E14" s="597"/>
      <c r="F14" s="580" t="s">
        <v>500</v>
      </c>
      <c r="G14" s="192"/>
      <c r="H14" s="190">
        <v>135440</v>
      </c>
      <c r="I14" s="190">
        <v>135440</v>
      </c>
      <c r="J14" s="191">
        <f t="shared" si="0"/>
        <v>100</v>
      </c>
      <c r="K14" s="114"/>
      <c r="L14" s="1130"/>
      <c r="M14" s="408"/>
      <c r="N14" s="160"/>
      <c r="O14" s="160"/>
      <c r="P14" s="158"/>
    </row>
    <row r="15" spans="1:16" s="51" customFormat="1" ht="51" customHeight="1" x14ac:dyDescent="0.3">
      <c r="A15" s="444"/>
      <c r="B15" s="186"/>
      <c r="C15" s="544" t="s">
        <v>492</v>
      </c>
      <c r="D15" s="552"/>
      <c r="E15" s="553"/>
      <c r="F15" s="554"/>
      <c r="G15" s="546">
        <f>+G8+G11+G12</f>
        <v>2889180</v>
      </c>
      <c r="H15" s="547">
        <f>+H8+H11+H12</f>
        <v>3152667</v>
      </c>
      <c r="I15" s="546">
        <f>+I8+I11+I12</f>
        <v>3152667</v>
      </c>
      <c r="J15" s="562">
        <f t="shared" si="0"/>
        <v>100</v>
      </c>
      <c r="K15" s="114"/>
      <c r="L15" s="1130"/>
      <c r="M15" s="408"/>
      <c r="N15" s="160"/>
      <c r="O15" s="160"/>
      <c r="P15" s="158"/>
    </row>
    <row r="16" spans="1:16" s="51" customFormat="1" ht="29.25" customHeight="1" x14ac:dyDescent="0.3">
      <c r="A16" s="444"/>
      <c r="B16" s="186"/>
      <c r="C16" s="161" t="s">
        <v>152</v>
      </c>
      <c r="D16" s="550"/>
      <c r="E16" s="550"/>
      <c r="F16" s="551"/>
      <c r="G16" s="192"/>
      <c r="H16" s="194"/>
      <c r="I16" s="194"/>
      <c r="J16" s="193"/>
      <c r="K16" s="114"/>
      <c r="L16" s="1130"/>
      <c r="M16" s="408"/>
      <c r="N16" s="160"/>
      <c r="O16" s="160"/>
      <c r="P16" s="158"/>
    </row>
    <row r="17" spans="1:16" ht="29.25" customHeight="1" x14ac:dyDescent="0.3">
      <c r="A17" s="72"/>
      <c r="B17" s="195"/>
      <c r="C17" s="163"/>
      <c r="D17" s="196" t="s">
        <v>326</v>
      </c>
      <c r="E17" s="197"/>
      <c r="F17" s="198"/>
      <c r="G17" s="199">
        <v>125000</v>
      </c>
      <c r="H17" s="200">
        <v>125000</v>
      </c>
      <c r="I17" s="200">
        <v>125000</v>
      </c>
      <c r="J17" s="191">
        <f t="shared" ref="J17:J21" si="1">+I17/H17*100</f>
        <v>100</v>
      </c>
      <c r="K17" s="114"/>
      <c r="L17" s="1130"/>
      <c r="M17" s="408"/>
      <c r="N17" s="160"/>
      <c r="O17" s="159"/>
    </row>
    <row r="18" spans="1:16" ht="29.25" customHeight="1" x14ac:dyDescent="0.3">
      <c r="A18" s="72"/>
      <c r="B18" s="195"/>
      <c r="C18" s="163"/>
      <c r="D18" s="2935" t="s">
        <v>327</v>
      </c>
      <c r="E18" s="197"/>
      <c r="F18" s="198"/>
      <c r="G18" s="199">
        <v>83400</v>
      </c>
      <c r="H18" s="200">
        <v>83400</v>
      </c>
      <c r="I18" s="200">
        <v>83400</v>
      </c>
      <c r="J18" s="191">
        <f t="shared" si="1"/>
        <v>100</v>
      </c>
      <c r="K18" s="114"/>
      <c r="L18" s="1130"/>
      <c r="M18" s="408"/>
      <c r="N18" s="160"/>
      <c r="O18" s="159"/>
    </row>
    <row r="19" spans="1:16" ht="29.25" customHeight="1" x14ac:dyDescent="0.3">
      <c r="A19" s="72"/>
      <c r="B19" s="195"/>
      <c r="C19" s="163"/>
      <c r="D19" s="196" t="s">
        <v>328</v>
      </c>
      <c r="E19" s="197"/>
      <c r="F19" s="198"/>
      <c r="G19" s="199">
        <v>42400</v>
      </c>
      <c r="H19" s="200">
        <v>42400</v>
      </c>
      <c r="I19" s="200">
        <v>42400</v>
      </c>
      <c r="J19" s="191">
        <f t="shared" si="1"/>
        <v>100</v>
      </c>
      <c r="K19" s="114"/>
      <c r="L19" s="1130"/>
      <c r="M19" s="408"/>
      <c r="N19" s="160"/>
      <c r="O19" s="159"/>
    </row>
    <row r="20" spans="1:16" ht="29.25" customHeight="1" x14ac:dyDescent="0.3">
      <c r="A20" s="72"/>
      <c r="B20" s="195"/>
      <c r="C20" s="163"/>
      <c r="D20" s="196" t="s">
        <v>330</v>
      </c>
      <c r="E20" s="197"/>
      <c r="F20" s="198"/>
      <c r="G20" s="199">
        <v>28200</v>
      </c>
      <c r="H20" s="200">
        <v>28200</v>
      </c>
      <c r="I20" s="200">
        <v>28200</v>
      </c>
      <c r="J20" s="191">
        <f t="shared" si="1"/>
        <v>100</v>
      </c>
      <c r="K20" s="114"/>
      <c r="L20" s="1130"/>
      <c r="M20" s="408"/>
      <c r="N20" s="160"/>
      <c r="O20" s="159"/>
    </row>
    <row r="21" spans="1:16" ht="29.25" customHeight="1" x14ac:dyDescent="0.3">
      <c r="A21" s="72"/>
      <c r="B21" s="195"/>
      <c r="C21" s="163"/>
      <c r="D21" s="197" t="s">
        <v>331</v>
      </c>
      <c r="E21" s="197"/>
      <c r="F21" s="198"/>
      <c r="G21" s="202">
        <v>245000</v>
      </c>
      <c r="H21" s="203">
        <v>245000</v>
      </c>
      <c r="I21" s="203">
        <v>245000</v>
      </c>
      <c r="J21" s="191">
        <f t="shared" si="1"/>
        <v>100</v>
      </c>
      <c r="K21" s="114"/>
      <c r="L21" s="1130"/>
      <c r="M21" s="408"/>
      <c r="N21" s="160"/>
      <c r="O21" s="159"/>
    </row>
    <row r="22" spans="1:16" ht="51" customHeight="1" x14ac:dyDescent="0.3">
      <c r="A22" s="72"/>
      <c r="B22" s="195"/>
      <c r="C22" s="163"/>
      <c r="D22" s="2639" t="s">
        <v>288</v>
      </c>
      <c r="E22" s="2639"/>
      <c r="F22" s="2640"/>
      <c r="G22" s="199">
        <v>147600</v>
      </c>
      <c r="H22" s="200">
        <v>147600</v>
      </c>
      <c r="I22" s="200">
        <v>147600</v>
      </c>
      <c r="J22" s="191">
        <f t="shared" ref="J22:J28" si="2">+I22/H22*100</f>
        <v>100</v>
      </c>
      <c r="K22" s="114"/>
      <c r="L22" s="1130"/>
      <c r="M22" s="408"/>
      <c r="N22" s="160"/>
      <c r="O22" s="159"/>
    </row>
    <row r="23" spans="1:16" ht="51" customHeight="1" x14ac:dyDescent="0.3">
      <c r="A23" s="72"/>
      <c r="B23" s="195"/>
      <c r="C23" s="163"/>
      <c r="D23" s="2639" t="s">
        <v>289</v>
      </c>
      <c r="E23" s="2639"/>
      <c r="F23" s="2640"/>
      <c r="G23" s="201">
        <v>150000</v>
      </c>
      <c r="H23" s="200">
        <v>150000</v>
      </c>
      <c r="I23" s="200">
        <v>150000</v>
      </c>
      <c r="J23" s="191">
        <f t="shared" si="2"/>
        <v>100</v>
      </c>
      <c r="K23" s="114"/>
      <c r="L23" s="1130"/>
      <c r="M23" s="408"/>
      <c r="N23" s="160"/>
      <c r="O23" s="159"/>
    </row>
    <row r="24" spans="1:16" ht="29.25" customHeight="1" x14ac:dyDescent="0.3">
      <c r="A24" s="72"/>
      <c r="B24" s="195"/>
      <c r="C24" s="163"/>
      <c r="D24" s="197" t="s">
        <v>290</v>
      </c>
      <c r="E24" s="197"/>
      <c r="F24" s="198"/>
      <c r="G24" s="199">
        <v>140709</v>
      </c>
      <c r="H24" s="200">
        <v>140709</v>
      </c>
      <c r="I24" s="200">
        <v>140709</v>
      </c>
      <c r="J24" s="191">
        <f t="shared" si="2"/>
        <v>100</v>
      </c>
      <c r="K24" s="114"/>
      <c r="L24" s="1130"/>
      <c r="M24" s="408"/>
      <c r="N24" s="160"/>
      <c r="O24" s="159"/>
    </row>
    <row r="25" spans="1:16" ht="29.25" customHeight="1" x14ac:dyDescent="0.3">
      <c r="A25" s="72"/>
      <c r="B25" s="195"/>
      <c r="C25" s="163"/>
      <c r="D25" s="197" t="s">
        <v>291</v>
      </c>
      <c r="E25" s="197"/>
      <c r="F25" s="198"/>
      <c r="G25" s="199">
        <v>34744</v>
      </c>
      <c r="H25" s="200">
        <v>34744</v>
      </c>
      <c r="I25" s="200">
        <v>34744</v>
      </c>
      <c r="J25" s="191">
        <f t="shared" si="2"/>
        <v>100</v>
      </c>
      <c r="K25" s="114"/>
      <c r="L25" s="1130"/>
      <c r="M25" s="408"/>
      <c r="N25" s="160"/>
      <c r="O25" s="159"/>
    </row>
    <row r="26" spans="1:16" ht="29.25" customHeight="1" x14ac:dyDescent="0.3">
      <c r="A26" s="72"/>
      <c r="B26" s="195"/>
      <c r="C26" s="163"/>
      <c r="D26" s="201" t="s">
        <v>715</v>
      </c>
      <c r="E26" s="197"/>
      <c r="F26" s="198"/>
      <c r="G26" s="199"/>
      <c r="H26" s="200">
        <v>1419</v>
      </c>
      <c r="I26" s="200">
        <v>1419</v>
      </c>
      <c r="J26" s="191">
        <f t="shared" si="2"/>
        <v>100</v>
      </c>
      <c r="K26" s="114"/>
      <c r="L26" s="1130"/>
      <c r="M26" s="408"/>
      <c r="N26" s="160"/>
      <c r="O26" s="160"/>
    </row>
    <row r="27" spans="1:16" ht="29.25" customHeight="1" x14ac:dyDescent="0.3">
      <c r="A27" s="72"/>
      <c r="B27" s="195"/>
      <c r="C27" s="163"/>
      <c r="D27" s="555" t="s">
        <v>434</v>
      </c>
      <c r="E27" s="210"/>
      <c r="F27" s="224"/>
      <c r="G27" s="538"/>
      <c r="H27" s="406">
        <v>79973</v>
      </c>
      <c r="I27" s="538">
        <v>79973</v>
      </c>
      <c r="J27" s="539">
        <f t="shared" si="2"/>
        <v>100</v>
      </c>
      <c r="K27" s="114"/>
      <c r="L27" s="1130"/>
      <c r="M27" s="408"/>
      <c r="N27" s="160"/>
      <c r="O27" s="160"/>
    </row>
    <row r="28" spans="1:16" s="18" customFormat="1" ht="29.25" customHeight="1" x14ac:dyDescent="0.3">
      <c r="A28" s="445"/>
      <c r="B28" s="407"/>
      <c r="C28" s="556" t="s">
        <v>405</v>
      </c>
      <c r="D28" s="557"/>
      <c r="E28" s="558"/>
      <c r="F28" s="559"/>
      <c r="G28" s="560">
        <f>SUM(G17:G26)</f>
        <v>997053</v>
      </c>
      <c r="H28" s="561">
        <f>SUM(H17:H27)</f>
        <v>1078445</v>
      </c>
      <c r="I28" s="560">
        <f>SUM(I17:I27)</f>
        <v>1078445</v>
      </c>
      <c r="J28" s="562">
        <f t="shared" si="2"/>
        <v>100</v>
      </c>
      <c r="K28" s="114"/>
      <c r="L28" s="1130"/>
      <c r="M28" s="408"/>
      <c r="N28" s="409"/>
      <c r="O28" s="409"/>
      <c r="P28" s="165"/>
    </row>
    <row r="29" spans="1:16" s="50" customFormat="1" ht="29.25" customHeight="1" x14ac:dyDescent="0.3">
      <c r="A29" s="73"/>
      <c r="B29" s="186"/>
      <c r="C29" s="188" t="s">
        <v>182</v>
      </c>
      <c r="D29" s="188"/>
      <c r="E29" s="188"/>
      <c r="F29" s="517"/>
      <c r="G29" s="192"/>
      <c r="H29" s="194"/>
      <c r="I29" s="194"/>
      <c r="J29" s="193"/>
      <c r="K29" s="114"/>
      <c r="L29" s="1130"/>
      <c r="M29" s="408"/>
      <c r="N29" s="160"/>
      <c r="O29" s="160"/>
      <c r="P29" s="161"/>
    </row>
    <row r="30" spans="1:16" ht="29.25" customHeight="1" x14ac:dyDescent="0.3">
      <c r="A30" s="72"/>
      <c r="B30" s="195"/>
      <c r="C30" s="204"/>
      <c r="D30" s="205" t="s">
        <v>716</v>
      </c>
      <c r="E30" s="205"/>
      <c r="F30" s="206"/>
      <c r="G30" s="202"/>
      <c r="H30" s="203">
        <v>117762</v>
      </c>
      <c r="I30" s="203">
        <v>117762</v>
      </c>
      <c r="J30" s="207">
        <f t="shared" ref="J30:J37" si="3">+I30/H30*100</f>
        <v>100</v>
      </c>
      <c r="K30" s="114"/>
      <c r="L30" s="1130"/>
      <c r="M30" s="408"/>
      <c r="N30" s="160"/>
      <c r="O30" s="160"/>
    </row>
    <row r="31" spans="1:16" ht="29.25" customHeight="1" x14ac:dyDescent="0.3">
      <c r="A31" s="72"/>
      <c r="B31" s="195"/>
      <c r="C31" s="204"/>
      <c r="D31" s="582" t="s">
        <v>717</v>
      </c>
      <c r="E31" s="208"/>
      <c r="F31" s="209"/>
      <c r="G31" s="199"/>
      <c r="H31" s="200">
        <v>900</v>
      </c>
      <c r="I31" s="200">
        <v>900</v>
      </c>
      <c r="J31" s="207">
        <f t="shared" si="3"/>
        <v>100</v>
      </c>
      <c r="K31" s="114"/>
      <c r="L31" s="1130"/>
      <c r="M31" s="408"/>
      <c r="N31" s="160"/>
      <c r="O31" s="160"/>
    </row>
    <row r="32" spans="1:16" ht="29.25" customHeight="1" x14ac:dyDescent="0.3">
      <c r="A32" s="72"/>
      <c r="B32" s="195"/>
      <c r="C32" s="204"/>
      <c r="D32" s="266" t="s">
        <v>689</v>
      </c>
      <c r="E32" s="266"/>
      <c r="F32" s="1151"/>
      <c r="G32" s="538"/>
      <c r="H32" s="406">
        <v>26358</v>
      </c>
      <c r="I32" s="538">
        <v>26358</v>
      </c>
      <c r="J32" s="207">
        <f t="shared" si="3"/>
        <v>100</v>
      </c>
      <c r="K32" s="114"/>
      <c r="L32" s="1130"/>
      <c r="M32" s="408"/>
      <c r="N32" s="160"/>
      <c r="O32" s="160"/>
    </row>
    <row r="33" spans="1:16" s="50" customFormat="1" ht="29.25" customHeight="1" x14ac:dyDescent="0.3">
      <c r="A33" s="73"/>
      <c r="B33" s="186"/>
      <c r="C33" s="544" t="s">
        <v>406</v>
      </c>
      <c r="D33" s="544"/>
      <c r="E33" s="544"/>
      <c r="F33" s="545"/>
      <c r="G33" s="546">
        <f>SUM(G30:G31)</f>
        <v>0</v>
      </c>
      <c r="H33" s="547">
        <f>SUM(H30:H32)</f>
        <v>145020</v>
      </c>
      <c r="I33" s="546">
        <f>SUM(I30:I32)</f>
        <v>145020</v>
      </c>
      <c r="J33" s="562">
        <f t="shared" si="3"/>
        <v>100</v>
      </c>
      <c r="K33" s="114"/>
      <c r="L33" s="1130"/>
      <c r="M33" s="408"/>
      <c r="N33" s="160"/>
      <c r="O33" s="160"/>
      <c r="P33" s="161"/>
    </row>
    <row r="34" spans="1:16" s="33" customFormat="1" ht="29.25" customHeight="1" x14ac:dyDescent="0.3">
      <c r="A34" s="445"/>
      <c r="B34" s="212"/>
      <c r="C34" s="188" t="s">
        <v>183</v>
      </c>
      <c r="D34" s="563"/>
      <c r="E34" s="564"/>
      <c r="F34" s="565"/>
      <c r="G34" s="566"/>
      <c r="H34" s="518"/>
      <c r="I34" s="518"/>
      <c r="J34" s="193"/>
      <c r="K34" s="114"/>
      <c r="L34" s="1130"/>
      <c r="M34" s="408"/>
      <c r="N34" s="160"/>
      <c r="O34" s="160"/>
      <c r="P34" s="162"/>
    </row>
    <row r="35" spans="1:16" ht="29.25" customHeight="1" x14ac:dyDescent="0.3">
      <c r="B35" s="213"/>
      <c r="C35" s="211" t="s">
        <v>480</v>
      </c>
      <c r="D35" s="567"/>
      <c r="E35" s="567"/>
      <c r="F35" s="568"/>
      <c r="G35" s="569"/>
      <c r="H35" s="243"/>
      <c r="I35" s="243">
        <v>0</v>
      </c>
      <c r="J35" s="570"/>
      <c r="L35" s="1130"/>
      <c r="M35" s="408"/>
      <c r="N35" s="160"/>
      <c r="O35" s="159"/>
    </row>
    <row r="36" spans="1:16" s="18" customFormat="1" ht="29.25" customHeight="1" thickBot="1" x14ac:dyDescent="0.35">
      <c r="A36" s="446"/>
      <c r="B36" s="215"/>
      <c r="C36" s="571" t="s">
        <v>407</v>
      </c>
      <c r="D36" s="257"/>
      <c r="E36" s="257"/>
      <c r="F36" s="572"/>
      <c r="G36" s="573">
        <f>SUM(G35)</f>
        <v>0</v>
      </c>
      <c r="H36" s="258">
        <f t="shared" ref="H36:I36" si="4">SUM(H35)</f>
        <v>0</v>
      </c>
      <c r="I36" s="573">
        <f t="shared" si="4"/>
        <v>0</v>
      </c>
      <c r="J36" s="275"/>
      <c r="K36" s="147"/>
      <c r="L36" s="1130"/>
      <c r="M36" s="408"/>
      <c r="N36" s="409"/>
      <c r="O36" s="408"/>
      <c r="P36" s="165"/>
    </row>
    <row r="37" spans="1:16" s="18" customFormat="1" ht="29.25" customHeight="1" thickBot="1" x14ac:dyDescent="0.35">
      <c r="A37" s="446"/>
      <c r="B37" s="215" t="s">
        <v>408</v>
      </c>
      <c r="C37" s="416" t="s">
        <v>151</v>
      </c>
      <c r="D37" s="417"/>
      <c r="E37" s="417"/>
      <c r="F37" s="418"/>
      <c r="G37" s="419">
        <f>+G15+G28+G33+G36</f>
        <v>3886233</v>
      </c>
      <c r="H37" s="419">
        <f>+H15+H28+H33+H36</f>
        <v>4376132</v>
      </c>
      <c r="I37" s="419">
        <f>+I15+I28+I33+I36</f>
        <v>4376132</v>
      </c>
      <c r="J37" s="415">
        <f t="shared" si="3"/>
        <v>100</v>
      </c>
      <c r="K37" s="147"/>
      <c r="L37" s="1130"/>
      <c r="M37" s="408"/>
      <c r="N37" s="409"/>
      <c r="O37" s="408"/>
      <c r="P37" s="165"/>
    </row>
    <row r="38" spans="1:16" ht="29.25" customHeight="1" thickBot="1" x14ac:dyDescent="0.35">
      <c r="B38" s="213"/>
      <c r="C38" s="423" t="s">
        <v>410</v>
      </c>
      <c r="D38" s="410"/>
      <c r="E38" s="410"/>
      <c r="F38" s="411"/>
      <c r="G38" s="412"/>
      <c r="H38" s="404"/>
      <c r="I38" s="413"/>
      <c r="J38" s="214"/>
      <c r="L38" s="1130"/>
      <c r="M38" s="408"/>
      <c r="N38" s="160"/>
      <c r="O38" s="159"/>
    </row>
    <row r="39" spans="1:16" s="18" customFormat="1" ht="29.25" customHeight="1" thickBot="1" x14ac:dyDescent="0.35">
      <c r="A39" s="446"/>
      <c r="B39" s="215" t="s">
        <v>409</v>
      </c>
      <c r="C39" s="187" t="s">
        <v>164</v>
      </c>
      <c r="D39" s="183"/>
      <c r="E39" s="183"/>
      <c r="F39" s="418"/>
      <c r="G39" s="421">
        <f>SUM(G38)</f>
        <v>0</v>
      </c>
      <c r="H39" s="420">
        <f t="shared" ref="H39:I39" si="5">SUM(H38)</f>
        <v>0</v>
      </c>
      <c r="I39" s="421">
        <f t="shared" si="5"/>
        <v>0</v>
      </c>
      <c r="J39" s="415"/>
      <c r="K39" s="147"/>
      <c r="L39" s="1130"/>
      <c r="M39" s="408"/>
      <c r="N39" s="409"/>
      <c r="O39" s="408"/>
      <c r="P39" s="165"/>
    </row>
    <row r="40" spans="1:16" ht="29.25" customHeight="1" x14ac:dyDescent="0.3">
      <c r="A40" s="72"/>
      <c r="B40" s="293"/>
      <c r="C40" s="294"/>
      <c r="D40" s="295" t="s">
        <v>53</v>
      </c>
      <c r="E40" s="295"/>
      <c r="F40" s="296"/>
      <c r="G40" s="440">
        <v>30000</v>
      </c>
      <c r="H40" s="440">
        <v>30000</v>
      </c>
      <c r="I40" s="297">
        <v>30000</v>
      </c>
      <c r="J40" s="298">
        <f>+I40/H40*100</f>
        <v>100</v>
      </c>
      <c r="L40" s="1130"/>
      <c r="M40" s="408"/>
      <c r="N40" s="160"/>
      <c r="O40" s="160"/>
    </row>
    <row r="41" spans="1:16" ht="29.25" customHeight="1" x14ac:dyDescent="0.3">
      <c r="A41" s="72"/>
      <c r="B41" s="217"/>
      <c r="C41" s="218"/>
      <c r="D41" s="1147" t="s">
        <v>688</v>
      </c>
      <c r="E41" s="1147"/>
      <c r="F41" s="1148"/>
      <c r="G41" s="441"/>
      <c r="H41" s="441">
        <v>3961</v>
      </c>
      <c r="I41" s="219">
        <v>3961</v>
      </c>
      <c r="J41" s="250">
        <f t="shared" ref="J41:J48" si="6">+I41/H41*100</f>
        <v>100</v>
      </c>
      <c r="L41" s="1130"/>
      <c r="M41" s="408"/>
      <c r="N41" s="160"/>
      <c r="O41" s="160"/>
    </row>
    <row r="42" spans="1:16" ht="29.25" customHeight="1" x14ac:dyDescent="0.3">
      <c r="A42" s="72"/>
      <c r="B42" s="217"/>
      <c r="C42" s="218"/>
      <c r="D42" s="221" t="s">
        <v>411</v>
      </c>
      <c r="E42" s="222"/>
      <c r="F42" s="220"/>
      <c r="G42" s="441">
        <v>4320</v>
      </c>
      <c r="H42" s="441">
        <v>4314</v>
      </c>
      <c r="I42" s="219">
        <v>4314</v>
      </c>
      <c r="J42" s="250">
        <f t="shared" si="6"/>
        <v>100</v>
      </c>
      <c r="L42" s="1130"/>
      <c r="M42" s="408"/>
      <c r="N42" s="160"/>
      <c r="O42" s="160"/>
    </row>
    <row r="43" spans="1:16" ht="29.25" customHeight="1" x14ac:dyDescent="0.3">
      <c r="A43" s="72"/>
      <c r="B43" s="217"/>
      <c r="C43" s="218"/>
      <c r="D43" s="1044" t="s">
        <v>690</v>
      </c>
      <c r="E43" s="1042"/>
      <c r="F43" s="1043"/>
      <c r="G43" s="441"/>
      <c r="H43" s="441">
        <v>674</v>
      </c>
      <c r="I43" s="219">
        <v>317</v>
      </c>
      <c r="J43" s="250">
        <f t="shared" si="6"/>
        <v>47.032640949554896</v>
      </c>
      <c r="L43" s="1130"/>
      <c r="M43" s="408"/>
      <c r="N43" s="160"/>
      <c r="O43" s="160"/>
    </row>
    <row r="44" spans="1:16" ht="29.25" customHeight="1" x14ac:dyDescent="0.3">
      <c r="B44" s="217"/>
      <c r="C44" s="218"/>
      <c r="D44" s="1041" t="s">
        <v>335</v>
      </c>
      <c r="E44" s="1042"/>
      <c r="F44" s="1043"/>
      <c r="G44" s="414"/>
      <c r="H44" s="414">
        <v>1000</v>
      </c>
      <c r="I44" s="223">
        <v>1000</v>
      </c>
      <c r="J44" s="250">
        <f t="shared" si="6"/>
        <v>100</v>
      </c>
      <c r="L44" s="1130"/>
      <c r="M44" s="408"/>
      <c r="N44" s="160"/>
      <c r="O44" s="160"/>
    </row>
    <row r="45" spans="1:16" ht="29.25" customHeight="1" x14ac:dyDescent="0.3">
      <c r="B45" s="217"/>
      <c r="C45" s="218"/>
      <c r="D45" s="1041" t="s">
        <v>781</v>
      </c>
      <c r="E45" s="1042"/>
      <c r="F45" s="1043"/>
      <c r="G45" s="414"/>
      <c r="H45" s="414">
        <v>1931</v>
      </c>
      <c r="I45" s="223">
        <v>1931</v>
      </c>
      <c r="J45" s="250">
        <f t="shared" si="6"/>
        <v>100</v>
      </c>
      <c r="L45" s="1130"/>
      <c r="M45" s="408"/>
      <c r="N45" s="160"/>
      <c r="O45" s="160"/>
    </row>
    <row r="46" spans="1:16" ht="29.25" customHeight="1" x14ac:dyDescent="0.3">
      <c r="B46" s="217"/>
      <c r="C46" s="218"/>
      <c r="D46" s="1044" t="s">
        <v>718</v>
      </c>
      <c r="E46" s="1042"/>
      <c r="F46" s="1043"/>
      <c r="G46" s="414"/>
      <c r="H46" s="414">
        <v>1500</v>
      </c>
      <c r="I46" s="223">
        <v>1500</v>
      </c>
      <c r="J46" s="250">
        <f t="shared" si="6"/>
        <v>100</v>
      </c>
      <c r="L46" s="1130"/>
      <c r="M46" s="408"/>
      <c r="N46" s="160"/>
      <c r="O46" s="160"/>
    </row>
    <row r="47" spans="1:16" ht="29.25" customHeight="1" x14ac:dyDescent="0.3">
      <c r="B47" s="195"/>
      <c r="C47" s="204"/>
      <c r="D47" s="1045" t="s">
        <v>691</v>
      </c>
      <c r="E47" s="1045"/>
      <c r="F47" s="1046"/>
      <c r="G47" s="202"/>
      <c r="H47" s="203">
        <v>9594</v>
      </c>
      <c r="I47" s="203">
        <v>0</v>
      </c>
      <c r="J47" s="250">
        <f t="shared" si="6"/>
        <v>0</v>
      </c>
      <c r="L47" s="1130"/>
      <c r="M47" s="408"/>
      <c r="N47" s="160"/>
      <c r="O47" s="160"/>
    </row>
    <row r="48" spans="1:16" ht="29.25" customHeight="1" x14ac:dyDescent="0.3">
      <c r="B48" s="195"/>
      <c r="C48" s="204"/>
      <c r="D48" s="197" t="s">
        <v>569</v>
      </c>
      <c r="E48" s="210"/>
      <c r="F48" s="224"/>
      <c r="G48" s="202"/>
      <c r="H48" s="203">
        <v>1150</v>
      </c>
      <c r="I48" s="203">
        <v>1150</v>
      </c>
      <c r="J48" s="250">
        <f t="shared" si="6"/>
        <v>100</v>
      </c>
      <c r="L48" s="1130"/>
      <c r="M48" s="408"/>
      <c r="N48" s="160"/>
      <c r="O48" s="160"/>
    </row>
    <row r="49" spans="1:15" ht="29.25" customHeight="1" x14ac:dyDescent="0.3">
      <c r="B49" s="195"/>
      <c r="C49" s="204"/>
      <c r="D49" s="2630" t="s">
        <v>212</v>
      </c>
      <c r="E49" s="2631"/>
      <c r="F49" s="2632"/>
      <c r="G49" s="202"/>
      <c r="H49" s="203">
        <v>13402</v>
      </c>
      <c r="I49" s="203">
        <v>11771</v>
      </c>
      <c r="J49" s="250">
        <f t="shared" ref="J49:J54" si="7">+I49/H49*100</f>
        <v>87.830174600805861</v>
      </c>
      <c r="L49" s="1130"/>
      <c r="M49" s="408"/>
      <c r="N49" s="160"/>
      <c r="O49" s="160"/>
    </row>
    <row r="50" spans="1:15" ht="29.25" customHeight="1" x14ac:dyDescent="0.3">
      <c r="B50" s="195"/>
      <c r="C50" s="204"/>
      <c r="D50" s="2630" t="s">
        <v>481</v>
      </c>
      <c r="E50" s="2631"/>
      <c r="F50" s="2632"/>
      <c r="G50" s="202"/>
      <c r="H50" s="203">
        <v>78156</v>
      </c>
      <c r="I50" s="203">
        <v>31482</v>
      </c>
      <c r="J50" s="250">
        <f t="shared" si="7"/>
        <v>40.28097650852142</v>
      </c>
      <c r="L50" s="1130"/>
      <c r="M50" s="408"/>
      <c r="N50" s="160"/>
      <c r="O50" s="160"/>
    </row>
    <row r="51" spans="1:15" ht="29.25" customHeight="1" x14ac:dyDescent="0.3">
      <c r="B51" s="195"/>
      <c r="C51" s="204"/>
      <c r="D51" s="2630" t="s">
        <v>463</v>
      </c>
      <c r="E51" s="2630"/>
      <c r="F51" s="2642"/>
      <c r="G51" s="1152"/>
      <c r="H51" s="1153">
        <v>39285</v>
      </c>
      <c r="I51" s="1153">
        <v>39285</v>
      </c>
      <c r="J51" s="250">
        <f t="shared" si="7"/>
        <v>100</v>
      </c>
      <c r="L51" s="1130"/>
      <c r="M51" s="408"/>
      <c r="N51" s="160"/>
      <c r="O51" s="160"/>
    </row>
    <row r="52" spans="1:15" ht="29.25" customHeight="1" thickBot="1" x14ac:dyDescent="0.35">
      <c r="B52" s="526"/>
      <c r="C52" s="424"/>
      <c r="D52" s="527" t="s">
        <v>466</v>
      </c>
      <c r="E52" s="533"/>
      <c r="F52" s="534"/>
      <c r="G52" s="442"/>
      <c r="H52" s="425">
        <v>2673</v>
      </c>
      <c r="I52" s="425">
        <v>2614</v>
      </c>
      <c r="J52" s="426">
        <f t="shared" si="7"/>
        <v>97.792742237186687</v>
      </c>
      <c r="L52" s="1130"/>
      <c r="M52" s="408"/>
      <c r="N52" s="160"/>
      <c r="O52" s="160"/>
    </row>
    <row r="53" spans="1:15" ht="51" customHeight="1" thickBot="1" x14ac:dyDescent="0.35">
      <c r="B53" s="215" t="s">
        <v>412</v>
      </c>
      <c r="C53" s="2628" t="s">
        <v>163</v>
      </c>
      <c r="D53" s="2628"/>
      <c r="E53" s="2628"/>
      <c r="F53" s="2629"/>
      <c r="G53" s="281">
        <f>SUM(G40:G52)</f>
        <v>34320</v>
      </c>
      <c r="H53" s="262">
        <f>SUM(H40:H52)</f>
        <v>187640</v>
      </c>
      <c r="I53" s="281">
        <f>SUM(I40:I52)</f>
        <v>129325</v>
      </c>
      <c r="J53" s="422">
        <f t="shared" si="7"/>
        <v>68.921871669153703</v>
      </c>
      <c r="L53" s="1130"/>
      <c r="M53" s="408"/>
      <c r="N53" s="160"/>
      <c r="O53" s="160"/>
    </row>
    <row r="54" spans="1:15" ht="29.25" customHeight="1" thickBot="1" x14ac:dyDescent="0.35">
      <c r="B54" s="427" t="s">
        <v>719</v>
      </c>
      <c r="C54" s="428"/>
      <c r="D54" s="417"/>
      <c r="E54" s="417"/>
      <c r="F54" s="418"/>
      <c r="G54" s="429">
        <f>+G37+G39+G53</f>
        <v>3920553</v>
      </c>
      <c r="H54" s="429">
        <f>+H37+H39+H53</f>
        <v>4563772</v>
      </c>
      <c r="I54" s="429">
        <f>+I37+I39+I53</f>
        <v>4505457</v>
      </c>
      <c r="J54" s="430">
        <f t="shared" si="7"/>
        <v>98.722219251969648</v>
      </c>
      <c r="L54" s="1130"/>
      <c r="M54" s="408"/>
      <c r="N54" s="160"/>
      <c r="O54" s="159"/>
    </row>
    <row r="55" spans="1:15" ht="29.25" customHeight="1" x14ac:dyDescent="0.3">
      <c r="B55" s="181" t="s">
        <v>345</v>
      </c>
      <c r="C55" s="182"/>
      <c r="D55" s="227"/>
      <c r="E55" s="227"/>
      <c r="F55" s="184"/>
      <c r="G55" s="228"/>
      <c r="H55" s="229"/>
      <c r="I55" s="228"/>
      <c r="J55" s="230"/>
      <c r="L55" s="1130"/>
      <c r="M55" s="408"/>
      <c r="N55" s="160"/>
      <c r="O55" s="159"/>
    </row>
    <row r="56" spans="1:15" ht="29.25" customHeight="1" x14ac:dyDescent="0.3">
      <c r="B56" s="231"/>
      <c r="C56" s="218" t="s">
        <v>153</v>
      </c>
      <c r="D56" s="232"/>
      <c r="E56" s="232"/>
      <c r="F56" s="233"/>
      <c r="G56" s="234"/>
      <c r="H56" s="235"/>
      <c r="I56" s="234"/>
      <c r="J56" s="236"/>
      <c r="L56" s="1130"/>
      <c r="M56" s="408"/>
      <c r="N56" s="160"/>
      <c r="O56" s="159"/>
    </row>
    <row r="57" spans="1:15" ht="29.25" customHeight="1" x14ac:dyDescent="0.3">
      <c r="A57" s="72"/>
      <c r="B57" s="195"/>
      <c r="C57" s="163"/>
      <c r="D57" s="197" t="s">
        <v>21</v>
      </c>
      <c r="E57" s="197"/>
      <c r="F57" s="198"/>
      <c r="G57" s="237">
        <v>700</v>
      </c>
      <c r="H57" s="237">
        <v>5</v>
      </c>
      <c r="I57" s="237">
        <v>5</v>
      </c>
      <c r="J57" s="238">
        <f>+I57/H57*100</f>
        <v>100</v>
      </c>
      <c r="L57" s="1130"/>
      <c r="M57" s="408"/>
      <c r="N57" s="160"/>
      <c r="O57" s="160"/>
    </row>
    <row r="58" spans="1:15" ht="29.25" customHeight="1" x14ac:dyDescent="0.3">
      <c r="B58" s="231"/>
      <c r="C58" s="218" t="s">
        <v>154</v>
      </c>
      <c r="D58" s="232"/>
      <c r="E58" s="232"/>
      <c r="F58" s="233"/>
      <c r="G58" s="234"/>
      <c r="H58" s="234"/>
      <c r="I58" s="234"/>
      <c r="J58" s="236"/>
      <c r="L58" s="1130"/>
      <c r="M58" s="408"/>
      <c r="N58" s="160"/>
      <c r="O58" s="160"/>
    </row>
    <row r="59" spans="1:15" ht="29.25" customHeight="1" x14ac:dyDescent="0.3">
      <c r="A59" s="72"/>
      <c r="B59" s="195"/>
      <c r="C59" s="163"/>
      <c r="D59" s="197" t="s">
        <v>43</v>
      </c>
      <c r="E59" s="197"/>
      <c r="F59" s="198"/>
      <c r="G59" s="237">
        <v>1280000</v>
      </c>
      <c r="H59" s="237">
        <v>1276534</v>
      </c>
      <c r="I59" s="237">
        <v>1276534</v>
      </c>
      <c r="J59" s="238">
        <f>+I59/H59*100</f>
        <v>100</v>
      </c>
      <c r="L59" s="1130"/>
      <c r="M59" s="408"/>
      <c r="N59" s="160"/>
      <c r="O59" s="159"/>
    </row>
    <row r="60" spans="1:15" ht="29.25" customHeight="1" x14ac:dyDescent="0.3">
      <c r="B60" s="231"/>
      <c r="C60" s="218" t="s">
        <v>155</v>
      </c>
      <c r="D60" s="232"/>
      <c r="E60" s="232"/>
      <c r="F60" s="233"/>
      <c r="G60" s="234"/>
      <c r="H60" s="234"/>
      <c r="I60" s="234"/>
      <c r="J60" s="239"/>
      <c r="L60" s="1130"/>
      <c r="M60" s="408"/>
      <c r="N60" s="160"/>
      <c r="O60" s="159"/>
    </row>
    <row r="61" spans="1:15" ht="29.25" customHeight="1" x14ac:dyDescent="0.3">
      <c r="B61" s="217"/>
      <c r="C61" s="218"/>
      <c r="D61" s="221" t="s">
        <v>22</v>
      </c>
      <c r="E61" s="222"/>
      <c r="F61" s="220"/>
      <c r="G61" s="223">
        <v>9200000</v>
      </c>
      <c r="H61" s="223">
        <v>9937976</v>
      </c>
      <c r="I61" s="223">
        <v>9937396</v>
      </c>
      <c r="J61" s="191">
        <f>+I61/H61*100</f>
        <v>99.99416380156282</v>
      </c>
      <c r="L61" s="1130"/>
      <c r="M61" s="408"/>
      <c r="N61" s="160"/>
      <c r="O61" s="159"/>
    </row>
    <row r="62" spans="1:15" ht="29.25" customHeight="1" x14ac:dyDescent="0.3">
      <c r="A62" s="72"/>
      <c r="B62" s="217"/>
      <c r="C62" s="218"/>
      <c r="D62" s="240" t="s">
        <v>59</v>
      </c>
      <c r="E62" s="241"/>
      <c r="F62" s="242"/>
      <c r="G62" s="243">
        <v>275000</v>
      </c>
      <c r="H62" s="243">
        <v>284959</v>
      </c>
      <c r="I62" s="223">
        <v>284968</v>
      </c>
      <c r="J62" s="191">
        <f>+I62/H62*100</f>
        <v>100.00315834909583</v>
      </c>
      <c r="L62" s="1130"/>
      <c r="M62" s="408"/>
      <c r="N62" s="160"/>
      <c r="O62" s="160"/>
    </row>
    <row r="63" spans="1:15" ht="29.25" customHeight="1" x14ac:dyDescent="0.3">
      <c r="B63" s="217"/>
      <c r="C63" s="218"/>
      <c r="D63" s="221" t="s">
        <v>57</v>
      </c>
      <c r="E63" s="221"/>
      <c r="F63" s="220"/>
      <c r="G63" s="223">
        <v>22000</v>
      </c>
      <c r="H63" s="223">
        <v>39363</v>
      </c>
      <c r="I63" s="223">
        <v>39439</v>
      </c>
      <c r="J63" s="191">
        <f>+I63/H63*100</f>
        <v>100.19307471483371</v>
      </c>
      <c r="L63" s="1130"/>
      <c r="M63" s="408"/>
      <c r="N63" s="160"/>
      <c r="O63" s="160"/>
    </row>
    <row r="64" spans="1:15" ht="29.25" customHeight="1" x14ac:dyDescent="0.3">
      <c r="B64" s="231"/>
      <c r="C64" s="218" t="s">
        <v>156</v>
      </c>
      <c r="D64" s="232"/>
      <c r="E64" s="232"/>
      <c r="F64" s="233"/>
      <c r="G64" s="234"/>
      <c r="H64" s="234"/>
      <c r="I64" s="234"/>
      <c r="J64" s="239"/>
      <c r="L64" s="1130"/>
      <c r="M64" s="408"/>
      <c r="N64" s="160"/>
      <c r="O64" s="160"/>
    </row>
    <row r="65" spans="1:15" ht="29.25" customHeight="1" x14ac:dyDescent="0.3">
      <c r="B65" s="217"/>
      <c r="C65" s="218"/>
      <c r="D65" s="221" t="s">
        <v>41</v>
      </c>
      <c r="E65" s="222"/>
      <c r="F65" s="220"/>
      <c r="G65" s="223">
        <v>2500</v>
      </c>
      <c r="H65" s="223">
        <v>165</v>
      </c>
      <c r="I65" s="223">
        <v>215</v>
      </c>
      <c r="J65" s="191">
        <f t="shared" ref="J65:J71" si="8">+I65/H65*100</f>
        <v>130.30303030303031</v>
      </c>
      <c r="L65" s="1130"/>
      <c r="M65" s="408"/>
      <c r="N65" s="160"/>
      <c r="O65" s="160"/>
    </row>
    <row r="66" spans="1:15" ht="29.25" customHeight="1" x14ac:dyDescent="0.3">
      <c r="B66" s="217"/>
      <c r="C66" s="218"/>
      <c r="D66" s="448" t="s">
        <v>438</v>
      </c>
      <c r="E66" s="222"/>
      <c r="F66" s="220"/>
      <c r="G66" s="223"/>
      <c r="H66" s="223">
        <v>4</v>
      </c>
      <c r="I66" s="223">
        <v>4</v>
      </c>
      <c r="J66" s="191">
        <f t="shared" si="8"/>
        <v>100</v>
      </c>
      <c r="L66" s="1130"/>
      <c r="M66" s="408"/>
      <c r="N66" s="160"/>
      <c r="O66" s="160"/>
    </row>
    <row r="67" spans="1:15" ht="29.25" customHeight="1" x14ac:dyDescent="0.3">
      <c r="B67" s="217"/>
      <c r="C67" s="218"/>
      <c r="D67" s="221" t="s">
        <v>280</v>
      </c>
      <c r="E67" s="221"/>
      <c r="F67" s="220"/>
      <c r="G67" s="223">
        <v>10000</v>
      </c>
      <c r="H67" s="223">
        <v>12314</v>
      </c>
      <c r="I67" s="223">
        <v>12314</v>
      </c>
      <c r="J67" s="191">
        <f t="shared" si="8"/>
        <v>100</v>
      </c>
      <c r="L67" s="1130"/>
      <c r="M67" s="408"/>
      <c r="N67" s="160"/>
      <c r="O67" s="160"/>
    </row>
    <row r="68" spans="1:15" ht="29.25" customHeight="1" x14ac:dyDescent="0.3">
      <c r="A68" s="72"/>
      <c r="B68" s="217"/>
      <c r="C68" s="218"/>
      <c r="D68" s="221" t="s">
        <v>74</v>
      </c>
      <c r="E68" s="222"/>
      <c r="F68" s="220"/>
      <c r="G68" s="223">
        <v>1000</v>
      </c>
      <c r="H68" s="223">
        <v>1738</v>
      </c>
      <c r="I68" s="223">
        <v>1738</v>
      </c>
      <c r="J68" s="191">
        <f t="shared" si="8"/>
        <v>100</v>
      </c>
      <c r="L68" s="1130"/>
      <c r="M68" s="408"/>
      <c r="N68" s="160"/>
      <c r="O68" s="160"/>
    </row>
    <row r="69" spans="1:15" ht="29.25" customHeight="1" x14ac:dyDescent="0.3">
      <c r="B69" s="217"/>
      <c r="C69" s="204"/>
      <c r="D69" s="197" t="s">
        <v>34</v>
      </c>
      <c r="E69" s="197"/>
      <c r="F69" s="220"/>
      <c r="G69" s="223"/>
      <c r="H69" s="223">
        <v>5811</v>
      </c>
      <c r="I69" s="223">
        <v>5811</v>
      </c>
      <c r="J69" s="191">
        <f t="shared" si="8"/>
        <v>100</v>
      </c>
      <c r="L69" s="1130"/>
      <c r="M69" s="408"/>
      <c r="N69" s="160"/>
      <c r="O69" s="160"/>
    </row>
    <row r="70" spans="1:15" ht="29.25" customHeight="1" x14ac:dyDescent="0.3">
      <c r="A70" s="72"/>
      <c r="B70" s="217"/>
      <c r="C70" s="218"/>
      <c r="D70" s="443" t="s">
        <v>48</v>
      </c>
      <c r="E70" s="222"/>
      <c r="F70" s="220"/>
      <c r="G70" s="223"/>
      <c r="H70" s="223">
        <v>57</v>
      </c>
      <c r="I70" s="223">
        <v>57</v>
      </c>
      <c r="J70" s="191">
        <f t="shared" si="8"/>
        <v>100</v>
      </c>
      <c r="L70" s="1130"/>
      <c r="M70" s="408"/>
      <c r="N70" s="160"/>
      <c r="O70" s="160"/>
    </row>
    <row r="71" spans="1:15" ht="29.25" customHeight="1" thickBot="1" x14ac:dyDescent="0.35">
      <c r="B71" s="225" t="s">
        <v>346</v>
      </c>
      <c r="C71" s="187"/>
      <c r="D71" s="175"/>
      <c r="E71" s="175"/>
      <c r="F71" s="216"/>
      <c r="G71" s="226">
        <f>SUM(G57:G70)</f>
        <v>10791200</v>
      </c>
      <c r="H71" s="226">
        <f>SUM(H57:H70)</f>
        <v>11558926</v>
      </c>
      <c r="I71" s="226">
        <f>SUM(I57:I70)</f>
        <v>11558481</v>
      </c>
      <c r="J71" s="244">
        <f t="shared" si="8"/>
        <v>99.996150161355828</v>
      </c>
      <c r="L71" s="1130"/>
      <c r="M71" s="408"/>
      <c r="N71" s="160"/>
      <c r="O71" s="160"/>
    </row>
    <row r="72" spans="1:15" ht="29.25" customHeight="1" x14ac:dyDescent="0.3">
      <c r="B72" s="215" t="s">
        <v>359</v>
      </c>
      <c r="C72" s="245"/>
      <c r="D72" s="245"/>
      <c r="E72" s="245"/>
      <c r="F72" s="245"/>
      <c r="G72" s="172"/>
      <c r="H72" s="173"/>
      <c r="I72" s="227"/>
      <c r="J72" s="246"/>
      <c r="L72" s="1130"/>
      <c r="M72" s="408"/>
      <c r="N72" s="160"/>
      <c r="O72" s="160"/>
    </row>
    <row r="73" spans="1:15" ht="29.25" customHeight="1" x14ac:dyDescent="0.3">
      <c r="A73" s="72"/>
      <c r="B73" s="217"/>
      <c r="C73" s="218"/>
      <c r="D73" s="221" t="s">
        <v>307</v>
      </c>
      <c r="E73" s="221"/>
      <c r="F73" s="220"/>
      <c r="G73" s="223"/>
      <c r="H73" s="223">
        <v>906</v>
      </c>
      <c r="I73" s="223">
        <v>906</v>
      </c>
      <c r="J73" s="191">
        <f t="shared" ref="J73:J85" si="9">+I73/H73*100</f>
        <v>100</v>
      </c>
      <c r="L73" s="1130"/>
      <c r="M73" s="408"/>
      <c r="N73" s="160"/>
      <c r="O73" s="159"/>
    </row>
    <row r="74" spans="1:15" ht="29.25" customHeight="1" x14ac:dyDescent="0.3">
      <c r="B74" s="217"/>
      <c r="C74" s="218"/>
      <c r="D74" s="240" t="s">
        <v>81</v>
      </c>
      <c r="E74" s="241"/>
      <c r="F74" s="242"/>
      <c r="G74" s="243">
        <v>5000</v>
      </c>
      <c r="H74" s="243">
        <v>5260</v>
      </c>
      <c r="I74" s="243">
        <v>5737</v>
      </c>
      <c r="J74" s="191">
        <f t="shared" si="9"/>
        <v>109.06844106463878</v>
      </c>
      <c r="L74" s="1130"/>
      <c r="M74" s="408"/>
      <c r="N74" s="160"/>
      <c r="O74" s="159"/>
    </row>
    <row r="75" spans="1:15" ht="29.25" customHeight="1" x14ac:dyDescent="0.3">
      <c r="B75" s="217"/>
      <c r="C75" s="218"/>
      <c r="D75" s="221" t="s">
        <v>322</v>
      </c>
      <c r="E75" s="221"/>
      <c r="F75" s="220"/>
      <c r="G75" s="223">
        <v>10215</v>
      </c>
      <c r="H75" s="223">
        <v>10730</v>
      </c>
      <c r="I75" s="223">
        <v>10730</v>
      </c>
      <c r="J75" s="191">
        <f t="shared" si="9"/>
        <v>100</v>
      </c>
      <c r="L75" s="1130"/>
      <c r="M75" s="408"/>
      <c r="N75" s="160"/>
      <c r="O75" s="159"/>
    </row>
    <row r="76" spans="1:15" ht="29.25" customHeight="1" x14ac:dyDescent="0.3">
      <c r="B76" s="217"/>
      <c r="C76" s="218"/>
      <c r="D76" s="240" t="s">
        <v>604</v>
      </c>
      <c r="E76" s="240"/>
      <c r="F76" s="242"/>
      <c r="G76" s="243"/>
      <c r="H76" s="243">
        <v>672</v>
      </c>
      <c r="I76" s="243">
        <v>672</v>
      </c>
      <c r="J76" s="191">
        <f t="shared" si="9"/>
        <v>100</v>
      </c>
      <c r="L76" s="1130"/>
      <c r="M76" s="408"/>
      <c r="N76" s="160"/>
      <c r="O76" s="159"/>
    </row>
    <row r="77" spans="1:15" ht="29.25" customHeight="1" x14ac:dyDescent="0.3">
      <c r="B77" s="217"/>
      <c r="C77" s="218"/>
      <c r="D77" s="240" t="s">
        <v>302</v>
      </c>
      <c r="E77" s="241"/>
      <c r="F77" s="242"/>
      <c r="G77" s="243">
        <v>16000</v>
      </c>
      <c r="H77" s="243">
        <v>15295</v>
      </c>
      <c r="I77" s="243">
        <v>15295</v>
      </c>
      <c r="J77" s="191">
        <f t="shared" si="9"/>
        <v>100</v>
      </c>
      <c r="L77" s="1130"/>
      <c r="M77" s="408"/>
      <c r="N77" s="160"/>
      <c r="O77" s="159"/>
    </row>
    <row r="78" spans="1:15" ht="29.25" customHeight="1" x14ac:dyDescent="0.3">
      <c r="B78" s="217"/>
      <c r="C78" s="218"/>
      <c r="D78" s="221" t="s">
        <v>323</v>
      </c>
      <c r="E78" s="221"/>
      <c r="F78" s="220"/>
      <c r="G78" s="223">
        <v>37000</v>
      </c>
      <c r="H78" s="223">
        <v>37404</v>
      </c>
      <c r="I78" s="223">
        <v>37404</v>
      </c>
      <c r="J78" s="191">
        <f t="shared" si="9"/>
        <v>100</v>
      </c>
      <c r="L78" s="1130"/>
      <c r="M78" s="408"/>
      <c r="N78" s="160"/>
      <c r="O78" s="159"/>
    </row>
    <row r="79" spans="1:15" ht="46.5" customHeight="1" x14ac:dyDescent="0.3">
      <c r="B79" s="217"/>
      <c r="C79" s="218"/>
      <c r="D79" s="2643" t="s">
        <v>599</v>
      </c>
      <c r="E79" s="2643"/>
      <c r="F79" s="2644"/>
      <c r="G79" s="223"/>
      <c r="H79" s="223">
        <v>19473</v>
      </c>
      <c r="I79" s="223">
        <v>19473</v>
      </c>
      <c r="J79" s="250">
        <f t="shared" si="9"/>
        <v>100</v>
      </c>
      <c r="L79" s="1130"/>
      <c r="M79" s="408"/>
      <c r="N79" s="160"/>
      <c r="O79" s="160"/>
    </row>
    <row r="80" spans="1:15" ht="29.25" customHeight="1" x14ac:dyDescent="0.3">
      <c r="B80" s="217"/>
      <c r="C80" s="218"/>
      <c r="D80" s="221" t="s">
        <v>319</v>
      </c>
      <c r="E80" s="221"/>
      <c r="F80" s="220"/>
      <c r="G80" s="223"/>
      <c r="H80" s="223">
        <v>4396</v>
      </c>
      <c r="I80" s="223">
        <v>4396</v>
      </c>
      <c r="J80" s="191">
        <f t="shared" si="9"/>
        <v>100</v>
      </c>
      <c r="L80" s="1130"/>
      <c r="M80" s="408"/>
      <c r="N80" s="160"/>
      <c r="O80" s="160"/>
    </row>
    <row r="81" spans="1:15" ht="29.25" customHeight="1" x14ac:dyDescent="0.3">
      <c r="B81" s="217"/>
      <c r="C81" s="218"/>
      <c r="D81" s="221" t="s">
        <v>308</v>
      </c>
      <c r="E81" s="221"/>
      <c r="F81" s="220"/>
      <c r="G81" s="223">
        <v>478000</v>
      </c>
      <c r="H81" s="223">
        <v>525863</v>
      </c>
      <c r="I81" s="223">
        <v>525863</v>
      </c>
      <c r="J81" s="191">
        <f t="shared" si="9"/>
        <v>100</v>
      </c>
      <c r="L81" s="1130"/>
      <c r="M81" s="408"/>
      <c r="N81" s="160"/>
      <c r="O81" s="159"/>
    </row>
    <row r="82" spans="1:15" ht="29.25" customHeight="1" x14ac:dyDescent="0.3">
      <c r="A82" s="72"/>
      <c r="B82" s="217"/>
      <c r="C82" s="218"/>
      <c r="D82" s="221" t="s">
        <v>397</v>
      </c>
      <c r="E82" s="221"/>
      <c r="F82" s="220"/>
      <c r="G82" s="223">
        <v>13000</v>
      </c>
      <c r="H82" s="223">
        <v>7392</v>
      </c>
      <c r="I82" s="223">
        <v>7392</v>
      </c>
      <c r="J82" s="191">
        <f t="shared" si="9"/>
        <v>100</v>
      </c>
      <c r="L82" s="1130"/>
      <c r="M82" s="408"/>
      <c r="N82" s="160"/>
      <c r="O82" s="159"/>
    </row>
    <row r="83" spans="1:15" ht="29.25" customHeight="1" x14ac:dyDescent="0.3">
      <c r="A83" s="72"/>
      <c r="B83" s="217"/>
      <c r="C83" s="218"/>
      <c r="D83" s="240" t="s">
        <v>92</v>
      </c>
      <c r="E83" s="241"/>
      <c r="F83" s="242"/>
      <c r="G83" s="243">
        <v>3600</v>
      </c>
      <c r="H83" s="243">
        <v>3313</v>
      </c>
      <c r="I83" s="243">
        <v>3313</v>
      </c>
      <c r="J83" s="191">
        <f t="shared" si="9"/>
        <v>100</v>
      </c>
      <c r="L83" s="1130"/>
      <c r="M83" s="408"/>
      <c r="N83" s="160"/>
      <c r="O83" s="159"/>
    </row>
    <row r="84" spans="1:15" ht="29.25" customHeight="1" x14ac:dyDescent="0.3">
      <c r="B84" s="217"/>
      <c r="C84" s="218"/>
      <c r="D84" s="221" t="s">
        <v>91</v>
      </c>
      <c r="E84" s="221"/>
      <c r="F84" s="220"/>
      <c r="G84" s="223">
        <v>700000</v>
      </c>
      <c r="H84" s="223">
        <v>694401</v>
      </c>
      <c r="I84" s="223">
        <v>694053</v>
      </c>
      <c r="J84" s="191">
        <f t="shared" si="9"/>
        <v>99.949884864797141</v>
      </c>
      <c r="L84" s="1130"/>
      <c r="M84" s="408"/>
      <c r="N84" s="160"/>
      <c r="O84" s="159"/>
    </row>
    <row r="85" spans="1:15" ht="29.25" customHeight="1" x14ac:dyDescent="0.3">
      <c r="B85" s="217"/>
      <c r="C85" s="218"/>
      <c r="D85" s="2456" t="s">
        <v>49</v>
      </c>
      <c r="E85" s="2456"/>
      <c r="F85" s="220"/>
      <c r="G85" s="223">
        <v>58000</v>
      </c>
      <c r="H85" s="223">
        <v>6545</v>
      </c>
      <c r="I85" s="223">
        <v>6545</v>
      </c>
      <c r="J85" s="191">
        <f t="shared" si="9"/>
        <v>100</v>
      </c>
      <c r="L85" s="1130"/>
      <c r="M85" s="408"/>
      <c r="N85" s="160"/>
      <c r="O85" s="159"/>
    </row>
    <row r="86" spans="1:15" ht="29.25" customHeight="1" x14ac:dyDescent="0.3">
      <c r="B86" s="217"/>
      <c r="C86" s="218"/>
      <c r="D86" s="221" t="s">
        <v>82</v>
      </c>
      <c r="E86" s="221"/>
      <c r="F86" s="220"/>
      <c r="G86" s="223">
        <v>30000</v>
      </c>
      <c r="H86" s="223">
        <v>26802</v>
      </c>
      <c r="I86" s="223">
        <v>26802</v>
      </c>
      <c r="J86" s="191">
        <f t="shared" ref="J86:J93" si="10">+I86/H86*100</f>
        <v>100</v>
      </c>
      <c r="L86" s="1130"/>
      <c r="M86" s="408"/>
      <c r="N86" s="160"/>
      <c r="O86" s="159"/>
    </row>
    <row r="87" spans="1:15" ht="29.25" customHeight="1" x14ac:dyDescent="0.3">
      <c r="B87" s="217"/>
      <c r="C87" s="218"/>
      <c r="D87" s="240" t="s">
        <v>630</v>
      </c>
      <c r="E87" s="240"/>
      <c r="F87" s="242"/>
      <c r="G87" s="243"/>
      <c r="H87" s="243">
        <v>662</v>
      </c>
      <c r="I87" s="243">
        <v>662</v>
      </c>
      <c r="J87" s="191">
        <f t="shared" si="10"/>
        <v>100</v>
      </c>
      <c r="L87" s="1130"/>
      <c r="M87" s="408"/>
      <c r="N87" s="160"/>
      <c r="O87" s="159"/>
    </row>
    <row r="88" spans="1:15" ht="29.25" customHeight="1" x14ac:dyDescent="0.3">
      <c r="B88" s="217"/>
      <c r="C88" s="218"/>
      <c r="D88" s="240" t="s">
        <v>283</v>
      </c>
      <c r="E88" s="240"/>
      <c r="F88" s="242"/>
      <c r="G88" s="243"/>
      <c r="H88" s="243">
        <f>417320-33243</f>
        <v>384077</v>
      </c>
      <c r="I88" s="243">
        <v>384077</v>
      </c>
      <c r="J88" s="191">
        <f t="shared" si="10"/>
        <v>100</v>
      </c>
      <c r="L88" s="1130"/>
      <c r="M88" s="408"/>
      <c r="N88" s="160"/>
      <c r="O88" s="160"/>
    </row>
    <row r="89" spans="1:15" ht="29.25" customHeight="1" x14ac:dyDescent="0.3">
      <c r="B89" s="217"/>
      <c r="C89" s="218"/>
      <c r="D89" s="221" t="s">
        <v>178</v>
      </c>
      <c r="E89" s="221"/>
      <c r="F89" s="220"/>
      <c r="G89" s="223"/>
      <c r="H89" s="223">
        <v>262</v>
      </c>
      <c r="I89" s="223">
        <v>262</v>
      </c>
      <c r="J89" s="191">
        <f t="shared" si="10"/>
        <v>100</v>
      </c>
      <c r="L89" s="1130"/>
      <c r="M89" s="408"/>
      <c r="N89" s="160"/>
      <c r="O89" s="160"/>
    </row>
    <row r="90" spans="1:15" ht="29.25" customHeight="1" x14ac:dyDescent="0.3">
      <c r="B90" s="217"/>
      <c r="C90" s="218"/>
      <c r="D90" s="240" t="s">
        <v>692</v>
      </c>
      <c r="E90" s="240"/>
      <c r="F90" s="242"/>
      <c r="G90" s="243"/>
      <c r="H90" s="243">
        <v>89</v>
      </c>
      <c r="I90" s="243">
        <v>89</v>
      </c>
      <c r="J90" s="191">
        <f t="shared" si="10"/>
        <v>100</v>
      </c>
      <c r="L90" s="1130"/>
      <c r="M90" s="408"/>
      <c r="N90" s="160"/>
      <c r="O90" s="159"/>
    </row>
    <row r="91" spans="1:15" ht="29.25" customHeight="1" x14ac:dyDescent="0.3">
      <c r="B91" s="217"/>
      <c r="C91" s="218"/>
      <c r="D91" s="240" t="s">
        <v>213</v>
      </c>
      <c r="E91" s="240"/>
      <c r="F91" s="242"/>
      <c r="G91" s="243"/>
      <c r="H91" s="243">
        <v>49</v>
      </c>
      <c r="I91" s="243">
        <v>49</v>
      </c>
      <c r="J91" s="191">
        <f t="shared" si="10"/>
        <v>100</v>
      </c>
      <c r="L91" s="1130"/>
      <c r="M91" s="408"/>
      <c r="N91" s="160"/>
      <c r="O91" s="160"/>
    </row>
    <row r="92" spans="1:15" ht="29.25" customHeight="1" x14ac:dyDescent="0.3">
      <c r="B92" s="217"/>
      <c r="C92" s="218"/>
      <c r="D92" s="247" t="s">
        <v>301</v>
      </c>
      <c r="E92" s="240"/>
      <c r="F92" s="242"/>
      <c r="G92" s="243">
        <v>2700</v>
      </c>
      <c r="H92" s="243">
        <v>1411</v>
      </c>
      <c r="I92" s="243">
        <v>1411</v>
      </c>
      <c r="J92" s="191">
        <f t="shared" si="10"/>
        <v>100</v>
      </c>
      <c r="L92" s="1130"/>
      <c r="M92" s="408"/>
      <c r="N92" s="160"/>
      <c r="O92" s="159"/>
    </row>
    <row r="93" spans="1:15" ht="46.5" customHeight="1" x14ac:dyDescent="0.3">
      <c r="B93" s="217"/>
      <c r="C93" s="218"/>
      <c r="D93" s="2643" t="s">
        <v>605</v>
      </c>
      <c r="E93" s="2643"/>
      <c r="F93" s="2644"/>
      <c r="G93" s="223"/>
      <c r="H93" s="223">
        <v>2311</v>
      </c>
      <c r="I93" s="223">
        <v>2311</v>
      </c>
      <c r="J93" s="250">
        <f t="shared" si="10"/>
        <v>100</v>
      </c>
      <c r="L93" s="1130"/>
      <c r="M93" s="408"/>
      <c r="N93" s="160"/>
      <c r="O93" s="160"/>
    </row>
    <row r="94" spans="1:15" ht="29.25" customHeight="1" x14ac:dyDescent="0.3">
      <c r="B94" s="231"/>
      <c r="C94" s="218" t="s">
        <v>165</v>
      </c>
      <c r="D94" s="232"/>
      <c r="E94" s="232"/>
      <c r="F94" s="220"/>
      <c r="G94" s="223"/>
      <c r="H94" s="223"/>
      <c r="I94" s="223"/>
      <c r="J94" s="207"/>
      <c r="L94" s="1130"/>
      <c r="M94" s="408"/>
      <c r="N94" s="160"/>
      <c r="O94" s="159"/>
    </row>
    <row r="95" spans="1:15" ht="29.25" customHeight="1" x14ac:dyDescent="0.3">
      <c r="B95" s="217"/>
      <c r="C95" s="218"/>
      <c r="D95" s="220" t="s">
        <v>309</v>
      </c>
      <c r="E95" s="221"/>
      <c r="F95" s="220"/>
      <c r="G95" s="223">
        <v>90750</v>
      </c>
      <c r="H95" s="223">
        <v>90750</v>
      </c>
      <c r="I95" s="248"/>
      <c r="J95" s="207">
        <f t="shared" ref="J95:J105" si="11">+I95/H95*100</f>
        <v>0</v>
      </c>
      <c r="L95" s="1130"/>
      <c r="M95" s="408"/>
      <c r="N95" s="160"/>
      <c r="O95" s="159"/>
    </row>
    <row r="96" spans="1:15" ht="29.25" customHeight="1" x14ac:dyDescent="0.3">
      <c r="B96" s="217"/>
      <c r="C96" s="218"/>
      <c r="D96" s="220" t="s">
        <v>35</v>
      </c>
      <c r="E96" s="221"/>
      <c r="F96" s="220"/>
      <c r="G96" s="223">
        <v>250000</v>
      </c>
      <c r="H96" s="223">
        <v>250000</v>
      </c>
      <c r="I96" s="223">
        <v>864389</v>
      </c>
      <c r="J96" s="191">
        <f t="shared" si="11"/>
        <v>345.75559999999996</v>
      </c>
      <c r="L96" s="1130"/>
      <c r="M96" s="408"/>
      <c r="N96" s="160"/>
      <c r="O96" s="160"/>
    </row>
    <row r="97" spans="1:16" ht="29.25" customHeight="1" x14ac:dyDescent="0.3">
      <c r="B97" s="217"/>
      <c r="C97" s="218"/>
      <c r="D97" s="221" t="s">
        <v>205</v>
      </c>
      <c r="E97" s="221"/>
      <c r="F97" s="220"/>
      <c r="G97" s="223">
        <v>20000</v>
      </c>
      <c r="H97" s="405">
        <v>20000</v>
      </c>
      <c r="I97" s="223"/>
      <c r="J97" s="191">
        <f t="shared" si="11"/>
        <v>0</v>
      </c>
      <c r="L97" s="1130"/>
      <c r="M97" s="408"/>
      <c r="N97" s="160"/>
      <c r="O97" s="159"/>
    </row>
    <row r="98" spans="1:16" ht="29.25" customHeight="1" x14ac:dyDescent="0.3">
      <c r="B98" s="217"/>
      <c r="C98" s="218"/>
      <c r="D98" s="584" t="s">
        <v>512</v>
      </c>
      <c r="E98" s="584"/>
      <c r="F98" s="220"/>
      <c r="G98" s="223"/>
      <c r="H98" s="223">
        <v>1202</v>
      </c>
      <c r="I98" s="223"/>
      <c r="J98" s="191">
        <f t="shared" si="11"/>
        <v>0</v>
      </c>
      <c r="L98" s="1130"/>
      <c r="M98" s="408"/>
      <c r="N98" s="160"/>
      <c r="O98" s="159"/>
    </row>
    <row r="99" spans="1:16" ht="29.25" customHeight="1" x14ac:dyDescent="0.3">
      <c r="B99" s="217"/>
      <c r="C99" s="218"/>
      <c r="D99" s="197" t="s">
        <v>65</v>
      </c>
      <c r="E99" s="221"/>
      <c r="F99" s="220"/>
      <c r="G99" s="223"/>
      <c r="H99" s="223">
        <v>143457</v>
      </c>
      <c r="I99" s="223"/>
      <c r="J99" s="191">
        <f t="shared" si="11"/>
        <v>0</v>
      </c>
      <c r="L99" s="1130"/>
      <c r="M99" s="408"/>
      <c r="N99" s="160"/>
      <c r="O99" s="160"/>
    </row>
    <row r="100" spans="1:16" ht="29.25" customHeight="1" x14ac:dyDescent="0.3">
      <c r="B100" s="217"/>
      <c r="C100" s="218"/>
      <c r="D100" s="249" t="s">
        <v>391</v>
      </c>
      <c r="E100" s="221"/>
      <c r="F100" s="220"/>
      <c r="G100" s="223"/>
      <c r="H100" s="223">
        <v>188972</v>
      </c>
      <c r="I100" s="223"/>
      <c r="J100" s="250">
        <f t="shared" si="11"/>
        <v>0</v>
      </c>
      <c r="L100" s="1130"/>
      <c r="M100" s="408"/>
      <c r="N100" s="160"/>
      <c r="O100" s="160"/>
    </row>
    <row r="101" spans="1:16" ht="49.5" customHeight="1" x14ac:dyDescent="0.3">
      <c r="B101" s="217"/>
      <c r="C101" s="218"/>
      <c r="D101" s="2643" t="s">
        <v>435</v>
      </c>
      <c r="E101" s="2643"/>
      <c r="F101" s="2644"/>
      <c r="G101" s="223"/>
      <c r="H101" s="223">
        <v>77988</v>
      </c>
      <c r="I101" s="223"/>
      <c r="J101" s="250">
        <f t="shared" si="11"/>
        <v>0</v>
      </c>
      <c r="L101" s="1130"/>
      <c r="M101" s="408"/>
      <c r="N101" s="160"/>
      <c r="O101" s="160"/>
    </row>
    <row r="102" spans="1:16" ht="49.5" customHeight="1" x14ac:dyDescent="0.3">
      <c r="B102" s="217"/>
      <c r="C102" s="218"/>
      <c r="D102" s="2643" t="s">
        <v>693</v>
      </c>
      <c r="E102" s="2643"/>
      <c r="F102" s="2644"/>
      <c r="G102" s="223"/>
      <c r="H102" s="223">
        <v>4847</v>
      </c>
      <c r="I102" s="223"/>
      <c r="J102" s="250">
        <f t="shared" si="11"/>
        <v>0</v>
      </c>
      <c r="L102" s="1130"/>
      <c r="M102" s="408"/>
      <c r="N102" s="160"/>
      <c r="O102" s="160"/>
    </row>
    <row r="103" spans="1:16" ht="29.25" customHeight="1" x14ac:dyDescent="0.3">
      <c r="B103" s="217"/>
      <c r="C103" s="218"/>
      <c r="D103" s="249" t="s">
        <v>468</v>
      </c>
      <c r="E103" s="525"/>
      <c r="F103" s="220"/>
      <c r="G103" s="223"/>
      <c r="H103" s="223">
        <v>58482</v>
      </c>
      <c r="I103" s="223"/>
      <c r="J103" s="250">
        <f t="shared" si="11"/>
        <v>0</v>
      </c>
      <c r="L103" s="1130"/>
      <c r="M103" s="408"/>
      <c r="N103" s="160"/>
      <c r="O103" s="160"/>
    </row>
    <row r="104" spans="1:16" ht="29.25" customHeight="1" x14ac:dyDescent="0.3">
      <c r="B104" s="231"/>
      <c r="C104" s="218" t="s">
        <v>166</v>
      </c>
      <c r="D104" s="251"/>
      <c r="E104" s="251"/>
      <c r="F104" s="252"/>
      <c r="G104" s="253"/>
      <c r="H104" s="253"/>
      <c r="I104" s="253"/>
      <c r="J104" s="250"/>
      <c r="L104" s="1130"/>
      <c r="M104" s="408"/>
      <c r="N104" s="160"/>
      <c r="O104" s="160"/>
    </row>
    <row r="105" spans="1:16" ht="29.25" customHeight="1" x14ac:dyDescent="0.3">
      <c r="B105" s="217"/>
      <c r="C105" s="204"/>
      <c r="D105" s="2645" t="s">
        <v>324</v>
      </c>
      <c r="E105" s="2646"/>
      <c r="F105" s="2647"/>
      <c r="G105" s="219"/>
      <c r="H105" s="219">
        <v>13</v>
      </c>
      <c r="I105" s="219">
        <v>13</v>
      </c>
      <c r="J105" s="250">
        <f t="shared" si="11"/>
        <v>100</v>
      </c>
      <c r="L105" s="1130"/>
      <c r="M105" s="408"/>
      <c r="N105" s="160"/>
      <c r="O105" s="159"/>
    </row>
    <row r="106" spans="1:16" ht="29.25" customHeight="1" x14ac:dyDescent="0.3">
      <c r="B106" s="231"/>
      <c r="C106" s="218" t="s">
        <v>782</v>
      </c>
      <c r="D106" s="251"/>
      <c r="E106" s="251"/>
      <c r="F106" s="252"/>
      <c r="G106" s="253"/>
      <c r="H106" s="254"/>
      <c r="I106" s="253"/>
      <c r="J106" s="191"/>
      <c r="L106" s="1130"/>
      <c r="M106" s="408"/>
    </row>
    <row r="107" spans="1:16" ht="29.25" customHeight="1" thickBot="1" x14ac:dyDescent="0.35">
      <c r="B107" s="255" t="s">
        <v>355</v>
      </c>
      <c r="C107" s="256"/>
      <c r="D107" s="257"/>
      <c r="E107" s="257"/>
      <c r="F107" s="257"/>
      <c r="G107" s="258">
        <f>SUM(G73:G106)</f>
        <v>1714265</v>
      </c>
      <c r="H107" s="258">
        <f>SUM(H73:H106)</f>
        <v>2583024</v>
      </c>
      <c r="I107" s="258">
        <f>SUM(I73:I106)</f>
        <v>2611844</v>
      </c>
      <c r="J107" s="259">
        <f>+I107/H107*100</f>
        <v>101.11574650487181</v>
      </c>
      <c r="L107" s="1130"/>
      <c r="M107" s="408"/>
    </row>
    <row r="108" spans="1:16" ht="29.25" customHeight="1" x14ac:dyDescent="0.3">
      <c r="B108" s="215" t="s">
        <v>343</v>
      </c>
      <c r="C108" s="260"/>
      <c r="D108" s="261"/>
      <c r="E108" s="261"/>
      <c r="F108" s="261"/>
      <c r="G108" s="262"/>
      <c r="H108" s="248"/>
      <c r="I108" s="262"/>
      <c r="J108" s="263"/>
      <c r="L108" s="1130"/>
      <c r="M108" s="408"/>
      <c r="N108" s="156"/>
    </row>
    <row r="109" spans="1:16" s="19" customFormat="1" ht="51" customHeight="1" x14ac:dyDescent="0.3">
      <c r="A109" s="72"/>
      <c r="B109" s="215"/>
      <c r="C109" s="2651" t="s">
        <v>161</v>
      </c>
      <c r="D109" s="2651"/>
      <c r="E109" s="2651"/>
      <c r="F109" s="2652"/>
      <c r="G109" s="264"/>
      <c r="H109" s="264"/>
      <c r="I109" s="264"/>
      <c r="J109" s="265"/>
      <c r="K109" s="34"/>
      <c r="L109" s="1130"/>
      <c r="M109" s="408"/>
      <c r="N109" s="157"/>
      <c r="O109" s="157"/>
      <c r="P109" s="163"/>
    </row>
    <row r="110" spans="1:16" ht="30" customHeight="1" x14ac:dyDescent="0.3">
      <c r="B110" s="231"/>
      <c r="C110" s="266"/>
      <c r="D110" s="2650" t="s">
        <v>439</v>
      </c>
      <c r="E110" s="2631"/>
      <c r="F110" s="2632"/>
      <c r="G110" s="267">
        <v>500000</v>
      </c>
      <c r="H110" s="267">
        <v>500000</v>
      </c>
      <c r="I110" s="267"/>
      <c r="J110" s="268">
        <f>+I110/H110*100</f>
        <v>0</v>
      </c>
      <c r="L110" s="1130"/>
      <c r="M110" s="408"/>
    </row>
    <row r="111" spans="1:16" ht="30" customHeight="1" x14ac:dyDescent="0.3">
      <c r="B111" s="231"/>
      <c r="C111" s="208"/>
      <c r="D111" s="2649" t="s">
        <v>344</v>
      </c>
      <c r="E111" s="2646"/>
      <c r="F111" s="2647"/>
      <c r="G111" s="267"/>
      <c r="H111" s="267">
        <v>106</v>
      </c>
      <c r="I111" s="267">
        <v>106</v>
      </c>
      <c r="J111" s="268">
        <f>+I111/H111*100</f>
        <v>100</v>
      </c>
      <c r="L111" s="1130"/>
      <c r="M111" s="408"/>
    </row>
    <row r="112" spans="1:16" ht="30" customHeight="1" x14ac:dyDescent="0.3">
      <c r="B112" s="231"/>
      <c r="C112" s="266"/>
      <c r="D112" s="619" t="s">
        <v>603</v>
      </c>
      <c r="E112" s="617"/>
      <c r="F112" s="618"/>
      <c r="G112" s="267"/>
      <c r="H112" s="267">
        <v>45000</v>
      </c>
      <c r="I112" s="267"/>
      <c r="J112" s="268">
        <f>+I112/H112*100</f>
        <v>0</v>
      </c>
      <c r="L112" s="1130"/>
      <c r="M112" s="408"/>
    </row>
    <row r="113" spans="1:16" ht="30" customHeight="1" x14ac:dyDescent="0.3">
      <c r="B113" s="231"/>
      <c r="C113" s="266"/>
      <c r="D113" s="2648" t="s">
        <v>336</v>
      </c>
      <c r="E113" s="2646"/>
      <c r="F113" s="2647"/>
      <c r="G113" s="267"/>
      <c r="H113" s="267">
        <v>20000</v>
      </c>
      <c r="I113" s="267"/>
      <c r="J113" s="268">
        <f>+I113/H113*100</f>
        <v>0</v>
      </c>
      <c r="L113" s="1130"/>
      <c r="M113" s="408"/>
    </row>
    <row r="114" spans="1:16" ht="29.25" customHeight="1" x14ac:dyDescent="0.3">
      <c r="A114" s="72"/>
      <c r="B114" s="215"/>
      <c r="C114" s="260" t="s">
        <v>162</v>
      </c>
      <c r="D114" s="261"/>
      <c r="E114" s="261"/>
      <c r="F114" s="261"/>
      <c r="G114" s="262"/>
      <c r="H114" s="262"/>
      <c r="I114" s="262"/>
      <c r="J114" s="270"/>
      <c r="L114" s="1130"/>
      <c r="M114" s="408"/>
    </row>
    <row r="115" spans="1:16" ht="29.25" customHeight="1" x14ac:dyDescent="0.3">
      <c r="B115" s="231"/>
      <c r="C115" s="266"/>
      <c r="D115" s="271" t="s">
        <v>783</v>
      </c>
      <c r="E115" s="205"/>
      <c r="F115" s="272"/>
      <c r="G115" s="447"/>
      <c r="H115" s="269">
        <v>14042</v>
      </c>
      <c r="I115" s="269">
        <v>14042</v>
      </c>
      <c r="J115" s="268">
        <f>+I115/H115*100</f>
        <v>100</v>
      </c>
      <c r="L115" s="1130"/>
      <c r="M115" s="408"/>
    </row>
    <row r="116" spans="1:16" ht="29.25" customHeight="1" x14ac:dyDescent="0.3">
      <c r="B116" s="231"/>
      <c r="C116" s="266"/>
      <c r="D116" s="606" t="s">
        <v>606</v>
      </c>
      <c r="F116" s="272"/>
      <c r="G116" s="447"/>
      <c r="H116" s="269">
        <v>400</v>
      </c>
      <c r="I116" s="269">
        <v>400</v>
      </c>
      <c r="J116" s="268">
        <f>+I116/H116*100</f>
        <v>100</v>
      </c>
      <c r="L116" s="1130"/>
      <c r="M116" s="408"/>
    </row>
    <row r="117" spans="1:16" ht="29.25" customHeight="1" x14ac:dyDescent="0.3">
      <c r="B117" s="231"/>
      <c r="C117" s="266"/>
      <c r="D117" s="247" t="s">
        <v>509</v>
      </c>
      <c r="E117" s="583"/>
      <c r="F117" s="272"/>
      <c r="G117" s="269"/>
      <c r="H117" s="269">
        <v>114</v>
      </c>
      <c r="I117" s="269">
        <v>114</v>
      </c>
      <c r="J117" s="268">
        <f>+I117/H117*100</f>
        <v>100</v>
      </c>
      <c r="L117" s="1130"/>
      <c r="M117" s="408"/>
    </row>
    <row r="118" spans="1:16" ht="29.25" customHeight="1" thickBot="1" x14ac:dyDescent="0.35">
      <c r="B118" s="215" t="s">
        <v>413</v>
      </c>
      <c r="C118" s="256"/>
      <c r="D118" s="273"/>
      <c r="E118" s="273"/>
      <c r="F118" s="257"/>
      <c r="G118" s="274">
        <f>SUM(G110:G117)</f>
        <v>500000</v>
      </c>
      <c r="H118" s="274">
        <f>SUM(H110:H117)</f>
        <v>579662</v>
      </c>
      <c r="I118" s="274">
        <f>SUM(I110:I117)</f>
        <v>14662</v>
      </c>
      <c r="J118" s="275">
        <f>+I118/H118*100</f>
        <v>2.5294050670908219</v>
      </c>
      <c r="L118" s="1130"/>
      <c r="M118" s="408"/>
    </row>
    <row r="119" spans="1:16" ht="29.25" customHeight="1" x14ac:dyDescent="0.3">
      <c r="B119" s="181" t="s">
        <v>157</v>
      </c>
      <c r="C119" s="170"/>
      <c r="D119" s="170"/>
      <c r="E119" s="170"/>
      <c r="F119" s="276"/>
      <c r="G119" s="277"/>
      <c r="H119" s="277"/>
      <c r="I119" s="277"/>
      <c r="J119" s="278"/>
      <c r="L119" s="1130"/>
      <c r="M119" s="408"/>
    </row>
    <row r="120" spans="1:16" s="18" customFormat="1" ht="29.25" customHeight="1" x14ac:dyDescent="0.3">
      <c r="A120" s="446"/>
      <c r="B120" s="279"/>
      <c r="C120" s="280" t="s">
        <v>108</v>
      </c>
      <c r="D120" s="245"/>
      <c r="E120" s="245"/>
      <c r="F120" s="281"/>
      <c r="G120" s="282">
        <v>16689</v>
      </c>
      <c r="H120" s="282">
        <v>31784</v>
      </c>
      <c r="I120" s="282">
        <v>31758</v>
      </c>
      <c r="J120" s="191">
        <f>+I120/H120*100</f>
        <v>99.918197835388881</v>
      </c>
      <c r="K120" s="147"/>
      <c r="L120" s="1130"/>
      <c r="M120" s="408"/>
      <c r="N120" s="157"/>
      <c r="O120" s="157"/>
      <c r="P120" s="165"/>
    </row>
    <row r="121" spans="1:16" s="18" customFormat="1" ht="29.25" customHeight="1" x14ac:dyDescent="0.3">
      <c r="A121" s="446"/>
      <c r="B121" s="279"/>
      <c r="C121" s="283" t="s">
        <v>720</v>
      </c>
      <c r="D121" s="284"/>
      <c r="E121" s="285"/>
      <c r="F121" s="286"/>
      <c r="G121" s="282">
        <v>425332</v>
      </c>
      <c r="H121" s="282">
        <v>378918</v>
      </c>
      <c r="I121" s="282">
        <v>378917</v>
      </c>
      <c r="J121" s="191">
        <f t="shared" ref="J121:J131" si="12">+I121/H121*100</f>
        <v>99.999736090658146</v>
      </c>
      <c r="K121" s="147"/>
      <c r="L121" s="1130"/>
      <c r="M121" s="408"/>
      <c r="N121" s="157"/>
      <c r="O121" s="157"/>
      <c r="P121" s="165"/>
    </row>
    <row r="122" spans="1:16" s="18" customFormat="1" ht="29.25" customHeight="1" x14ac:dyDescent="0.3">
      <c r="A122" s="446"/>
      <c r="B122" s="279"/>
      <c r="C122" s="284" t="s">
        <v>348</v>
      </c>
      <c r="D122" s="287"/>
      <c r="E122" s="285"/>
      <c r="F122" s="286"/>
      <c r="G122" s="282">
        <v>287126</v>
      </c>
      <c r="H122" s="282">
        <v>474547</v>
      </c>
      <c r="I122" s="282">
        <v>474549</v>
      </c>
      <c r="J122" s="191">
        <f t="shared" si="12"/>
        <v>100.00042145456614</v>
      </c>
      <c r="K122" s="147"/>
      <c r="L122" s="1130"/>
      <c r="M122" s="408"/>
      <c r="N122" s="157"/>
      <c r="O122" s="157"/>
      <c r="P122" s="165"/>
    </row>
    <row r="123" spans="1:16" s="18" customFormat="1" ht="29.25" customHeight="1" x14ac:dyDescent="0.3">
      <c r="A123" s="446"/>
      <c r="B123" s="279"/>
      <c r="C123" s="284" t="s">
        <v>304</v>
      </c>
      <c r="D123" s="287"/>
      <c r="E123" s="285"/>
      <c r="F123" s="286"/>
      <c r="G123" s="282">
        <v>33830</v>
      </c>
      <c r="H123" s="282">
        <v>60664</v>
      </c>
      <c r="I123" s="282">
        <v>59543</v>
      </c>
      <c r="J123" s="191">
        <f t="shared" si="12"/>
        <v>98.152116576552814</v>
      </c>
      <c r="K123" s="147"/>
      <c r="L123" s="1130"/>
      <c r="M123" s="408"/>
      <c r="N123" s="157"/>
      <c r="O123" s="157"/>
      <c r="P123" s="165"/>
    </row>
    <row r="124" spans="1:16" s="18" customFormat="1" ht="29.25" customHeight="1" x14ac:dyDescent="0.3">
      <c r="A124" s="446"/>
      <c r="B124" s="279"/>
      <c r="C124" s="284" t="s">
        <v>305</v>
      </c>
      <c r="D124" s="287"/>
      <c r="E124" s="285"/>
      <c r="F124" s="286"/>
      <c r="G124" s="282">
        <v>87000</v>
      </c>
      <c r="H124" s="282">
        <v>150480</v>
      </c>
      <c r="I124" s="282">
        <v>150480</v>
      </c>
      <c r="J124" s="191">
        <f t="shared" si="12"/>
        <v>100</v>
      </c>
      <c r="K124" s="147"/>
      <c r="L124" s="1130"/>
      <c r="M124" s="408"/>
      <c r="N124" s="157"/>
      <c r="O124" s="157"/>
      <c r="P124" s="165"/>
    </row>
    <row r="125" spans="1:16" s="18" customFormat="1" ht="29.25" customHeight="1" x14ac:dyDescent="0.3">
      <c r="A125" s="446"/>
      <c r="B125" s="279"/>
      <c r="C125" s="284" t="s">
        <v>350</v>
      </c>
      <c r="D125" s="287"/>
      <c r="E125" s="285"/>
      <c r="F125" s="286"/>
      <c r="G125" s="282">
        <v>24000</v>
      </c>
      <c r="H125" s="282">
        <v>46894</v>
      </c>
      <c r="I125" s="282">
        <v>46895</v>
      </c>
      <c r="J125" s="191">
        <f t="shared" ref="J125" si="13">+I125/H125*100</f>
        <v>100.00213246897258</v>
      </c>
      <c r="K125" s="147"/>
      <c r="L125" s="1130"/>
      <c r="M125" s="408"/>
      <c r="N125" s="157"/>
      <c r="O125" s="157"/>
      <c r="P125" s="165"/>
    </row>
    <row r="126" spans="1:16" s="18" customFormat="1" ht="29.25" customHeight="1" x14ac:dyDescent="0.3">
      <c r="A126" s="446"/>
      <c r="B126" s="279"/>
      <c r="C126" s="284" t="s">
        <v>349</v>
      </c>
      <c r="D126" s="287"/>
      <c r="E126" s="285"/>
      <c r="F126" s="286"/>
      <c r="G126" s="282">
        <v>178083</v>
      </c>
      <c r="H126" s="282">
        <v>245817</v>
      </c>
      <c r="I126" s="282">
        <v>238516</v>
      </c>
      <c r="J126" s="191">
        <f t="shared" si="12"/>
        <v>97.029904359747292</v>
      </c>
      <c r="K126" s="147"/>
      <c r="L126" s="1130"/>
      <c r="M126" s="408"/>
      <c r="N126" s="157"/>
      <c r="O126" s="157"/>
      <c r="P126" s="165"/>
    </row>
    <row r="127" spans="1:16" s="18" customFormat="1" ht="29.25" customHeight="1" x14ac:dyDescent="0.3">
      <c r="A127" s="446"/>
      <c r="B127" s="279"/>
      <c r="C127" s="2639" t="s">
        <v>60</v>
      </c>
      <c r="D127" s="2631"/>
      <c r="E127" s="2631"/>
      <c r="F127" s="2632"/>
      <c r="G127" s="282">
        <v>94499</v>
      </c>
      <c r="H127" s="282">
        <v>124610</v>
      </c>
      <c r="I127" s="282">
        <v>124606</v>
      </c>
      <c r="J127" s="191">
        <f t="shared" si="12"/>
        <v>99.996789984752439</v>
      </c>
      <c r="K127" s="147"/>
      <c r="L127" s="1130"/>
      <c r="M127" s="408"/>
      <c r="N127" s="157"/>
      <c r="O127" s="157"/>
      <c r="P127" s="165"/>
    </row>
    <row r="128" spans="1:16" s="18" customFormat="1" ht="29.25" customHeight="1" x14ac:dyDescent="0.3">
      <c r="A128" s="446"/>
      <c r="B128" s="279"/>
      <c r="C128" s="283" t="s">
        <v>399</v>
      </c>
      <c r="D128" s="285"/>
      <c r="E128" s="285"/>
      <c r="F128" s="286"/>
      <c r="G128" s="282">
        <v>339579</v>
      </c>
      <c r="H128" s="282">
        <v>367795</v>
      </c>
      <c r="I128" s="282">
        <v>367669</v>
      </c>
      <c r="J128" s="191">
        <f t="shared" si="12"/>
        <v>99.965741785505514</v>
      </c>
      <c r="K128" s="147"/>
      <c r="L128" s="1130"/>
      <c r="M128" s="408"/>
      <c r="N128" s="157"/>
      <c r="O128" s="157"/>
      <c r="P128" s="165"/>
    </row>
    <row r="129" spans="1:16" s="18" customFormat="1" ht="29.25" customHeight="1" x14ac:dyDescent="0.3">
      <c r="A129" s="446"/>
      <c r="B129" s="279"/>
      <c r="C129" s="283" t="s">
        <v>88</v>
      </c>
      <c r="D129" s="285"/>
      <c r="E129" s="285"/>
      <c r="F129" s="286"/>
      <c r="G129" s="282">
        <v>53475</v>
      </c>
      <c r="H129" s="282">
        <v>60534</v>
      </c>
      <c r="I129" s="282">
        <v>68241</v>
      </c>
      <c r="J129" s="191">
        <f t="shared" si="12"/>
        <v>112.73168797700465</v>
      </c>
      <c r="K129" s="147"/>
      <c r="L129" s="1130"/>
      <c r="M129" s="408"/>
      <c r="N129" s="157"/>
      <c r="O129" s="157"/>
      <c r="P129" s="165"/>
    </row>
    <row r="130" spans="1:16" s="18" customFormat="1" ht="29.25" customHeight="1" x14ac:dyDescent="0.3">
      <c r="A130" s="446"/>
      <c r="B130" s="279"/>
      <c r="C130" s="283" t="s">
        <v>89</v>
      </c>
      <c r="D130" s="285"/>
      <c r="E130" s="285"/>
      <c r="F130" s="286"/>
      <c r="G130" s="282">
        <v>139534</v>
      </c>
      <c r="H130" s="282">
        <v>143430</v>
      </c>
      <c r="I130" s="282">
        <v>143430</v>
      </c>
      <c r="J130" s="191">
        <f t="shared" si="12"/>
        <v>100</v>
      </c>
      <c r="K130" s="147"/>
      <c r="L130" s="1130"/>
      <c r="M130" s="408"/>
      <c r="N130" s="157"/>
      <c r="O130" s="157"/>
      <c r="P130" s="165"/>
    </row>
    <row r="131" spans="1:16" s="18" customFormat="1" ht="29.25" customHeight="1" x14ac:dyDescent="0.3">
      <c r="A131" s="446"/>
      <c r="B131" s="279"/>
      <c r="C131" s="280" t="s">
        <v>58</v>
      </c>
      <c r="D131" s="245"/>
      <c r="E131" s="245"/>
      <c r="F131" s="281"/>
      <c r="G131" s="289">
        <v>15850</v>
      </c>
      <c r="H131" s="289">
        <v>55891</v>
      </c>
      <c r="I131" s="289">
        <v>55109</v>
      </c>
      <c r="J131" s="288">
        <f t="shared" si="12"/>
        <v>98.600848079297194</v>
      </c>
      <c r="K131" s="147"/>
      <c r="L131" s="1130"/>
      <c r="M131" s="408"/>
      <c r="N131" s="165"/>
      <c r="O131" s="165"/>
      <c r="P131" s="165"/>
    </row>
    <row r="132" spans="1:16" s="18" customFormat="1" ht="29.25" customHeight="1" x14ac:dyDescent="0.3">
      <c r="A132" s="446"/>
      <c r="B132" s="279"/>
      <c r="C132" s="283" t="s">
        <v>80</v>
      </c>
      <c r="D132" s="285"/>
      <c r="E132" s="285"/>
      <c r="F132" s="286"/>
      <c r="G132" s="237"/>
      <c r="H132" s="237"/>
      <c r="I132" s="237">
        <v>614</v>
      </c>
      <c r="J132" s="288"/>
      <c r="K132" s="147"/>
      <c r="L132" s="1130"/>
      <c r="M132" s="408"/>
      <c r="N132" s="165"/>
      <c r="O132" s="165"/>
      <c r="P132" s="165"/>
    </row>
    <row r="133" spans="1:16" ht="29.25" customHeight="1" thickBot="1" x14ac:dyDescent="0.35">
      <c r="B133" s="255" t="s">
        <v>414</v>
      </c>
      <c r="C133" s="290"/>
      <c r="D133" s="257"/>
      <c r="E133" s="257"/>
      <c r="F133" s="257"/>
      <c r="G133" s="274">
        <f t="shared" ref="G133:I133" si="14">SUM(G120:G132)</f>
        <v>1694997</v>
      </c>
      <c r="H133" s="274">
        <f t="shared" si="14"/>
        <v>2141364</v>
      </c>
      <c r="I133" s="274">
        <f t="shared" si="14"/>
        <v>2140327</v>
      </c>
      <c r="J133" s="259">
        <f>+I133/H133*100</f>
        <v>99.95157292267919</v>
      </c>
      <c r="L133" s="1130"/>
      <c r="M133" s="408"/>
      <c r="N133" s="165"/>
      <c r="O133" s="165"/>
    </row>
    <row r="134" spans="1:16" ht="29.25" customHeight="1" thickBot="1" x14ac:dyDescent="0.35">
      <c r="B134" s="255" t="s">
        <v>355</v>
      </c>
      <c r="C134" s="290"/>
      <c r="D134" s="256"/>
      <c r="E134" s="256"/>
      <c r="F134" s="256"/>
      <c r="G134" s="291">
        <f>+G54+G118+G107+G71+G133</f>
        <v>18621015</v>
      </c>
      <c r="H134" s="291">
        <f>+H54+H118+H107+H71+H133</f>
        <v>21426748</v>
      </c>
      <c r="I134" s="291">
        <f>+I54+I118+I107+I71+I133</f>
        <v>20830771</v>
      </c>
      <c r="J134" s="259">
        <f>+I134/H134*100</f>
        <v>97.218537316068691</v>
      </c>
      <c r="L134" s="1130"/>
      <c r="M134" s="408"/>
      <c r="N134" s="165"/>
      <c r="O134" s="165"/>
    </row>
    <row r="135" spans="1:16" ht="21" customHeight="1" x14ac:dyDescent="0.3">
      <c r="M135" s="164"/>
      <c r="N135" s="165"/>
      <c r="O135" s="165"/>
    </row>
    <row r="136" spans="1:16" ht="21" customHeight="1" x14ac:dyDescent="0.3">
      <c r="I136" s="68"/>
      <c r="M136" s="164"/>
      <c r="N136" s="165"/>
      <c r="O136" s="165"/>
    </row>
    <row r="137" spans="1:16" ht="21" customHeight="1" x14ac:dyDescent="0.3">
      <c r="I137" s="68"/>
      <c r="M137" s="164"/>
      <c r="N137" s="165"/>
      <c r="O137" s="165"/>
    </row>
    <row r="138" spans="1:16" ht="21" customHeight="1" x14ac:dyDescent="0.3">
      <c r="I138" s="68"/>
      <c r="M138" s="164"/>
      <c r="N138" s="165"/>
      <c r="O138" s="165"/>
    </row>
    <row r="139" spans="1:16" ht="21" customHeight="1" x14ac:dyDescent="0.3">
      <c r="I139" s="68"/>
      <c r="M139" s="164"/>
      <c r="N139" s="165"/>
      <c r="O139" s="165"/>
    </row>
    <row r="140" spans="1:16" ht="21" customHeight="1" x14ac:dyDescent="0.3">
      <c r="I140" s="68"/>
      <c r="M140" s="164"/>
      <c r="N140" s="165"/>
      <c r="O140" s="165"/>
    </row>
    <row r="141" spans="1:16" ht="21" customHeight="1" x14ac:dyDescent="0.3">
      <c r="I141" s="68"/>
      <c r="M141" s="166"/>
      <c r="N141" s="162"/>
      <c r="O141" s="162"/>
    </row>
    <row r="142" spans="1:16" ht="21" customHeight="1" x14ac:dyDescent="0.3">
      <c r="I142" s="68"/>
      <c r="M142" s="164"/>
      <c r="N142" s="165"/>
      <c r="O142" s="165"/>
    </row>
    <row r="143" spans="1:16" ht="21" customHeight="1" x14ac:dyDescent="0.3">
      <c r="I143" s="68"/>
      <c r="M143" s="164"/>
      <c r="N143" s="165"/>
      <c r="O143" s="165"/>
    </row>
    <row r="146" spans="9:9" ht="21" customHeight="1" x14ac:dyDescent="0.3">
      <c r="I146" s="68"/>
    </row>
    <row r="147" spans="9:9" ht="21" customHeight="1" x14ac:dyDescent="0.3">
      <c r="I147" s="68"/>
    </row>
    <row r="148" spans="9:9" ht="21" customHeight="1" x14ac:dyDescent="0.3">
      <c r="I148" s="68"/>
    </row>
    <row r="149" spans="9:9" ht="21" customHeight="1" x14ac:dyDescent="0.3">
      <c r="I149" s="68"/>
    </row>
    <row r="150" spans="9:9" ht="21" customHeight="1" x14ac:dyDescent="0.3">
      <c r="I150" s="68"/>
    </row>
  </sheetData>
  <mergeCells count="20">
    <mergeCell ref="D79:F79"/>
    <mergeCell ref="D93:F93"/>
    <mergeCell ref="D101:F101"/>
    <mergeCell ref="D102:F102"/>
    <mergeCell ref="C127:F127"/>
    <mergeCell ref="D105:F105"/>
    <mergeCell ref="D113:F113"/>
    <mergeCell ref="D111:F111"/>
    <mergeCell ref="D110:F110"/>
    <mergeCell ref="C109:F109"/>
    <mergeCell ref="C53:F53"/>
    <mergeCell ref="D49:F49"/>
    <mergeCell ref="B1:F1"/>
    <mergeCell ref="C12:F12"/>
    <mergeCell ref="G5:H5"/>
    <mergeCell ref="D22:F22"/>
    <mergeCell ref="D23:F23"/>
    <mergeCell ref="D50:F50"/>
    <mergeCell ref="B2:J2"/>
    <mergeCell ref="D51:F51"/>
  </mergeCells>
  <phoneticPr fontId="0" type="noConversion"/>
  <printOptions horizontalCentered="1" verticalCentered="1"/>
  <pageMargins left="0.39370078740157483" right="0" top="0" bottom="0" header="0.51181102362204722" footer="0"/>
  <pageSetup paperSize="9" scale="43" orientation="portrait" r:id="rId1"/>
  <headerFooter alignWithMargins="0">
    <oddHeader>&amp;R&amp;"Arial,Félkövér"&amp;20 &amp;18 3. melléklet a ..../2020. (......) önkormányzati rendelethez</oddHeader>
  </headerFooter>
  <rowBreaks count="2" manualBreakCount="2">
    <brk id="54" min="1" max="9" man="1"/>
    <brk id="107" min="1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G55"/>
  <sheetViews>
    <sheetView zoomScale="55" zoomScaleNormal="55" zoomScaleSheetLayoutView="50" workbookViewId="0">
      <selection activeCell="J20" sqref="J20"/>
    </sheetView>
  </sheetViews>
  <sheetFormatPr defaultColWidth="12" defaultRowHeight="18.75" x14ac:dyDescent="0.3"/>
  <cols>
    <col min="1" max="1" width="12" style="1916"/>
    <col min="2" max="2" width="130.83203125" style="1914" customWidth="1"/>
    <col min="3" max="3" width="160.33203125" style="1920" customWidth="1"/>
    <col min="4" max="4" width="49.1640625" style="1920" customWidth="1"/>
    <col min="5" max="5" width="12" style="1916"/>
    <col min="6" max="6" width="18.83203125" style="1916" bestFit="1" customWidth="1"/>
    <col min="7" max="7" width="15.1640625" style="1916" bestFit="1" customWidth="1"/>
    <col min="8" max="16384" width="12" style="1916"/>
  </cols>
  <sheetData>
    <row r="1" spans="2:4" ht="18.75" customHeight="1" x14ac:dyDescent="0.3">
      <c r="C1" s="1915"/>
      <c r="D1" s="1915"/>
    </row>
    <row r="2" spans="2:4" ht="18.75" customHeight="1" x14ac:dyDescent="0.3">
      <c r="B2" s="1917"/>
      <c r="C2" s="1915"/>
      <c r="D2" s="1915"/>
    </row>
    <row r="3" spans="2:4" s="1918" customFormat="1" ht="33.75" customHeight="1" x14ac:dyDescent="0.5">
      <c r="B3" s="2874" t="s">
        <v>820</v>
      </c>
      <c r="C3" s="2874"/>
      <c r="D3" s="2874"/>
    </row>
    <row r="4" spans="2:4" s="1919" customFormat="1" ht="40.5" customHeight="1" x14ac:dyDescent="0.5">
      <c r="B4" s="2874" t="s">
        <v>1706</v>
      </c>
      <c r="C4" s="2874"/>
      <c r="D4" s="2874"/>
    </row>
    <row r="5" spans="2:4" ht="43.5" customHeight="1" thickBot="1" x14ac:dyDescent="0.35"/>
    <row r="6" spans="2:4" s="1924" customFormat="1" ht="37.5" customHeight="1" x14ac:dyDescent="0.4">
      <c r="B6" s="2366" t="s">
        <v>1295</v>
      </c>
      <c r="C6" s="2367" t="s">
        <v>1349</v>
      </c>
      <c r="D6" s="1922" t="s">
        <v>1297</v>
      </c>
    </row>
    <row r="7" spans="2:4" s="1924" customFormat="1" ht="25.5" customHeight="1" x14ac:dyDescent="0.4">
      <c r="B7" s="2368"/>
      <c r="C7" s="2369"/>
      <c r="D7" s="2370" t="s">
        <v>26</v>
      </c>
    </row>
    <row r="8" spans="2:4" s="1924" customFormat="1" ht="26.25" customHeight="1" thickBot="1" x14ac:dyDescent="0.45">
      <c r="B8" s="2371"/>
      <c r="C8" s="2372"/>
      <c r="D8" s="1925"/>
    </row>
    <row r="9" spans="2:4" ht="35.1" customHeight="1" x14ac:dyDescent="0.4">
      <c r="B9" s="2373" t="s">
        <v>1298</v>
      </c>
      <c r="C9" s="2374"/>
      <c r="D9" s="2375"/>
    </row>
    <row r="10" spans="2:4" ht="36" customHeight="1" thickBot="1" x14ac:dyDescent="0.4">
      <c r="B10" s="2276" t="s">
        <v>1300</v>
      </c>
      <c r="C10" s="2376" t="s">
        <v>1707</v>
      </c>
      <c r="D10" s="2377">
        <f>[8]felújítás!D10</f>
        <v>3528</v>
      </c>
    </row>
    <row r="11" spans="2:4" ht="36" customHeight="1" x14ac:dyDescent="0.35">
      <c r="B11" s="2275" t="s">
        <v>1301</v>
      </c>
      <c r="C11" s="1931" t="s">
        <v>1708</v>
      </c>
      <c r="D11" s="2378">
        <f>[8]felújítás!D11</f>
        <v>2835</v>
      </c>
    </row>
    <row r="12" spans="2:4" ht="36" customHeight="1" thickBot="1" x14ac:dyDescent="0.4">
      <c r="B12" s="2417"/>
      <c r="C12" s="2379" t="s">
        <v>1709</v>
      </c>
      <c r="D12" s="2380">
        <f>[8]felújítás!D12</f>
        <v>134</v>
      </c>
    </row>
    <row r="13" spans="2:4" ht="36" customHeight="1" thickBot="1" x14ac:dyDescent="0.4">
      <c r="B13" s="2276" t="s">
        <v>1302</v>
      </c>
      <c r="C13" s="1926" t="s">
        <v>1710</v>
      </c>
      <c r="D13" s="2380">
        <f>[8]felújítás!D13</f>
        <v>2989</v>
      </c>
    </row>
    <row r="14" spans="2:4" ht="36" customHeight="1" x14ac:dyDescent="0.35">
      <c r="B14" s="2275" t="s">
        <v>1303</v>
      </c>
      <c r="C14" s="2381" t="s">
        <v>1711</v>
      </c>
      <c r="D14" s="2382">
        <f>[8]felújítás!D14</f>
        <v>446</v>
      </c>
    </row>
    <row r="15" spans="2:4" ht="36" customHeight="1" thickBot="1" x14ac:dyDescent="0.4">
      <c r="B15" s="2417"/>
      <c r="C15" s="1928" t="s">
        <v>1712</v>
      </c>
      <c r="D15" s="2380">
        <f>[8]felújítás!D15</f>
        <v>1140</v>
      </c>
    </row>
    <row r="16" spans="2:4" ht="36" customHeight="1" x14ac:dyDescent="0.35">
      <c r="B16" s="2276" t="s">
        <v>1304</v>
      </c>
      <c r="C16" s="2383" t="s">
        <v>1713</v>
      </c>
      <c r="D16" s="2382">
        <f>[8]felújítás!D16</f>
        <v>7059</v>
      </c>
    </row>
    <row r="17" spans="2:7" ht="36" customHeight="1" thickBot="1" x14ac:dyDescent="0.4">
      <c r="B17" s="2417"/>
      <c r="C17" s="2379" t="s">
        <v>1714</v>
      </c>
      <c r="D17" s="2377">
        <f>[8]felújítás!D17</f>
        <v>1894</v>
      </c>
    </row>
    <row r="18" spans="2:7" ht="36" customHeight="1" thickBot="1" x14ac:dyDescent="0.4">
      <c r="B18" s="2276" t="s">
        <v>1305</v>
      </c>
      <c r="C18" s="2383" t="s">
        <v>1715</v>
      </c>
      <c r="D18" s="2380">
        <f>[8]felújítás!D18</f>
        <v>687</v>
      </c>
    </row>
    <row r="19" spans="2:7" ht="36" customHeight="1" thickBot="1" x14ac:dyDescent="0.4">
      <c r="B19" s="2275" t="s">
        <v>1306</v>
      </c>
      <c r="C19" s="1931" t="s">
        <v>1716</v>
      </c>
      <c r="D19" s="2378">
        <f>[8]felújítás!D19</f>
        <v>8947</v>
      </c>
    </row>
    <row r="20" spans="2:7" ht="36" customHeight="1" thickBot="1" x14ac:dyDescent="0.4">
      <c r="B20" s="2418" t="s">
        <v>1307</v>
      </c>
      <c r="C20" s="1931" t="s">
        <v>1717</v>
      </c>
      <c r="D20" s="2384">
        <f>[8]felújítás!D20</f>
        <v>3974</v>
      </c>
    </row>
    <row r="21" spans="2:7" ht="36" customHeight="1" x14ac:dyDescent="0.35">
      <c r="B21" s="2276" t="s">
        <v>1310</v>
      </c>
      <c r="C21" s="2385" t="s">
        <v>1718</v>
      </c>
      <c r="D21" s="2386">
        <f>[8]felújítás!D21</f>
        <v>3662</v>
      </c>
    </row>
    <row r="22" spans="2:7" ht="36" customHeight="1" thickBot="1" x14ac:dyDescent="0.4">
      <c r="B22" s="2417"/>
      <c r="C22" s="2387" t="s">
        <v>1719</v>
      </c>
      <c r="D22" s="2388">
        <f>[8]felújítás!D22</f>
        <v>644</v>
      </c>
    </row>
    <row r="23" spans="2:7" ht="36" customHeight="1" x14ac:dyDescent="0.35">
      <c r="B23" s="2276" t="s">
        <v>1311</v>
      </c>
      <c r="C23" s="1931" t="s">
        <v>1720</v>
      </c>
      <c r="D23" s="2386">
        <f>[8]felújítás!D23</f>
        <v>12605</v>
      </c>
    </row>
    <row r="24" spans="2:7" ht="36" customHeight="1" thickBot="1" x14ac:dyDescent="0.4">
      <c r="B24" s="2417"/>
      <c r="C24" s="2387" t="s">
        <v>1721</v>
      </c>
      <c r="D24" s="2389">
        <f>[8]felújítás!D24</f>
        <v>2638</v>
      </c>
    </row>
    <row r="25" spans="2:7" ht="36" customHeight="1" thickBot="1" x14ac:dyDescent="0.4">
      <c r="B25" s="2275" t="s">
        <v>1315</v>
      </c>
      <c r="C25" s="1927" t="s">
        <v>1722</v>
      </c>
      <c r="D25" s="2390">
        <f>[8]felújítás!D25</f>
        <v>1004</v>
      </c>
    </row>
    <row r="26" spans="2:7" ht="36" customHeight="1" x14ac:dyDescent="0.35">
      <c r="B26" s="2275" t="s">
        <v>1350</v>
      </c>
      <c r="C26" s="2381" t="s">
        <v>1723</v>
      </c>
      <c r="D26" s="2382">
        <f>[8]felújítás!D26</f>
        <v>13236</v>
      </c>
    </row>
    <row r="27" spans="2:7" ht="36" customHeight="1" thickBot="1" x14ac:dyDescent="0.4">
      <c r="B27" s="2417"/>
      <c r="C27" s="1928" t="s">
        <v>1724</v>
      </c>
      <c r="D27" s="2380">
        <f>[8]felújítás!D27</f>
        <v>1864</v>
      </c>
    </row>
    <row r="28" spans="2:7" s="1933" customFormat="1" ht="36" customHeight="1" thickBot="1" x14ac:dyDescent="0.45">
      <c r="B28" s="1932" t="s">
        <v>1318</v>
      </c>
      <c r="C28" s="2391"/>
      <c r="D28" s="2392">
        <f>SUM(D10:D27)</f>
        <v>69286</v>
      </c>
      <c r="G28" s="2348"/>
    </row>
    <row r="29" spans="2:7" s="1933" customFormat="1" ht="36" customHeight="1" x14ac:dyDescent="0.35">
      <c r="B29" s="1935" t="s">
        <v>181</v>
      </c>
      <c r="C29" s="1931" t="s">
        <v>1725</v>
      </c>
      <c r="D29" s="2382">
        <f>[8]felújítás!D29</f>
        <v>3125</v>
      </c>
    </row>
    <row r="30" spans="2:7" s="1933" customFormat="1" ht="36" customHeight="1" x14ac:dyDescent="0.35">
      <c r="B30" s="1939"/>
      <c r="C30" s="1930" t="s">
        <v>1726</v>
      </c>
      <c r="D30" s="2378">
        <f>[8]felújítás!D30</f>
        <v>895</v>
      </c>
    </row>
    <row r="31" spans="2:7" s="1933" customFormat="1" ht="36" customHeight="1" x14ac:dyDescent="0.35">
      <c r="B31" s="1939"/>
      <c r="C31" s="1930" t="s">
        <v>1727</v>
      </c>
      <c r="D31" s="2393">
        <f>[8]felújítás!D31</f>
        <v>1584</v>
      </c>
    </row>
    <row r="32" spans="2:7" s="1933" customFormat="1" ht="36" customHeight="1" thickBot="1" x14ac:dyDescent="0.45">
      <c r="B32" s="2394" t="s">
        <v>1555</v>
      </c>
      <c r="C32" s="2391"/>
      <c r="D32" s="2392">
        <f>[8]felújítás!D32</f>
        <v>5604</v>
      </c>
    </row>
    <row r="33" spans="2:4" s="1933" customFormat="1" ht="51.75" customHeight="1" thickBot="1" x14ac:dyDescent="0.45">
      <c r="B33" s="2395" t="s">
        <v>1319</v>
      </c>
      <c r="C33" s="2396"/>
      <c r="D33" s="2397">
        <f>D28+D32</f>
        <v>74890</v>
      </c>
    </row>
    <row r="34" spans="2:4" ht="44.25" customHeight="1" thickBot="1" x14ac:dyDescent="0.4">
      <c r="B34" s="2398" t="s">
        <v>1320</v>
      </c>
      <c r="C34" s="2396"/>
      <c r="D34" s="2399"/>
    </row>
    <row r="35" spans="2:4" ht="35.25" customHeight="1" x14ac:dyDescent="0.35">
      <c r="B35" s="2400" t="s">
        <v>1327</v>
      </c>
      <c r="C35" s="1935" t="s">
        <v>76</v>
      </c>
      <c r="D35" s="2399" t="s">
        <v>76</v>
      </c>
    </row>
    <row r="36" spans="2:4" ht="51" x14ac:dyDescent="0.35">
      <c r="B36" s="2406" t="s">
        <v>1328</v>
      </c>
      <c r="C36" s="1940" t="s">
        <v>1728</v>
      </c>
      <c r="D36" s="2378">
        <f>[8]felújítás!D36</f>
        <v>5594.8689999999997</v>
      </c>
    </row>
    <row r="37" spans="2:4" ht="36" customHeight="1" x14ac:dyDescent="0.35">
      <c r="B37" s="1937"/>
      <c r="C37" s="1938" t="s">
        <v>1729</v>
      </c>
      <c r="D37" s="2393">
        <f>[8]felújítás!D37</f>
        <v>539.23099999999999</v>
      </c>
    </row>
    <row r="38" spans="2:4" ht="36" customHeight="1" x14ac:dyDescent="0.35">
      <c r="B38" s="1937"/>
      <c r="C38" s="2415" t="s">
        <v>1730</v>
      </c>
      <c r="D38" s="2393">
        <f>[8]felújítás!D38</f>
        <v>762</v>
      </c>
    </row>
    <row r="39" spans="2:4" ht="25.5" x14ac:dyDescent="0.35">
      <c r="B39" s="1937"/>
      <c r="C39" s="2415" t="s">
        <v>1731</v>
      </c>
      <c r="D39" s="2393">
        <f>[8]felújítás!D39</f>
        <v>4186.1120000000001</v>
      </c>
    </row>
    <row r="40" spans="2:4" s="1933" customFormat="1" ht="33.75" customHeight="1" thickBot="1" x14ac:dyDescent="0.45">
      <c r="B40" s="2401" t="s">
        <v>1575</v>
      </c>
      <c r="C40" s="2416"/>
      <c r="D40" s="2392">
        <f>SUM(D36:D39)</f>
        <v>11082.212</v>
      </c>
    </row>
    <row r="41" spans="2:4" ht="35.25" customHeight="1" x14ac:dyDescent="0.35">
      <c r="B41" s="2400" t="s">
        <v>1351</v>
      </c>
      <c r="C41" s="1935" t="s">
        <v>76</v>
      </c>
      <c r="D41" s="2399" t="s">
        <v>76</v>
      </c>
    </row>
    <row r="42" spans="2:4" ht="51" x14ac:dyDescent="0.35">
      <c r="B42" s="2406" t="s">
        <v>1352</v>
      </c>
      <c r="C42" s="2414" t="s">
        <v>1732</v>
      </c>
      <c r="D42" s="2378">
        <f>[8]felújítás!D42</f>
        <v>880</v>
      </c>
    </row>
    <row r="43" spans="2:4" ht="51" x14ac:dyDescent="0.35">
      <c r="B43" s="1937"/>
      <c r="C43" s="2415" t="s">
        <v>1733</v>
      </c>
      <c r="D43" s="2393">
        <f>[8]felújítás!D43</f>
        <v>4730</v>
      </c>
    </row>
    <row r="44" spans="2:4" ht="35.25" customHeight="1" x14ac:dyDescent="0.35">
      <c r="B44" s="1937"/>
      <c r="C44" s="1938" t="s">
        <v>1734</v>
      </c>
      <c r="D44" s="2393">
        <f>[8]felújítás!D44</f>
        <v>1906</v>
      </c>
    </row>
    <row r="45" spans="2:4" s="1933" customFormat="1" ht="33.75" customHeight="1" thickBot="1" x14ac:dyDescent="0.45">
      <c r="B45" s="2401" t="s">
        <v>1575</v>
      </c>
      <c r="C45" s="2416"/>
      <c r="D45" s="2392">
        <f>SUM(D42:D44)</f>
        <v>7516</v>
      </c>
    </row>
    <row r="46" spans="2:4" ht="33.75" customHeight="1" x14ac:dyDescent="0.35">
      <c r="B46" s="2402" t="s">
        <v>1332</v>
      </c>
      <c r="C46" s="2396"/>
      <c r="D46" s="2403"/>
    </row>
    <row r="47" spans="2:4" ht="51" x14ac:dyDescent="0.35">
      <c r="B47" s="1941" t="s">
        <v>1353</v>
      </c>
      <c r="C47" s="2404" t="s">
        <v>1735</v>
      </c>
      <c r="D47" s="2405">
        <f>[8]felújítás!D47</f>
        <v>2605.4580000000001</v>
      </c>
    </row>
    <row r="48" spans="2:4" ht="35.25" customHeight="1" x14ac:dyDescent="0.35">
      <c r="B48" s="2406"/>
      <c r="C48" s="2407" t="s">
        <v>1736</v>
      </c>
      <c r="D48" s="2408">
        <f>[8]felújítás!D48</f>
        <v>1022.39</v>
      </c>
    </row>
    <row r="49" spans="2:4" ht="33.75" customHeight="1" thickBot="1" x14ac:dyDescent="0.45">
      <c r="B49" s="2401" t="s">
        <v>1575</v>
      </c>
      <c r="C49" s="2409"/>
      <c r="D49" s="2392">
        <f>SUM(D47:D48)</f>
        <v>3627.848</v>
      </c>
    </row>
    <row r="50" spans="2:4" ht="35.25" customHeight="1" x14ac:dyDescent="0.35">
      <c r="B50" s="2419" t="s">
        <v>1452</v>
      </c>
      <c r="C50" s="2396"/>
      <c r="D50" s="2403"/>
    </row>
    <row r="51" spans="2:4" ht="36" customHeight="1" x14ac:dyDescent="0.35">
      <c r="B51" s="2420" t="s">
        <v>1344</v>
      </c>
      <c r="C51" s="2404" t="s">
        <v>1737</v>
      </c>
      <c r="D51" s="2405">
        <f>[8]felújítás!D51</f>
        <v>5619</v>
      </c>
    </row>
    <row r="52" spans="2:4" ht="35.25" customHeight="1" thickBot="1" x14ac:dyDescent="0.45">
      <c r="B52" s="2401" t="s">
        <v>1575</v>
      </c>
      <c r="C52" s="2410"/>
      <c r="D52" s="2411">
        <f>SUM(D51)</f>
        <v>5619</v>
      </c>
    </row>
    <row r="53" spans="2:4" s="1933" customFormat="1" ht="41.25" customHeight="1" thickBot="1" x14ac:dyDescent="0.45">
      <c r="B53" s="1934" t="s">
        <v>1347</v>
      </c>
      <c r="C53" s="2412"/>
      <c r="D53" s="2413">
        <f>D40++D45+D49+D51</f>
        <v>27845.059999999998</v>
      </c>
    </row>
    <row r="54" spans="2:4" s="1933" customFormat="1" ht="48.75" customHeight="1" thickBot="1" x14ac:dyDescent="0.45">
      <c r="B54" s="1942" t="s">
        <v>1348</v>
      </c>
      <c r="C54" s="1929"/>
      <c r="D54" s="2413">
        <f>D33+D53</f>
        <v>102735.06</v>
      </c>
    </row>
    <row r="55" spans="2:4" ht="19.5" customHeight="1" x14ac:dyDescent="0.3"/>
  </sheetData>
  <mergeCells count="2">
    <mergeCell ref="B3:D3"/>
    <mergeCell ref="B4:D4"/>
  </mergeCells>
  <printOptions horizontalCentered="1" verticalCentered="1"/>
  <pageMargins left="0.39370078740157483" right="0" top="0.39370078740157483" bottom="7.874015748031496E-2" header="0.31496062992125984" footer="0.31496062992125984"/>
  <pageSetup paperSize="9" scale="38" orientation="portrait" r:id="rId1"/>
  <headerFooter alignWithMargins="0">
    <oddHeader>&amp;R&amp;"Arial CE,Félkövér"&amp;22 30. melléklet a …../2020. (…….) önkormányzati rendelethez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46"/>
  <sheetViews>
    <sheetView zoomScaleNormal="100" workbookViewId="0">
      <selection activeCell="N16" sqref="N16"/>
    </sheetView>
  </sheetViews>
  <sheetFormatPr defaultColWidth="12" defaultRowHeight="14.25" x14ac:dyDescent="0.2"/>
  <cols>
    <col min="1" max="1" width="17.83203125" style="1945" customWidth="1"/>
    <col min="2" max="2" width="15.33203125" style="1945" customWidth="1"/>
    <col min="3" max="3" width="16.5" style="1945" customWidth="1"/>
    <col min="4" max="4" width="16.6640625" style="1945" customWidth="1"/>
    <col min="5" max="5" width="35.6640625" style="1945" customWidth="1"/>
    <col min="6" max="6" width="20.5" style="1947" customWidth="1"/>
    <col min="7" max="7" width="15.6640625" style="1945" customWidth="1"/>
    <col min="8" max="8" width="20.6640625" style="1945" customWidth="1"/>
    <col min="9" max="9" width="20" style="1947" customWidth="1"/>
    <col min="10" max="10" width="18.83203125" style="1947" customWidth="1"/>
    <col min="11" max="11" width="20.5" style="1945" customWidth="1"/>
    <col min="12" max="13" width="13.1640625" style="1945" customWidth="1"/>
    <col min="14" max="14" width="14.6640625" style="1945" bestFit="1" customWidth="1"/>
    <col min="15" max="16384" width="12" style="1945"/>
  </cols>
  <sheetData>
    <row r="1" spans="1:14" ht="18" x14ac:dyDescent="0.25">
      <c r="B1" s="2884" t="s">
        <v>820</v>
      </c>
      <c r="C1" s="2884"/>
      <c r="D1" s="2884"/>
      <c r="E1" s="2884"/>
      <c r="F1" s="2884"/>
      <c r="G1" s="2884"/>
      <c r="H1" s="2884"/>
      <c r="I1" s="2884"/>
      <c r="J1" s="2884"/>
      <c r="K1" s="2884"/>
    </row>
    <row r="2" spans="1:14" ht="18.75" x14ac:dyDescent="0.3">
      <c r="B2" s="2885" t="s">
        <v>1384</v>
      </c>
      <c r="C2" s="2777"/>
      <c r="D2" s="2777"/>
      <c r="E2" s="2777"/>
      <c r="F2" s="2777"/>
      <c r="G2" s="2777"/>
      <c r="H2" s="2777"/>
      <c r="I2" s="2777"/>
      <c r="J2" s="2777"/>
      <c r="K2" s="2777"/>
    </row>
    <row r="3" spans="1:14" ht="23.25" customHeight="1" x14ac:dyDescent="0.25">
      <c r="B3" s="1946"/>
      <c r="I3" s="1948"/>
      <c r="J3" s="1948"/>
      <c r="K3" s="1946"/>
      <c r="L3" s="1946"/>
      <c r="M3" s="1946"/>
    </row>
    <row r="4" spans="1:14" ht="15" x14ac:dyDescent="0.25">
      <c r="B4" s="1949"/>
      <c r="I4" s="1950"/>
      <c r="J4" s="1950"/>
      <c r="K4" s="1949"/>
      <c r="L4" s="1949"/>
      <c r="M4" s="1949"/>
    </row>
    <row r="5" spans="1:14" ht="15" thickBot="1" x14ac:dyDescent="0.25">
      <c r="K5" s="1369" t="s">
        <v>26</v>
      </c>
      <c r="L5" s="1951"/>
      <c r="M5" s="1951"/>
    </row>
    <row r="6" spans="1:14" ht="22.5" customHeight="1" x14ac:dyDescent="0.25">
      <c r="A6" s="1952"/>
      <c r="B6" s="2892" t="s">
        <v>42</v>
      </c>
      <c r="C6" s="2893"/>
      <c r="D6" s="2893"/>
      <c r="E6" s="2894"/>
      <c r="F6" s="2889" t="s">
        <v>1801</v>
      </c>
      <c r="G6" s="2901" t="s">
        <v>1354</v>
      </c>
      <c r="H6" s="2902"/>
      <c r="I6" s="1953" t="s">
        <v>1798</v>
      </c>
      <c r="J6" s="1953" t="s">
        <v>1797</v>
      </c>
      <c r="K6" s="2905" t="s">
        <v>1800</v>
      </c>
      <c r="L6" s="1954"/>
      <c r="M6" s="1954"/>
    </row>
    <row r="7" spans="1:14" ht="22.5" customHeight="1" x14ac:dyDescent="0.25">
      <c r="A7" s="1952"/>
      <c r="B7" s="2895"/>
      <c r="C7" s="2896"/>
      <c r="D7" s="2896"/>
      <c r="E7" s="2897"/>
      <c r="F7" s="2890"/>
      <c r="G7" s="2903"/>
      <c r="H7" s="2904"/>
      <c r="I7" s="2603" t="s">
        <v>1355</v>
      </c>
      <c r="J7" s="2603" t="s">
        <v>1355</v>
      </c>
      <c r="K7" s="2906"/>
      <c r="L7" s="1954"/>
      <c r="M7" s="1954"/>
    </row>
    <row r="8" spans="1:14" ht="29.25" customHeight="1" thickBot="1" x14ac:dyDescent="0.3">
      <c r="A8" s="1952"/>
      <c r="B8" s="2898"/>
      <c r="C8" s="2899"/>
      <c r="D8" s="2899"/>
      <c r="E8" s="2900"/>
      <c r="F8" s="2891"/>
      <c r="G8" s="1955" t="s">
        <v>1356</v>
      </c>
      <c r="H8" s="2600" t="s">
        <v>1357</v>
      </c>
      <c r="I8" s="1956" t="s">
        <v>1799</v>
      </c>
      <c r="J8" s="1956" t="s">
        <v>1358</v>
      </c>
      <c r="K8" s="2907"/>
      <c r="L8" s="1954"/>
      <c r="M8" s="1954"/>
    </row>
    <row r="9" spans="1:14" ht="27" customHeight="1" x14ac:dyDescent="0.2">
      <c r="B9" s="1957" t="s">
        <v>1359</v>
      </c>
      <c r="C9" s="1958"/>
      <c r="D9" s="1958"/>
      <c r="E9" s="1959"/>
      <c r="F9" s="1961">
        <v>3000</v>
      </c>
      <c r="G9" s="1960">
        <v>100</v>
      </c>
      <c r="H9" s="2601">
        <v>3000</v>
      </c>
      <c r="I9" s="1963">
        <v>3000</v>
      </c>
      <c r="J9" s="2606"/>
      <c r="K9" s="2608">
        <f>H9-I9-J9</f>
        <v>0</v>
      </c>
      <c r="L9" s="1964"/>
      <c r="M9" s="1964"/>
    </row>
    <row r="10" spans="1:14" ht="27" customHeight="1" x14ac:dyDescent="0.2">
      <c r="B10" s="1957" t="s">
        <v>1379</v>
      </c>
      <c r="C10" s="1958"/>
      <c r="D10" s="1958"/>
      <c r="E10" s="1959"/>
      <c r="F10" s="1961">
        <f>7537500-5992312.5-370845</f>
        <v>1174342.5</v>
      </c>
      <c r="G10" s="1960">
        <v>52.85</v>
      </c>
      <c r="H10" s="2601">
        <f>635197-14552</f>
        <v>620645</v>
      </c>
      <c r="I10" s="1963"/>
      <c r="J10" s="1965"/>
      <c r="K10" s="1962">
        <f t="shared" ref="K10:K14" si="0">H10-I10-J10</f>
        <v>620645</v>
      </c>
      <c r="L10" s="1964"/>
      <c r="M10" s="1964"/>
    </row>
    <row r="11" spans="1:14" ht="27" customHeight="1" x14ac:dyDescent="0.2">
      <c r="B11" s="1966" t="s">
        <v>1381</v>
      </c>
      <c r="C11" s="1958"/>
      <c r="D11" s="1958"/>
      <c r="E11" s="1959"/>
      <c r="F11" s="1961">
        <v>5000</v>
      </c>
      <c r="G11" s="1967">
        <v>10.199999999999999</v>
      </c>
      <c r="H11" s="2601">
        <v>2510</v>
      </c>
      <c r="I11" s="1963"/>
      <c r="J11" s="1965">
        <v>2510</v>
      </c>
      <c r="K11" s="2608">
        <f t="shared" si="0"/>
        <v>0</v>
      </c>
      <c r="L11" s="1964"/>
      <c r="M11" s="1964"/>
      <c r="N11" s="1968"/>
    </row>
    <row r="12" spans="1:14" s="1969" customFormat="1" ht="27" customHeight="1" x14ac:dyDescent="0.2">
      <c r="B12" s="1970" t="s">
        <v>1380</v>
      </c>
      <c r="C12" s="1971"/>
      <c r="D12" s="1971"/>
      <c r="E12" s="1972"/>
      <c r="F12" s="1974">
        <v>150000</v>
      </c>
      <c r="G12" s="1973">
        <v>35</v>
      </c>
      <c r="H12" s="1991">
        <v>69490</v>
      </c>
      <c r="I12" s="1975"/>
      <c r="J12" s="1978"/>
      <c r="K12" s="1962">
        <f t="shared" si="0"/>
        <v>69490</v>
      </c>
      <c r="L12" s="1976"/>
      <c r="M12" s="1976"/>
    </row>
    <row r="13" spans="1:14" s="1969" customFormat="1" ht="27" customHeight="1" x14ac:dyDescent="0.2">
      <c r="B13" s="1970" t="s">
        <v>1377</v>
      </c>
      <c r="C13" s="1971"/>
      <c r="D13" s="1971"/>
      <c r="E13" s="1971"/>
      <c r="F13" s="1961">
        <v>25500</v>
      </c>
      <c r="G13" s="1973">
        <v>100</v>
      </c>
      <c r="H13" s="1991">
        <v>25500</v>
      </c>
      <c r="I13" s="1963"/>
      <c r="J13" s="1978"/>
      <c r="K13" s="1977">
        <f t="shared" si="0"/>
        <v>25500</v>
      </c>
      <c r="L13" s="1976"/>
      <c r="M13" s="1976"/>
    </row>
    <row r="14" spans="1:14" s="1969" customFormat="1" ht="27" customHeight="1" x14ac:dyDescent="0.2">
      <c r="B14" s="1970" t="s">
        <v>1360</v>
      </c>
      <c r="C14" s="1971"/>
      <c r="D14" s="1971"/>
      <c r="E14" s="1971"/>
      <c r="F14" s="1961">
        <v>3000</v>
      </c>
      <c r="G14" s="1973">
        <v>100</v>
      </c>
      <c r="H14" s="1991">
        <v>102627</v>
      </c>
      <c r="I14" s="1963"/>
      <c r="J14" s="1978"/>
      <c r="K14" s="1977">
        <f t="shared" si="0"/>
        <v>102627</v>
      </c>
      <c r="L14" s="1976"/>
      <c r="M14" s="1976"/>
    </row>
    <row r="15" spans="1:14" s="1969" customFormat="1" ht="27" customHeight="1" x14ac:dyDescent="0.25">
      <c r="B15" s="1979" t="s">
        <v>1361</v>
      </c>
      <c r="C15" s="1971"/>
      <c r="D15" s="1971"/>
      <c r="E15" s="1971"/>
      <c r="F15" s="1961"/>
      <c r="G15" s="1967"/>
      <c r="H15" s="2602">
        <f>SUM(H9:H14)</f>
        <v>823772</v>
      </c>
      <c r="I15" s="2604">
        <f>SUM(I9:I13)</f>
        <v>3000</v>
      </c>
      <c r="J15" s="1981">
        <f>SUM(J9:J13)</f>
        <v>2510</v>
      </c>
      <c r="K15" s="1980">
        <f>SUM(K9:K14)</f>
        <v>818262</v>
      </c>
      <c r="L15" s="1976"/>
      <c r="M15" s="1976"/>
    </row>
    <row r="16" spans="1:14" ht="37.5" customHeight="1" x14ac:dyDescent="0.2">
      <c r="B16" s="2881" t="s">
        <v>1378</v>
      </c>
      <c r="C16" s="2882"/>
      <c r="D16" s="2882"/>
      <c r="E16" s="2883"/>
      <c r="F16" s="1961">
        <v>5102808</v>
      </c>
      <c r="G16" s="1967">
        <v>100</v>
      </c>
      <c r="H16" s="2601">
        <v>5496616</v>
      </c>
      <c r="I16" s="1985"/>
      <c r="J16" s="1986"/>
      <c r="K16" s="2609">
        <f t="shared" ref="K16:K26" si="1">H16-I16-J16</f>
        <v>5496616</v>
      </c>
      <c r="L16" s="1964"/>
      <c r="M16" s="1964"/>
      <c r="N16" s="1968"/>
    </row>
    <row r="17" spans="2:14" s="1969" customFormat="1" ht="36.75" customHeight="1" x14ac:dyDescent="0.2">
      <c r="B17" s="2881" t="s">
        <v>1362</v>
      </c>
      <c r="C17" s="2882"/>
      <c r="D17" s="2882"/>
      <c r="E17" s="2883"/>
      <c r="F17" s="1961">
        <f>3000+17000</f>
        <v>20000</v>
      </c>
      <c r="G17" s="1967">
        <v>100</v>
      </c>
      <c r="H17" s="2601">
        <f>3000+17000</f>
        <v>20000</v>
      </c>
      <c r="I17" s="1963"/>
      <c r="J17" s="1965"/>
      <c r="K17" s="1962">
        <f t="shared" si="1"/>
        <v>20000</v>
      </c>
      <c r="L17" s="1976"/>
      <c r="M17" s="1976"/>
    </row>
    <row r="18" spans="2:14" s="1969" customFormat="1" ht="27" customHeight="1" x14ac:dyDescent="0.2">
      <c r="B18" s="1982" t="s">
        <v>1363</v>
      </c>
      <c r="C18" s="1983"/>
      <c r="D18" s="1983"/>
      <c r="E18" s="1984"/>
      <c r="F18" s="1961">
        <v>4700</v>
      </c>
      <c r="G18" s="1967">
        <v>100</v>
      </c>
      <c r="H18" s="2601">
        <v>4700</v>
      </c>
      <c r="I18" s="1963"/>
      <c r="J18" s="1965"/>
      <c r="K18" s="1962">
        <f t="shared" si="1"/>
        <v>4700</v>
      </c>
      <c r="L18" s="1976"/>
      <c r="M18" s="1976"/>
    </row>
    <row r="19" spans="2:14" s="1969" customFormat="1" ht="27" customHeight="1" x14ac:dyDescent="0.2">
      <c r="B19" s="1982" t="s">
        <v>1364</v>
      </c>
      <c r="C19" s="1983"/>
      <c r="D19" s="1983"/>
      <c r="E19" s="1984"/>
      <c r="F19" s="1961">
        <v>3000</v>
      </c>
      <c r="G19" s="1967">
        <v>100</v>
      </c>
      <c r="H19" s="2601">
        <v>3000</v>
      </c>
      <c r="I19" s="1963"/>
      <c r="J19" s="1965"/>
      <c r="K19" s="1962">
        <f t="shared" si="1"/>
        <v>3000</v>
      </c>
      <c r="L19" s="1976"/>
      <c r="M19" s="1976"/>
      <c r="N19" s="1987"/>
    </row>
    <row r="20" spans="2:14" s="1969" customFormat="1" ht="27" customHeight="1" x14ac:dyDescent="0.2">
      <c r="B20" s="1982" t="s">
        <v>1365</v>
      </c>
      <c r="C20" s="1983"/>
      <c r="D20" s="1983"/>
      <c r="E20" s="1984"/>
      <c r="F20" s="1961">
        <v>15000</v>
      </c>
      <c r="G20" s="1967">
        <v>100</v>
      </c>
      <c r="H20" s="2601">
        <v>15000</v>
      </c>
      <c r="I20" s="1963"/>
      <c r="J20" s="1965"/>
      <c r="K20" s="1962">
        <f t="shared" si="1"/>
        <v>15000</v>
      </c>
      <c r="L20" s="1976"/>
      <c r="M20" s="1976"/>
      <c r="N20" s="1987"/>
    </row>
    <row r="21" spans="2:14" s="1969" customFormat="1" ht="27" customHeight="1" x14ac:dyDescent="0.2">
      <c r="B21" s="1982" t="s">
        <v>1366</v>
      </c>
      <c r="C21" s="1983"/>
      <c r="D21" s="1983"/>
      <c r="E21" s="1984"/>
      <c r="F21" s="1961">
        <v>3530</v>
      </c>
      <c r="G21" s="1967">
        <v>100</v>
      </c>
      <c r="H21" s="2601">
        <f>6000-2000-170+40000-2400+3587</f>
        <v>45017</v>
      </c>
      <c r="I21" s="1963"/>
      <c r="J21" s="1965"/>
      <c r="K21" s="1962">
        <f t="shared" si="1"/>
        <v>45017</v>
      </c>
      <c r="L21" s="1976"/>
      <c r="M21" s="1976"/>
      <c r="N21" s="1987"/>
    </row>
    <row r="22" spans="2:14" s="1969" customFormat="1" ht="27" customHeight="1" x14ac:dyDescent="0.2">
      <c r="B22" s="1970" t="s">
        <v>1367</v>
      </c>
      <c r="C22" s="1971"/>
      <c r="D22" s="1971"/>
      <c r="E22" s="1971"/>
      <c r="F22" s="1961">
        <v>3000</v>
      </c>
      <c r="G22" s="1973">
        <v>100</v>
      </c>
      <c r="H22" s="1991">
        <v>3000</v>
      </c>
      <c r="I22" s="1963"/>
      <c r="J22" s="1978"/>
      <c r="K22" s="1977">
        <f t="shared" si="1"/>
        <v>3000</v>
      </c>
      <c r="L22" s="1976"/>
      <c r="M22" s="1976"/>
    </row>
    <row r="23" spans="2:14" s="1969" customFormat="1" ht="27" customHeight="1" x14ac:dyDescent="0.2">
      <c r="B23" s="1970" t="s">
        <v>1368</v>
      </c>
      <c r="C23" s="1971"/>
      <c r="D23" s="1971"/>
      <c r="E23" s="1971"/>
      <c r="F23" s="1961">
        <v>3000</v>
      </c>
      <c r="G23" s="1973">
        <v>85</v>
      </c>
      <c r="H23" s="1991">
        <f>1700+850</f>
        <v>2550</v>
      </c>
      <c r="I23" s="1988"/>
      <c r="J23" s="1978"/>
      <c r="K23" s="1977">
        <f t="shared" si="1"/>
        <v>2550</v>
      </c>
      <c r="L23" s="1976"/>
      <c r="M23" s="1976"/>
    </row>
    <row r="24" spans="2:14" s="1969" customFormat="1" ht="36.75" customHeight="1" x14ac:dyDescent="0.25">
      <c r="B24" s="2886" t="s">
        <v>1383</v>
      </c>
      <c r="C24" s="2887"/>
      <c r="D24" s="2887"/>
      <c r="E24" s="2888"/>
      <c r="F24" s="1961">
        <v>3000</v>
      </c>
      <c r="G24" s="1967">
        <v>20</v>
      </c>
      <c r="H24" s="2601">
        <v>600</v>
      </c>
      <c r="I24" s="1963"/>
      <c r="J24" s="1965"/>
      <c r="K24" s="1962">
        <f t="shared" si="1"/>
        <v>600</v>
      </c>
      <c r="L24" s="1976"/>
      <c r="M24" s="1976"/>
      <c r="N24" s="1987"/>
    </row>
    <row r="25" spans="2:14" s="1969" customFormat="1" ht="40.5" customHeight="1" x14ac:dyDescent="0.25">
      <c r="B25" s="2886" t="s">
        <v>1369</v>
      </c>
      <c r="C25" s="2887"/>
      <c r="D25" s="2887"/>
      <c r="E25" s="2888"/>
      <c r="F25" s="1961">
        <v>3000</v>
      </c>
      <c r="G25" s="1967">
        <v>90</v>
      </c>
      <c r="H25" s="2601">
        <v>2700</v>
      </c>
      <c r="I25" s="1988">
        <v>2700</v>
      </c>
      <c r="J25" s="1965"/>
      <c r="K25" s="1962">
        <f t="shared" si="1"/>
        <v>0</v>
      </c>
      <c r="L25" s="1976"/>
      <c r="M25" s="1976"/>
      <c r="N25" s="1987"/>
    </row>
    <row r="26" spans="2:14" s="1969" customFormat="1" ht="27" customHeight="1" x14ac:dyDescent="0.2">
      <c r="B26" s="2008" t="s">
        <v>1370</v>
      </c>
      <c r="C26" s="2009"/>
      <c r="D26" s="2009"/>
      <c r="E26" s="2009"/>
      <c r="F26" s="1961">
        <v>13000</v>
      </c>
      <c r="G26" s="1967">
        <v>100</v>
      </c>
      <c r="H26" s="2601">
        <v>13000</v>
      </c>
      <c r="I26" s="1988"/>
      <c r="J26" s="1965"/>
      <c r="K26" s="1962">
        <f t="shared" si="1"/>
        <v>13000</v>
      </c>
      <c r="L26" s="1976"/>
      <c r="M26" s="1976"/>
      <c r="N26" s="1987"/>
    </row>
    <row r="27" spans="2:14" s="1969" customFormat="1" ht="36.75" customHeight="1" x14ac:dyDescent="0.25">
      <c r="B27" s="2878" t="s">
        <v>1371</v>
      </c>
      <c r="C27" s="2879"/>
      <c r="D27" s="2879"/>
      <c r="E27" s="2880"/>
      <c r="F27" s="1961"/>
      <c r="G27" s="1989"/>
      <c r="H27" s="2602">
        <f>SUM(H16:H26)</f>
        <v>5606183</v>
      </c>
      <c r="I27" s="2604">
        <f t="shared" ref="I27:K27" si="2">SUM(I16:I26)</f>
        <v>2700</v>
      </c>
      <c r="J27" s="1981">
        <f t="shared" si="2"/>
        <v>0</v>
      </c>
      <c r="K27" s="1980">
        <f t="shared" si="2"/>
        <v>5603483</v>
      </c>
      <c r="L27" s="1976"/>
      <c r="M27" s="1976"/>
    </row>
    <row r="28" spans="2:14" s="1969" customFormat="1" ht="27" customHeight="1" x14ac:dyDescent="0.2">
      <c r="B28" s="2010" t="s">
        <v>1382</v>
      </c>
      <c r="C28" s="2011"/>
      <c r="D28" s="2011"/>
      <c r="E28" s="2011"/>
      <c r="F28" s="1974">
        <v>728840</v>
      </c>
      <c r="G28" s="1973">
        <v>3.51</v>
      </c>
      <c r="H28" s="1991">
        <v>25570</v>
      </c>
      <c r="I28" s="1975"/>
      <c r="J28" s="1978"/>
      <c r="K28" s="1977">
        <f t="shared" ref="K28:K30" si="3">H28-I28-J28</f>
        <v>25570</v>
      </c>
      <c r="L28" s="1976"/>
      <c r="M28" s="1976"/>
    </row>
    <row r="29" spans="2:14" s="1969" customFormat="1" ht="27" customHeight="1" x14ac:dyDescent="0.2">
      <c r="B29" s="2010" t="s">
        <v>1372</v>
      </c>
      <c r="C29" s="2011"/>
      <c r="D29" s="2011"/>
      <c r="E29" s="2012"/>
      <c r="F29" s="1974">
        <v>13473446</v>
      </c>
      <c r="G29" s="1973">
        <v>0.11</v>
      </c>
      <c r="H29" s="1991">
        <v>14590</v>
      </c>
      <c r="I29" s="1975"/>
      <c r="J29" s="1978"/>
      <c r="K29" s="1977">
        <f t="shared" si="3"/>
        <v>14590</v>
      </c>
      <c r="L29" s="1976"/>
      <c r="M29" s="1976"/>
    </row>
    <row r="30" spans="2:14" s="1969" customFormat="1" ht="27" customHeight="1" x14ac:dyDescent="0.2">
      <c r="B30" s="2010" t="s">
        <v>1373</v>
      </c>
      <c r="C30" s="2011"/>
      <c r="D30" s="2011"/>
      <c r="E30" s="2012"/>
      <c r="F30" s="1974">
        <v>9000001</v>
      </c>
      <c r="G30" s="1990">
        <v>3.7999999999999999E-2</v>
      </c>
      <c r="H30" s="1991">
        <v>3462</v>
      </c>
      <c r="I30" s="1975"/>
      <c r="J30" s="1978"/>
      <c r="K30" s="1977">
        <f t="shared" si="3"/>
        <v>3462</v>
      </c>
      <c r="L30" s="1976"/>
      <c r="M30" s="1976"/>
      <c r="N30" s="1987"/>
    </row>
    <row r="31" spans="2:14" ht="27" customHeight="1" thickBot="1" x14ac:dyDescent="0.3">
      <c r="B31" s="1992" t="s">
        <v>1374</v>
      </c>
      <c r="C31" s="1993"/>
      <c r="D31" s="1993"/>
      <c r="E31" s="1993"/>
      <c r="F31" s="1995"/>
      <c r="G31" s="1994"/>
      <c r="H31" s="1996">
        <f>SUM(H28:H30)</f>
        <v>43622</v>
      </c>
      <c r="I31" s="2605">
        <f>SUM(I28:I30)</f>
        <v>0</v>
      </c>
      <c r="J31" s="2607">
        <f>SUM(J28:J30)</f>
        <v>0</v>
      </c>
      <c r="K31" s="2610">
        <f>SUM(K28:K30)</f>
        <v>43622</v>
      </c>
      <c r="L31" s="1964"/>
      <c r="M31" s="1964"/>
      <c r="N31" s="1968"/>
    </row>
    <row r="32" spans="2:14" ht="27.75" customHeight="1" thickBot="1" x14ac:dyDescent="0.3">
      <c r="B32" s="1997" t="s">
        <v>883</v>
      </c>
      <c r="C32" s="1998"/>
      <c r="D32" s="1998"/>
      <c r="E32" s="1998"/>
      <c r="F32" s="2000"/>
      <c r="G32" s="1999"/>
      <c r="H32" s="2001">
        <f>H15+H27+H31</f>
        <v>6473577</v>
      </c>
      <c r="I32" s="2002">
        <f>I15+I27+I31</f>
        <v>5700</v>
      </c>
      <c r="J32" s="2002">
        <f>J15+J27+J31</f>
        <v>2510</v>
      </c>
      <c r="K32" s="2002">
        <f>K15+K27+K31</f>
        <v>6465367</v>
      </c>
      <c r="L32" s="1964"/>
      <c r="M32" s="1964"/>
    </row>
    <row r="33" spans="2:14" x14ac:dyDescent="0.2">
      <c r="H33" s="1947"/>
      <c r="K33" s="2003"/>
      <c r="N33" s="2004"/>
    </row>
    <row r="34" spans="2:14" x14ac:dyDescent="0.2">
      <c r="H34" s="1947"/>
    </row>
    <row r="35" spans="2:14" x14ac:dyDescent="0.2">
      <c r="K35" s="1947"/>
      <c r="N35" s="2005"/>
    </row>
    <row r="36" spans="2:14" x14ac:dyDescent="0.2">
      <c r="B36" s="2006"/>
      <c r="H36" s="1947"/>
      <c r="N36" s="2005"/>
    </row>
    <row r="37" spans="2:14" x14ac:dyDescent="0.2">
      <c r="N37" s="2005"/>
    </row>
    <row r="38" spans="2:14" x14ac:dyDescent="0.2">
      <c r="N38" s="2005"/>
    </row>
    <row r="39" spans="2:14" x14ac:dyDescent="0.2">
      <c r="N39" s="2007"/>
    </row>
    <row r="40" spans="2:14" x14ac:dyDescent="0.2">
      <c r="N40" s="2005"/>
    </row>
    <row r="41" spans="2:14" x14ac:dyDescent="0.2">
      <c r="N41" s="2005"/>
    </row>
    <row r="42" spans="2:14" x14ac:dyDescent="0.2">
      <c r="N42" s="2005"/>
    </row>
    <row r="43" spans="2:14" x14ac:dyDescent="0.2">
      <c r="N43" s="1964"/>
    </row>
    <row r="44" spans="2:14" x14ac:dyDescent="0.2">
      <c r="N44" s="2005"/>
    </row>
    <row r="45" spans="2:14" x14ac:dyDescent="0.2">
      <c r="N45" s="2005"/>
    </row>
    <row r="46" spans="2:14" x14ac:dyDescent="0.2">
      <c r="N46" s="2004"/>
    </row>
  </sheetData>
  <mergeCells count="11">
    <mergeCell ref="B27:E27"/>
    <mergeCell ref="B16:E16"/>
    <mergeCell ref="B1:K1"/>
    <mergeCell ref="B2:K2"/>
    <mergeCell ref="B17:E17"/>
    <mergeCell ref="B24:E24"/>
    <mergeCell ref="B25:E25"/>
    <mergeCell ref="F6:F8"/>
    <mergeCell ref="B6:E8"/>
    <mergeCell ref="G6:H7"/>
    <mergeCell ref="K6:K8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62" orientation="portrait" r:id="rId1"/>
  <headerFooter alignWithMargins="0">
    <oddHeader xml:space="preserve">&amp;R&amp;"Arial,Félkövér"&amp;13 31. melléklet a …../2020. (…….) önkormányzati rendelethez
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F28"/>
  <sheetViews>
    <sheetView zoomScaleNormal="100" workbookViewId="0">
      <selection activeCell="J20" sqref="J20"/>
    </sheetView>
  </sheetViews>
  <sheetFormatPr defaultRowHeight="15" x14ac:dyDescent="0.2"/>
  <cols>
    <col min="1" max="1" width="9.33203125" style="2036"/>
    <col min="2" max="2" width="25.1640625" style="2036" customWidth="1"/>
    <col min="3" max="5" width="26.83203125" style="2036" customWidth="1"/>
    <col min="6" max="6" width="25.33203125" style="2036" customWidth="1"/>
    <col min="7" max="7" width="9.33203125" style="2036"/>
    <col min="8" max="8" width="11.5" style="2036" bestFit="1" customWidth="1"/>
    <col min="9" max="253" width="9.33203125" style="2036"/>
    <col min="254" max="254" width="14.83203125" style="2036" customWidth="1"/>
    <col min="255" max="255" width="20.33203125" style="2036" customWidth="1"/>
    <col min="256" max="256" width="18.6640625" style="2036" bestFit="1" customWidth="1"/>
    <col min="257" max="257" width="16.33203125" style="2036" customWidth="1"/>
    <col min="258" max="258" width="22.6640625" style="2036" bestFit="1" customWidth="1"/>
    <col min="259" max="260" width="18" style="2036" bestFit="1" customWidth="1"/>
    <col min="261" max="261" width="12.6640625" style="2036" customWidth="1"/>
    <col min="262" max="262" width="18.1640625" style="2036" bestFit="1" customWidth="1"/>
    <col min="263" max="263" width="9.33203125" style="2036"/>
    <col min="264" max="264" width="11.5" style="2036" bestFit="1" customWidth="1"/>
    <col min="265" max="509" width="9.33203125" style="2036"/>
    <col min="510" max="510" width="14.83203125" style="2036" customWidth="1"/>
    <col min="511" max="511" width="20.33203125" style="2036" customWidth="1"/>
    <col min="512" max="512" width="18.6640625" style="2036" bestFit="1" customWidth="1"/>
    <col min="513" max="513" width="16.33203125" style="2036" customWidth="1"/>
    <col min="514" max="514" width="22.6640625" style="2036" bestFit="1" customWidth="1"/>
    <col min="515" max="516" width="18" style="2036" bestFit="1" customWidth="1"/>
    <col min="517" max="517" width="12.6640625" style="2036" customWidth="1"/>
    <col min="518" max="518" width="18.1640625" style="2036" bestFit="1" customWidth="1"/>
    <col min="519" max="519" width="9.33203125" style="2036"/>
    <col min="520" max="520" width="11.5" style="2036" bestFit="1" customWidth="1"/>
    <col min="521" max="765" width="9.33203125" style="2036"/>
    <col min="766" max="766" width="14.83203125" style="2036" customWidth="1"/>
    <col min="767" max="767" width="20.33203125" style="2036" customWidth="1"/>
    <col min="768" max="768" width="18.6640625" style="2036" bestFit="1" customWidth="1"/>
    <col min="769" max="769" width="16.33203125" style="2036" customWidth="1"/>
    <col min="770" max="770" width="22.6640625" style="2036" bestFit="1" customWidth="1"/>
    <col min="771" max="772" width="18" style="2036" bestFit="1" customWidth="1"/>
    <col min="773" max="773" width="12.6640625" style="2036" customWidth="1"/>
    <col min="774" max="774" width="18.1640625" style="2036" bestFit="1" customWidth="1"/>
    <col min="775" max="775" width="9.33203125" style="2036"/>
    <col min="776" max="776" width="11.5" style="2036" bestFit="1" customWidth="1"/>
    <col min="777" max="1021" width="9.33203125" style="2036"/>
    <col min="1022" max="1022" width="14.83203125" style="2036" customWidth="1"/>
    <col min="1023" max="1023" width="20.33203125" style="2036" customWidth="1"/>
    <col min="1024" max="1024" width="18.6640625" style="2036" bestFit="1" customWidth="1"/>
    <col min="1025" max="1025" width="16.33203125" style="2036" customWidth="1"/>
    <col min="1026" max="1026" width="22.6640625" style="2036" bestFit="1" customWidth="1"/>
    <col min="1027" max="1028" width="18" style="2036" bestFit="1" customWidth="1"/>
    <col min="1029" max="1029" width="12.6640625" style="2036" customWidth="1"/>
    <col min="1030" max="1030" width="18.1640625" style="2036" bestFit="1" customWidth="1"/>
    <col min="1031" max="1031" width="9.33203125" style="2036"/>
    <col min="1032" max="1032" width="11.5" style="2036" bestFit="1" customWidth="1"/>
    <col min="1033" max="1277" width="9.33203125" style="2036"/>
    <col min="1278" max="1278" width="14.83203125" style="2036" customWidth="1"/>
    <col min="1279" max="1279" width="20.33203125" style="2036" customWidth="1"/>
    <col min="1280" max="1280" width="18.6640625" style="2036" bestFit="1" customWidth="1"/>
    <col min="1281" max="1281" width="16.33203125" style="2036" customWidth="1"/>
    <col min="1282" max="1282" width="22.6640625" style="2036" bestFit="1" customWidth="1"/>
    <col min="1283" max="1284" width="18" style="2036" bestFit="1" customWidth="1"/>
    <col min="1285" max="1285" width="12.6640625" style="2036" customWidth="1"/>
    <col min="1286" max="1286" width="18.1640625" style="2036" bestFit="1" customWidth="1"/>
    <col min="1287" max="1287" width="9.33203125" style="2036"/>
    <col min="1288" max="1288" width="11.5" style="2036" bestFit="1" customWidth="1"/>
    <col min="1289" max="1533" width="9.33203125" style="2036"/>
    <col min="1534" max="1534" width="14.83203125" style="2036" customWidth="1"/>
    <col min="1535" max="1535" width="20.33203125" style="2036" customWidth="1"/>
    <col min="1536" max="1536" width="18.6640625" style="2036" bestFit="1" customWidth="1"/>
    <col min="1537" max="1537" width="16.33203125" style="2036" customWidth="1"/>
    <col min="1538" max="1538" width="22.6640625" style="2036" bestFit="1" customWidth="1"/>
    <col min="1539" max="1540" width="18" style="2036" bestFit="1" customWidth="1"/>
    <col min="1541" max="1541" width="12.6640625" style="2036" customWidth="1"/>
    <col min="1542" max="1542" width="18.1640625" style="2036" bestFit="1" customWidth="1"/>
    <col min="1543" max="1543" width="9.33203125" style="2036"/>
    <col min="1544" max="1544" width="11.5" style="2036" bestFit="1" customWidth="1"/>
    <col min="1545" max="1789" width="9.33203125" style="2036"/>
    <col min="1790" max="1790" width="14.83203125" style="2036" customWidth="1"/>
    <col min="1791" max="1791" width="20.33203125" style="2036" customWidth="1"/>
    <col min="1792" max="1792" width="18.6640625" style="2036" bestFit="1" customWidth="1"/>
    <col min="1793" max="1793" width="16.33203125" style="2036" customWidth="1"/>
    <col min="1794" max="1794" width="22.6640625" style="2036" bestFit="1" customWidth="1"/>
    <col min="1795" max="1796" width="18" style="2036" bestFit="1" customWidth="1"/>
    <col min="1797" max="1797" width="12.6640625" style="2036" customWidth="1"/>
    <col min="1798" max="1798" width="18.1640625" style="2036" bestFit="1" customWidth="1"/>
    <col min="1799" max="1799" width="9.33203125" style="2036"/>
    <col min="1800" max="1800" width="11.5" style="2036" bestFit="1" customWidth="1"/>
    <col min="1801" max="2045" width="9.33203125" style="2036"/>
    <col min="2046" max="2046" width="14.83203125" style="2036" customWidth="1"/>
    <col min="2047" max="2047" width="20.33203125" style="2036" customWidth="1"/>
    <col min="2048" max="2048" width="18.6640625" style="2036" bestFit="1" customWidth="1"/>
    <col min="2049" max="2049" width="16.33203125" style="2036" customWidth="1"/>
    <col min="2050" max="2050" width="22.6640625" style="2036" bestFit="1" customWidth="1"/>
    <col min="2051" max="2052" width="18" style="2036" bestFit="1" customWidth="1"/>
    <col min="2053" max="2053" width="12.6640625" style="2036" customWidth="1"/>
    <col min="2054" max="2054" width="18.1640625" style="2036" bestFit="1" customWidth="1"/>
    <col min="2055" max="2055" width="9.33203125" style="2036"/>
    <col min="2056" max="2056" width="11.5" style="2036" bestFit="1" customWidth="1"/>
    <col min="2057" max="2301" width="9.33203125" style="2036"/>
    <col min="2302" max="2302" width="14.83203125" style="2036" customWidth="1"/>
    <col min="2303" max="2303" width="20.33203125" style="2036" customWidth="1"/>
    <col min="2304" max="2304" width="18.6640625" style="2036" bestFit="1" customWidth="1"/>
    <col min="2305" max="2305" width="16.33203125" style="2036" customWidth="1"/>
    <col min="2306" max="2306" width="22.6640625" style="2036" bestFit="1" customWidth="1"/>
    <col min="2307" max="2308" width="18" style="2036" bestFit="1" customWidth="1"/>
    <col min="2309" max="2309" width="12.6640625" style="2036" customWidth="1"/>
    <col min="2310" max="2310" width="18.1640625" style="2036" bestFit="1" customWidth="1"/>
    <col min="2311" max="2311" width="9.33203125" style="2036"/>
    <col min="2312" max="2312" width="11.5" style="2036" bestFit="1" customWidth="1"/>
    <col min="2313" max="2557" width="9.33203125" style="2036"/>
    <col min="2558" max="2558" width="14.83203125" style="2036" customWidth="1"/>
    <col min="2559" max="2559" width="20.33203125" style="2036" customWidth="1"/>
    <col min="2560" max="2560" width="18.6640625" style="2036" bestFit="1" customWidth="1"/>
    <col min="2561" max="2561" width="16.33203125" style="2036" customWidth="1"/>
    <col min="2562" max="2562" width="22.6640625" style="2036" bestFit="1" customWidth="1"/>
    <col min="2563" max="2564" width="18" style="2036" bestFit="1" customWidth="1"/>
    <col min="2565" max="2565" width="12.6640625" style="2036" customWidth="1"/>
    <col min="2566" max="2566" width="18.1640625" style="2036" bestFit="1" customWidth="1"/>
    <col min="2567" max="2567" width="9.33203125" style="2036"/>
    <col min="2568" max="2568" width="11.5" style="2036" bestFit="1" customWidth="1"/>
    <col min="2569" max="2813" width="9.33203125" style="2036"/>
    <col min="2814" max="2814" width="14.83203125" style="2036" customWidth="1"/>
    <col min="2815" max="2815" width="20.33203125" style="2036" customWidth="1"/>
    <col min="2816" max="2816" width="18.6640625" style="2036" bestFit="1" customWidth="1"/>
    <col min="2817" max="2817" width="16.33203125" style="2036" customWidth="1"/>
    <col min="2818" max="2818" width="22.6640625" style="2036" bestFit="1" customWidth="1"/>
    <col min="2819" max="2820" width="18" style="2036" bestFit="1" customWidth="1"/>
    <col min="2821" max="2821" width="12.6640625" style="2036" customWidth="1"/>
    <col min="2822" max="2822" width="18.1640625" style="2036" bestFit="1" customWidth="1"/>
    <col min="2823" max="2823" width="9.33203125" style="2036"/>
    <col min="2824" max="2824" width="11.5" style="2036" bestFit="1" customWidth="1"/>
    <col min="2825" max="3069" width="9.33203125" style="2036"/>
    <col min="3070" max="3070" width="14.83203125" style="2036" customWidth="1"/>
    <col min="3071" max="3071" width="20.33203125" style="2036" customWidth="1"/>
    <col min="3072" max="3072" width="18.6640625" style="2036" bestFit="1" customWidth="1"/>
    <col min="3073" max="3073" width="16.33203125" style="2036" customWidth="1"/>
    <col min="3074" max="3074" width="22.6640625" style="2036" bestFit="1" customWidth="1"/>
    <col min="3075" max="3076" width="18" style="2036" bestFit="1" customWidth="1"/>
    <col min="3077" max="3077" width="12.6640625" style="2036" customWidth="1"/>
    <col min="3078" max="3078" width="18.1640625" style="2036" bestFit="1" customWidth="1"/>
    <col min="3079" max="3079" width="9.33203125" style="2036"/>
    <col min="3080" max="3080" width="11.5" style="2036" bestFit="1" customWidth="1"/>
    <col min="3081" max="3325" width="9.33203125" style="2036"/>
    <col min="3326" max="3326" width="14.83203125" style="2036" customWidth="1"/>
    <col min="3327" max="3327" width="20.33203125" style="2036" customWidth="1"/>
    <col min="3328" max="3328" width="18.6640625" style="2036" bestFit="1" customWidth="1"/>
    <col min="3329" max="3329" width="16.33203125" style="2036" customWidth="1"/>
    <col min="3330" max="3330" width="22.6640625" style="2036" bestFit="1" customWidth="1"/>
    <col min="3331" max="3332" width="18" style="2036" bestFit="1" customWidth="1"/>
    <col min="3333" max="3333" width="12.6640625" style="2036" customWidth="1"/>
    <col min="3334" max="3334" width="18.1640625" style="2036" bestFit="1" customWidth="1"/>
    <col min="3335" max="3335" width="9.33203125" style="2036"/>
    <col min="3336" max="3336" width="11.5" style="2036" bestFit="1" customWidth="1"/>
    <col min="3337" max="3581" width="9.33203125" style="2036"/>
    <col min="3582" max="3582" width="14.83203125" style="2036" customWidth="1"/>
    <col min="3583" max="3583" width="20.33203125" style="2036" customWidth="1"/>
    <col min="3584" max="3584" width="18.6640625" style="2036" bestFit="1" customWidth="1"/>
    <col min="3585" max="3585" width="16.33203125" style="2036" customWidth="1"/>
    <col min="3586" max="3586" width="22.6640625" style="2036" bestFit="1" customWidth="1"/>
    <col min="3587" max="3588" width="18" style="2036" bestFit="1" customWidth="1"/>
    <col min="3589" max="3589" width="12.6640625" style="2036" customWidth="1"/>
    <col min="3590" max="3590" width="18.1640625" style="2036" bestFit="1" customWidth="1"/>
    <col min="3591" max="3591" width="9.33203125" style="2036"/>
    <col min="3592" max="3592" width="11.5" style="2036" bestFit="1" customWidth="1"/>
    <col min="3593" max="3837" width="9.33203125" style="2036"/>
    <col min="3838" max="3838" width="14.83203125" style="2036" customWidth="1"/>
    <col min="3839" max="3839" width="20.33203125" style="2036" customWidth="1"/>
    <col min="3840" max="3840" width="18.6640625" style="2036" bestFit="1" customWidth="1"/>
    <col min="3841" max="3841" width="16.33203125" style="2036" customWidth="1"/>
    <col min="3842" max="3842" width="22.6640625" style="2036" bestFit="1" customWidth="1"/>
    <col min="3843" max="3844" width="18" style="2036" bestFit="1" customWidth="1"/>
    <col min="3845" max="3845" width="12.6640625" style="2036" customWidth="1"/>
    <col min="3846" max="3846" width="18.1640625" style="2036" bestFit="1" customWidth="1"/>
    <col min="3847" max="3847" width="9.33203125" style="2036"/>
    <col min="3848" max="3848" width="11.5" style="2036" bestFit="1" customWidth="1"/>
    <col min="3849" max="4093" width="9.33203125" style="2036"/>
    <col min="4094" max="4094" width="14.83203125" style="2036" customWidth="1"/>
    <col min="4095" max="4095" width="20.33203125" style="2036" customWidth="1"/>
    <col min="4096" max="4096" width="18.6640625" style="2036" bestFit="1" customWidth="1"/>
    <col min="4097" max="4097" width="16.33203125" style="2036" customWidth="1"/>
    <col min="4098" max="4098" width="22.6640625" style="2036" bestFit="1" customWidth="1"/>
    <col min="4099" max="4100" width="18" style="2036" bestFit="1" customWidth="1"/>
    <col min="4101" max="4101" width="12.6640625" style="2036" customWidth="1"/>
    <col min="4102" max="4102" width="18.1640625" style="2036" bestFit="1" customWidth="1"/>
    <col min="4103" max="4103" width="9.33203125" style="2036"/>
    <col min="4104" max="4104" width="11.5" style="2036" bestFit="1" customWidth="1"/>
    <col min="4105" max="4349" width="9.33203125" style="2036"/>
    <col min="4350" max="4350" width="14.83203125" style="2036" customWidth="1"/>
    <col min="4351" max="4351" width="20.33203125" style="2036" customWidth="1"/>
    <col min="4352" max="4352" width="18.6640625" style="2036" bestFit="1" customWidth="1"/>
    <col min="4353" max="4353" width="16.33203125" style="2036" customWidth="1"/>
    <col min="4354" max="4354" width="22.6640625" style="2036" bestFit="1" customWidth="1"/>
    <col min="4355" max="4356" width="18" style="2036" bestFit="1" customWidth="1"/>
    <col min="4357" max="4357" width="12.6640625" style="2036" customWidth="1"/>
    <col min="4358" max="4358" width="18.1640625" style="2036" bestFit="1" customWidth="1"/>
    <col min="4359" max="4359" width="9.33203125" style="2036"/>
    <col min="4360" max="4360" width="11.5" style="2036" bestFit="1" customWidth="1"/>
    <col min="4361" max="4605" width="9.33203125" style="2036"/>
    <col min="4606" max="4606" width="14.83203125" style="2036" customWidth="1"/>
    <col min="4607" max="4607" width="20.33203125" style="2036" customWidth="1"/>
    <col min="4608" max="4608" width="18.6640625" style="2036" bestFit="1" customWidth="1"/>
    <col min="4609" max="4609" width="16.33203125" style="2036" customWidth="1"/>
    <col min="4610" max="4610" width="22.6640625" style="2036" bestFit="1" customWidth="1"/>
    <col min="4611" max="4612" width="18" style="2036" bestFit="1" customWidth="1"/>
    <col min="4613" max="4613" width="12.6640625" style="2036" customWidth="1"/>
    <col min="4614" max="4614" width="18.1640625" style="2036" bestFit="1" customWidth="1"/>
    <col min="4615" max="4615" width="9.33203125" style="2036"/>
    <col min="4616" max="4616" width="11.5" style="2036" bestFit="1" customWidth="1"/>
    <col min="4617" max="4861" width="9.33203125" style="2036"/>
    <col min="4862" max="4862" width="14.83203125" style="2036" customWidth="1"/>
    <col min="4863" max="4863" width="20.33203125" style="2036" customWidth="1"/>
    <col min="4864" max="4864" width="18.6640625" style="2036" bestFit="1" customWidth="1"/>
    <col min="4865" max="4865" width="16.33203125" style="2036" customWidth="1"/>
    <col min="4866" max="4866" width="22.6640625" style="2036" bestFit="1" customWidth="1"/>
    <col min="4867" max="4868" width="18" style="2036" bestFit="1" customWidth="1"/>
    <col min="4869" max="4869" width="12.6640625" style="2036" customWidth="1"/>
    <col min="4870" max="4870" width="18.1640625" style="2036" bestFit="1" customWidth="1"/>
    <col min="4871" max="4871" width="9.33203125" style="2036"/>
    <col min="4872" max="4872" width="11.5" style="2036" bestFit="1" customWidth="1"/>
    <col min="4873" max="5117" width="9.33203125" style="2036"/>
    <col min="5118" max="5118" width="14.83203125" style="2036" customWidth="1"/>
    <col min="5119" max="5119" width="20.33203125" style="2036" customWidth="1"/>
    <col min="5120" max="5120" width="18.6640625" style="2036" bestFit="1" customWidth="1"/>
    <col min="5121" max="5121" width="16.33203125" style="2036" customWidth="1"/>
    <col min="5122" max="5122" width="22.6640625" style="2036" bestFit="1" customWidth="1"/>
    <col min="5123" max="5124" width="18" style="2036" bestFit="1" customWidth="1"/>
    <col min="5125" max="5125" width="12.6640625" style="2036" customWidth="1"/>
    <col min="5126" max="5126" width="18.1640625" style="2036" bestFit="1" customWidth="1"/>
    <col min="5127" max="5127" width="9.33203125" style="2036"/>
    <col min="5128" max="5128" width="11.5" style="2036" bestFit="1" customWidth="1"/>
    <col min="5129" max="5373" width="9.33203125" style="2036"/>
    <col min="5374" max="5374" width="14.83203125" style="2036" customWidth="1"/>
    <col min="5375" max="5375" width="20.33203125" style="2036" customWidth="1"/>
    <col min="5376" max="5376" width="18.6640625" style="2036" bestFit="1" customWidth="1"/>
    <col min="5377" max="5377" width="16.33203125" style="2036" customWidth="1"/>
    <col min="5378" max="5378" width="22.6640625" style="2036" bestFit="1" customWidth="1"/>
    <col min="5379" max="5380" width="18" style="2036" bestFit="1" customWidth="1"/>
    <col min="5381" max="5381" width="12.6640625" style="2036" customWidth="1"/>
    <col min="5382" max="5382" width="18.1640625" style="2036" bestFit="1" customWidth="1"/>
    <col min="5383" max="5383" width="9.33203125" style="2036"/>
    <col min="5384" max="5384" width="11.5" style="2036" bestFit="1" customWidth="1"/>
    <col min="5385" max="5629" width="9.33203125" style="2036"/>
    <col min="5630" max="5630" width="14.83203125" style="2036" customWidth="1"/>
    <col min="5631" max="5631" width="20.33203125" style="2036" customWidth="1"/>
    <col min="5632" max="5632" width="18.6640625" style="2036" bestFit="1" customWidth="1"/>
    <col min="5633" max="5633" width="16.33203125" style="2036" customWidth="1"/>
    <col min="5634" max="5634" width="22.6640625" style="2036" bestFit="1" customWidth="1"/>
    <col min="5635" max="5636" width="18" style="2036" bestFit="1" customWidth="1"/>
    <col min="5637" max="5637" width="12.6640625" style="2036" customWidth="1"/>
    <col min="5638" max="5638" width="18.1640625" style="2036" bestFit="1" customWidth="1"/>
    <col min="5639" max="5639" width="9.33203125" style="2036"/>
    <col min="5640" max="5640" width="11.5" style="2036" bestFit="1" customWidth="1"/>
    <col min="5641" max="5885" width="9.33203125" style="2036"/>
    <col min="5886" max="5886" width="14.83203125" style="2036" customWidth="1"/>
    <col min="5887" max="5887" width="20.33203125" style="2036" customWidth="1"/>
    <col min="5888" max="5888" width="18.6640625" style="2036" bestFit="1" customWidth="1"/>
    <col min="5889" max="5889" width="16.33203125" style="2036" customWidth="1"/>
    <col min="5890" max="5890" width="22.6640625" style="2036" bestFit="1" customWidth="1"/>
    <col min="5891" max="5892" width="18" style="2036" bestFit="1" customWidth="1"/>
    <col min="5893" max="5893" width="12.6640625" style="2036" customWidth="1"/>
    <col min="5894" max="5894" width="18.1640625" style="2036" bestFit="1" customWidth="1"/>
    <col min="5895" max="5895" width="9.33203125" style="2036"/>
    <col min="5896" max="5896" width="11.5" style="2036" bestFit="1" customWidth="1"/>
    <col min="5897" max="6141" width="9.33203125" style="2036"/>
    <col min="6142" max="6142" width="14.83203125" style="2036" customWidth="1"/>
    <col min="6143" max="6143" width="20.33203125" style="2036" customWidth="1"/>
    <col min="6144" max="6144" width="18.6640625" style="2036" bestFit="1" customWidth="1"/>
    <col min="6145" max="6145" width="16.33203125" style="2036" customWidth="1"/>
    <col min="6146" max="6146" width="22.6640625" style="2036" bestFit="1" customWidth="1"/>
    <col min="6147" max="6148" width="18" style="2036" bestFit="1" customWidth="1"/>
    <col min="6149" max="6149" width="12.6640625" style="2036" customWidth="1"/>
    <col min="6150" max="6150" width="18.1640625" style="2036" bestFit="1" customWidth="1"/>
    <col min="6151" max="6151" width="9.33203125" style="2036"/>
    <col min="6152" max="6152" width="11.5" style="2036" bestFit="1" customWidth="1"/>
    <col min="6153" max="6397" width="9.33203125" style="2036"/>
    <col min="6398" max="6398" width="14.83203125" style="2036" customWidth="1"/>
    <col min="6399" max="6399" width="20.33203125" style="2036" customWidth="1"/>
    <col min="6400" max="6400" width="18.6640625" style="2036" bestFit="1" customWidth="1"/>
    <col min="6401" max="6401" width="16.33203125" style="2036" customWidth="1"/>
    <col min="6402" max="6402" width="22.6640625" style="2036" bestFit="1" customWidth="1"/>
    <col min="6403" max="6404" width="18" style="2036" bestFit="1" customWidth="1"/>
    <col min="6405" max="6405" width="12.6640625" style="2036" customWidth="1"/>
    <col min="6406" max="6406" width="18.1640625" style="2036" bestFit="1" customWidth="1"/>
    <col min="6407" max="6407" width="9.33203125" style="2036"/>
    <col min="6408" max="6408" width="11.5" style="2036" bestFit="1" customWidth="1"/>
    <col min="6409" max="6653" width="9.33203125" style="2036"/>
    <col min="6654" max="6654" width="14.83203125" style="2036" customWidth="1"/>
    <col min="6655" max="6655" width="20.33203125" style="2036" customWidth="1"/>
    <col min="6656" max="6656" width="18.6640625" style="2036" bestFit="1" customWidth="1"/>
    <col min="6657" max="6657" width="16.33203125" style="2036" customWidth="1"/>
    <col min="6658" max="6658" width="22.6640625" style="2036" bestFit="1" customWidth="1"/>
    <col min="6659" max="6660" width="18" style="2036" bestFit="1" customWidth="1"/>
    <col min="6661" max="6661" width="12.6640625" style="2036" customWidth="1"/>
    <col min="6662" max="6662" width="18.1640625" style="2036" bestFit="1" customWidth="1"/>
    <col min="6663" max="6663" width="9.33203125" style="2036"/>
    <col min="6664" max="6664" width="11.5" style="2036" bestFit="1" customWidth="1"/>
    <col min="6665" max="6909" width="9.33203125" style="2036"/>
    <col min="6910" max="6910" width="14.83203125" style="2036" customWidth="1"/>
    <col min="6911" max="6911" width="20.33203125" style="2036" customWidth="1"/>
    <col min="6912" max="6912" width="18.6640625" style="2036" bestFit="1" customWidth="1"/>
    <col min="6913" max="6913" width="16.33203125" style="2036" customWidth="1"/>
    <col min="6914" max="6914" width="22.6640625" style="2036" bestFit="1" customWidth="1"/>
    <col min="6915" max="6916" width="18" style="2036" bestFit="1" customWidth="1"/>
    <col min="6917" max="6917" width="12.6640625" style="2036" customWidth="1"/>
    <col min="6918" max="6918" width="18.1640625" style="2036" bestFit="1" customWidth="1"/>
    <col min="6919" max="6919" width="9.33203125" style="2036"/>
    <col min="6920" max="6920" width="11.5" style="2036" bestFit="1" customWidth="1"/>
    <col min="6921" max="7165" width="9.33203125" style="2036"/>
    <col min="7166" max="7166" width="14.83203125" style="2036" customWidth="1"/>
    <col min="7167" max="7167" width="20.33203125" style="2036" customWidth="1"/>
    <col min="7168" max="7168" width="18.6640625" style="2036" bestFit="1" customWidth="1"/>
    <col min="7169" max="7169" width="16.33203125" style="2036" customWidth="1"/>
    <col min="7170" max="7170" width="22.6640625" style="2036" bestFit="1" customWidth="1"/>
    <col min="7171" max="7172" width="18" style="2036" bestFit="1" customWidth="1"/>
    <col min="7173" max="7173" width="12.6640625" style="2036" customWidth="1"/>
    <col min="7174" max="7174" width="18.1640625" style="2036" bestFit="1" customWidth="1"/>
    <col min="7175" max="7175" width="9.33203125" style="2036"/>
    <col min="7176" max="7176" width="11.5" style="2036" bestFit="1" customWidth="1"/>
    <col min="7177" max="7421" width="9.33203125" style="2036"/>
    <col min="7422" max="7422" width="14.83203125" style="2036" customWidth="1"/>
    <col min="7423" max="7423" width="20.33203125" style="2036" customWidth="1"/>
    <col min="7424" max="7424" width="18.6640625" style="2036" bestFit="1" customWidth="1"/>
    <col min="7425" max="7425" width="16.33203125" style="2036" customWidth="1"/>
    <col min="7426" max="7426" width="22.6640625" style="2036" bestFit="1" customWidth="1"/>
    <col min="7427" max="7428" width="18" style="2036" bestFit="1" customWidth="1"/>
    <col min="7429" max="7429" width="12.6640625" style="2036" customWidth="1"/>
    <col min="7430" max="7430" width="18.1640625" style="2036" bestFit="1" customWidth="1"/>
    <col min="7431" max="7431" width="9.33203125" style="2036"/>
    <col min="7432" max="7432" width="11.5" style="2036" bestFit="1" customWidth="1"/>
    <col min="7433" max="7677" width="9.33203125" style="2036"/>
    <col min="7678" max="7678" width="14.83203125" style="2036" customWidth="1"/>
    <col min="7679" max="7679" width="20.33203125" style="2036" customWidth="1"/>
    <col min="7680" max="7680" width="18.6640625" style="2036" bestFit="1" customWidth="1"/>
    <col min="7681" max="7681" width="16.33203125" style="2036" customWidth="1"/>
    <col min="7682" max="7682" width="22.6640625" style="2036" bestFit="1" customWidth="1"/>
    <col min="7683" max="7684" width="18" style="2036" bestFit="1" customWidth="1"/>
    <col min="7685" max="7685" width="12.6640625" style="2036" customWidth="1"/>
    <col min="7686" max="7686" width="18.1640625" style="2036" bestFit="1" customWidth="1"/>
    <col min="7687" max="7687" width="9.33203125" style="2036"/>
    <col min="7688" max="7688" width="11.5" style="2036" bestFit="1" customWidth="1"/>
    <col min="7689" max="7933" width="9.33203125" style="2036"/>
    <col min="7934" max="7934" width="14.83203125" style="2036" customWidth="1"/>
    <col min="7935" max="7935" width="20.33203125" style="2036" customWidth="1"/>
    <col min="7936" max="7936" width="18.6640625" style="2036" bestFit="1" customWidth="1"/>
    <col min="7937" max="7937" width="16.33203125" style="2036" customWidth="1"/>
    <col min="7938" max="7938" width="22.6640625" style="2036" bestFit="1" customWidth="1"/>
    <col min="7939" max="7940" width="18" style="2036" bestFit="1" customWidth="1"/>
    <col min="7941" max="7941" width="12.6640625" style="2036" customWidth="1"/>
    <col min="7942" max="7942" width="18.1640625" style="2036" bestFit="1" customWidth="1"/>
    <col min="7943" max="7943" width="9.33203125" style="2036"/>
    <col min="7944" max="7944" width="11.5" style="2036" bestFit="1" customWidth="1"/>
    <col min="7945" max="8189" width="9.33203125" style="2036"/>
    <col min="8190" max="8190" width="14.83203125" style="2036" customWidth="1"/>
    <col min="8191" max="8191" width="20.33203125" style="2036" customWidth="1"/>
    <col min="8192" max="8192" width="18.6640625" style="2036" bestFit="1" customWidth="1"/>
    <col min="8193" max="8193" width="16.33203125" style="2036" customWidth="1"/>
    <col min="8194" max="8194" width="22.6640625" style="2036" bestFit="1" customWidth="1"/>
    <col min="8195" max="8196" width="18" style="2036" bestFit="1" customWidth="1"/>
    <col min="8197" max="8197" width="12.6640625" style="2036" customWidth="1"/>
    <col min="8198" max="8198" width="18.1640625" style="2036" bestFit="1" customWidth="1"/>
    <col min="8199" max="8199" width="9.33203125" style="2036"/>
    <col min="8200" max="8200" width="11.5" style="2036" bestFit="1" customWidth="1"/>
    <col min="8201" max="8445" width="9.33203125" style="2036"/>
    <col min="8446" max="8446" width="14.83203125" style="2036" customWidth="1"/>
    <col min="8447" max="8447" width="20.33203125" style="2036" customWidth="1"/>
    <col min="8448" max="8448" width="18.6640625" style="2036" bestFit="1" customWidth="1"/>
    <col min="8449" max="8449" width="16.33203125" style="2036" customWidth="1"/>
    <col min="8450" max="8450" width="22.6640625" style="2036" bestFit="1" customWidth="1"/>
    <col min="8451" max="8452" width="18" style="2036" bestFit="1" customWidth="1"/>
    <col min="8453" max="8453" width="12.6640625" style="2036" customWidth="1"/>
    <col min="8454" max="8454" width="18.1640625" style="2036" bestFit="1" customWidth="1"/>
    <col min="8455" max="8455" width="9.33203125" style="2036"/>
    <col min="8456" max="8456" width="11.5" style="2036" bestFit="1" customWidth="1"/>
    <col min="8457" max="8701" width="9.33203125" style="2036"/>
    <col min="8702" max="8702" width="14.83203125" style="2036" customWidth="1"/>
    <col min="8703" max="8703" width="20.33203125" style="2036" customWidth="1"/>
    <col min="8704" max="8704" width="18.6640625" style="2036" bestFit="1" customWidth="1"/>
    <col min="8705" max="8705" width="16.33203125" style="2036" customWidth="1"/>
    <col min="8706" max="8706" width="22.6640625" style="2036" bestFit="1" customWidth="1"/>
    <col min="8707" max="8708" width="18" style="2036" bestFit="1" customWidth="1"/>
    <col min="8709" max="8709" width="12.6640625" style="2036" customWidth="1"/>
    <col min="8710" max="8710" width="18.1640625" style="2036" bestFit="1" customWidth="1"/>
    <col min="8711" max="8711" width="9.33203125" style="2036"/>
    <col min="8712" max="8712" width="11.5" style="2036" bestFit="1" customWidth="1"/>
    <col min="8713" max="8957" width="9.33203125" style="2036"/>
    <col min="8958" max="8958" width="14.83203125" style="2036" customWidth="1"/>
    <col min="8959" max="8959" width="20.33203125" style="2036" customWidth="1"/>
    <col min="8960" max="8960" width="18.6640625" style="2036" bestFit="1" customWidth="1"/>
    <col min="8961" max="8961" width="16.33203125" style="2036" customWidth="1"/>
    <col min="8962" max="8962" width="22.6640625" style="2036" bestFit="1" customWidth="1"/>
    <col min="8963" max="8964" width="18" style="2036" bestFit="1" customWidth="1"/>
    <col min="8965" max="8965" width="12.6640625" style="2036" customWidth="1"/>
    <col min="8966" max="8966" width="18.1640625" style="2036" bestFit="1" customWidth="1"/>
    <col min="8967" max="8967" width="9.33203125" style="2036"/>
    <col min="8968" max="8968" width="11.5" style="2036" bestFit="1" customWidth="1"/>
    <col min="8969" max="9213" width="9.33203125" style="2036"/>
    <col min="9214" max="9214" width="14.83203125" style="2036" customWidth="1"/>
    <col min="9215" max="9215" width="20.33203125" style="2036" customWidth="1"/>
    <col min="9216" max="9216" width="18.6640625" style="2036" bestFit="1" customWidth="1"/>
    <col min="9217" max="9217" width="16.33203125" style="2036" customWidth="1"/>
    <col min="9218" max="9218" width="22.6640625" style="2036" bestFit="1" customWidth="1"/>
    <col min="9219" max="9220" width="18" style="2036" bestFit="1" customWidth="1"/>
    <col min="9221" max="9221" width="12.6640625" style="2036" customWidth="1"/>
    <col min="9222" max="9222" width="18.1640625" style="2036" bestFit="1" customWidth="1"/>
    <col min="9223" max="9223" width="9.33203125" style="2036"/>
    <col min="9224" max="9224" width="11.5" style="2036" bestFit="1" customWidth="1"/>
    <col min="9225" max="9469" width="9.33203125" style="2036"/>
    <col min="9470" max="9470" width="14.83203125" style="2036" customWidth="1"/>
    <col min="9471" max="9471" width="20.33203125" style="2036" customWidth="1"/>
    <col min="9472" max="9472" width="18.6640625" style="2036" bestFit="1" customWidth="1"/>
    <col min="9473" max="9473" width="16.33203125" style="2036" customWidth="1"/>
    <col min="9474" max="9474" width="22.6640625" style="2036" bestFit="1" customWidth="1"/>
    <col min="9475" max="9476" width="18" style="2036" bestFit="1" customWidth="1"/>
    <col min="9477" max="9477" width="12.6640625" style="2036" customWidth="1"/>
    <col min="9478" max="9478" width="18.1640625" style="2036" bestFit="1" customWidth="1"/>
    <col min="9479" max="9479" width="9.33203125" style="2036"/>
    <col min="9480" max="9480" width="11.5" style="2036" bestFit="1" customWidth="1"/>
    <col min="9481" max="9725" width="9.33203125" style="2036"/>
    <col min="9726" max="9726" width="14.83203125" style="2036" customWidth="1"/>
    <col min="9727" max="9727" width="20.33203125" style="2036" customWidth="1"/>
    <col min="9728" max="9728" width="18.6640625" style="2036" bestFit="1" customWidth="1"/>
    <col min="9729" max="9729" width="16.33203125" style="2036" customWidth="1"/>
    <col min="9730" max="9730" width="22.6640625" style="2036" bestFit="1" customWidth="1"/>
    <col min="9731" max="9732" width="18" style="2036" bestFit="1" customWidth="1"/>
    <col min="9733" max="9733" width="12.6640625" style="2036" customWidth="1"/>
    <col min="9734" max="9734" width="18.1640625" style="2036" bestFit="1" customWidth="1"/>
    <col min="9735" max="9735" width="9.33203125" style="2036"/>
    <col min="9736" max="9736" width="11.5" style="2036" bestFit="1" customWidth="1"/>
    <col min="9737" max="9981" width="9.33203125" style="2036"/>
    <col min="9982" max="9982" width="14.83203125" style="2036" customWidth="1"/>
    <col min="9983" max="9983" width="20.33203125" style="2036" customWidth="1"/>
    <col min="9984" max="9984" width="18.6640625" style="2036" bestFit="1" customWidth="1"/>
    <col min="9985" max="9985" width="16.33203125" style="2036" customWidth="1"/>
    <col min="9986" max="9986" width="22.6640625" style="2036" bestFit="1" customWidth="1"/>
    <col min="9987" max="9988" width="18" style="2036" bestFit="1" customWidth="1"/>
    <col min="9989" max="9989" width="12.6640625" style="2036" customWidth="1"/>
    <col min="9990" max="9990" width="18.1640625" style="2036" bestFit="1" customWidth="1"/>
    <col min="9991" max="9991" width="9.33203125" style="2036"/>
    <col min="9992" max="9992" width="11.5" style="2036" bestFit="1" customWidth="1"/>
    <col min="9993" max="10237" width="9.33203125" style="2036"/>
    <col min="10238" max="10238" width="14.83203125" style="2036" customWidth="1"/>
    <col min="10239" max="10239" width="20.33203125" style="2036" customWidth="1"/>
    <col min="10240" max="10240" width="18.6640625" style="2036" bestFit="1" customWidth="1"/>
    <col min="10241" max="10241" width="16.33203125" style="2036" customWidth="1"/>
    <col min="10242" max="10242" width="22.6640625" style="2036" bestFit="1" customWidth="1"/>
    <col min="10243" max="10244" width="18" style="2036" bestFit="1" customWidth="1"/>
    <col min="10245" max="10245" width="12.6640625" style="2036" customWidth="1"/>
    <col min="10246" max="10246" width="18.1640625" style="2036" bestFit="1" customWidth="1"/>
    <col min="10247" max="10247" width="9.33203125" style="2036"/>
    <col min="10248" max="10248" width="11.5" style="2036" bestFit="1" customWidth="1"/>
    <col min="10249" max="10493" width="9.33203125" style="2036"/>
    <col min="10494" max="10494" width="14.83203125" style="2036" customWidth="1"/>
    <col min="10495" max="10495" width="20.33203125" style="2036" customWidth="1"/>
    <col min="10496" max="10496" width="18.6640625" style="2036" bestFit="1" customWidth="1"/>
    <col min="10497" max="10497" width="16.33203125" style="2036" customWidth="1"/>
    <col min="10498" max="10498" width="22.6640625" style="2036" bestFit="1" customWidth="1"/>
    <col min="10499" max="10500" width="18" style="2036" bestFit="1" customWidth="1"/>
    <col min="10501" max="10501" width="12.6640625" style="2036" customWidth="1"/>
    <col min="10502" max="10502" width="18.1640625" style="2036" bestFit="1" customWidth="1"/>
    <col min="10503" max="10503" width="9.33203125" style="2036"/>
    <col min="10504" max="10504" width="11.5" style="2036" bestFit="1" customWidth="1"/>
    <col min="10505" max="10749" width="9.33203125" style="2036"/>
    <col min="10750" max="10750" width="14.83203125" style="2036" customWidth="1"/>
    <col min="10751" max="10751" width="20.33203125" style="2036" customWidth="1"/>
    <col min="10752" max="10752" width="18.6640625" style="2036" bestFit="1" customWidth="1"/>
    <col min="10753" max="10753" width="16.33203125" style="2036" customWidth="1"/>
    <col min="10754" max="10754" width="22.6640625" style="2036" bestFit="1" customWidth="1"/>
    <col min="10755" max="10756" width="18" style="2036" bestFit="1" customWidth="1"/>
    <col min="10757" max="10757" width="12.6640625" style="2036" customWidth="1"/>
    <col min="10758" max="10758" width="18.1640625" style="2036" bestFit="1" customWidth="1"/>
    <col min="10759" max="10759" width="9.33203125" style="2036"/>
    <col min="10760" max="10760" width="11.5" style="2036" bestFit="1" customWidth="1"/>
    <col min="10761" max="11005" width="9.33203125" style="2036"/>
    <col min="11006" max="11006" width="14.83203125" style="2036" customWidth="1"/>
    <col min="11007" max="11007" width="20.33203125" style="2036" customWidth="1"/>
    <col min="11008" max="11008" width="18.6640625" style="2036" bestFit="1" customWidth="1"/>
    <col min="11009" max="11009" width="16.33203125" style="2036" customWidth="1"/>
    <col min="11010" max="11010" width="22.6640625" style="2036" bestFit="1" customWidth="1"/>
    <col min="11011" max="11012" width="18" style="2036" bestFit="1" customWidth="1"/>
    <col min="11013" max="11013" width="12.6640625" style="2036" customWidth="1"/>
    <col min="11014" max="11014" width="18.1640625" style="2036" bestFit="1" customWidth="1"/>
    <col min="11015" max="11015" width="9.33203125" style="2036"/>
    <col min="11016" max="11016" width="11.5" style="2036" bestFit="1" customWidth="1"/>
    <col min="11017" max="11261" width="9.33203125" style="2036"/>
    <col min="11262" max="11262" width="14.83203125" style="2036" customWidth="1"/>
    <col min="11263" max="11263" width="20.33203125" style="2036" customWidth="1"/>
    <col min="11264" max="11264" width="18.6640625" style="2036" bestFit="1" customWidth="1"/>
    <col min="11265" max="11265" width="16.33203125" style="2036" customWidth="1"/>
    <col min="11266" max="11266" width="22.6640625" style="2036" bestFit="1" customWidth="1"/>
    <col min="11267" max="11268" width="18" style="2036" bestFit="1" customWidth="1"/>
    <col min="11269" max="11269" width="12.6640625" style="2036" customWidth="1"/>
    <col min="11270" max="11270" width="18.1640625" style="2036" bestFit="1" customWidth="1"/>
    <col min="11271" max="11271" width="9.33203125" style="2036"/>
    <col min="11272" max="11272" width="11.5" style="2036" bestFit="1" customWidth="1"/>
    <col min="11273" max="11517" width="9.33203125" style="2036"/>
    <col min="11518" max="11518" width="14.83203125" style="2036" customWidth="1"/>
    <col min="11519" max="11519" width="20.33203125" style="2036" customWidth="1"/>
    <col min="11520" max="11520" width="18.6640625" style="2036" bestFit="1" customWidth="1"/>
    <col min="11521" max="11521" width="16.33203125" style="2036" customWidth="1"/>
    <col min="11522" max="11522" width="22.6640625" style="2036" bestFit="1" customWidth="1"/>
    <col min="11523" max="11524" width="18" style="2036" bestFit="1" customWidth="1"/>
    <col min="11525" max="11525" width="12.6640625" style="2036" customWidth="1"/>
    <col min="11526" max="11526" width="18.1640625" style="2036" bestFit="1" customWidth="1"/>
    <col min="11527" max="11527" width="9.33203125" style="2036"/>
    <col min="11528" max="11528" width="11.5" style="2036" bestFit="1" customWidth="1"/>
    <col min="11529" max="11773" width="9.33203125" style="2036"/>
    <col min="11774" max="11774" width="14.83203125" style="2036" customWidth="1"/>
    <col min="11775" max="11775" width="20.33203125" style="2036" customWidth="1"/>
    <col min="11776" max="11776" width="18.6640625" style="2036" bestFit="1" customWidth="1"/>
    <col min="11777" max="11777" width="16.33203125" style="2036" customWidth="1"/>
    <col min="11778" max="11778" width="22.6640625" style="2036" bestFit="1" customWidth="1"/>
    <col min="11779" max="11780" width="18" style="2036" bestFit="1" customWidth="1"/>
    <col min="11781" max="11781" width="12.6640625" style="2036" customWidth="1"/>
    <col min="11782" max="11782" width="18.1640625" style="2036" bestFit="1" customWidth="1"/>
    <col min="11783" max="11783" width="9.33203125" style="2036"/>
    <col min="11784" max="11784" width="11.5" style="2036" bestFit="1" customWidth="1"/>
    <col min="11785" max="12029" width="9.33203125" style="2036"/>
    <col min="12030" max="12030" width="14.83203125" style="2036" customWidth="1"/>
    <col min="12031" max="12031" width="20.33203125" style="2036" customWidth="1"/>
    <col min="12032" max="12032" width="18.6640625" style="2036" bestFit="1" customWidth="1"/>
    <col min="12033" max="12033" width="16.33203125" style="2036" customWidth="1"/>
    <col min="12034" max="12034" width="22.6640625" style="2036" bestFit="1" customWidth="1"/>
    <col min="12035" max="12036" width="18" style="2036" bestFit="1" customWidth="1"/>
    <col min="12037" max="12037" width="12.6640625" style="2036" customWidth="1"/>
    <col min="12038" max="12038" width="18.1640625" style="2036" bestFit="1" customWidth="1"/>
    <col min="12039" max="12039" width="9.33203125" style="2036"/>
    <col min="12040" max="12040" width="11.5" style="2036" bestFit="1" customWidth="1"/>
    <col min="12041" max="12285" width="9.33203125" style="2036"/>
    <col min="12286" max="12286" width="14.83203125" style="2036" customWidth="1"/>
    <col min="12287" max="12287" width="20.33203125" style="2036" customWidth="1"/>
    <col min="12288" max="12288" width="18.6640625" style="2036" bestFit="1" customWidth="1"/>
    <col min="12289" max="12289" width="16.33203125" style="2036" customWidth="1"/>
    <col min="12290" max="12290" width="22.6640625" style="2036" bestFit="1" customWidth="1"/>
    <col min="12291" max="12292" width="18" style="2036" bestFit="1" customWidth="1"/>
    <col min="12293" max="12293" width="12.6640625" style="2036" customWidth="1"/>
    <col min="12294" max="12294" width="18.1640625" style="2036" bestFit="1" customWidth="1"/>
    <col min="12295" max="12295" width="9.33203125" style="2036"/>
    <col min="12296" max="12296" width="11.5" style="2036" bestFit="1" customWidth="1"/>
    <col min="12297" max="12541" width="9.33203125" style="2036"/>
    <col min="12542" max="12542" width="14.83203125" style="2036" customWidth="1"/>
    <col min="12543" max="12543" width="20.33203125" style="2036" customWidth="1"/>
    <col min="12544" max="12544" width="18.6640625" style="2036" bestFit="1" customWidth="1"/>
    <col min="12545" max="12545" width="16.33203125" style="2036" customWidth="1"/>
    <col min="12546" max="12546" width="22.6640625" style="2036" bestFit="1" customWidth="1"/>
    <col min="12547" max="12548" width="18" style="2036" bestFit="1" customWidth="1"/>
    <col min="12549" max="12549" width="12.6640625" style="2036" customWidth="1"/>
    <col min="12550" max="12550" width="18.1640625" style="2036" bestFit="1" customWidth="1"/>
    <col min="12551" max="12551" width="9.33203125" style="2036"/>
    <col min="12552" max="12552" width="11.5" style="2036" bestFit="1" customWidth="1"/>
    <col min="12553" max="12797" width="9.33203125" style="2036"/>
    <col min="12798" max="12798" width="14.83203125" style="2036" customWidth="1"/>
    <col min="12799" max="12799" width="20.33203125" style="2036" customWidth="1"/>
    <col min="12800" max="12800" width="18.6640625" style="2036" bestFit="1" customWidth="1"/>
    <col min="12801" max="12801" width="16.33203125" style="2036" customWidth="1"/>
    <col min="12802" max="12802" width="22.6640625" style="2036" bestFit="1" customWidth="1"/>
    <col min="12803" max="12804" width="18" style="2036" bestFit="1" customWidth="1"/>
    <col min="12805" max="12805" width="12.6640625" style="2036" customWidth="1"/>
    <col min="12806" max="12806" width="18.1640625" style="2036" bestFit="1" customWidth="1"/>
    <col min="12807" max="12807" width="9.33203125" style="2036"/>
    <col min="12808" max="12808" width="11.5" style="2036" bestFit="1" customWidth="1"/>
    <col min="12809" max="13053" width="9.33203125" style="2036"/>
    <col min="13054" max="13054" width="14.83203125" style="2036" customWidth="1"/>
    <col min="13055" max="13055" width="20.33203125" style="2036" customWidth="1"/>
    <col min="13056" max="13056" width="18.6640625" style="2036" bestFit="1" customWidth="1"/>
    <col min="13057" max="13057" width="16.33203125" style="2036" customWidth="1"/>
    <col min="13058" max="13058" width="22.6640625" style="2036" bestFit="1" customWidth="1"/>
    <col min="13059" max="13060" width="18" style="2036" bestFit="1" customWidth="1"/>
    <col min="13061" max="13061" width="12.6640625" style="2036" customWidth="1"/>
    <col min="13062" max="13062" width="18.1640625" style="2036" bestFit="1" customWidth="1"/>
    <col min="13063" max="13063" width="9.33203125" style="2036"/>
    <col min="13064" max="13064" width="11.5" style="2036" bestFit="1" customWidth="1"/>
    <col min="13065" max="13309" width="9.33203125" style="2036"/>
    <col min="13310" max="13310" width="14.83203125" style="2036" customWidth="1"/>
    <col min="13311" max="13311" width="20.33203125" style="2036" customWidth="1"/>
    <col min="13312" max="13312" width="18.6640625" style="2036" bestFit="1" customWidth="1"/>
    <col min="13313" max="13313" width="16.33203125" style="2036" customWidth="1"/>
    <col min="13314" max="13314" width="22.6640625" style="2036" bestFit="1" customWidth="1"/>
    <col min="13315" max="13316" width="18" style="2036" bestFit="1" customWidth="1"/>
    <col min="13317" max="13317" width="12.6640625" style="2036" customWidth="1"/>
    <col min="13318" max="13318" width="18.1640625" style="2036" bestFit="1" customWidth="1"/>
    <col min="13319" max="13319" width="9.33203125" style="2036"/>
    <col min="13320" max="13320" width="11.5" style="2036" bestFit="1" customWidth="1"/>
    <col min="13321" max="13565" width="9.33203125" style="2036"/>
    <col min="13566" max="13566" width="14.83203125" style="2036" customWidth="1"/>
    <col min="13567" max="13567" width="20.33203125" style="2036" customWidth="1"/>
    <col min="13568" max="13568" width="18.6640625" style="2036" bestFit="1" customWidth="1"/>
    <col min="13569" max="13569" width="16.33203125" style="2036" customWidth="1"/>
    <col min="13570" max="13570" width="22.6640625" style="2036" bestFit="1" customWidth="1"/>
    <col min="13571" max="13572" width="18" style="2036" bestFit="1" customWidth="1"/>
    <col min="13573" max="13573" width="12.6640625" style="2036" customWidth="1"/>
    <col min="13574" max="13574" width="18.1640625" style="2036" bestFit="1" customWidth="1"/>
    <col min="13575" max="13575" width="9.33203125" style="2036"/>
    <col min="13576" max="13576" width="11.5" style="2036" bestFit="1" customWidth="1"/>
    <col min="13577" max="13821" width="9.33203125" style="2036"/>
    <col min="13822" max="13822" width="14.83203125" style="2036" customWidth="1"/>
    <col min="13823" max="13823" width="20.33203125" style="2036" customWidth="1"/>
    <col min="13824" max="13824" width="18.6640625" style="2036" bestFit="1" customWidth="1"/>
    <col min="13825" max="13825" width="16.33203125" style="2036" customWidth="1"/>
    <col min="13826" max="13826" width="22.6640625" style="2036" bestFit="1" customWidth="1"/>
    <col min="13827" max="13828" width="18" style="2036" bestFit="1" customWidth="1"/>
    <col min="13829" max="13829" width="12.6640625" style="2036" customWidth="1"/>
    <col min="13830" max="13830" width="18.1640625" style="2036" bestFit="1" customWidth="1"/>
    <col min="13831" max="13831" width="9.33203125" style="2036"/>
    <col min="13832" max="13832" width="11.5" style="2036" bestFit="1" customWidth="1"/>
    <col min="13833" max="14077" width="9.33203125" style="2036"/>
    <col min="14078" max="14078" width="14.83203125" style="2036" customWidth="1"/>
    <col min="14079" max="14079" width="20.33203125" style="2036" customWidth="1"/>
    <col min="14080" max="14080" width="18.6640625" style="2036" bestFit="1" customWidth="1"/>
    <col min="14081" max="14081" width="16.33203125" style="2036" customWidth="1"/>
    <col min="14082" max="14082" width="22.6640625" style="2036" bestFit="1" customWidth="1"/>
    <col min="14083" max="14084" width="18" style="2036" bestFit="1" customWidth="1"/>
    <col min="14085" max="14085" width="12.6640625" style="2036" customWidth="1"/>
    <col min="14086" max="14086" width="18.1640625" style="2036" bestFit="1" customWidth="1"/>
    <col min="14087" max="14087" width="9.33203125" style="2036"/>
    <col min="14088" max="14088" width="11.5" style="2036" bestFit="1" customWidth="1"/>
    <col min="14089" max="14333" width="9.33203125" style="2036"/>
    <col min="14334" max="14334" width="14.83203125" style="2036" customWidth="1"/>
    <col min="14335" max="14335" width="20.33203125" style="2036" customWidth="1"/>
    <col min="14336" max="14336" width="18.6640625" style="2036" bestFit="1" customWidth="1"/>
    <col min="14337" max="14337" width="16.33203125" style="2036" customWidth="1"/>
    <col min="14338" max="14338" width="22.6640625" style="2036" bestFit="1" customWidth="1"/>
    <col min="14339" max="14340" width="18" style="2036" bestFit="1" customWidth="1"/>
    <col min="14341" max="14341" width="12.6640625" style="2036" customWidth="1"/>
    <col min="14342" max="14342" width="18.1640625" style="2036" bestFit="1" customWidth="1"/>
    <col min="14343" max="14343" width="9.33203125" style="2036"/>
    <col min="14344" max="14344" width="11.5" style="2036" bestFit="1" customWidth="1"/>
    <col min="14345" max="14589" width="9.33203125" style="2036"/>
    <col min="14590" max="14590" width="14.83203125" style="2036" customWidth="1"/>
    <col min="14591" max="14591" width="20.33203125" style="2036" customWidth="1"/>
    <col min="14592" max="14592" width="18.6640625" style="2036" bestFit="1" customWidth="1"/>
    <col min="14593" max="14593" width="16.33203125" style="2036" customWidth="1"/>
    <col min="14594" max="14594" width="22.6640625" style="2036" bestFit="1" customWidth="1"/>
    <col min="14595" max="14596" width="18" style="2036" bestFit="1" customWidth="1"/>
    <col min="14597" max="14597" width="12.6640625" style="2036" customWidth="1"/>
    <col min="14598" max="14598" width="18.1640625" style="2036" bestFit="1" customWidth="1"/>
    <col min="14599" max="14599" width="9.33203125" style="2036"/>
    <col min="14600" max="14600" width="11.5" style="2036" bestFit="1" customWidth="1"/>
    <col min="14601" max="14845" width="9.33203125" style="2036"/>
    <col min="14846" max="14846" width="14.83203125" style="2036" customWidth="1"/>
    <col min="14847" max="14847" width="20.33203125" style="2036" customWidth="1"/>
    <col min="14848" max="14848" width="18.6640625" style="2036" bestFit="1" customWidth="1"/>
    <col min="14849" max="14849" width="16.33203125" style="2036" customWidth="1"/>
    <col min="14850" max="14850" width="22.6640625" style="2036" bestFit="1" customWidth="1"/>
    <col min="14851" max="14852" width="18" style="2036" bestFit="1" customWidth="1"/>
    <col min="14853" max="14853" width="12.6640625" style="2036" customWidth="1"/>
    <col min="14854" max="14854" width="18.1640625" style="2036" bestFit="1" customWidth="1"/>
    <col min="14855" max="14855" width="9.33203125" style="2036"/>
    <col min="14856" max="14856" width="11.5" style="2036" bestFit="1" customWidth="1"/>
    <col min="14857" max="15101" width="9.33203125" style="2036"/>
    <col min="15102" max="15102" width="14.83203125" style="2036" customWidth="1"/>
    <col min="15103" max="15103" width="20.33203125" style="2036" customWidth="1"/>
    <col min="15104" max="15104" width="18.6640625" style="2036" bestFit="1" customWidth="1"/>
    <col min="15105" max="15105" width="16.33203125" style="2036" customWidth="1"/>
    <col min="15106" max="15106" width="22.6640625" style="2036" bestFit="1" customWidth="1"/>
    <col min="15107" max="15108" width="18" style="2036" bestFit="1" customWidth="1"/>
    <col min="15109" max="15109" width="12.6640625" style="2036" customWidth="1"/>
    <col min="15110" max="15110" width="18.1640625" style="2036" bestFit="1" customWidth="1"/>
    <col min="15111" max="15111" width="9.33203125" style="2036"/>
    <col min="15112" max="15112" width="11.5" style="2036" bestFit="1" customWidth="1"/>
    <col min="15113" max="15357" width="9.33203125" style="2036"/>
    <col min="15358" max="15358" width="14.83203125" style="2036" customWidth="1"/>
    <col min="15359" max="15359" width="20.33203125" style="2036" customWidth="1"/>
    <col min="15360" max="15360" width="18.6640625" style="2036" bestFit="1" customWidth="1"/>
    <col min="15361" max="15361" width="16.33203125" style="2036" customWidth="1"/>
    <col min="15362" max="15362" width="22.6640625" style="2036" bestFit="1" customWidth="1"/>
    <col min="15363" max="15364" width="18" style="2036" bestFit="1" customWidth="1"/>
    <col min="15365" max="15365" width="12.6640625" style="2036" customWidth="1"/>
    <col min="15366" max="15366" width="18.1640625" style="2036" bestFit="1" customWidth="1"/>
    <col min="15367" max="15367" width="9.33203125" style="2036"/>
    <col min="15368" max="15368" width="11.5" style="2036" bestFit="1" customWidth="1"/>
    <col min="15369" max="15613" width="9.33203125" style="2036"/>
    <col min="15614" max="15614" width="14.83203125" style="2036" customWidth="1"/>
    <col min="15615" max="15615" width="20.33203125" style="2036" customWidth="1"/>
    <col min="15616" max="15616" width="18.6640625" style="2036" bestFit="1" customWidth="1"/>
    <col min="15617" max="15617" width="16.33203125" style="2036" customWidth="1"/>
    <col min="15618" max="15618" width="22.6640625" style="2036" bestFit="1" customWidth="1"/>
    <col min="15619" max="15620" width="18" style="2036" bestFit="1" customWidth="1"/>
    <col min="15621" max="15621" width="12.6640625" style="2036" customWidth="1"/>
    <col min="15622" max="15622" width="18.1640625" style="2036" bestFit="1" customWidth="1"/>
    <col min="15623" max="15623" width="9.33203125" style="2036"/>
    <col min="15624" max="15624" width="11.5" style="2036" bestFit="1" customWidth="1"/>
    <col min="15625" max="15869" width="9.33203125" style="2036"/>
    <col min="15870" max="15870" width="14.83203125" style="2036" customWidth="1"/>
    <col min="15871" max="15871" width="20.33203125" style="2036" customWidth="1"/>
    <col min="15872" max="15872" width="18.6640625" style="2036" bestFit="1" customWidth="1"/>
    <col min="15873" max="15873" width="16.33203125" style="2036" customWidth="1"/>
    <col min="15874" max="15874" width="22.6640625" style="2036" bestFit="1" customWidth="1"/>
    <col min="15875" max="15876" width="18" style="2036" bestFit="1" customWidth="1"/>
    <col min="15877" max="15877" width="12.6640625" style="2036" customWidth="1"/>
    <col min="15878" max="15878" width="18.1640625" style="2036" bestFit="1" customWidth="1"/>
    <col min="15879" max="15879" width="9.33203125" style="2036"/>
    <col min="15880" max="15880" width="11.5" style="2036" bestFit="1" customWidth="1"/>
    <col min="15881" max="16125" width="9.33203125" style="2036"/>
    <col min="16126" max="16126" width="14.83203125" style="2036" customWidth="1"/>
    <col min="16127" max="16127" width="20.33203125" style="2036" customWidth="1"/>
    <col min="16128" max="16128" width="18.6640625" style="2036" bestFit="1" customWidth="1"/>
    <col min="16129" max="16129" width="16.33203125" style="2036" customWidth="1"/>
    <col min="16130" max="16130" width="22.6640625" style="2036" bestFit="1" customWidth="1"/>
    <col min="16131" max="16132" width="18" style="2036" bestFit="1" customWidth="1"/>
    <col min="16133" max="16133" width="12.6640625" style="2036" customWidth="1"/>
    <col min="16134" max="16134" width="18.1640625" style="2036" bestFit="1" customWidth="1"/>
    <col min="16135" max="16135" width="9.33203125" style="2036"/>
    <col min="16136" max="16136" width="11.5" style="2036" bestFit="1" customWidth="1"/>
    <col min="16137" max="16384" width="9.33203125" style="2036"/>
  </cols>
  <sheetData>
    <row r="2" spans="2:6" ht="47.25" customHeight="1" x14ac:dyDescent="0.25">
      <c r="B2" s="2913" t="s">
        <v>1411</v>
      </c>
      <c r="C2" s="2913"/>
      <c r="D2" s="2913"/>
      <c r="E2" s="2913"/>
      <c r="F2" s="2048"/>
    </row>
    <row r="3" spans="2:6" ht="24.75" customHeight="1" x14ac:dyDescent="0.25">
      <c r="B3" s="2914" t="s">
        <v>1413</v>
      </c>
      <c r="C3" s="2914"/>
      <c r="D3" s="2914"/>
      <c r="E3" s="2914"/>
      <c r="F3" s="2048"/>
    </row>
    <row r="4" spans="2:6" ht="16.5" customHeight="1" x14ac:dyDescent="0.25">
      <c r="B4" s="2047"/>
      <c r="C4" s="2047"/>
      <c r="D4" s="2047"/>
      <c r="E4" s="2047"/>
    </row>
    <row r="5" spans="2:6" ht="15.75" thickBot="1" x14ac:dyDescent="0.25">
      <c r="E5" s="2037" t="s">
        <v>1410</v>
      </c>
    </row>
    <row r="6" spans="2:6" ht="36.75" customHeight="1" x14ac:dyDescent="0.2">
      <c r="B6" s="2911" t="s">
        <v>1412</v>
      </c>
      <c r="C6" s="2908" t="s">
        <v>1397</v>
      </c>
      <c r="D6" s="2909"/>
      <c r="E6" s="2910"/>
    </row>
    <row r="7" spans="2:6" ht="29.25" customHeight="1" thickBot="1" x14ac:dyDescent="0.25">
      <c r="B7" s="2912"/>
      <c r="C7" s="2581" t="s">
        <v>1395</v>
      </c>
      <c r="D7" s="2582" t="s">
        <v>1396</v>
      </c>
      <c r="E7" s="2583" t="s">
        <v>883</v>
      </c>
    </row>
    <row r="8" spans="2:6" ht="22.5" customHeight="1" x14ac:dyDescent="0.25">
      <c r="B8" s="2584" t="s">
        <v>1398</v>
      </c>
      <c r="C8" s="2585">
        <v>120749360</v>
      </c>
      <c r="D8" s="2586">
        <v>26841008</v>
      </c>
      <c r="E8" s="2587">
        <f t="shared" ref="E8:E20" si="0">SUM(C8:D8)</f>
        <v>147590368</v>
      </c>
    </row>
    <row r="9" spans="2:6" ht="22.5" customHeight="1" x14ac:dyDescent="0.25">
      <c r="B9" s="2588" t="s">
        <v>1399</v>
      </c>
      <c r="C9" s="2589">
        <v>120749360</v>
      </c>
      <c r="D9" s="2590">
        <v>24402445</v>
      </c>
      <c r="E9" s="2591">
        <f t="shared" si="0"/>
        <v>145151805</v>
      </c>
    </row>
    <row r="10" spans="2:6" ht="22.5" customHeight="1" x14ac:dyDescent="0.25">
      <c r="B10" s="2588" t="s">
        <v>1400</v>
      </c>
      <c r="C10" s="2589">
        <v>120749362</v>
      </c>
      <c r="D10" s="2590">
        <v>21962722</v>
      </c>
      <c r="E10" s="2591">
        <f t="shared" si="0"/>
        <v>142712084</v>
      </c>
    </row>
    <row r="11" spans="2:6" ht="22.5" customHeight="1" x14ac:dyDescent="0.25">
      <c r="B11" s="2588" t="s">
        <v>1401</v>
      </c>
      <c r="C11" s="2589">
        <v>120749366</v>
      </c>
      <c r="D11" s="2590">
        <v>19524143</v>
      </c>
      <c r="E11" s="2591">
        <f t="shared" si="0"/>
        <v>140273509</v>
      </c>
    </row>
    <row r="12" spans="2:6" ht="22.5" customHeight="1" x14ac:dyDescent="0.25">
      <c r="B12" s="2588" t="s">
        <v>1402</v>
      </c>
      <c r="C12" s="2589">
        <v>120749360</v>
      </c>
      <c r="D12" s="2590">
        <v>17176455</v>
      </c>
      <c r="E12" s="2591">
        <f t="shared" si="0"/>
        <v>137925815</v>
      </c>
    </row>
    <row r="13" spans="2:6" ht="22.5" customHeight="1" x14ac:dyDescent="0.25">
      <c r="B13" s="2588" t="s">
        <v>1403</v>
      </c>
      <c r="C13" s="2589">
        <v>120749362</v>
      </c>
      <c r="D13" s="2590">
        <v>14603757</v>
      </c>
      <c r="E13" s="2591">
        <f t="shared" si="0"/>
        <v>135353119</v>
      </c>
    </row>
    <row r="14" spans="2:6" ht="22.5" customHeight="1" x14ac:dyDescent="0.25">
      <c r="B14" s="2588" t="s">
        <v>1404</v>
      </c>
      <c r="C14" s="2589">
        <v>120749368</v>
      </c>
      <c r="D14" s="2590">
        <v>12206712</v>
      </c>
      <c r="E14" s="2591">
        <f t="shared" si="0"/>
        <v>132956080</v>
      </c>
    </row>
    <row r="15" spans="2:6" ht="22.5" customHeight="1" x14ac:dyDescent="0.25">
      <c r="B15" s="2588" t="s">
        <v>1405</v>
      </c>
      <c r="C15" s="2589">
        <v>120749366</v>
      </c>
      <c r="D15" s="2590">
        <v>9765895</v>
      </c>
      <c r="E15" s="2591">
        <f t="shared" si="0"/>
        <v>130515261</v>
      </c>
    </row>
    <row r="16" spans="2:6" ht="22.5" customHeight="1" x14ac:dyDescent="0.25">
      <c r="B16" s="2588" t="s">
        <v>1406</v>
      </c>
      <c r="C16" s="2589">
        <v>120749364</v>
      </c>
      <c r="D16" s="2590">
        <v>7351033</v>
      </c>
      <c r="E16" s="2591">
        <f t="shared" si="0"/>
        <v>128100397</v>
      </c>
    </row>
    <row r="17" spans="2:5" ht="22.5" customHeight="1" x14ac:dyDescent="0.25">
      <c r="B17" s="2588" t="s">
        <v>1407</v>
      </c>
      <c r="C17" s="2589">
        <v>120749363</v>
      </c>
      <c r="D17" s="2590">
        <v>4908849</v>
      </c>
      <c r="E17" s="2591">
        <f t="shared" si="0"/>
        <v>125658212</v>
      </c>
    </row>
    <row r="18" spans="2:5" ht="22.5" customHeight="1" x14ac:dyDescent="0.25">
      <c r="B18" s="2588" t="s">
        <v>1408</v>
      </c>
      <c r="C18" s="2589">
        <v>120749364</v>
      </c>
      <c r="D18" s="2590">
        <v>2432567</v>
      </c>
      <c r="E18" s="2591">
        <f t="shared" si="0"/>
        <v>123181931</v>
      </c>
    </row>
    <row r="19" spans="2:5" ht="22.5" customHeight="1" thickBot="1" x14ac:dyDescent="0.3">
      <c r="B19" s="2592" t="s">
        <v>1409</v>
      </c>
      <c r="C19" s="2593">
        <v>55343458</v>
      </c>
      <c r="D19" s="2594">
        <v>324975</v>
      </c>
      <c r="E19" s="2595">
        <f t="shared" si="0"/>
        <v>55668433</v>
      </c>
    </row>
    <row r="20" spans="2:5" s="2046" customFormat="1" ht="53.25" customHeight="1" thickBot="1" x14ac:dyDescent="0.25">
      <c r="B20" s="2596" t="s">
        <v>1414</v>
      </c>
      <c r="C20" s="2597">
        <f>SUM(C8:C19)</f>
        <v>1383586453</v>
      </c>
      <c r="D20" s="2598">
        <f>SUM(D8:D19)</f>
        <v>161500561</v>
      </c>
      <c r="E20" s="2599">
        <f t="shared" si="0"/>
        <v>1545087014</v>
      </c>
    </row>
    <row r="21" spans="2:5" x14ac:dyDescent="0.2">
      <c r="C21" s="2038"/>
      <c r="D21" s="2038"/>
      <c r="E21" s="2038"/>
    </row>
    <row r="22" spans="2:5" x14ac:dyDescent="0.2">
      <c r="C22" s="2039"/>
      <c r="D22" s="2040"/>
      <c r="E22" s="2038"/>
    </row>
    <row r="23" spans="2:5" x14ac:dyDescent="0.2">
      <c r="C23" s="2041"/>
      <c r="D23" s="2041"/>
      <c r="E23" s="2041"/>
    </row>
    <row r="24" spans="2:5" x14ac:dyDescent="0.2">
      <c r="C24" s="2041"/>
      <c r="D24" s="2041"/>
      <c r="E24" s="2041"/>
    </row>
    <row r="27" spans="2:5" x14ac:dyDescent="0.2">
      <c r="C27" s="2037"/>
      <c r="D27" s="2038"/>
    </row>
    <row r="28" spans="2:5" x14ac:dyDescent="0.2">
      <c r="C28" s="2037"/>
      <c r="D28" s="2038"/>
    </row>
  </sheetData>
  <mergeCells count="4">
    <mergeCell ref="C6:E6"/>
    <mergeCell ref="B6:B7"/>
    <mergeCell ref="B2:E2"/>
    <mergeCell ref="B3:E3"/>
  </mergeCells>
  <pageMargins left="0.9055118110236221" right="0.70866141732283472" top="0.74803149606299213" bottom="0.74803149606299213" header="0.31496062992125984" footer="0.31496062992125984"/>
  <pageSetup paperSize="9" scale="95" orientation="portrait" r:id="rId1"/>
  <headerFooter>
    <oddHeader xml:space="preserve">&amp;R&amp;"Times New Roman CE,Félkövér"&amp;12 &amp;10 32. melléklet a …../2020. (…….) önkormányzati rendelethez
 &amp;"Times New Roman CE,Normál"&amp;8
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57"/>
  <sheetViews>
    <sheetView zoomScale="50" zoomScaleNormal="50" zoomScaleSheetLayoutView="50" workbookViewId="0">
      <pane xSplit="1" ySplit="8" topLeftCell="E9" activePane="bottomRight" state="frozen"/>
      <selection activeCell="J20" sqref="J20"/>
      <selection pane="topRight" activeCell="J20" sqref="J20"/>
      <selection pane="bottomLeft" activeCell="J20" sqref="J20"/>
      <selection pane="bottomRight" activeCell="J20" sqref="J20"/>
    </sheetView>
  </sheetViews>
  <sheetFormatPr defaultRowHeight="26.45" customHeight="1" x14ac:dyDescent="0.6"/>
  <cols>
    <col min="1" max="1" width="193.33203125" style="2123" customWidth="1"/>
    <col min="2" max="2" width="47.1640625" style="2124" customWidth="1"/>
    <col min="3" max="3" width="47.33203125" style="2124" customWidth="1"/>
    <col min="4" max="4" width="47.1640625" style="2124" customWidth="1"/>
    <col min="5" max="5" width="43.6640625" style="2124" customWidth="1"/>
    <col min="6" max="7" width="47.33203125" style="2124" customWidth="1"/>
    <col min="8" max="8" width="47.1640625" style="2124" customWidth="1"/>
    <col min="9" max="9" width="43.6640625" style="2124" customWidth="1"/>
    <col min="10" max="11" width="47.33203125" style="2124" customWidth="1"/>
    <col min="12" max="12" width="47.1640625" style="2124" customWidth="1"/>
    <col min="13" max="13" width="43.6640625" style="2124" customWidth="1"/>
    <col min="14" max="15" width="45" style="2124" customWidth="1"/>
    <col min="16" max="16" width="44.83203125" style="2124" customWidth="1"/>
    <col min="17" max="17" width="45" style="2124" customWidth="1"/>
    <col min="18" max="19" width="47.33203125" style="2124" customWidth="1"/>
    <col min="20" max="20" width="47.1640625" style="2124" customWidth="1"/>
    <col min="21" max="21" width="43.6640625" style="2124" customWidth="1"/>
    <col min="22" max="22" width="193.33203125" style="2125" customWidth="1"/>
    <col min="23" max="25" width="47.33203125" style="2124" customWidth="1"/>
    <col min="26" max="26" width="43.6640625" style="2124" customWidth="1"/>
    <col min="27" max="29" width="47.33203125" style="2124" customWidth="1"/>
    <col min="30" max="30" width="44" style="2124" customWidth="1"/>
    <col min="31" max="33" width="47.33203125" style="2124" customWidth="1"/>
    <col min="34" max="34" width="43.6640625" style="2124" customWidth="1"/>
    <col min="35" max="37" width="47.33203125" style="2124" customWidth="1"/>
    <col min="38" max="38" width="43.6640625" style="2124" customWidth="1"/>
    <col min="39" max="41" width="47.33203125" style="2123" customWidth="1"/>
    <col min="42" max="42" width="43.6640625" style="2123" customWidth="1"/>
    <col min="43" max="43" width="193.33203125" style="2125" customWidth="1"/>
    <col min="44" max="53" width="56" style="2123" customWidth="1"/>
    <col min="54" max="57" width="56" style="2126" customWidth="1"/>
    <col min="58" max="59" width="56" style="2124" customWidth="1"/>
    <col min="60" max="60" width="59" style="2127" customWidth="1"/>
    <col min="61" max="61" width="46" style="2127" customWidth="1"/>
    <col min="62" max="256" width="9.33203125" style="2127"/>
    <col min="257" max="257" width="193.33203125" style="2127" customWidth="1"/>
    <col min="258" max="258" width="47.1640625" style="2127" customWidth="1"/>
    <col min="259" max="259" width="47.33203125" style="2127" customWidth="1"/>
    <col min="260" max="260" width="47.1640625" style="2127" customWidth="1"/>
    <col min="261" max="261" width="43.6640625" style="2127" customWidth="1"/>
    <col min="262" max="263" width="47.33203125" style="2127" customWidth="1"/>
    <col min="264" max="264" width="47.1640625" style="2127" customWidth="1"/>
    <col min="265" max="265" width="43.6640625" style="2127" customWidth="1"/>
    <col min="266" max="267" width="47.33203125" style="2127" customWidth="1"/>
    <col min="268" max="268" width="47.1640625" style="2127" customWidth="1"/>
    <col min="269" max="269" width="43.6640625" style="2127" customWidth="1"/>
    <col min="270" max="271" width="45" style="2127" customWidth="1"/>
    <col min="272" max="272" width="44.83203125" style="2127" customWidth="1"/>
    <col min="273" max="273" width="45" style="2127" customWidth="1"/>
    <col min="274" max="275" width="47.33203125" style="2127" customWidth="1"/>
    <col min="276" max="276" width="47.1640625" style="2127" customWidth="1"/>
    <col min="277" max="277" width="43.6640625" style="2127" customWidth="1"/>
    <col min="278" max="278" width="193.33203125" style="2127" customWidth="1"/>
    <col min="279" max="281" width="47.33203125" style="2127" customWidth="1"/>
    <col min="282" max="282" width="43.6640625" style="2127" customWidth="1"/>
    <col min="283" max="285" width="47.33203125" style="2127" customWidth="1"/>
    <col min="286" max="286" width="44" style="2127" customWidth="1"/>
    <col min="287" max="289" width="47.33203125" style="2127" customWidth="1"/>
    <col min="290" max="290" width="43.6640625" style="2127" customWidth="1"/>
    <col min="291" max="293" width="47.33203125" style="2127" customWidth="1"/>
    <col min="294" max="294" width="43.6640625" style="2127" customWidth="1"/>
    <col min="295" max="297" width="47.33203125" style="2127" customWidth="1"/>
    <col min="298" max="298" width="43.6640625" style="2127" customWidth="1"/>
    <col min="299" max="299" width="193.33203125" style="2127" customWidth="1"/>
    <col min="300" max="315" width="56" style="2127" customWidth="1"/>
    <col min="316" max="316" width="59" style="2127" customWidth="1"/>
    <col min="317" max="317" width="46" style="2127" customWidth="1"/>
    <col min="318" max="512" width="9.33203125" style="2127"/>
    <col min="513" max="513" width="193.33203125" style="2127" customWidth="1"/>
    <col min="514" max="514" width="47.1640625" style="2127" customWidth="1"/>
    <col min="515" max="515" width="47.33203125" style="2127" customWidth="1"/>
    <col min="516" max="516" width="47.1640625" style="2127" customWidth="1"/>
    <col min="517" max="517" width="43.6640625" style="2127" customWidth="1"/>
    <col min="518" max="519" width="47.33203125" style="2127" customWidth="1"/>
    <col min="520" max="520" width="47.1640625" style="2127" customWidth="1"/>
    <col min="521" max="521" width="43.6640625" style="2127" customWidth="1"/>
    <col min="522" max="523" width="47.33203125" style="2127" customWidth="1"/>
    <col min="524" max="524" width="47.1640625" style="2127" customWidth="1"/>
    <col min="525" max="525" width="43.6640625" style="2127" customWidth="1"/>
    <col min="526" max="527" width="45" style="2127" customWidth="1"/>
    <col min="528" max="528" width="44.83203125" style="2127" customWidth="1"/>
    <col min="529" max="529" width="45" style="2127" customWidth="1"/>
    <col min="530" max="531" width="47.33203125" style="2127" customWidth="1"/>
    <col min="532" max="532" width="47.1640625" style="2127" customWidth="1"/>
    <col min="533" max="533" width="43.6640625" style="2127" customWidth="1"/>
    <col min="534" max="534" width="193.33203125" style="2127" customWidth="1"/>
    <col min="535" max="537" width="47.33203125" style="2127" customWidth="1"/>
    <col min="538" max="538" width="43.6640625" style="2127" customWidth="1"/>
    <col min="539" max="541" width="47.33203125" style="2127" customWidth="1"/>
    <col min="542" max="542" width="44" style="2127" customWidth="1"/>
    <col min="543" max="545" width="47.33203125" style="2127" customWidth="1"/>
    <col min="546" max="546" width="43.6640625" style="2127" customWidth="1"/>
    <col min="547" max="549" width="47.33203125" style="2127" customWidth="1"/>
    <col min="550" max="550" width="43.6640625" style="2127" customWidth="1"/>
    <col min="551" max="553" width="47.33203125" style="2127" customWidth="1"/>
    <col min="554" max="554" width="43.6640625" style="2127" customWidth="1"/>
    <col min="555" max="555" width="193.33203125" style="2127" customWidth="1"/>
    <col min="556" max="571" width="56" style="2127" customWidth="1"/>
    <col min="572" max="572" width="59" style="2127" customWidth="1"/>
    <col min="573" max="573" width="46" style="2127" customWidth="1"/>
    <col min="574" max="768" width="9.33203125" style="2127"/>
    <col min="769" max="769" width="193.33203125" style="2127" customWidth="1"/>
    <col min="770" max="770" width="47.1640625" style="2127" customWidth="1"/>
    <col min="771" max="771" width="47.33203125" style="2127" customWidth="1"/>
    <col min="772" max="772" width="47.1640625" style="2127" customWidth="1"/>
    <col min="773" max="773" width="43.6640625" style="2127" customWidth="1"/>
    <col min="774" max="775" width="47.33203125" style="2127" customWidth="1"/>
    <col min="776" max="776" width="47.1640625" style="2127" customWidth="1"/>
    <col min="777" max="777" width="43.6640625" style="2127" customWidth="1"/>
    <col min="778" max="779" width="47.33203125" style="2127" customWidth="1"/>
    <col min="780" max="780" width="47.1640625" style="2127" customWidth="1"/>
    <col min="781" max="781" width="43.6640625" style="2127" customWidth="1"/>
    <col min="782" max="783" width="45" style="2127" customWidth="1"/>
    <col min="784" max="784" width="44.83203125" style="2127" customWidth="1"/>
    <col min="785" max="785" width="45" style="2127" customWidth="1"/>
    <col min="786" max="787" width="47.33203125" style="2127" customWidth="1"/>
    <col min="788" max="788" width="47.1640625" style="2127" customWidth="1"/>
    <col min="789" max="789" width="43.6640625" style="2127" customWidth="1"/>
    <col min="790" max="790" width="193.33203125" style="2127" customWidth="1"/>
    <col min="791" max="793" width="47.33203125" style="2127" customWidth="1"/>
    <col min="794" max="794" width="43.6640625" style="2127" customWidth="1"/>
    <col min="795" max="797" width="47.33203125" style="2127" customWidth="1"/>
    <col min="798" max="798" width="44" style="2127" customWidth="1"/>
    <col min="799" max="801" width="47.33203125" style="2127" customWidth="1"/>
    <col min="802" max="802" width="43.6640625" style="2127" customWidth="1"/>
    <col min="803" max="805" width="47.33203125" style="2127" customWidth="1"/>
    <col min="806" max="806" width="43.6640625" style="2127" customWidth="1"/>
    <col min="807" max="809" width="47.33203125" style="2127" customWidth="1"/>
    <col min="810" max="810" width="43.6640625" style="2127" customWidth="1"/>
    <col min="811" max="811" width="193.33203125" style="2127" customWidth="1"/>
    <col min="812" max="827" width="56" style="2127" customWidth="1"/>
    <col min="828" max="828" width="59" style="2127" customWidth="1"/>
    <col min="829" max="829" width="46" style="2127" customWidth="1"/>
    <col min="830" max="1024" width="9.33203125" style="2127"/>
    <col min="1025" max="1025" width="193.33203125" style="2127" customWidth="1"/>
    <col min="1026" max="1026" width="47.1640625" style="2127" customWidth="1"/>
    <col min="1027" max="1027" width="47.33203125" style="2127" customWidth="1"/>
    <col min="1028" max="1028" width="47.1640625" style="2127" customWidth="1"/>
    <col min="1029" max="1029" width="43.6640625" style="2127" customWidth="1"/>
    <col min="1030" max="1031" width="47.33203125" style="2127" customWidth="1"/>
    <col min="1032" max="1032" width="47.1640625" style="2127" customWidth="1"/>
    <col min="1033" max="1033" width="43.6640625" style="2127" customWidth="1"/>
    <col min="1034" max="1035" width="47.33203125" style="2127" customWidth="1"/>
    <col min="1036" max="1036" width="47.1640625" style="2127" customWidth="1"/>
    <col min="1037" max="1037" width="43.6640625" style="2127" customWidth="1"/>
    <col min="1038" max="1039" width="45" style="2127" customWidth="1"/>
    <col min="1040" max="1040" width="44.83203125" style="2127" customWidth="1"/>
    <col min="1041" max="1041" width="45" style="2127" customWidth="1"/>
    <col min="1042" max="1043" width="47.33203125" style="2127" customWidth="1"/>
    <col min="1044" max="1044" width="47.1640625" style="2127" customWidth="1"/>
    <col min="1045" max="1045" width="43.6640625" style="2127" customWidth="1"/>
    <col min="1046" max="1046" width="193.33203125" style="2127" customWidth="1"/>
    <col min="1047" max="1049" width="47.33203125" style="2127" customWidth="1"/>
    <col min="1050" max="1050" width="43.6640625" style="2127" customWidth="1"/>
    <col min="1051" max="1053" width="47.33203125" style="2127" customWidth="1"/>
    <col min="1054" max="1054" width="44" style="2127" customWidth="1"/>
    <col min="1055" max="1057" width="47.33203125" style="2127" customWidth="1"/>
    <col min="1058" max="1058" width="43.6640625" style="2127" customWidth="1"/>
    <col min="1059" max="1061" width="47.33203125" style="2127" customWidth="1"/>
    <col min="1062" max="1062" width="43.6640625" style="2127" customWidth="1"/>
    <col min="1063" max="1065" width="47.33203125" style="2127" customWidth="1"/>
    <col min="1066" max="1066" width="43.6640625" style="2127" customWidth="1"/>
    <col min="1067" max="1067" width="193.33203125" style="2127" customWidth="1"/>
    <col min="1068" max="1083" width="56" style="2127" customWidth="1"/>
    <col min="1084" max="1084" width="59" style="2127" customWidth="1"/>
    <col min="1085" max="1085" width="46" style="2127" customWidth="1"/>
    <col min="1086" max="1280" width="9.33203125" style="2127"/>
    <col min="1281" max="1281" width="193.33203125" style="2127" customWidth="1"/>
    <col min="1282" max="1282" width="47.1640625" style="2127" customWidth="1"/>
    <col min="1283" max="1283" width="47.33203125" style="2127" customWidth="1"/>
    <col min="1284" max="1284" width="47.1640625" style="2127" customWidth="1"/>
    <col min="1285" max="1285" width="43.6640625" style="2127" customWidth="1"/>
    <col min="1286" max="1287" width="47.33203125" style="2127" customWidth="1"/>
    <col min="1288" max="1288" width="47.1640625" style="2127" customWidth="1"/>
    <col min="1289" max="1289" width="43.6640625" style="2127" customWidth="1"/>
    <col min="1290" max="1291" width="47.33203125" style="2127" customWidth="1"/>
    <col min="1292" max="1292" width="47.1640625" style="2127" customWidth="1"/>
    <col min="1293" max="1293" width="43.6640625" style="2127" customWidth="1"/>
    <col min="1294" max="1295" width="45" style="2127" customWidth="1"/>
    <col min="1296" max="1296" width="44.83203125" style="2127" customWidth="1"/>
    <col min="1297" max="1297" width="45" style="2127" customWidth="1"/>
    <col min="1298" max="1299" width="47.33203125" style="2127" customWidth="1"/>
    <col min="1300" max="1300" width="47.1640625" style="2127" customWidth="1"/>
    <col min="1301" max="1301" width="43.6640625" style="2127" customWidth="1"/>
    <col min="1302" max="1302" width="193.33203125" style="2127" customWidth="1"/>
    <col min="1303" max="1305" width="47.33203125" style="2127" customWidth="1"/>
    <col min="1306" max="1306" width="43.6640625" style="2127" customWidth="1"/>
    <col min="1307" max="1309" width="47.33203125" style="2127" customWidth="1"/>
    <col min="1310" max="1310" width="44" style="2127" customWidth="1"/>
    <col min="1311" max="1313" width="47.33203125" style="2127" customWidth="1"/>
    <col min="1314" max="1314" width="43.6640625" style="2127" customWidth="1"/>
    <col min="1315" max="1317" width="47.33203125" style="2127" customWidth="1"/>
    <col min="1318" max="1318" width="43.6640625" style="2127" customWidth="1"/>
    <col min="1319" max="1321" width="47.33203125" style="2127" customWidth="1"/>
    <col min="1322" max="1322" width="43.6640625" style="2127" customWidth="1"/>
    <col min="1323" max="1323" width="193.33203125" style="2127" customWidth="1"/>
    <col min="1324" max="1339" width="56" style="2127" customWidth="1"/>
    <col min="1340" max="1340" width="59" style="2127" customWidth="1"/>
    <col min="1341" max="1341" width="46" style="2127" customWidth="1"/>
    <col min="1342" max="1536" width="9.33203125" style="2127"/>
    <col min="1537" max="1537" width="193.33203125" style="2127" customWidth="1"/>
    <col min="1538" max="1538" width="47.1640625" style="2127" customWidth="1"/>
    <col min="1539" max="1539" width="47.33203125" style="2127" customWidth="1"/>
    <col min="1540" max="1540" width="47.1640625" style="2127" customWidth="1"/>
    <col min="1541" max="1541" width="43.6640625" style="2127" customWidth="1"/>
    <col min="1542" max="1543" width="47.33203125" style="2127" customWidth="1"/>
    <col min="1544" max="1544" width="47.1640625" style="2127" customWidth="1"/>
    <col min="1545" max="1545" width="43.6640625" style="2127" customWidth="1"/>
    <col min="1546" max="1547" width="47.33203125" style="2127" customWidth="1"/>
    <col min="1548" max="1548" width="47.1640625" style="2127" customWidth="1"/>
    <col min="1549" max="1549" width="43.6640625" style="2127" customWidth="1"/>
    <col min="1550" max="1551" width="45" style="2127" customWidth="1"/>
    <col min="1552" max="1552" width="44.83203125" style="2127" customWidth="1"/>
    <col min="1553" max="1553" width="45" style="2127" customWidth="1"/>
    <col min="1554" max="1555" width="47.33203125" style="2127" customWidth="1"/>
    <col min="1556" max="1556" width="47.1640625" style="2127" customWidth="1"/>
    <col min="1557" max="1557" width="43.6640625" style="2127" customWidth="1"/>
    <col min="1558" max="1558" width="193.33203125" style="2127" customWidth="1"/>
    <col min="1559" max="1561" width="47.33203125" style="2127" customWidth="1"/>
    <col min="1562" max="1562" width="43.6640625" style="2127" customWidth="1"/>
    <col min="1563" max="1565" width="47.33203125" style="2127" customWidth="1"/>
    <col min="1566" max="1566" width="44" style="2127" customWidth="1"/>
    <col min="1567" max="1569" width="47.33203125" style="2127" customWidth="1"/>
    <col min="1570" max="1570" width="43.6640625" style="2127" customWidth="1"/>
    <col min="1571" max="1573" width="47.33203125" style="2127" customWidth="1"/>
    <col min="1574" max="1574" width="43.6640625" style="2127" customWidth="1"/>
    <col min="1575" max="1577" width="47.33203125" style="2127" customWidth="1"/>
    <col min="1578" max="1578" width="43.6640625" style="2127" customWidth="1"/>
    <col min="1579" max="1579" width="193.33203125" style="2127" customWidth="1"/>
    <col min="1580" max="1595" width="56" style="2127" customWidth="1"/>
    <col min="1596" max="1596" width="59" style="2127" customWidth="1"/>
    <col min="1597" max="1597" width="46" style="2127" customWidth="1"/>
    <col min="1598" max="1792" width="9.33203125" style="2127"/>
    <col min="1793" max="1793" width="193.33203125" style="2127" customWidth="1"/>
    <col min="1794" max="1794" width="47.1640625" style="2127" customWidth="1"/>
    <col min="1795" max="1795" width="47.33203125" style="2127" customWidth="1"/>
    <col min="1796" max="1796" width="47.1640625" style="2127" customWidth="1"/>
    <col min="1797" max="1797" width="43.6640625" style="2127" customWidth="1"/>
    <col min="1798" max="1799" width="47.33203125" style="2127" customWidth="1"/>
    <col min="1800" max="1800" width="47.1640625" style="2127" customWidth="1"/>
    <col min="1801" max="1801" width="43.6640625" style="2127" customWidth="1"/>
    <col min="1802" max="1803" width="47.33203125" style="2127" customWidth="1"/>
    <col min="1804" max="1804" width="47.1640625" style="2127" customWidth="1"/>
    <col min="1805" max="1805" width="43.6640625" style="2127" customWidth="1"/>
    <col min="1806" max="1807" width="45" style="2127" customWidth="1"/>
    <col min="1808" max="1808" width="44.83203125" style="2127" customWidth="1"/>
    <col min="1809" max="1809" width="45" style="2127" customWidth="1"/>
    <col min="1810" max="1811" width="47.33203125" style="2127" customWidth="1"/>
    <col min="1812" max="1812" width="47.1640625" style="2127" customWidth="1"/>
    <col min="1813" max="1813" width="43.6640625" style="2127" customWidth="1"/>
    <col min="1814" max="1814" width="193.33203125" style="2127" customWidth="1"/>
    <col min="1815" max="1817" width="47.33203125" style="2127" customWidth="1"/>
    <col min="1818" max="1818" width="43.6640625" style="2127" customWidth="1"/>
    <col min="1819" max="1821" width="47.33203125" style="2127" customWidth="1"/>
    <col min="1822" max="1822" width="44" style="2127" customWidth="1"/>
    <col min="1823" max="1825" width="47.33203125" style="2127" customWidth="1"/>
    <col min="1826" max="1826" width="43.6640625" style="2127" customWidth="1"/>
    <col min="1827" max="1829" width="47.33203125" style="2127" customWidth="1"/>
    <col min="1830" max="1830" width="43.6640625" style="2127" customWidth="1"/>
    <col min="1831" max="1833" width="47.33203125" style="2127" customWidth="1"/>
    <col min="1834" max="1834" width="43.6640625" style="2127" customWidth="1"/>
    <col min="1835" max="1835" width="193.33203125" style="2127" customWidth="1"/>
    <col min="1836" max="1851" width="56" style="2127" customWidth="1"/>
    <col min="1852" max="1852" width="59" style="2127" customWidth="1"/>
    <col min="1853" max="1853" width="46" style="2127" customWidth="1"/>
    <col min="1854" max="2048" width="9.33203125" style="2127"/>
    <col min="2049" max="2049" width="193.33203125" style="2127" customWidth="1"/>
    <col min="2050" max="2050" width="47.1640625" style="2127" customWidth="1"/>
    <col min="2051" max="2051" width="47.33203125" style="2127" customWidth="1"/>
    <col min="2052" max="2052" width="47.1640625" style="2127" customWidth="1"/>
    <col min="2053" max="2053" width="43.6640625" style="2127" customWidth="1"/>
    <col min="2054" max="2055" width="47.33203125" style="2127" customWidth="1"/>
    <col min="2056" max="2056" width="47.1640625" style="2127" customWidth="1"/>
    <col min="2057" max="2057" width="43.6640625" style="2127" customWidth="1"/>
    <col min="2058" max="2059" width="47.33203125" style="2127" customWidth="1"/>
    <col min="2060" max="2060" width="47.1640625" style="2127" customWidth="1"/>
    <col min="2061" max="2061" width="43.6640625" style="2127" customWidth="1"/>
    <col min="2062" max="2063" width="45" style="2127" customWidth="1"/>
    <col min="2064" max="2064" width="44.83203125" style="2127" customWidth="1"/>
    <col min="2065" max="2065" width="45" style="2127" customWidth="1"/>
    <col min="2066" max="2067" width="47.33203125" style="2127" customWidth="1"/>
    <col min="2068" max="2068" width="47.1640625" style="2127" customWidth="1"/>
    <col min="2069" max="2069" width="43.6640625" style="2127" customWidth="1"/>
    <col min="2070" max="2070" width="193.33203125" style="2127" customWidth="1"/>
    <col min="2071" max="2073" width="47.33203125" style="2127" customWidth="1"/>
    <col min="2074" max="2074" width="43.6640625" style="2127" customWidth="1"/>
    <col min="2075" max="2077" width="47.33203125" style="2127" customWidth="1"/>
    <col min="2078" max="2078" width="44" style="2127" customWidth="1"/>
    <col min="2079" max="2081" width="47.33203125" style="2127" customWidth="1"/>
    <col min="2082" max="2082" width="43.6640625" style="2127" customWidth="1"/>
    <col min="2083" max="2085" width="47.33203125" style="2127" customWidth="1"/>
    <col min="2086" max="2086" width="43.6640625" style="2127" customWidth="1"/>
    <col min="2087" max="2089" width="47.33203125" style="2127" customWidth="1"/>
    <col min="2090" max="2090" width="43.6640625" style="2127" customWidth="1"/>
    <col min="2091" max="2091" width="193.33203125" style="2127" customWidth="1"/>
    <col min="2092" max="2107" width="56" style="2127" customWidth="1"/>
    <col min="2108" max="2108" width="59" style="2127" customWidth="1"/>
    <col min="2109" max="2109" width="46" style="2127" customWidth="1"/>
    <col min="2110" max="2304" width="9.33203125" style="2127"/>
    <col min="2305" max="2305" width="193.33203125" style="2127" customWidth="1"/>
    <col min="2306" max="2306" width="47.1640625" style="2127" customWidth="1"/>
    <col min="2307" max="2307" width="47.33203125" style="2127" customWidth="1"/>
    <col min="2308" max="2308" width="47.1640625" style="2127" customWidth="1"/>
    <col min="2309" max="2309" width="43.6640625" style="2127" customWidth="1"/>
    <col min="2310" max="2311" width="47.33203125" style="2127" customWidth="1"/>
    <col min="2312" max="2312" width="47.1640625" style="2127" customWidth="1"/>
    <col min="2313" max="2313" width="43.6640625" style="2127" customWidth="1"/>
    <col min="2314" max="2315" width="47.33203125" style="2127" customWidth="1"/>
    <col min="2316" max="2316" width="47.1640625" style="2127" customWidth="1"/>
    <col min="2317" max="2317" width="43.6640625" style="2127" customWidth="1"/>
    <col min="2318" max="2319" width="45" style="2127" customWidth="1"/>
    <col min="2320" max="2320" width="44.83203125" style="2127" customWidth="1"/>
    <col min="2321" max="2321" width="45" style="2127" customWidth="1"/>
    <col min="2322" max="2323" width="47.33203125" style="2127" customWidth="1"/>
    <col min="2324" max="2324" width="47.1640625" style="2127" customWidth="1"/>
    <col min="2325" max="2325" width="43.6640625" style="2127" customWidth="1"/>
    <col min="2326" max="2326" width="193.33203125" style="2127" customWidth="1"/>
    <col min="2327" max="2329" width="47.33203125" style="2127" customWidth="1"/>
    <col min="2330" max="2330" width="43.6640625" style="2127" customWidth="1"/>
    <col min="2331" max="2333" width="47.33203125" style="2127" customWidth="1"/>
    <col min="2334" max="2334" width="44" style="2127" customWidth="1"/>
    <col min="2335" max="2337" width="47.33203125" style="2127" customWidth="1"/>
    <col min="2338" max="2338" width="43.6640625" style="2127" customWidth="1"/>
    <col min="2339" max="2341" width="47.33203125" style="2127" customWidth="1"/>
    <col min="2342" max="2342" width="43.6640625" style="2127" customWidth="1"/>
    <col min="2343" max="2345" width="47.33203125" style="2127" customWidth="1"/>
    <col min="2346" max="2346" width="43.6640625" style="2127" customWidth="1"/>
    <col min="2347" max="2347" width="193.33203125" style="2127" customWidth="1"/>
    <col min="2348" max="2363" width="56" style="2127" customWidth="1"/>
    <col min="2364" max="2364" width="59" style="2127" customWidth="1"/>
    <col min="2365" max="2365" width="46" style="2127" customWidth="1"/>
    <col min="2366" max="2560" width="9.33203125" style="2127"/>
    <col min="2561" max="2561" width="193.33203125" style="2127" customWidth="1"/>
    <col min="2562" max="2562" width="47.1640625" style="2127" customWidth="1"/>
    <col min="2563" max="2563" width="47.33203125" style="2127" customWidth="1"/>
    <col min="2564" max="2564" width="47.1640625" style="2127" customWidth="1"/>
    <col min="2565" max="2565" width="43.6640625" style="2127" customWidth="1"/>
    <col min="2566" max="2567" width="47.33203125" style="2127" customWidth="1"/>
    <col min="2568" max="2568" width="47.1640625" style="2127" customWidth="1"/>
    <col min="2569" max="2569" width="43.6640625" style="2127" customWidth="1"/>
    <col min="2570" max="2571" width="47.33203125" style="2127" customWidth="1"/>
    <col min="2572" max="2572" width="47.1640625" style="2127" customWidth="1"/>
    <col min="2573" max="2573" width="43.6640625" style="2127" customWidth="1"/>
    <col min="2574" max="2575" width="45" style="2127" customWidth="1"/>
    <col min="2576" max="2576" width="44.83203125" style="2127" customWidth="1"/>
    <col min="2577" max="2577" width="45" style="2127" customWidth="1"/>
    <col min="2578" max="2579" width="47.33203125" style="2127" customWidth="1"/>
    <col min="2580" max="2580" width="47.1640625" style="2127" customWidth="1"/>
    <col min="2581" max="2581" width="43.6640625" style="2127" customWidth="1"/>
    <col min="2582" max="2582" width="193.33203125" style="2127" customWidth="1"/>
    <col min="2583" max="2585" width="47.33203125" style="2127" customWidth="1"/>
    <col min="2586" max="2586" width="43.6640625" style="2127" customWidth="1"/>
    <col min="2587" max="2589" width="47.33203125" style="2127" customWidth="1"/>
    <col min="2590" max="2590" width="44" style="2127" customWidth="1"/>
    <col min="2591" max="2593" width="47.33203125" style="2127" customWidth="1"/>
    <col min="2594" max="2594" width="43.6640625" style="2127" customWidth="1"/>
    <col min="2595" max="2597" width="47.33203125" style="2127" customWidth="1"/>
    <col min="2598" max="2598" width="43.6640625" style="2127" customWidth="1"/>
    <col min="2599" max="2601" width="47.33203125" style="2127" customWidth="1"/>
    <col min="2602" max="2602" width="43.6640625" style="2127" customWidth="1"/>
    <col min="2603" max="2603" width="193.33203125" style="2127" customWidth="1"/>
    <col min="2604" max="2619" width="56" style="2127" customWidth="1"/>
    <col min="2620" max="2620" width="59" style="2127" customWidth="1"/>
    <col min="2621" max="2621" width="46" style="2127" customWidth="1"/>
    <col min="2622" max="2816" width="9.33203125" style="2127"/>
    <col min="2817" max="2817" width="193.33203125" style="2127" customWidth="1"/>
    <col min="2818" max="2818" width="47.1640625" style="2127" customWidth="1"/>
    <col min="2819" max="2819" width="47.33203125" style="2127" customWidth="1"/>
    <col min="2820" max="2820" width="47.1640625" style="2127" customWidth="1"/>
    <col min="2821" max="2821" width="43.6640625" style="2127" customWidth="1"/>
    <col min="2822" max="2823" width="47.33203125" style="2127" customWidth="1"/>
    <col min="2824" max="2824" width="47.1640625" style="2127" customWidth="1"/>
    <col min="2825" max="2825" width="43.6640625" style="2127" customWidth="1"/>
    <col min="2826" max="2827" width="47.33203125" style="2127" customWidth="1"/>
    <col min="2828" max="2828" width="47.1640625" style="2127" customWidth="1"/>
    <col min="2829" max="2829" width="43.6640625" style="2127" customWidth="1"/>
    <col min="2830" max="2831" width="45" style="2127" customWidth="1"/>
    <col min="2832" max="2832" width="44.83203125" style="2127" customWidth="1"/>
    <col min="2833" max="2833" width="45" style="2127" customWidth="1"/>
    <col min="2834" max="2835" width="47.33203125" style="2127" customWidth="1"/>
    <col min="2836" max="2836" width="47.1640625" style="2127" customWidth="1"/>
    <col min="2837" max="2837" width="43.6640625" style="2127" customWidth="1"/>
    <col min="2838" max="2838" width="193.33203125" style="2127" customWidth="1"/>
    <col min="2839" max="2841" width="47.33203125" style="2127" customWidth="1"/>
    <col min="2842" max="2842" width="43.6640625" style="2127" customWidth="1"/>
    <col min="2843" max="2845" width="47.33203125" style="2127" customWidth="1"/>
    <col min="2846" max="2846" width="44" style="2127" customWidth="1"/>
    <col min="2847" max="2849" width="47.33203125" style="2127" customWidth="1"/>
    <col min="2850" max="2850" width="43.6640625" style="2127" customWidth="1"/>
    <col min="2851" max="2853" width="47.33203125" style="2127" customWidth="1"/>
    <col min="2854" max="2854" width="43.6640625" style="2127" customWidth="1"/>
    <col min="2855" max="2857" width="47.33203125" style="2127" customWidth="1"/>
    <col min="2858" max="2858" width="43.6640625" style="2127" customWidth="1"/>
    <col min="2859" max="2859" width="193.33203125" style="2127" customWidth="1"/>
    <col min="2860" max="2875" width="56" style="2127" customWidth="1"/>
    <col min="2876" max="2876" width="59" style="2127" customWidth="1"/>
    <col min="2877" max="2877" width="46" style="2127" customWidth="1"/>
    <col min="2878" max="3072" width="9.33203125" style="2127"/>
    <col min="3073" max="3073" width="193.33203125" style="2127" customWidth="1"/>
    <col min="3074" max="3074" width="47.1640625" style="2127" customWidth="1"/>
    <col min="3075" max="3075" width="47.33203125" style="2127" customWidth="1"/>
    <col min="3076" max="3076" width="47.1640625" style="2127" customWidth="1"/>
    <col min="3077" max="3077" width="43.6640625" style="2127" customWidth="1"/>
    <col min="3078" max="3079" width="47.33203125" style="2127" customWidth="1"/>
    <col min="3080" max="3080" width="47.1640625" style="2127" customWidth="1"/>
    <col min="3081" max="3081" width="43.6640625" style="2127" customWidth="1"/>
    <col min="3082" max="3083" width="47.33203125" style="2127" customWidth="1"/>
    <col min="3084" max="3084" width="47.1640625" style="2127" customWidth="1"/>
    <col min="3085" max="3085" width="43.6640625" style="2127" customWidth="1"/>
    <col min="3086" max="3087" width="45" style="2127" customWidth="1"/>
    <col min="3088" max="3088" width="44.83203125" style="2127" customWidth="1"/>
    <col min="3089" max="3089" width="45" style="2127" customWidth="1"/>
    <col min="3090" max="3091" width="47.33203125" style="2127" customWidth="1"/>
    <col min="3092" max="3092" width="47.1640625" style="2127" customWidth="1"/>
    <col min="3093" max="3093" width="43.6640625" style="2127" customWidth="1"/>
    <col min="3094" max="3094" width="193.33203125" style="2127" customWidth="1"/>
    <col min="3095" max="3097" width="47.33203125" style="2127" customWidth="1"/>
    <col min="3098" max="3098" width="43.6640625" style="2127" customWidth="1"/>
    <col min="3099" max="3101" width="47.33203125" style="2127" customWidth="1"/>
    <col min="3102" max="3102" width="44" style="2127" customWidth="1"/>
    <col min="3103" max="3105" width="47.33203125" style="2127" customWidth="1"/>
    <col min="3106" max="3106" width="43.6640625" style="2127" customWidth="1"/>
    <col min="3107" max="3109" width="47.33203125" style="2127" customWidth="1"/>
    <col min="3110" max="3110" width="43.6640625" style="2127" customWidth="1"/>
    <col min="3111" max="3113" width="47.33203125" style="2127" customWidth="1"/>
    <col min="3114" max="3114" width="43.6640625" style="2127" customWidth="1"/>
    <col min="3115" max="3115" width="193.33203125" style="2127" customWidth="1"/>
    <col min="3116" max="3131" width="56" style="2127" customWidth="1"/>
    <col min="3132" max="3132" width="59" style="2127" customWidth="1"/>
    <col min="3133" max="3133" width="46" style="2127" customWidth="1"/>
    <col min="3134" max="3328" width="9.33203125" style="2127"/>
    <col min="3329" max="3329" width="193.33203125" style="2127" customWidth="1"/>
    <col min="3330" max="3330" width="47.1640625" style="2127" customWidth="1"/>
    <col min="3331" max="3331" width="47.33203125" style="2127" customWidth="1"/>
    <col min="3332" max="3332" width="47.1640625" style="2127" customWidth="1"/>
    <col min="3333" max="3333" width="43.6640625" style="2127" customWidth="1"/>
    <col min="3334" max="3335" width="47.33203125" style="2127" customWidth="1"/>
    <col min="3336" max="3336" width="47.1640625" style="2127" customWidth="1"/>
    <col min="3337" max="3337" width="43.6640625" style="2127" customWidth="1"/>
    <col min="3338" max="3339" width="47.33203125" style="2127" customWidth="1"/>
    <col min="3340" max="3340" width="47.1640625" style="2127" customWidth="1"/>
    <col min="3341" max="3341" width="43.6640625" style="2127" customWidth="1"/>
    <col min="3342" max="3343" width="45" style="2127" customWidth="1"/>
    <col min="3344" max="3344" width="44.83203125" style="2127" customWidth="1"/>
    <col min="3345" max="3345" width="45" style="2127" customWidth="1"/>
    <col min="3346" max="3347" width="47.33203125" style="2127" customWidth="1"/>
    <col min="3348" max="3348" width="47.1640625" style="2127" customWidth="1"/>
    <col min="3349" max="3349" width="43.6640625" style="2127" customWidth="1"/>
    <col min="3350" max="3350" width="193.33203125" style="2127" customWidth="1"/>
    <col min="3351" max="3353" width="47.33203125" style="2127" customWidth="1"/>
    <col min="3354" max="3354" width="43.6640625" style="2127" customWidth="1"/>
    <col min="3355" max="3357" width="47.33203125" style="2127" customWidth="1"/>
    <col min="3358" max="3358" width="44" style="2127" customWidth="1"/>
    <col min="3359" max="3361" width="47.33203125" style="2127" customWidth="1"/>
    <col min="3362" max="3362" width="43.6640625" style="2127" customWidth="1"/>
    <col min="3363" max="3365" width="47.33203125" style="2127" customWidth="1"/>
    <col min="3366" max="3366" width="43.6640625" style="2127" customWidth="1"/>
    <col min="3367" max="3369" width="47.33203125" style="2127" customWidth="1"/>
    <col min="3370" max="3370" width="43.6640625" style="2127" customWidth="1"/>
    <col min="3371" max="3371" width="193.33203125" style="2127" customWidth="1"/>
    <col min="3372" max="3387" width="56" style="2127" customWidth="1"/>
    <col min="3388" max="3388" width="59" style="2127" customWidth="1"/>
    <col min="3389" max="3389" width="46" style="2127" customWidth="1"/>
    <col min="3390" max="3584" width="9.33203125" style="2127"/>
    <col min="3585" max="3585" width="193.33203125" style="2127" customWidth="1"/>
    <col min="3586" max="3586" width="47.1640625" style="2127" customWidth="1"/>
    <col min="3587" max="3587" width="47.33203125" style="2127" customWidth="1"/>
    <col min="3588" max="3588" width="47.1640625" style="2127" customWidth="1"/>
    <col min="3589" max="3589" width="43.6640625" style="2127" customWidth="1"/>
    <col min="3590" max="3591" width="47.33203125" style="2127" customWidth="1"/>
    <col min="3592" max="3592" width="47.1640625" style="2127" customWidth="1"/>
    <col min="3593" max="3593" width="43.6640625" style="2127" customWidth="1"/>
    <col min="3594" max="3595" width="47.33203125" style="2127" customWidth="1"/>
    <col min="3596" max="3596" width="47.1640625" style="2127" customWidth="1"/>
    <col min="3597" max="3597" width="43.6640625" style="2127" customWidth="1"/>
    <col min="3598" max="3599" width="45" style="2127" customWidth="1"/>
    <col min="3600" max="3600" width="44.83203125" style="2127" customWidth="1"/>
    <col min="3601" max="3601" width="45" style="2127" customWidth="1"/>
    <col min="3602" max="3603" width="47.33203125" style="2127" customWidth="1"/>
    <col min="3604" max="3604" width="47.1640625" style="2127" customWidth="1"/>
    <col min="3605" max="3605" width="43.6640625" style="2127" customWidth="1"/>
    <col min="3606" max="3606" width="193.33203125" style="2127" customWidth="1"/>
    <col min="3607" max="3609" width="47.33203125" style="2127" customWidth="1"/>
    <col min="3610" max="3610" width="43.6640625" style="2127" customWidth="1"/>
    <col min="3611" max="3613" width="47.33203125" style="2127" customWidth="1"/>
    <col min="3614" max="3614" width="44" style="2127" customWidth="1"/>
    <col min="3615" max="3617" width="47.33203125" style="2127" customWidth="1"/>
    <col min="3618" max="3618" width="43.6640625" style="2127" customWidth="1"/>
    <col min="3619" max="3621" width="47.33203125" style="2127" customWidth="1"/>
    <col min="3622" max="3622" width="43.6640625" style="2127" customWidth="1"/>
    <col min="3623" max="3625" width="47.33203125" style="2127" customWidth="1"/>
    <col min="3626" max="3626" width="43.6640625" style="2127" customWidth="1"/>
    <col min="3627" max="3627" width="193.33203125" style="2127" customWidth="1"/>
    <col min="3628" max="3643" width="56" style="2127" customWidth="1"/>
    <col min="3644" max="3644" width="59" style="2127" customWidth="1"/>
    <col min="3645" max="3645" width="46" style="2127" customWidth="1"/>
    <col min="3646" max="3840" width="9.33203125" style="2127"/>
    <col min="3841" max="3841" width="193.33203125" style="2127" customWidth="1"/>
    <col min="3842" max="3842" width="47.1640625" style="2127" customWidth="1"/>
    <col min="3843" max="3843" width="47.33203125" style="2127" customWidth="1"/>
    <col min="3844" max="3844" width="47.1640625" style="2127" customWidth="1"/>
    <col min="3845" max="3845" width="43.6640625" style="2127" customWidth="1"/>
    <col min="3846" max="3847" width="47.33203125" style="2127" customWidth="1"/>
    <col min="3848" max="3848" width="47.1640625" style="2127" customWidth="1"/>
    <col min="3849" max="3849" width="43.6640625" style="2127" customWidth="1"/>
    <col min="3850" max="3851" width="47.33203125" style="2127" customWidth="1"/>
    <col min="3852" max="3852" width="47.1640625" style="2127" customWidth="1"/>
    <col min="3853" max="3853" width="43.6640625" style="2127" customWidth="1"/>
    <col min="3854" max="3855" width="45" style="2127" customWidth="1"/>
    <col min="3856" max="3856" width="44.83203125" style="2127" customWidth="1"/>
    <col min="3857" max="3857" width="45" style="2127" customWidth="1"/>
    <col min="3858" max="3859" width="47.33203125" style="2127" customWidth="1"/>
    <col min="3860" max="3860" width="47.1640625" style="2127" customWidth="1"/>
    <col min="3861" max="3861" width="43.6640625" style="2127" customWidth="1"/>
    <col min="3862" max="3862" width="193.33203125" style="2127" customWidth="1"/>
    <col min="3863" max="3865" width="47.33203125" style="2127" customWidth="1"/>
    <col min="3866" max="3866" width="43.6640625" style="2127" customWidth="1"/>
    <col min="3867" max="3869" width="47.33203125" style="2127" customWidth="1"/>
    <col min="3870" max="3870" width="44" style="2127" customWidth="1"/>
    <col min="3871" max="3873" width="47.33203125" style="2127" customWidth="1"/>
    <col min="3874" max="3874" width="43.6640625" style="2127" customWidth="1"/>
    <col min="3875" max="3877" width="47.33203125" style="2127" customWidth="1"/>
    <col min="3878" max="3878" width="43.6640625" style="2127" customWidth="1"/>
    <col min="3879" max="3881" width="47.33203125" style="2127" customWidth="1"/>
    <col min="3882" max="3882" width="43.6640625" style="2127" customWidth="1"/>
    <col min="3883" max="3883" width="193.33203125" style="2127" customWidth="1"/>
    <col min="3884" max="3899" width="56" style="2127" customWidth="1"/>
    <col min="3900" max="3900" width="59" style="2127" customWidth="1"/>
    <col min="3901" max="3901" width="46" style="2127" customWidth="1"/>
    <col min="3902" max="4096" width="9.33203125" style="2127"/>
    <col min="4097" max="4097" width="193.33203125" style="2127" customWidth="1"/>
    <col min="4098" max="4098" width="47.1640625" style="2127" customWidth="1"/>
    <col min="4099" max="4099" width="47.33203125" style="2127" customWidth="1"/>
    <col min="4100" max="4100" width="47.1640625" style="2127" customWidth="1"/>
    <col min="4101" max="4101" width="43.6640625" style="2127" customWidth="1"/>
    <col min="4102" max="4103" width="47.33203125" style="2127" customWidth="1"/>
    <col min="4104" max="4104" width="47.1640625" style="2127" customWidth="1"/>
    <col min="4105" max="4105" width="43.6640625" style="2127" customWidth="1"/>
    <col min="4106" max="4107" width="47.33203125" style="2127" customWidth="1"/>
    <col min="4108" max="4108" width="47.1640625" style="2127" customWidth="1"/>
    <col min="4109" max="4109" width="43.6640625" style="2127" customWidth="1"/>
    <col min="4110" max="4111" width="45" style="2127" customWidth="1"/>
    <col min="4112" max="4112" width="44.83203125" style="2127" customWidth="1"/>
    <col min="4113" max="4113" width="45" style="2127" customWidth="1"/>
    <col min="4114" max="4115" width="47.33203125" style="2127" customWidth="1"/>
    <col min="4116" max="4116" width="47.1640625" style="2127" customWidth="1"/>
    <col min="4117" max="4117" width="43.6640625" style="2127" customWidth="1"/>
    <col min="4118" max="4118" width="193.33203125" style="2127" customWidth="1"/>
    <col min="4119" max="4121" width="47.33203125" style="2127" customWidth="1"/>
    <col min="4122" max="4122" width="43.6640625" style="2127" customWidth="1"/>
    <col min="4123" max="4125" width="47.33203125" style="2127" customWidth="1"/>
    <col min="4126" max="4126" width="44" style="2127" customWidth="1"/>
    <col min="4127" max="4129" width="47.33203125" style="2127" customWidth="1"/>
    <col min="4130" max="4130" width="43.6640625" style="2127" customWidth="1"/>
    <col min="4131" max="4133" width="47.33203125" style="2127" customWidth="1"/>
    <col min="4134" max="4134" width="43.6640625" style="2127" customWidth="1"/>
    <col min="4135" max="4137" width="47.33203125" style="2127" customWidth="1"/>
    <col min="4138" max="4138" width="43.6640625" style="2127" customWidth="1"/>
    <col min="4139" max="4139" width="193.33203125" style="2127" customWidth="1"/>
    <col min="4140" max="4155" width="56" style="2127" customWidth="1"/>
    <col min="4156" max="4156" width="59" style="2127" customWidth="1"/>
    <col min="4157" max="4157" width="46" style="2127" customWidth="1"/>
    <col min="4158" max="4352" width="9.33203125" style="2127"/>
    <col min="4353" max="4353" width="193.33203125" style="2127" customWidth="1"/>
    <col min="4354" max="4354" width="47.1640625" style="2127" customWidth="1"/>
    <col min="4355" max="4355" width="47.33203125" style="2127" customWidth="1"/>
    <col min="4356" max="4356" width="47.1640625" style="2127" customWidth="1"/>
    <col min="4357" max="4357" width="43.6640625" style="2127" customWidth="1"/>
    <col min="4358" max="4359" width="47.33203125" style="2127" customWidth="1"/>
    <col min="4360" max="4360" width="47.1640625" style="2127" customWidth="1"/>
    <col min="4361" max="4361" width="43.6640625" style="2127" customWidth="1"/>
    <col min="4362" max="4363" width="47.33203125" style="2127" customWidth="1"/>
    <col min="4364" max="4364" width="47.1640625" style="2127" customWidth="1"/>
    <col min="4365" max="4365" width="43.6640625" style="2127" customWidth="1"/>
    <col min="4366" max="4367" width="45" style="2127" customWidth="1"/>
    <col min="4368" max="4368" width="44.83203125" style="2127" customWidth="1"/>
    <col min="4369" max="4369" width="45" style="2127" customWidth="1"/>
    <col min="4370" max="4371" width="47.33203125" style="2127" customWidth="1"/>
    <col min="4372" max="4372" width="47.1640625" style="2127" customWidth="1"/>
    <col min="4373" max="4373" width="43.6640625" style="2127" customWidth="1"/>
    <col min="4374" max="4374" width="193.33203125" style="2127" customWidth="1"/>
    <col min="4375" max="4377" width="47.33203125" style="2127" customWidth="1"/>
    <col min="4378" max="4378" width="43.6640625" style="2127" customWidth="1"/>
    <col min="4379" max="4381" width="47.33203125" style="2127" customWidth="1"/>
    <col min="4382" max="4382" width="44" style="2127" customWidth="1"/>
    <col min="4383" max="4385" width="47.33203125" style="2127" customWidth="1"/>
    <col min="4386" max="4386" width="43.6640625" style="2127" customWidth="1"/>
    <col min="4387" max="4389" width="47.33203125" style="2127" customWidth="1"/>
    <col min="4390" max="4390" width="43.6640625" style="2127" customWidth="1"/>
    <col min="4391" max="4393" width="47.33203125" style="2127" customWidth="1"/>
    <col min="4394" max="4394" width="43.6640625" style="2127" customWidth="1"/>
    <col min="4395" max="4395" width="193.33203125" style="2127" customWidth="1"/>
    <col min="4396" max="4411" width="56" style="2127" customWidth="1"/>
    <col min="4412" max="4412" width="59" style="2127" customWidth="1"/>
    <col min="4413" max="4413" width="46" style="2127" customWidth="1"/>
    <col min="4414" max="4608" width="9.33203125" style="2127"/>
    <col min="4609" max="4609" width="193.33203125" style="2127" customWidth="1"/>
    <col min="4610" max="4610" width="47.1640625" style="2127" customWidth="1"/>
    <col min="4611" max="4611" width="47.33203125" style="2127" customWidth="1"/>
    <col min="4612" max="4612" width="47.1640625" style="2127" customWidth="1"/>
    <col min="4613" max="4613" width="43.6640625" style="2127" customWidth="1"/>
    <col min="4614" max="4615" width="47.33203125" style="2127" customWidth="1"/>
    <col min="4616" max="4616" width="47.1640625" style="2127" customWidth="1"/>
    <col min="4617" max="4617" width="43.6640625" style="2127" customWidth="1"/>
    <col min="4618" max="4619" width="47.33203125" style="2127" customWidth="1"/>
    <col min="4620" max="4620" width="47.1640625" style="2127" customWidth="1"/>
    <col min="4621" max="4621" width="43.6640625" style="2127" customWidth="1"/>
    <col min="4622" max="4623" width="45" style="2127" customWidth="1"/>
    <col min="4624" max="4624" width="44.83203125" style="2127" customWidth="1"/>
    <col min="4625" max="4625" width="45" style="2127" customWidth="1"/>
    <col min="4626" max="4627" width="47.33203125" style="2127" customWidth="1"/>
    <col min="4628" max="4628" width="47.1640625" style="2127" customWidth="1"/>
    <col min="4629" max="4629" width="43.6640625" style="2127" customWidth="1"/>
    <col min="4630" max="4630" width="193.33203125" style="2127" customWidth="1"/>
    <col min="4631" max="4633" width="47.33203125" style="2127" customWidth="1"/>
    <col min="4634" max="4634" width="43.6640625" style="2127" customWidth="1"/>
    <col min="4635" max="4637" width="47.33203125" style="2127" customWidth="1"/>
    <col min="4638" max="4638" width="44" style="2127" customWidth="1"/>
    <col min="4639" max="4641" width="47.33203125" style="2127" customWidth="1"/>
    <col min="4642" max="4642" width="43.6640625" style="2127" customWidth="1"/>
    <col min="4643" max="4645" width="47.33203125" style="2127" customWidth="1"/>
    <col min="4646" max="4646" width="43.6640625" style="2127" customWidth="1"/>
    <col min="4647" max="4649" width="47.33203125" style="2127" customWidth="1"/>
    <col min="4650" max="4650" width="43.6640625" style="2127" customWidth="1"/>
    <col min="4651" max="4651" width="193.33203125" style="2127" customWidth="1"/>
    <col min="4652" max="4667" width="56" style="2127" customWidth="1"/>
    <col min="4668" max="4668" width="59" style="2127" customWidth="1"/>
    <col min="4669" max="4669" width="46" style="2127" customWidth="1"/>
    <col min="4670" max="4864" width="9.33203125" style="2127"/>
    <col min="4865" max="4865" width="193.33203125" style="2127" customWidth="1"/>
    <col min="4866" max="4866" width="47.1640625" style="2127" customWidth="1"/>
    <col min="4867" max="4867" width="47.33203125" style="2127" customWidth="1"/>
    <col min="4868" max="4868" width="47.1640625" style="2127" customWidth="1"/>
    <col min="4869" max="4869" width="43.6640625" style="2127" customWidth="1"/>
    <col min="4870" max="4871" width="47.33203125" style="2127" customWidth="1"/>
    <col min="4872" max="4872" width="47.1640625" style="2127" customWidth="1"/>
    <col min="4873" max="4873" width="43.6640625" style="2127" customWidth="1"/>
    <col min="4874" max="4875" width="47.33203125" style="2127" customWidth="1"/>
    <col min="4876" max="4876" width="47.1640625" style="2127" customWidth="1"/>
    <col min="4877" max="4877" width="43.6640625" style="2127" customWidth="1"/>
    <col min="4878" max="4879" width="45" style="2127" customWidth="1"/>
    <col min="4880" max="4880" width="44.83203125" style="2127" customWidth="1"/>
    <col min="4881" max="4881" width="45" style="2127" customWidth="1"/>
    <col min="4882" max="4883" width="47.33203125" style="2127" customWidth="1"/>
    <col min="4884" max="4884" width="47.1640625" style="2127" customWidth="1"/>
    <col min="4885" max="4885" width="43.6640625" style="2127" customWidth="1"/>
    <col min="4886" max="4886" width="193.33203125" style="2127" customWidth="1"/>
    <col min="4887" max="4889" width="47.33203125" style="2127" customWidth="1"/>
    <col min="4890" max="4890" width="43.6640625" style="2127" customWidth="1"/>
    <col min="4891" max="4893" width="47.33203125" style="2127" customWidth="1"/>
    <col min="4894" max="4894" width="44" style="2127" customWidth="1"/>
    <col min="4895" max="4897" width="47.33203125" style="2127" customWidth="1"/>
    <col min="4898" max="4898" width="43.6640625" style="2127" customWidth="1"/>
    <col min="4899" max="4901" width="47.33203125" style="2127" customWidth="1"/>
    <col min="4902" max="4902" width="43.6640625" style="2127" customWidth="1"/>
    <col min="4903" max="4905" width="47.33203125" style="2127" customWidth="1"/>
    <col min="4906" max="4906" width="43.6640625" style="2127" customWidth="1"/>
    <col min="4907" max="4907" width="193.33203125" style="2127" customWidth="1"/>
    <col min="4908" max="4923" width="56" style="2127" customWidth="1"/>
    <col min="4924" max="4924" width="59" style="2127" customWidth="1"/>
    <col min="4925" max="4925" width="46" style="2127" customWidth="1"/>
    <col min="4926" max="5120" width="9.33203125" style="2127"/>
    <col min="5121" max="5121" width="193.33203125" style="2127" customWidth="1"/>
    <col min="5122" max="5122" width="47.1640625" style="2127" customWidth="1"/>
    <col min="5123" max="5123" width="47.33203125" style="2127" customWidth="1"/>
    <col min="5124" max="5124" width="47.1640625" style="2127" customWidth="1"/>
    <col min="5125" max="5125" width="43.6640625" style="2127" customWidth="1"/>
    <col min="5126" max="5127" width="47.33203125" style="2127" customWidth="1"/>
    <col min="5128" max="5128" width="47.1640625" style="2127" customWidth="1"/>
    <col min="5129" max="5129" width="43.6640625" style="2127" customWidth="1"/>
    <col min="5130" max="5131" width="47.33203125" style="2127" customWidth="1"/>
    <col min="5132" max="5132" width="47.1640625" style="2127" customWidth="1"/>
    <col min="5133" max="5133" width="43.6640625" style="2127" customWidth="1"/>
    <col min="5134" max="5135" width="45" style="2127" customWidth="1"/>
    <col min="5136" max="5136" width="44.83203125" style="2127" customWidth="1"/>
    <col min="5137" max="5137" width="45" style="2127" customWidth="1"/>
    <col min="5138" max="5139" width="47.33203125" style="2127" customWidth="1"/>
    <col min="5140" max="5140" width="47.1640625" style="2127" customWidth="1"/>
    <col min="5141" max="5141" width="43.6640625" style="2127" customWidth="1"/>
    <col min="5142" max="5142" width="193.33203125" style="2127" customWidth="1"/>
    <col min="5143" max="5145" width="47.33203125" style="2127" customWidth="1"/>
    <col min="5146" max="5146" width="43.6640625" style="2127" customWidth="1"/>
    <col min="5147" max="5149" width="47.33203125" style="2127" customWidth="1"/>
    <col min="5150" max="5150" width="44" style="2127" customWidth="1"/>
    <col min="5151" max="5153" width="47.33203125" style="2127" customWidth="1"/>
    <col min="5154" max="5154" width="43.6640625" style="2127" customWidth="1"/>
    <col min="5155" max="5157" width="47.33203125" style="2127" customWidth="1"/>
    <col min="5158" max="5158" width="43.6640625" style="2127" customWidth="1"/>
    <col min="5159" max="5161" width="47.33203125" style="2127" customWidth="1"/>
    <col min="5162" max="5162" width="43.6640625" style="2127" customWidth="1"/>
    <col min="5163" max="5163" width="193.33203125" style="2127" customWidth="1"/>
    <col min="5164" max="5179" width="56" style="2127" customWidth="1"/>
    <col min="5180" max="5180" width="59" style="2127" customWidth="1"/>
    <col min="5181" max="5181" width="46" style="2127" customWidth="1"/>
    <col min="5182" max="5376" width="9.33203125" style="2127"/>
    <col min="5377" max="5377" width="193.33203125" style="2127" customWidth="1"/>
    <col min="5378" max="5378" width="47.1640625" style="2127" customWidth="1"/>
    <col min="5379" max="5379" width="47.33203125" style="2127" customWidth="1"/>
    <col min="5380" max="5380" width="47.1640625" style="2127" customWidth="1"/>
    <col min="5381" max="5381" width="43.6640625" style="2127" customWidth="1"/>
    <col min="5382" max="5383" width="47.33203125" style="2127" customWidth="1"/>
    <col min="5384" max="5384" width="47.1640625" style="2127" customWidth="1"/>
    <col min="5385" max="5385" width="43.6640625" style="2127" customWidth="1"/>
    <col min="5386" max="5387" width="47.33203125" style="2127" customWidth="1"/>
    <col min="5388" max="5388" width="47.1640625" style="2127" customWidth="1"/>
    <col min="5389" max="5389" width="43.6640625" style="2127" customWidth="1"/>
    <col min="5390" max="5391" width="45" style="2127" customWidth="1"/>
    <col min="5392" max="5392" width="44.83203125" style="2127" customWidth="1"/>
    <col min="5393" max="5393" width="45" style="2127" customWidth="1"/>
    <col min="5394" max="5395" width="47.33203125" style="2127" customWidth="1"/>
    <col min="5396" max="5396" width="47.1640625" style="2127" customWidth="1"/>
    <col min="5397" max="5397" width="43.6640625" style="2127" customWidth="1"/>
    <col min="5398" max="5398" width="193.33203125" style="2127" customWidth="1"/>
    <col min="5399" max="5401" width="47.33203125" style="2127" customWidth="1"/>
    <col min="5402" max="5402" width="43.6640625" style="2127" customWidth="1"/>
    <col min="5403" max="5405" width="47.33203125" style="2127" customWidth="1"/>
    <col min="5406" max="5406" width="44" style="2127" customWidth="1"/>
    <col min="5407" max="5409" width="47.33203125" style="2127" customWidth="1"/>
    <col min="5410" max="5410" width="43.6640625" style="2127" customWidth="1"/>
    <col min="5411" max="5413" width="47.33203125" style="2127" customWidth="1"/>
    <col min="5414" max="5414" width="43.6640625" style="2127" customWidth="1"/>
    <col min="5415" max="5417" width="47.33203125" style="2127" customWidth="1"/>
    <col min="5418" max="5418" width="43.6640625" style="2127" customWidth="1"/>
    <col min="5419" max="5419" width="193.33203125" style="2127" customWidth="1"/>
    <col min="5420" max="5435" width="56" style="2127" customWidth="1"/>
    <col min="5436" max="5436" width="59" style="2127" customWidth="1"/>
    <col min="5437" max="5437" width="46" style="2127" customWidth="1"/>
    <col min="5438" max="5632" width="9.33203125" style="2127"/>
    <col min="5633" max="5633" width="193.33203125" style="2127" customWidth="1"/>
    <col min="5634" max="5634" width="47.1640625" style="2127" customWidth="1"/>
    <col min="5635" max="5635" width="47.33203125" style="2127" customWidth="1"/>
    <col min="5636" max="5636" width="47.1640625" style="2127" customWidth="1"/>
    <col min="5637" max="5637" width="43.6640625" style="2127" customWidth="1"/>
    <col min="5638" max="5639" width="47.33203125" style="2127" customWidth="1"/>
    <col min="5640" max="5640" width="47.1640625" style="2127" customWidth="1"/>
    <col min="5641" max="5641" width="43.6640625" style="2127" customWidth="1"/>
    <col min="5642" max="5643" width="47.33203125" style="2127" customWidth="1"/>
    <col min="5644" max="5644" width="47.1640625" style="2127" customWidth="1"/>
    <col min="5645" max="5645" width="43.6640625" style="2127" customWidth="1"/>
    <col min="5646" max="5647" width="45" style="2127" customWidth="1"/>
    <col min="5648" max="5648" width="44.83203125" style="2127" customWidth="1"/>
    <col min="5649" max="5649" width="45" style="2127" customWidth="1"/>
    <col min="5650" max="5651" width="47.33203125" style="2127" customWidth="1"/>
    <col min="5652" max="5652" width="47.1640625" style="2127" customWidth="1"/>
    <col min="5653" max="5653" width="43.6640625" style="2127" customWidth="1"/>
    <col min="5654" max="5654" width="193.33203125" style="2127" customWidth="1"/>
    <col min="5655" max="5657" width="47.33203125" style="2127" customWidth="1"/>
    <col min="5658" max="5658" width="43.6640625" style="2127" customWidth="1"/>
    <col min="5659" max="5661" width="47.33203125" style="2127" customWidth="1"/>
    <col min="5662" max="5662" width="44" style="2127" customWidth="1"/>
    <col min="5663" max="5665" width="47.33203125" style="2127" customWidth="1"/>
    <col min="5666" max="5666" width="43.6640625" style="2127" customWidth="1"/>
    <col min="5667" max="5669" width="47.33203125" style="2127" customWidth="1"/>
    <col min="5670" max="5670" width="43.6640625" style="2127" customWidth="1"/>
    <col min="5671" max="5673" width="47.33203125" style="2127" customWidth="1"/>
    <col min="5674" max="5674" width="43.6640625" style="2127" customWidth="1"/>
    <col min="5675" max="5675" width="193.33203125" style="2127" customWidth="1"/>
    <col min="5676" max="5691" width="56" style="2127" customWidth="1"/>
    <col min="5692" max="5692" width="59" style="2127" customWidth="1"/>
    <col min="5693" max="5693" width="46" style="2127" customWidth="1"/>
    <col min="5694" max="5888" width="9.33203125" style="2127"/>
    <col min="5889" max="5889" width="193.33203125" style="2127" customWidth="1"/>
    <col min="5890" max="5890" width="47.1640625" style="2127" customWidth="1"/>
    <col min="5891" max="5891" width="47.33203125" style="2127" customWidth="1"/>
    <col min="5892" max="5892" width="47.1640625" style="2127" customWidth="1"/>
    <col min="5893" max="5893" width="43.6640625" style="2127" customWidth="1"/>
    <col min="5894" max="5895" width="47.33203125" style="2127" customWidth="1"/>
    <col min="5896" max="5896" width="47.1640625" style="2127" customWidth="1"/>
    <col min="5897" max="5897" width="43.6640625" style="2127" customWidth="1"/>
    <col min="5898" max="5899" width="47.33203125" style="2127" customWidth="1"/>
    <col min="5900" max="5900" width="47.1640625" style="2127" customWidth="1"/>
    <col min="5901" max="5901" width="43.6640625" style="2127" customWidth="1"/>
    <col min="5902" max="5903" width="45" style="2127" customWidth="1"/>
    <col min="5904" max="5904" width="44.83203125" style="2127" customWidth="1"/>
    <col min="5905" max="5905" width="45" style="2127" customWidth="1"/>
    <col min="5906" max="5907" width="47.33203125" style="2127" customWidth="1"/>
    <col min="5908" max="5908" width="47.1640625" style="2127" customWidth="1"/>
    <col min="5909" max="5909" width="43.6640625" style="2127" customWidth="1"/>
    <col min="5910" max="5910" width="193.33203125" style="2127" customWidth="1"/>
    <col min="5911" max="5913" width="47.33203125" style="2127" customWidth="1"/>
    <col min="5914" max="5914" width="43.6640625" style="2127" customWidth="1"/>
    <col min="5915" max="5917" width="47.33203125" style="2127" customWidth="1"/>
    <col min="5918" max="5918" width="44" style="2127" customWidth="1"/>
    <col min="5919" max="5921" width="47.33203125" style="2127" customWidth="1"/>
    <col min="5922" max="5922" width="43.6640625" style="2127" customWidth="1"/>
    <col min="5923" max="5925" width="47.33203125" style="2127" customWidth="1"/>
    <col min="5926" max="5926" width="43.6640625" style="2127" customWidth="1"/>
    <col min="5927" max="5929" width="47.33203125" style="2127" customWidth="1"/>
    <col min="5930" max="5930" width="43.6640625" style="2127" customWidth="1"/>
    <col min="5931" max="5931" width="193.33203125" style="2127" customWidth="1"/>
    <col min="5932" max="5947" width="56" style="2127" customWidth="1"/>
    <col min="5948" max="5948" width="59" style="2127" customWidth="1"/>
    <col min="5949" max="5949" width="46" style="2127" customWidth="1"/>
    <col min="5950" max="6144" width="9.33203125" style="2127"/>
    <col min="6145" max="6145" width="193.33203125" style="2127" customWidth="1"/>
    <col min="6146" max="6146" width="47.1640625" style="2127" customWidth="1"/>
    <col min="6147" max="6147" width="47.33203125" style="2127" customWidth="1"/>
    <col min="6148" max="6148" width="47.1640625" style="2127" customWidth="1"/>
    <col min="6149" max="6149" width="43.6640625" style="2127" customWidth="1"/>
    <col min="6150" max="6151" width="47.33203125" style="2127" customWidth="1"/>
    <col min="6152" max="6152" width="47.1640625" style="2127" customWidth="1"/>
    <col min="6153" max="6153" width="43.6640625" style="2127" customWidth="1"/>
    <col min="6154" max="6155" width="47.33203125" style="2127" customWidth="1"/>
    <col min="6156" max="6156" width="47.1640625" style="2127" customWidth="1"/>
    <col min="6157" max="6157" width="43.6640625" style="2127" customWidth="1"/>
    <col min="6158" max="6159" width="45" style="2127" customWidth="1"/>
    <col min="6160" max="6160" width="44.83203125" style="2127" customWidth="1"/>
    <col min="6161" max="6161" width="45" style="2127" customWidth="1"/>
    <col min="6162" max="6163" width="47.33203125" style="2127" customWidth="1"/>
    <col min="6164" max="6164" width="47.1640625" style="2127" customWidth="1"/>
    <col min="6165" max="6165" width="43.6640625" style="2127" customWidth="1"/>
    <col min="6166" max="6166" width="193.33203125" style="2127" customWidth="1"/>
    <col min="6167" max="6169" width="47.33203125" style="2127" customWidth="1"/>
    <col min="6170" max="6170" width="43.6640625" style="2127" customWidth="1"/>
    <col min="6171" max="6173" width="47.33203125" style="2127" customWidth="1"/>
    <col min="6174" max="6174" width="44" style="2127" customWidth="1"/>
    <col min="6175" max="6177" width="47.33203125" style="2127" customWidth="1"/>
    <col min="6178" max="6178" width="43.6640625" style="2127" customWidth="1"/>
    <col min="6179" max="6181" width="47.33203125" style="2127" customWidth="1"/>
    <col min="6182" max="6182" width="43.6640625" style="2127" customWidth="1"/>
    <col min="6183" max="6185" width="47.33203125" style="2127" customWidth="1"/>
    <col min="6186" max="6186" width="43.6640625" style="2127" customWidth="1"/>
    <col min="6187" max="6187" width="193.33203125" style="2127" customWidth="1"/>
    <col min="6188" max="6203" width="56" style="2127" customWidth="1"/>
    <col min="6204" max="6204" width="59" style="2127" customWidth="1"/>
    <col min="6205" max="6205" width="46" style="2127" customWidth="1"/>
    <col min="6206" max="6400" width="9.33203125" style="2127"/>
    <col min="6401" max="6401" width="193.33203125" style="2127" customWidth="1"/>
    <col min="6402" max="6402" width="47.1640625" style="2127" customWidth="1"/>
    <col min="6403" max="6403" width="47.33203125" style="2127" customWidth="1"/>
    <col min="6404" max="6404" width="47.1640625" style="2127" customWidth="1"/>
    <col min="6405" max="6405" width="43.6640625" style="2127" customWidth="1"/>
    <col min="6406" max="6407" width="47.33203125" style="2127" customWidth="1"/>
    <col min="6408" max="6408" width="47.1640625" style="2127" customWidth="1"/>
    <col min="6409" max="6409" width="43.6640625" style="2127" customWidth="1"/>
    <col min="6410" max="6411" width="47.33203125" style="2127" customWidth="1"/>
    <col min="6412" max="6412" width="47.1640625" style="2127" customWidth="1"/>
    <col min="6413" max="6413" width="43.6640625" style="2127" customWidth="1"/>
    <col min="6414" max="6415" width="45" style="2127" customWidth="1"/>
    <col min="6416" max="6416" width="44.83203125" style="2127" customWidth="1"/>
    <col min="6417" max="6417" width="45" style="2127" customWidth="1"/>
    <col min="6418" max="6419" width="47.33203125" style="2127" customWidth="1"/>
    <col min="6420" max="6420" width="47.1640625" style="2127" customWidth="1"/>
    <col min="6421" max="6421" width="43.6640625" style="2127" customWidth="1"/>
    <col min="6422" max="6422" width="193.33203125" style="2127" customWidth="1"/>
    <col min="6423" max="6425" width="47.33203125" style="2127" customWidth="1"/>
    <col min="6426" max="6426" width="43.6640625" style="2127" customWidth="1"/>
    <col min="6427" max="6429" width="47.33203125" style="2127" customWidth="1"/>
    <col min="6430" max="6430" width="44" style="2127" customWidth="1"/>
    <col min="6431" max="6433" width="47.33203125" style="2127" customWidth="1"/>
    <col min="6434" max="6434" width="43.6640625" style="2127" customWidth="1"/>
    <col min="6435" max="6437" width="47.33203125" style="2127" customWidth="1"/>
    <col min="6438" max="6438" width="43.6640625" style="2127" customWidth="1"/>
    <col min="6439" max="6441" width="47.33203125" style="2127" customWidth="1"/>
    <col min="6442" max="6442" width="43.6640625" style="2127" customWidth="1"/>
    <col min="6443" max="6443" width="193.33203125" style="2127" customWidth="1"/>
    <col min="6444" max="6459" width="56" style="2127" customWidth="1"/>
    <col min="6460" max="6460" width="59" style="2127" customWidth="1"/>
    <col min="6461" max="6461" width="46" style="2127" customWidth="1"/>
    <col min="6462" max="6656" width="9.33203125" style="2127"/>
    <col min="6657" max="6657" width="193.33203125" style="2127" customWidth="1"/>
    <col min="6658" max="6658" width="47.1640625" style="2127" customWidth="1"/>
    <col min="6659" max="6659" width="47.33203125" style="2127" customWidth="1"/>
    <col min="6660" max="6660" width="47.1640625" style="2127" customWidth="1"/>
    <col min="6661" max="6661" width="43.6640625" style="2127" customWidth="1"/>
    <col min="6662" max="6663" width="47.33203125" style="2127" customWidth="1"/>
    <col min="6664" max="6664" width="47.1640625" style="2127" customWidth="1"/>
    <col min="6665" max="6665" width="43.6640625" style="2127" customWidth="1"/>
    <col min="6666" max="6667" width="47.33203125" style="2127" customWidth="1"/>
    <col min="6668" max="6668" width="47.1640625" style="2127" customWidth="1"/>
    <col min="6669" max="6669" width="43.6640625" style="2127" customWidth="1"/>
    <col min="6670" max="6671" width="45" style="2127" customWidth="1"/>
    <col min="6672" max="6672" width="44.83203125" style="2127" customWidth="1"/>
    <col min="6673" max="6673" width="45" style="2127" customWidth="1"/>
    <col min="6674" max="6675" width="47.33203125" style="2127" customWidth="1"/>
    <col min="6676" max="6676" width="47.1640625" style="2127" customWidth="1"/>
    <col min="6677" max="6677" width="43.6640625" style="2127" customWidth="1"/>
    <col min="6678" max="6678" width="193.33203125" style="2127" customWidth="1"/>
    <col min="6679" max="6681" width="47.33203125" style="2127" customWidth="1"/>
    <col min="6682" max="6682" width="43.6640625" style="2127" customWidth="1"/>
    <col min="6683" max="6685" width="47.33203125" style="2127" customWidth="1"/>
    <col min="6686" max="6686" width="44" style="2127" customWidth="1"/>
    <col min="6687" max="6689" width="47.33203125" style="2127" customWidth="1"/>
    <col min="6690" max="6690" width="43.6640625" style="2127" customWidth="1"/>
    <col min="6691" max="6693" width="47.33203125" style="2127" customWidth="1"/>
    <col min="6694" max="6694" width="43.6640625" style="2127" customWidth="1"/>
    <col min="6695" max="6697" width="47.33203125" style="2127" customWidth="1"/>
    <col min="6698" max="6698" width="43.6640625" style="2127" customWidth="1"/>
    <col min="6699" max="6699" width="193.33203125" style="2127" customWidth="1"/>
    <col min="6700" max="6715" width="56" style="2127" customWidth="1"/>
    <col min="6716" max="6716" width="59" style="2127" customWidth="1"/>
    <col min="6717" max="6717" width="46" style="2127" customWidth="1"/>
    <col min="6718" max="6912" width="9.33203125" style="2127"/>
    <col min="6913" max="6913" width="193.33203125" style="2127" customWidth="1"/>
    <col min="6914" max="6914" width="47.1640625" style="2127" customWidth="1"/>
    <col min="6915" max="6915" width="47.33203125" style="2127" customWidth="1"/>
    <col min="6916" max="6916" width="47.1640625" style="2127" customWidth="1"/>
    <col min="6917" max="6917" width="43.6640625" style="2127" customWidth="1"/>
    <col min="6918" max="6919" width="47.33203125" style="2127" customWidth="1"/>
    <col min="6920" max="6920" width="47.1640625" style="2127" customWidth="1"/>
    <col min="6921" max="6921" width="43.6640625" style="2127" customWidth="1"/>
    <col min="6922" max="6923" width="47.33203125" style="2127" customWidth="1"/>
    <col min="6924" max="6924" width="47.1640625" style="2127" customWidth="1"/>
    <col min="6925" max="6925" width="43.6640625" style="2127" customWidth="1"/>
    <col min="6926" max="6927" width="45" style="2127" customWidth="1"/>
    <col min="6928" max="6928" width="44.83203125" style="2127" customWidth="1"/>
    <col min="6929" max="6929" width="45" style="2127" customWidth="1"/>
    <col min="6930" max="6931" width="47.33203125" style="2127" customWidth="1"/>
    <col min="6932" max="6932" width="47.1640625" style="2127" customWidth="1"/>
    <col min="6933" max="6933" width="43.6640625" style="2127" customWidth="1"/>
    <col min="6934" max="6934" width="193.33203125" style="2127" customWidth="1"/>
    <col min="6935" max="6937" width="47.33203125" style="2127" customWidth="1"/>
    <col min="6938" max="6938" width="43.6640625" style="2127" customWidth="1"/>
    <col min="6939" max="6941" width="47.33203125" style="2127" customWidth="1"/>
    <col min="6942" max="6942" width="44" style="2127" customWidth="1"/>
    <col min="6943" max="6945" width="47.33203125" style="2127" customWidth="1"/>
    <col min="6946" max="6946" width="43.6640625" style="2127" customWidth="1"/>
    <col min="6947" max="6949" width="47.33203125" style="2127" customWidth="1"/>
    <col min="6950" max="6950" width="43.6640625" style="2127" customWidth="1"/>
    <col min="6951" max="6953" width="47.33203125" style="2127" customWidth="1"/>
    <col min="6954" max="6954" width="43.6640625" style="2127" customWidth="1"/>
    <col min="6955" max="6955" width="193.33203125" style="2127" customWidth="1"/>
    <col min="6956" max="6971" width="56" style="2127" customWidth="1"/>
    <col min="6972" max="6972" width="59" style="2127" customWidth="1"/>
    <col min="6973" max="6973" width="46" style="2127" customWidth="1"/>
    <col min="6974" max="7168" width="9.33203125" style="2127"/>
    <col min="7169" max="7169" width="193.33203125" style="2127" customWidth="1"/>
    <col min="7170" max="7170" width="47.1640625" style="2127" customWidth="1"/>
    <col min="7171" max="7171" width="47.33203125" style="2127" customWidth="1"/>
    <col min="7172" max="7172" width="47.1640625" style="2127" customWidth="1"/>
    <col min="7173" max="7173" width="43.6640625" style="2127" customWidth="1"/>
    <col min="7174" max="7175" width="47.33203125" style="2127" customWidth="1"/>
    <col min="7176" max="7176" width="47.1640625" style="2127" customWidth="1"/>
    <col min="7177" max="7177" width="43.6640625" style="2127" customWidth="1"/>
    <col min="7178" max="7179" width="47.33203125" style="2127" customWidth="1"/>
    <col min="7180" max="7180" width="47.1640625" style="2127" customWidth="1"/>
    <col min="7181" max="7181" width="43.6640625" style="2127" customWidth="1"/>
    <col min="7182" max="7183" width="45" style="2127" customWidth="1"/>
    <col min="7184" max="7184" width="44.83203125" style="2127" customWidth="1"/>
    <col min="7185" max="7185" width="45" style="2127" customWidth="1"/>
    <col min="7186" max="7187" width="47.33203125" style="2127" customWidth="1"/>
    <col min="7188" max="7188" width="47.1640625" style="2127" customWidth="1"/>
    <col min="7189" max="7189" width="43.6640625" style="2127" customWidth="1"/>
    <col min="7190" max="7190" width="193.33203125" style="2127" customWidth="1"/>
    <col min="7191" max="7193" width="47.33203125" style="2127" customWidth="1"/>
    <col min="7194" max="7194" width="43.6640625" style="2127" customWidth="1"/>
    <col min="7195" max="7197" width="47.33203125" style="2127" customWidth="1"/>
    <col min="7198" max="7198" width="44" style="2127" customWidth="1"/>
    <col min="7199" max="7201" width="47.33203125" style="2127" customWidth="1"/>
    <col min="7202" max="7202" width="43.6640625" style="2127" customWidth="1"/>
    <col min="7203" max="7205" width="47.33203125" style="2127" customWidth="1"/>
    <col min="7206" max="7206" width="43.6640625" style="2127" customWidth="1"/>
    <col min="7207" max="7209" width="47.33203125" style="2127" customWidth="1"/>
    <col min="7210" max="7210" width="43.6640625" style="2127" customWidth="1"/>
    <col min="7211" max="7211" width="193.33203125" style="2127" customWidth="1"/>
    <col min="7212" max="7227" width="56" style="2127" customWidth="1"/>
    <col min="7228" max="7228" width="59" style="2127" customWidth="1"/>
    <col min="7229" max="7229" width="46" style="2127" customWidth="1"/>
    <col min="7230" max="7424" width="9.33203125" style="2127"/>
    <col min="7425" max="7425" width="193.33203125" style="2127" customWidth="1"/>
    <col min="7426" max="7426" width="47.1640625" style="2127" customWidth="1"/>
    <col min="7427" max="7427" width="47.33203125" style="2127" customWidth="1"/>
    <col min="7428" max="7428" width="47.1640625" style="2127" customWidth="1"/>
    <col min="7429" max="7429" width="43.6640625" style="2127" customWidth="1"/>
    <col min="7430" max="7431" width="47.33203125" style="2127" customWidth="1"/>
    <col min="7432" max="7432" width="47.1640625" style="2127" customWidth="1"/>
    <col min="7433" max="7433" width="43.6640625" style="2127" customWidth="1"/>
    <col min="7434" max="7435" width="47.33203125" style="2127" customWidth="1"/>
    <col min="7436" max="7436" width="47.1640625" style="2127" customWidth="1"/>
    <col min="7437" max="7437" width="43.6640625" style="2127" customWidth="1"/>
    <col min="7438" max="7439" width="45" style="2127" customWidth="1"/>
    <col min="7440" max="7440" width="44.83203125" style="2127" customWidth="1"/>
    <col min="7441" max="7441" width="45" style="2127" customWidth="1"/>
    <col min="7442" max="7443" width="47.33203125" style="2127" customWidth="1"/>
    <col min="7444" max="7444" width="47.1640625" style="2127" customWidth="1"/>
    <col min="7445" max="7445" width="43.6640625" style="2127" customWidth="1"/>
    <col min="7446" max="7446" width="193.33203125" style="2127" customWidth="1"/>
    <col min="7447" max="7449" width="47.33203125" style="2127" customWidth="1"/>
    <col min="7450" max="7450" width="43.6640625" style="2127" customWidth="1"/>
    <col min="7451" max="7453" width="47.33203125" style="2127" customWidth="1"/>
    <col min="7454" max="7454" width="44" style="2127" customWidth="1"/>
    <col min="7455" max="7457" width="47.33203125" style="2127" customWidth="1"/>
    <col min="7458" max="7458" width="43.6640625" style="2127" customWidth="1"/>
    <col min="7459" max="7461" width="47.33203125" style="2127" customWidth="1"/>
    <col min="7462" max="7462" width="43.6640625" style="2127" customWidth="1"/>
    <col min="7463" max="7465" width="47.33203125" style="2127" customWidth="1"/>
    <col min="7466" max="7466" width="43.6640625" style="2127" customWidth="1"/>
    <col min="7467" max="7467" width="193.33203125" style="2127" customWidth="1"/>
    <col min="7468" max="7483" width="56" style="2127" customWidth="1"/>
    <col min="7484" max="7484" width="59" style="2127" customWidth="1"/>
    <col min="7485" max="7485" width="46" style="2127" customWidth="1"/>
    <col min="7486" max="7680" width="9.33203125" style="2127"/>
    <col min="7681" max="7681" width="193.33203125" style="2127" customWidth="1"/>
    <col min="7682" max="7682" width="47.1640625" style="2127" customWidth="1"/>
    <col min="7683" max="7683" width="47.33203125" style="2127" customWidth="1"/>
    <col min="7684" max="7684" width="47.1640625" style="2127" customWidth="1"/>
    <col min="7685" max="7685" width="43.6640625" style="2127" customWidth="1"/>
    <col min="7686" max="7687" width="47.33203125" style="2127" customWidth="1"/>
    <col min="7688" max="7688" width="47.1640625" style="2127" customWidth="1"/>
    <col min="7689" max="7689" width="43.6640625" style="2127" customWidth="1"/>
    <col min="7690" max="7691" width="47.33203125" style="2127" customWidth="1"/>
    <col min="7692" max="7692" width="47.1640625" style="2127" customWidth="1"/>
    <col min="7693" max="7693" width="43.6640625" style="2127" customWidth="1"/>
    <col min="7694" max="7695" width="45" style="2127" customWidth="1"/>
    <col min="7696" max="7696" width="44.83203125" style="2127" customWidth="1"/>
    <col min="7697" max="7697" width="45" style="2127" customWidth="1"/>
    <col min="7698" max="7699" width="47.33203125" style="2127" customWidth="1"/>
    <col min="7700" max="7700" width="47.1640625" style="2127" customWidth="1"/>
    <col min="7701" max="7701" width="43.6640625" style="2127" customWidth="1"/>
    <col min="7702" max="7702" width="193.33203125" style="2127" customWidth="1"/>
    <col min="7703" max="7705" width="47.33203125" style="2127" customWidth="1"/>
    <col min="7706" max="7706" width="43.6640625" style="2127" customWidth="1"/>
    <col min="7707" max="7709" width="47.33203125" style="2127" customWidth="1"/>
    <col min="7710" max="7710" width="44" style="2127" customWidth="1"/>
    <col min="7711" max="7713" width="47.33203125" style="2127" customWidth="1"/>
    <col min="7714" max="7714" width="43.6640625" style="2127" customWidth="1"/>
    <col min="7715" max="7717" width="47.33203125" style="2127" customWidth="1"/>
    <col min="7718" max="7718" width="43.6640625" style="2127" customWidth="1"/>
    <col min="7719" max="7721" width="47.33203125" style="2127" customWidth="1"/>
    <col min="7722" max="7722" width="43.6640625" style="2127" customWidth="1"/>
    <col min="7723" max="7723" width="193.33203125" style="2127" customWidth="1"/>
    <col min="7724" max="7739" width="56" style="2127" customWidth="1"/>
    <col min="7740" max="7740" width="59" style="2127" customWidth="1"/>
    <col min="7741" max="7741" width="46" style="2127" customWidth="1"/>
    <col min="7742" max="7936" width="9.33203125" style="2127"/>
    <col min="7937" max="7937" width="193.33203125" style="2127" customWidth="1"/>
    <col min="7938" max="7938" width="47.1640625" style="2127" customWidth="1"/>
    <col min="7939" max="7939" width="47.33203125" style="2127" customWidth="1"/>
    <col min="7940" max="7940" width="47.1640625" style="2127" customWidth="1"/>
    <col min="7941" max="7941" width="43.6640625" style="2127" customWidth="1"/>
    <col min="7942" max="7943" width="47.33203125" style="2127" customWidth="1"/>
    <col min="7944" max="7944" width="47.1640625" style="2127" customWidth="1"/>
    <col min="7945" max="7945" width="43.6640625" style="2127" customWidth="1"/>
    <col min="7946" max="7947" width="47.33203125" style="2127" customWidth="1"/>
    <col min="7948" max="7948" width="47.1640625" style="2127" customWidth="1"/>
    <col min="7949" max="7949" width="43.6640625" style="2127" customWidth="1"/>
    <col min="7950" max="7951" width="45" style="2127" customWidth="1"/>
    <col min="7952" max="7952" width="44.83203125" style="2127" customWidth="1"/>
    <col min="7953" max="7953" width="45" style="2127" customWidth="1"/>
    <col min="7954" max="7955" width="47.33203125" style="2127" customWidth="1"/>
    <col min="7956" max="7956" width="47.1640625" style="2127" customWidth="1"/>
    <col min="7957" max="7957" width="43.6640625" style="2127" customWidth="1"/>
    <col min="7958" max="7958" width="193.33203125" style="2127" customWidth="1"/>
    <col min="7959" max="7961" width="47.33203125" style="2127" customWidth="1"/>
    <col min="7962" max="7962" width="43.6640625" style="2127" customWidth="1"/>
    <col min="7963" max="7965" width="47.33203125" style="2127" customWidth="1"/>
    <col min="7966" max="7966" width="44" style="2127" customWidth="1"/>
    <col min="7967" max="7969" width="47.33203125" style="2127" customWidth="1"/>
    <col min="7970" max="7970" width="43.6640625" style="2127" customWidth="1"/>
    <col min="7971" max="7973" width="47.33203125" style="2127" customWidth="1"/>
    <col min="7974" max="7974" width="43.6640625" style="2127" customWidth="1"/>
    <col min="7975" max="7977" width="47.33203125" style="2127" customWidth="1"/>
    <col min="7978" max="7978" width="43.6640625" style="2127" customWidth="1"/>
    <col min="7979" max="7979" width="193.33203125" style="2127" customWidth="1"/>
    <col min="7980" max="7995" width="56" style="2127" customWidth="1"/>
    <col min="7996" max="7996" width="59" style="2127" customWidth="1"/>
    <col min="7997" max="7997" width="46" style="2127" customWidth="1"/>
    <col min="7998" max="8192" width="9.33203125" style="2127"/>
    <col min="8193" max="8193" width="193.33203125" style="2127" customWidth="1"/>
    <col min="8194" max="8194" width="47.1640625" style="2127" customWidth="1"/>
    <col min="8195" max="8195" width="47.33203125" style="2127" customWidth="1"/>
    <col min="8196" max="8196" width="47.1640625" style="2127" customWidth="1"/>
    <col min="8197" max="8197" width="43.6640625" style="2127" customWidth="1"/>
    <col min="8198" max="8199" width="47.33203125" style="2127" customWidth="1"/>
    <col min="8200" max="8200" width="47.1640625" style="2127" customWidth="1"/>
    <col min="8201" max="8201" width="43.6640625" style="2127" customWidth="1"/>
    <col min="8202" max="8203" width="47.33203125" style="2127" customWidth="1"/>
    <col min="8204" max="8204" width="47.1640625" style="2127" customWidth="1"/>
    <col min="8205" max="8205" width="43.6640625" style="2127" customWidth="1"/>
    <col min="8206" max="8207" width="45" style="2127" customWidth="1"/>
    <col min="8208" max="8208" width="44.83203125" style="2127" customWidth="1"/>
    <col min="8209" max="8209" width="45" style="2127" customWidth="1"/>
    <col min="8210" max="8211" width="47.33203125" style="2127" customWidth="1"/>
    <col min="8212" max="8212" width="47.1640625" style="2127" customWidth="1"/>
    <col min="8213" max="8213" width="43.6640625" style="2127" customWidth="1"/>
    <col min="8214" max="8214" width="193.33203125" style="2127" customWidth="1"/>
    <col min="8215" max="8217" width="47.33203125" style="2127" customWidth="1"/>
    <col min="8218" max="8218" width="43.6640625" style="2127" customWidth="1"/>
    <col min="8219" max="8221" width="47.33203125" style="2127" customWidth="1"/>
    <col min="8222" max="8222" width="44" style="2127" customWidth="1"/>
    <col min="8223" max="8225" width="47.33203125" style="2127" customWidth="1"/>
    <col min="8226" max="8226" width="43.6640625" style="2127" customWidth="1"/>
    <col min="8227" max="8229" width="47.33203125" style="2127" customWidth="1"/>
    <col min="8230" max="8230" width="43.6640625" style="2127" customWidth="1"/>
    <col min="8231" max="8233" width="47.33203125" style="2127" customWidth="1"/>
    <col min="8234" max="8234" width="43.6640625" style="2127" customWidth="1"/>
    <col min="8235" max="8235" width="193.33203125" style="2127" customWidth="1"/>
    <col min="8236" max="8251" width="56" style="2127" customWidth="1"/>
    <col min="8252" max="8252" width="59" style="2127" customWidth="1"/>
    <col min="8253" max="8253" width="46" style="2127" customWidth="1"/>
    <col min="8254" max="8448" width="9.33203125" style="2127"/>
    <col min="8449" max="8449" width="193.33203125" style="2127" customWidth="1"/>
    <col min="8450" max="8450" width="47.1640625" style="2127" customWidth="1"/>
    <col min="8451" max="8451" width="47.33203125" style="2127" customWidth="1"/>
    <col min="8452" max="8452" width="47.1640625" style="2127" customWidth="1"/>
    <col min="8453" max="8453" width="43.6640625" style="2127" customWidth="1"/>
    <col min="8454" max="8455" width="47.33203125" style="2127" customWidth="1"/>
    <col min="8456" max="8456" width="47.1640625" style="2127" customWidth="1"/>
    <col min="8457" max="8457" width="43.6640625" style="2127" customWidth="1"/>
    <col min="8458" max="8459" width="47.33203125" style="2127" customWidth="1"/>
    <col min="8460" max="8460" width="47.1640625" style="2127" customWidth="1"/>
    <col min="8461" max="8461" width="43.6640625" style="2127" customWidth="1"/>
    <col min="8462" max="8463" width="45" style="2127" customWidth="1"/>
    <col min="8464" max="8464" width="44.83203125" style="2127" customWidth="1"/>
    <col min="8465" max="8465" width="45" style="2127" customWidth="1"/>
    <col min="8466" max="8467" width="47.33203125" style="2127" customWidth="1"/>
    <col min="8468" max="8468" width="47.1640625" style="2127" customWidth="1"/>
    <col min="8469" max="8469" width="43.6640625" style="2127" customWidth="1"/>
    <col min="8470" max="8470" width="193.33203125" style="2127" customWidth="1"/>
    <col min="8471" max="8473" width="47.33203125" style="2127" customWidth="1"/>
    <col min="8474" max="8474" width="43.6640625" style="2127" customWidth="1"/>
    <col min="8475" max="8477" width="47.33203125" style="2127" customWidth="1"/>
    <col min="8478" max="8478" width="44" style="2127" customWidth="1"/>
    <col min="8479" max="8481" width="47.33203125" style="2127" customWidth="1"/>
    <col min="8482" max="8482" width="43.6640625" style="2127" customWidth="1"/>
    <col min="8483" max="8485" width="47.33203125" style="2127" customWidth="1"/>
    <col min="8486" max="8486" width="43.6640625" style="2127" customWidth="1"/>
    <col min="8487" max="8489" width="47.33203125" style="2127" customWidth="1"/>
    <col min="8490" max="8490" width="43.6640625" style="2127" customWidth="1"/>
    <col min="8491" max="8491" width="193.33203125" style="2127" customWidth="1"/>
    <col min="8492" max="8507" width="56" style="2127" customWidth="1"/>
    <col min="8508" max="8508" width="59" style="2127" customWidth="1"/>
    <col min="8509" max="8509" width="46" style="2127" customWidth="1"/>
    <col min="8510" max="8704" width="9.33203125" style="2127"/>
    <col min="8705" max="8705" width="193.33203125" style="2127" customWidth="1"/>
    <col min="8706" max="8706" width="47.1640625" style="2127" customWidth="1"/>
    <col min="8707" max="8707" width="47.33203125" style="2127" customWidth="1"/>
    <col min="8708" max="8708" width="47.1640625" style="2127" customWidth="1"/>
    <col min="8709" max="8709" width="43.6640625" style="2127" customWidth="1"/>
    <col min="8710" max="8711" width="47.33203125" style="2127" customWidth="1"/>
    <col min="8712" max="8712" width="47.1640625" style="2127" customWidth="1"/>
    <col min="8713" max="8713" width="43.6640625" style="2127" customWidth="1"/>
    <col min="8714" max="8715" width="47.33203125" style="2127" customWidth="1"/>
    <col min="8716" max="8716" width="47.1640625" style="2127" customWidth="1"/>
    <col min="8717" max="8717" width="43.6640625" style="2127" customWidth="1"/>
    <col min="8718" max="8719" width="45" style="2127" customWidth="1"/>
    <col min="8720" max="8720" width="44.83203125" style="2127" customWidth="1"/>
    <col min="8721" max="8721" width="45" style="2127" customWidth="1"/>
    <col min="8722" max="8723" width="47.33203125" style="2127" customWidth="1"/>
    <col min="8724" max="8724" width="47.1640625" style="2127" customWidth="1"/>
    <col min="8725" max="8725" width="43.6640625" style="2127" customWidth="1"/>
    <col min="8726" max="8726" width="193.33203125" style="2127" customWidth="1"/>
    <col min="8727" max="8729" width="47.33203125" style="2127" customWidth="1"/>
    <col min="8730" max="8730" width="43.6640625" style="2127" customWidth="1"/>
    <col min="8731" max="8733" width="47.33203125" style="2127" customWidth="1"/>
    <col min="8734" max="8734" width="44" style="2127" customWidth="1"/>
    <col min="8735" max="8737" width="47.33203125" style="2127" customWidth="1"/>
    <col min="8738" max="8738" width="43.6640625" style="2127" customWidth="1"/>
    <col min="8739" max="8741" width="47.33203125" style="2127" customWidth="1"/>
    <col min="8742" max="8742" width="43.6640625" style="2127" customWidth="1"/>
    <col min="8743" max="8745" width="47.33203125" style="2127" customWidth="1"/>
    <col min="8746" max="8746" width="43.6640625" style="2127" customWidth="1"/>
    <col min="8747" max="8747" width="193.33203125" style="2127" customWidth="1"/>
    <col min="8748" max="8763" width="56" style="2127" customWidth="1"/>
    <col min="8764" max="8764" width="59" style="2127" customWidth="1"/>
    <col min="8765" max="8765" width="46" style="2127" customWidth="1"/>
    <col min="8766" max="8960" width="9.33203125" style="2127"/>
    <col min="8961" max="8961" width="193.33203125" style="2127" customWidth="1"/>
    <col min="8962" max="8962" width="47.1640625" style="2127" customWidth="1"/>
    <col min="8963" max="8963" width="47.33203125" style="2127" customWidth="1"/>
    <col min="8964" max="8964" width="47.1640625" style="2127" customWidth="1"/>
    <col min="8965" max="8965" width="43.6640625" style="2127" customWidth="1"/>
    <col min="8966" max="8967" width="47.33203125" style="2127" customWidth="1"/>
    <col min="8968" max="8968" width="47.1640625" style="2127" customWidth="1"/>
    <col min="8969" max="8969" width="43.6640625" style="2127" customWidth="1"/>
    <col min="8970" max="8971" width="47.33203125" style="2127" customWidth="1"/>
    <col min="8972" max="8972" width="47.1640625" style="2127" customWidth="1"/>
    <col min="8973" max="8973" width="43.6640625" style="2127" customWidth="1"/>
    <col min="8974" max="8975" width="45" style="2127" customWidth="1"/>
    <col min="8976" max="8976" width="44.83203125" style="2127" customWidth="1"/>
    <col min="8977" max="8977" width="45" style="2127" customWidth="1"/>
    <col min="8978" max="8979" width="47.33203125" style="2127" customWidth="1"/>
    <col min="8980" max="8980" width="47.1640625" style="2127" customWidth="1"/>
    <col min="8981" max="8981" width="43.6640625" style="2127" customWidth="1"/>
    <col min="8982" max="8982" width="193.33203125" style="2127" customWidth="1"/>
    <col min="8983" max="8985" width="47.33203125" style="2127" customWidth="1"/>
    <col min="8986" max="8986" width="43.6640625" style="2127" customWidth="1"/>
    <col min="8987" max="8989" width="47.33203125" style="2127" customWidth="1"/>
    <col min="8990" max="8990" width="44" style="2127" customWidth="1"/>
    <col min="8991" max="8993" width="47.33203125" style="2127" customWidth="1"/>
    <col min="8994" max="8994" width="43.6640625" style="2127" customWidth="1"/>
    <col min="8995" max="8997" width="47.33203125" style="2127" customWidth="1"/>
    <col min="8998" max="8998" width="43.6640625" style="2127" customWidth="1"/>
    <col min="8999" max="9001" width="47.33203125" style="2127" customWidth="1"/>
    <col min="9002" max="9002" width="43.6640625" style="2127" customWidth="1"/>
    <col min="9003" max="9003" width="193.33203125" style="2127" customWidth="1"/>
    <col min="9004" max="9019" width="56" style="2127" customWidth="1"/>
    <col min="9020" max="9020" width="59" style="2127" customWidth="1"/>
    <col min="9021" max="9021" width="46" style="2127" customWidth="1"/>
    <col min="9022" max="9216" width="9.33203125" style="2127"/>
    <col min="9217" max="9217" width="193.33203125" style="2127" customWidth="1"/>
    <col min="9218" max="9218" width="47.1640625" style="2127" customWidth="1"/>
    <col min="9219" max="9219" width="47.33203125" style="2127" customWidth="1"/>
    <col min="9220" max="9220" width="47.1640625" style="2127" customWidth="1"/>
    <col min="9221" max="9221" width="43.6640625" style="2127" customWidth="1"/>
    <col min="9222" max="9223" width="47.33203125" style="2127" customWidth="1"/>
    <col min="9224" max="9224" width="47.1640625" style="2127" customWidth="1"/>
    <col min="9225" max="9225" width="43.6640625" style="2127" customWidth="1"/>
    <col min="9226" max="9227" width="47.33203125" style="2127" customWidth="1"/>
    <col min="9228" max="9228" width="47.1640625" style="2127" customWidth="1"/>
    <col min="9229" max="9229" width="43.6640625" style="2127" customWidth="1"/>
    <col min="9230" max="9231" width="45" style="2127" customWidth="1"/>
    <col min="9232" max="9232" width="44.83203125" style="2127" customWidth="1"/>
    <col min="9233" max="9233" width="45" style="2127" customWidth="1"/>
    <col min="9234" max="9235" width="47.33203125" style="2127" customWidth="1"/>
    <col min="9236" max="9236" width="47.1640625" style="2127" customWidth="1"/>
    <col min="9237" max="9237" width="43.6640625" style="2127" customWidth="1"/>
    <col min="9238" max="9238" width="193.33203125" style="2127" customWidth="1"/>
    <col min="9239" max="9241" width="47.33203125" style="2127" customWidth="1"/>
    <col min="9242" max="9242" width="43.6640625" style="2127" customWidth="1"/>
    <col min="9243" max="9245" width="47.33203125" style="2127" customWidth="1"/>
    <col min="9246" max="9246" width="44" style="2127" customWidth="1"/>
    <col min="9247" max="9249" width="47.33203125" style="2127" customWidth="1"/>
    <col min="9250" max="9250" width="43.6640625" style="2127" customWidth="1"/>
    <col min="9251" max="9253" width="47.33203125" style="2127" customWidth="1"/>
    <col min="9254" max="9254" width="43.6640625" style="2127" customWidth="1"/>
    <col min="9255" max="9257" width="47.33203125" style="2127" customWidth="1"/>
    <col min="9258" max="9258" width="43.6640625" style="2127" customWidth="1"/>
    <col min="9259" max="9259" width="193.33203125" style="2127" customWidth="1"/>
    <col min="9260" max="9275" width="56" style="2127" customWidth="1"/>
    <col min="9276" max="9276" width="59" style="2127" customWidth="1"/>
    <col min="9277" max="9277" width="46" style="2127" customWidth="1"/>
    <col min="9278" max="9472" width="9.33203125" style="2127"/>
    <col min="9473" max="9473" width="193.33203125" style="2127" customWidth="1"/>
    <col min="9474" max="9474" width="47.1640625" style="2127" customWidth="1"/>
    <col min="9475" max="9475" width="47.33203125" style="2127" customWidth="1"/>
    <col min="9476" max="9476" width="47.1640625" style="2127" customWidth="1"/>
    <col min="9477" max="9477" width="43.6640625" style="2127" customWidth="1"/>
    <col min="9478" max="9479" width="47.33203125" style="2127" customWidth="1"/>
    <col min="9480" max="9480" width="47.1640625" style="2127" customWidth="1"/>
    <col min="9481" max="9481" width="43.6640625" style="2127" customWidth="1"/>
    <col min="9482" max="9483" width="47.33203125" style="2127" customWidth="1"/>
    <col min="9484" max="9484" width="47.1640625" style="2127" customWidth="1"/>
    <col min="9485" max="9485" width="43.6640625" style="2127" customWidth="1"/>
    <col min="9486" max="9487" width="45" style="2127" customWidth="1"/>
    <col min="9488" max="9488" width="44.83203125" style="2127" customWidth="1"/>
    <col min="9489" max="9489" width="45" style="2127" customWidth="1"/>
    <col min="9490" max="9491" width="47.33203125" style="2127" customWidth="1"/>
    <col min="9492" max="9492" width="47.1640625" style="2127" customWidth="1"/>
    <col min="9493" max="9493" width="43.6640625" style="2127" customWidth="1"/>
    <col min="9494" max="9494" width="193.33203125" style="2127" customWidth="1"/>
    <col min="9495" max="9497" width="47.33203125" style="2127" customWidth="1"/>
    <col min="9498" max="9498" width="43.6640625" style="2127" customWidth="1"/>
    <col min="9499" max="9501" width="47.33203125" style="2127" customWidth="1"/>
    <col min="9502" max="9502" width="44" style="2127" customWidth="1"/>
    <col min="9503" max="9505" width="47.33203125" style="2127" customWidth="1"/>
    <col min="9506" max="9506" width="43.6640625" style="2127" customWidth="1"/>
    <col min="9507" max="9509" width="47.33203125" style="2127" customWidth="1"/>
    <col min="9510" max="9510" width="43.6640625" style="2127" customWidth="1"/>
    <col min="9511" max="9513" width="47.33203125" style="2127" customWidth="1"/>
    <col min="9514" max="9514" width="43.6640625" style="2127" customWidth="1"/>
    <col min="9515" max="9515" width="193.33203125" style="2127" customWidth="1"/>
    <col min="9516" max="9531" width="56" style="2127" customWidth="1"/>
    <col min="9532" max="9532" width="59" style="2127" customWidth="1"/>
    <col min="9533" max="9533" width="46" style="2127" customWidth="1"/>
    <col min="9534" max="9728" width="9.33203125" style="2127"/>
    <col min="9729" max="9729" width="193.33203125" style="2127" customWidth="1"/>
    <col min="9730" max="9730" width="47.1640625" style="2127" customWidth="1"/>
    <col min="9731" max="9731" width="47.33203125" style="2127" customWidth="1"/>
    <col min="9732" max="9732" width="47.1640625" style="2127" customWidth="1"/>
    <col min="9733" max="9733" width="43.6640625" style="2127" customWidth="1"/>
    <col min="9734" max="9735" width="47.33203125" style="2127" customWidth="1"/>
    <col min="9736" max="9736" width="47.1640625" style="2127" customWidth="1"/>
    <col min="9737" max="9737" width="43.6640625" style="2127" customWidth="1"/>
    <col min="9738" max="9739" width="47.33203125" style="2127" customWidth="1"/>
    <col min="9740" max="9740" width="47.1640625" style="2127" customWidth="1"/>
    <col min="9741" max="9741" width="43.6640625" style="2127" customWidth="1"/>
    <col min="9742" max="9743" width="45" style="2127" customWidth="1"/>
    <col min="9744" max="9744" width="44.83203125" style="2127" customWidth="1"/>
    <col min="9745" max="9745" width="45" style="2127" customWidth="1"/>
    <col min="9746" max="9747" width="47.33203125" style="2127" customWidth="1"/>
    <col min="9748" max="9748" width="47.1640625" style="2127" customWidth="1"/>
    <col min="9749" max="9749" width="43.6640625" style="2127" customWidth="1"/>
    <col min="9750" max="9750" width="193.33203125" style="2127" customWidth="1"/>
    <col min="9751" max="9753" width="47.33203125" style="2127" customWidth="1"/>
    <col min="9754" max="9754" width="43.6640625" style="2127" customWidth="1"/>
    <col min="9755" max="9757" width="47.33203125" style="2127" customWidth="1"/>
    <col min="9758" max="9758" width="44" style="2127" customWidth="1"/>
    <col min="9759" max="9761" width="47.33203125" style="2127" customWidth="1"/>
    <col min="9762" max="9762" width="43.6640625" style="2127" customWidth="1"/>
    <col min="9763" max="9765" width="47.33203125" style="2127" customWidth="1"/>
    <col min="9766" max="9766" width="43.6640625" style="2127" customWidth="1"/>
    <col min="9767" max="9769" width="47.33203125" style="2127" customWidth="1"/>
    <col min="9770" max="9770" width="43.6640625" style="2127" customWidth="1"/>
    <col min="9771" max="9771" width="193.33203125" style="2127" customWidth="1"/>
    <col min="9772" max="9787" width="56" style="2127" customWidth="1"/>
    <col min="9788" max="9788" width="59" style="2127" customWidth="1"/>
    <col min="9789" max="9789" width="46" style="2127" customWidth="1"/>
    <col min="9790" max="9984" width="9.33203125" style="2127"/>
    <col min="9985" max="9985" width="193.33203125" style="2127" customWidth="1"/>
    <col min="9986" max="9986" width="47.1640625" style="2127" customWidth="1"/>
    <col min="9987" max="9987" width="47.33203125" style="2127" customWidth="1"/>
    <col min="9988" max="9988" width="47.1640625" style="2127" customWidth="1"/>
    <col min="9989" max="9989" width="43.6640625" style="2127" customWidth="1"/>
    <col min="9990" max="9991" width="47.33203125" style="2127" customWidth="1"/>
    <col min="9992" max="9992" width="47.1640625" style="2127" customWidth="1"/>
    <col min="9993" max="9993" width="43.6640625" style="2127" customWidth="1"/>
    <col min="9994" max="9995" width="47.33203125" style="2127" customWidth="1"/>
    <col min="9996" max="9996" width="47.1640625" style="2127" customWidth="1"/>
    <col min="9997" max="9997" width="43.6640625" style="2127" customWidth="1"/>
    <col min="9998" max="9999" width="45" style="2127" customWidth="1"/>
    <col min="10000" max="10000" width="44.83203125" style="2127" customWidth="1"/>
    <col min="10001" max="10001" width="45" style="2127" customWidth="1"/>
    <col min="10002" max="10003" width="47.33203125" style="2127" customWidth="1"/>
    <col min="10004" max="10004" width="47.1640625" style="2127" customWidth="1"/>
    <col min="10005" max="10005" width="43.6640625" style="2127" customWidth="1"/>
    <col min="10006" max="10006" width="193.33203125" style="2127" customWidth="1"/>
    <col min="10007" max="10009" width="47.33203125" style="2127" customWidth="1"/>
    <col min="10010" max="10010" width="43.6640625" style="2127" customWidth="1"/>
    <col min="10011" max="10013" width="47.33203125" style="2127" customWidth="1"/>
    <col min="10014" max="10014" width="44" style="2127" customWidth="1"/>
    <col min="10015" max="10017" width="47.33203125" style="2127" customWidth="1"/>
    <col min="10018" max="10018" width="43.6640625" style="2127" customWidth="1"/>
    <col min="10019" max="10021" width="47.33203125" style="2127" customWidth="1"/>
    <col min="10022" max="10022" width="43.6640625" style="2127" customWidth="1"/>
    <col min="10023" max="10025" width="47.33203125" style="2127" customWidth="1"/>
    <col min="10026" max="10026" width="43.6640625" style="2127" customWidth="1"/>
    <col min="10027" max="10027" width="193.33203125" style="2127" customWidth="1"/>
    <col min="10028" max="10043" width="56" style="2127" customWidth="1"/>
    <col min="10044" max="10044" width="59" style="2127" customWidth="1"/>
    <col min="10045" max="10045" width="46" style="2127" customWidth="1"/>
    <col min="10046" max="10240" width="9.33203125" style="2127"/>
    <col min="10241" max="10241" width="193.33203125" style="2127" customWidth="1"/>
    <col min="10242" max="10242" width="47.1640625" style="2127" customWidth="1"/>
    <col min="10243" max="10243" width="47.33203125" style="2127" customWidth="1"/>
    <col min="10244" max="10244" width="47.1640625" style="2127" customWidth="1"/>
    <col min="10245" max="10245" width="43.6640625" style="2127" customWidth="1"/>
    <col min="10246" max="10247" width="47.33203125" style="2127" customWidth="1"/>
    <col min="10248" max="10248" width="47.1640625" style="2127" customWidth="1"/>
    <col min="10249" max="10249" width="43.6640625" style="2127" customWidth="1"/>
    <col min="10250" max="10251" width="47.33203125" style="2127" customWidth="1"/>
    <col min="10252" max="10252" width="47.1640625" style="2127" customWidth="1"/>
    <col min="10253" max="10253" width="43.6640625" style="2127" customWidth="1"/>
    <col min="10254" max="10255" width="45" style="2127" customWidth="1"/>
    <col min="10256" max="10256" width="44.83203125" style="2127" customWidth="1"/>
    <col min="10257" max="10257" width="45" style="2127" customWidth="1"/>
    <col min="10258" max="10259" width="47.33203125" style="2127" customWidth="1"/>
    <col min="10260" max="10260" width="47.1640625" style="2127" customWidth="1"/>
    <col min="10261" max="10261" width="43.6640625" style="2127" customWidth="1"/>
    <col min="10262" max="10262" width="193.33203125" style="2127" customWidth="1"/>
    <col min="10263" max="10265" width="47.33203125" style="2127" customWidth="1"/>
    <col min="10266" max="10266" width="43.6640625" style="2127" customWidth="1"/>
    <col min="10267" max="10269" width="47.33203125" style="2127" customWidth="1"/>
    <col min="10270" max="10270" width="44" style="2127" customWidth="1"/>
    <col min="10271" max="10273" width="47.33203125" style="2127" customWidth="1"/>
    <col min="10274" max="10274" width="43.6640625" style="2127" customWidth="1"/>
    <col min="10275" max="10277" width="47.33203125" style="2127" customWidth="1"/>
    <col min="10278" max="10278" width="43.6640625" style="2127" customWidth="1"/>
    <col min="10279" max="10281" width="47.33203125" style="2127" customWidth="1"/>
    <col min="10282" max="10282" width="43.6640625" style="2127" customWidth="1"/>
    <col min="10283" max="10283" width="193.33203125" style="2127" customWidth="1"/>
    <col min="10284" max="10299" width="56" style="2127" customWidth="1"/>
    <col min="10300" max="10300" width="59" style="2127" customWidth="1"/>
    <col min="10301" max="10301" width="46" style="2127" customWidth="1"/>
    <col min="10302" max="10496" width="9.33203125" style="2127"/>
    <col min="10497" max="10497" width="193.33203125" style="2127" customWidth="1"/>
    <col min="10498" max="10498" width="47.1640625" style="2127" customWidth="1"/>
    <col min="10499" max="10499" width="47.33203125" style="2127" customWidth="1"/>
    <col min="10500" max="10500" width="47.1640625" style="2127" customWidth="1"/>
    <col min="10501" max="10501" width="43.6640625" style="2127" customWidth="1"/>
    <col min="10502" max="10503" width="47.33203125" style="2127" customWidth="1"/>
    <col min="10504" max="10504" width="47.1640625" style="2127" customWidth="1"/>
    <col min="10505" max="10505" width="43.6640625" style="2127" customWidth="1"/>
    <col min="10506" max="10507" width="47.33203125" style="2127" customWidth="1"/>
    <col min="10508" max="10508" width="47.1640625" style="2127" customWidth="1"/>
    <col min="10509" max="10509" width="43.6640625" style="2127" customWidth="1"/>
    <col min="10510" max="10511" width="45" style="2127" customWidth="1"/>
    <col min="10512" max="10512" width="44.83203125" style="2127" customWidth="1"/>
    <col min="10513" max="10513" width="45" style="2127" customWidth="1"/>
    <col min="10514" max="10515" width="47.33203125" style="2127" customWidth="1"/>
    <col min="10516" max="10516" width="47.1640625" style="2127" customWidth="1"/>
    <col min="10517" max="10517" width="43.6640625" style="2127" customWidth="1"/>
    <col min="10518" max="10518" width="193.33203125" style="2127" customWidth="1"/>
    <col min="10519" max="10521" width="47.33203125" style="2127" customWidth="1"/>
    <col min="10522" max="10522" width="43.6640625" style="2127" customWidth="1"/>
    <col min="10523" max="10525" width="47.33203125" style="2127" customWidth="1"/>
    <col min="10526" max="10526" width="44" style="2127" customWidth="1"/>
    <col min="10527" max="10529" width="47.33203125" style="2127" customWidth="1"/>
    <col min="10530" max="10530" width="43.6640625" style="2127" customWidth="1"/>
    <col min="10531" max="10533" width="47.33203125" style="2127" customWidth="1"/>
    <col min="10534" max="10534" width="43.6640625" style="2127" customWidth="1"/>
    <col min="10535" max="10537" width="47.33203125" style="2127" customWidth="1"/>
    <col min="10538" max="10538" width="43.6640625" style="2127" customWidth="1"/>
    <col min="10539" max="10539" width="193.33203125" style="2127" customWidth="1"/>
    <col min="10540" max="10555" width="56" style="2127" customWidth="1"/>
    <col min="10556" max="10556" width="59" style="2127" customWidth="1"/>
    <col min="10557" max="10557" width="46" style="2127" customWidth="1"/>
    <col min="10558" max="10752" width="9.33203125" style="2127"/>
    <col min="10753" max="10753" width="193.33203125" style="2127" customWidth="1"/>
    <col min="10754" max="10754" width="47.1640625" style="2127" customWidth="1"/>
    <col min="10755" max="10755" width="47.33203125" style="2127" customWidth="1"/>
    <col min="10756" max="10756" width="47.1640625" style="2127" customWidth="1"/>
    <col min="10757" max="10757" width="43.6640625" style="2127" customWidth="1"/>
    <col min="10758" max="10759" width="47.33203125" style="2127" customWidth="1"/>
    <col min="10760" max="10760" width="47.1640625" style="2127" customWidth="1"/>
    <col min="10761" max="10761" width="43.6640625" style="2127" customWidth="1"/>
    <col min="10762" max="10763" width="47.33203125" style="2127" customWidth="1"/>
    <col min="10764" max="10764" width="47.1640625" style="2127" customWidth="1"/>
    <col min="10765" max="10765" width="43.6640625" style="2127" customWidth="1"/>
    <col min="10766" max="10767" width="45" style="2127" customWidth="1"/>
    <col min="10768" max="10768" width="44.83203125" style="2127" customWidth="1"/>
    <col min="10769" max="10769" width="45" style="2127" customWidth="1"/>
    <col min="10770" max="10771" width="47.33203125" style="2127" customWidth="1"/>
    <col min="10772" max="10772" width="47.1640625" style="2127" customWidth="1"/>
    <col min="10773" max="10773" width="43.6640625" style="2127" customWidth="1"/>
    <col min="10774" max="10774" width="193.33203125" style="2127" customWidth="1"/>
    <col min="10775" max="10777" width="47.33203125" style="2127" customWidth="1"/>
    <col min="10778" max="10778" width="43.6640625" style="2127" customWidth="1"/>
    <col min="10779" max="10781" width="47.33203125" style="2127" customWidth="1"/>
    <col min="10782" max="10782" width="44" style="2127" customWidth="1"/>
    <col min="10783" max="10785" width="47.33203125" style="2127" customWidth="1"/>
    <col min="10786" max="10786" width="43.6640625" style="2127" customWidth="1"/>
    <col min="10787" max="10789" width="47.33203125" style="2127" customWidth="1"/>
    <col min="10790" max="10790" width="43.6640625" style="2127" customWidth="1"/>
    <col min="10791" max="10793" width="47.33203125" style="2127" customWidth="1"/>
    <col min="10794" max="10794" width="43.6640625" style="2127" customWidth="1"/>
    <col min="10795" max="10795" width="193.33203125" style="2127" customWidth="1"/>
    <col min="10796" max="10811" width="56" style="2127" customWidth="1"/>
    <col min="10812" max="10812" width="59" style="2127" customWidth="1"/>
    <col min="10813" max="10813" width="46" style="2127" customWidth="1"/>
    <col min="10814" max="11008" width="9.33203125" style="2127"/>
    <col min="11009" max="11009" width="193.33203125" style="2127" customWidth="1"/>
    <col min="11010" max="11010" width="47.1640625" style="2127" customWidth="1"/>
    <col min="11011" max="11011" width="47.33203125" style="2127" customWidth="1"/>
    <col min="11012" max="11012" width="47.1640625" style="2127" customWidth="1"/>
    <col min="11013" max="11013" width="43.6640625" style="2127" customWidth="1"/>
    <col min="11014" max="11015" width="47.33203125" style="2127" customWidth="1"/>
    <col min="11016" max="11016" width="47.1640625" style="2127" customWidth="1"/>
    <col min="11017" max="11017" width="43.6640625" style="2127" customWidth="1"/>
    <col min="11018" max="11019" width="47.33203125" style="2127" customWidth="1"/>
    <col min="11020" max="11020" width="47.1640625" style="2127" customWidth="1"/>
    <col min="11021" max="11021" width="43.6640625" style="2127" customWidth="1"/>
    <col min="11022" max="11023" width="45" style="2127" customWidth="1"/>
    <col min="11024" max="11024" width="44.83203125" style="2127" customWidth="1"/>
    <col min="11025" max="11025" width="45" style="2127" customWidth="1"/>
    <col min="11026" max="11027" width="47.33203125" style="2127" customWidth="1"/>
    <col min="11028" max="11028" width="47.1640625" style="2127" customWidth="1"/>
    <col min="11029" max="11029" width="43.6640625" style="2127" customWidth="1"/>
    <col min="11030" max="11030" width="193.33203125" style="2127" customWidth="1"/>
    <col min="11031" max="11033" width="47.33203125" style="2127" customWidth="1"/>
    <col min="11034" max="11034" width="43.6640625" style="2127" customWidth="1"/>
    <col min="11035" max="11037" width="47.33203125" style="2127" customWidth="1"/>
    <col min="11038" max="11038" width="44" style="2127" customWidth="1"/>
    <col min="11039" max="11041" width="47.33203125" style="2127" customWidth="1"/>
    <col min="11042" max="11042" width="43.6640625" style="2127" customWidth="1"/>
    <col min="11043" max="11045" width="47.33203125" style="2127" customWidth="1"/>
    <col min="11046" max="11046" width="43.6640625" style="2127" customWidth="1"/>
    <col min="11047" max="11049" width="47.33203125" style="2127" customWidth="1"/>
    <col min="11050" max="11050" width="43.6640625" style="2127" customWidth="1"/>
    <col min="11051" max="11051" width="193.33203125" style="2127" customWidth="1"/>
    <col min="11052" max="11067" width="56" style="2127" customWidth="1"/>
    <col min="11068" max="11068" width="59" style="2127" customWidth="1"/>
    <col min="11069" max="11069" width="46" style="2127" customWidth="1"/>
    <col min="11070" max="11264" width="9.33203125" style="2127"/>
    <col min="11265" max="11265" width="193.33203125" style="2127" customWidth="1"/>
    <col min="11266" max="11266" width="47.1640625" style="2127" customWidth="1"/>
    <col min="11267" max="11267" width="47.33203125" style="2127" customWidth="1"/>
    <col min="11268" max="11268" width="47.1640625" style="2127" customWidth="1"/>
    <col min="11269" max="11269" width="43.6640625" style="2127" customWidth="1"/>
    <col min="11270" max="11271" width="47.33203125" style="2127" customWidth="1"/>
    <col min="11272" max="11272" width="47.1640625" style="2127" customWidth="1"/>
    <col min="11273" max="11273" width="43.6640625" style="2127" customWidth="1"/>
    <col min="11274" max="11275" width="47.33203125" style="2127" customWidth="1"/>
    <col min="11276" max="11276" width="47.1640625" style="2127" customWidth="1"/>
    <col min="11277" max="11277" width="43.6640625" style="2127" customWidth="1"/>
    <col min="11278" max="11279" width="45" style="2127" customWidth="1"/>
    <col min="11280" max="11280" width="44.83203125" style="2127" customWidth="1"/>
    <col min="11281" max="11281" width="45" style="2127" customWidth="1"/>
    <col min="11282" max="11283" width="47.33203125" style="2127" customWidth="1"/>
    <col min="11284" max="11284" width="47.1640625" style="2127" customWidth="1"/>
    <col min="11285" max="11285" width="43.6640625" style="2127" customWidth="1"/>
    <col min="11286" max="11286" width="193.33203125" style="2127" customWidth="1"/>
    <col min="11287" max="11289" width="47.33203125" style="2127" customWidth="1"/>
    <col min="11290" max="11290" width="43.6640625" style="2127" customWidth="1"/>
    <col min="11291" max="11293" width="47.33203125" style="2127" customWidth="1"/>
    <col min="11294" max="11294" width="44" style="2127" customWidth="1"/>
    <col min="11295" max="11297" width="47.33203125" style="2127" customWidth="1"/>
    <col min="11298" max="11298" width="43.6640625" style="2127" customWidth="1"/>
    <col min="11299" max="11301" width="47.33203125" style="2127" customWidth="1"/>
    <col min="11302" max="11302" width="43.6640625" style="2127" customWidth="1"/>
    <col min="11303" max="11305" width="47.33203125" style="2127" customWidth="1"/>
    <col min="11306" max="11306" width="43.6640625" style="2127" customWidth="1"/>
    <col min="11307" max="11307" width="193.33203125" style="2127" customWidth="1"/>
    <col min="11308" max="11323" width="56" style="2127" customWidth="1"/>
    <col min="11324" max="11324" width="59" style="2127" customWidth="1"/>
    <col min="11325" max="11325" width="46" style="2127" customWidth="1"/>
    <col min="11326" max="11520" width="9.33203125" style="2127"/>
    <col min="11521" max="11521" width="193.33203125" style="2127" customWidth="1"/>
    <col min="11522" max="11522" width="47.1640625" style="2127" customWidth="1"/>
    <col min="11523" max="11523" width="47.33203125" style="2127" customWidth="1"/>
    <col min="11524" max="11524" width="47.1640625" style="2127" customWidth="1"/>
    <col min="11525" max="11525" width="43.6640625" style="2127" customWidth="1"/>
    <col min="11526" max="11527" width="47.33203125" style="2127" customWidth="1"/>
    <col min="11528" max="11528" width="47.1640625" style="2127" customWidth="1"/>
    <col min="11529" max="11529" width="43.6640625" style="2127" customWidth="1"/>
    <col min="11530" max="11531" width="47.33203125" style="2127" customWidth="1"/>
    <col min="11532" max="11532" width="47.1640625" style="2127" customWidth="1"/>
    <col min="11533" max="11533" width="43.6640625" style="2127" customWidth="1"/>
    <col min="11534" max="11535" width="45" style="2127" customWidth="1"/>
    <col min="11536" max="11536" width="44.83203125" style="2127" customWidth="1"/>
    <col min="11537" max="11537" width="45" style="2127" customWidth="1"/>
    <col min="11538" max="11539" width="47.33203125" style="2127" customWidth="1"/>
    <col min="11540" max="11540" width="47.1640625" style="2127" customWidth="1"/>
    <col min="11541" max="11541" width="43.6640625" style="2127" customWidth="1"/>
    <col min="11542" max="11542" width="193.33203125" style="2127" customWidth="1"/>
    <col min="11543" max="11545" width="47.33203125" style="2127" customWidth="1"/>
    <col min="11546" max="11546" width="43.6640625" style="2127" customWidth="1"/>
    <col min="11547" max="11549" width="47.33203125" style="2127" customWidth="1"/>
    <col min="11550" max="11550" width="44" style="2127" customWidth="1"/>
    <col min="11551" max="11553" width="47.33203125" style="2127" customWidth="1"/>
    <col min="11554" max="11554" width="43.6640625" style="2127" customWidth="1"/>
    <col min="11555" max="11557" width="47.33203125" style="2127" customWidth="1"/>
    <col min="11558" max="11558" width="43.6640625" style="2127" customWidth="1"/>
    <col min="11559" max="11561" width="47.33203125" style="2127" customWidth="1"/>
    <col min="11562" max="11562" width="43.6640625" style="2127" customWidth="1"/>
    <col min="11563" max="11563" width="193.33203125" style="2127" customWidth="1"/>
    <col min="11564" max="11579" width="56" style="2127" customWidth="1"/>
    <col min="11580" max="11580" width="59" style="2127" customWidth="1"/>
    <col min="11581" max="11581" width="46" style="2127" customWidth="1"/>
    <col min="11582" max="11776" width="9.33203125" style="2127"/>
    <col min="11777" max="11777" width="193.33203125" style="2127" customWidth="1"/>
    <col min="11778" max="11778" width="47.1640625" style="2127" customWidth="1"/>
    <col min="11779" max="11779" width="47.33203125" style="2127" customWidth="1"/>
    <col min="11780" max="11780" width="47.1640625" style="2127" customWidth="1"/>
    <col min="11781" max="11781" width="43.6640625" style="2127" customWidth="1"/>
    <col min="11782" max="11783" width="47.33203125" style="2127" customWidth="1"/>
    <col min="11784" max="11784" width="47.1640625" style="2127" customWidth="1"/>
    <col min="11785" max="11785" width="43.6640625" style="2127" customWidth="1"/>
    <col min="11786" max="11787" width="47.33203125" style="2127" customWidth="1"/>
    <col min="11788" max="11788" width="47.1640625" style="2127" customWidth="1"/>
    <col min="11789" max="11789" width="43.6640625" style="2127" customWidth="1"/>
    <col min="11790" max="11791" width="45" style="2127" customWidth="1"/>
    <col min="11792" max="11792" width="44.83203125" style="2127" customWidth="1"/>
    <col min="11793" max="11793" width="45" style="2127" customWidth="1"/>
    <col min="11794" max="11795" width="47.33203125" style="2127" customWidth="1"/>
    <col min="11796" max="11796" width="47.1640625" style="2127" customWidth="1"/>
    <col min="11797" max="11797" width="43.6640625" style="2127" customWidth="1"/>
    <col min="11798" max="11798" width="193.33203125" style="2127" customWidth="1"/>
    <col min="11799" max="11801" width="47.33203125" style="2127" customWidth="1"/>
    <col min="11802" max="11802" width="43.6640625" style="2127" customWidth="1"/>
    <col min="11803" max="11805" width="47.33203125" style="2127" customWidth="1"/>
    <col min="11806" max="11806" width="44" style="2127" customWidth="1"/>
    <col min="11807" max="11809" width="47.33203125" style="2127" customWidth="1"/>
    <col min="11810" max="11810" width="43.6640625" style="2127" customWidth="1"/>
    <col min="11811" max="11813" width="47.33203125" style="2127" customWidth="1"/>
    <col min="11814" max="11814" width="43.6640625" style="2127" customWidth="1"/>
    <col min="11815" max="11817" width="47.33203125" style="2127" customWidth="1"/>
    <col min="11818" max="11818" width="43.6640625" style="2127" customWidth="1"/>
    <col min="11819" max="11819" width="193.33203125" style="2127" customWidth="1"/>
    <col min="11820" max="11835" width="56" style="2127" customWidth="1"/>
    <col min="11836" max="11836" width="59" style="2127" customWidth="1"/>
    <col min="11837" max="11837" width="46" style="2127" customWidth="1"/>
    <col min="11838" max="12032" width="9.33203125" style="2127"/>
    <col min="12033" max="12033" width="193.33203125" style="2127" customWidth="1"/>
    <col min="12034" max="12034" width="47.1640625" style="2127" customWidth="1"/>
    <col min="12035" max="12035" width="47.33203125" style="2127" customWidth="1"/>
    <col min="12036" max="12036" width="47.1640625" style="2127" customWidth="1"/>
    <col min="12037" max="12037" width="43.6640625" style="2127" customWidth="1"/>
    <col min="12038" max="12039" width="47.33203125" style="2127" customWidth="1"/>
    <col min="12040" max="12040" width="47.1640625" style="2127" customWidth="1"/>
    <col min="12041" max="12041" width="43.6640625" style="2127" customWidth="1"/>
    <col min="12042" max="12043" width="47.33203125" style="2127" customWidth="1"/>
    <col min="12044" max="12044" width="47.1640625" style="2127" customWidth="1"/>
    <col min="12045" max="12045" width="43.6640625" style="2127" customWidth="1"/>
    <col min="12046" max="12047" width="45" style="2127" customWidth="1"/>
    <col min="12048" max="12048" width="44.83203125" style="2127" customWidth="1"/>
    <col min="12049" max="12049" width="45" style="2127" customWidth="1"/>
    <col min="12050" max="12051" width="47.33203125" style="2127" customWidth="1"/>
    <col min="12052" max="12052" width="47.1640625" style="2127" customWidth="1"/>
    <col min="12053" max="12053" width="43.6640625" style="2127" customWidth="1"/>
    <col min="12054" max="12054" width="193.33203125" style="2127" customWidth="1"/>
    <col min="12055" max="12057" width="47.33203125" style="2127" customWidth="1"/>
    <col min="12058" max="12058" width="43.6640625" style="2127" customWidth="1"/>
    <col min="12059" max="12061" width="47.33203125" style="2127" customWidth="1"/>
    <col min="12062" max="12062" width="44" style="2127" customWidth="1"/>
    <col min="12063" max="12065" width="47.33203125" style="2127" customWidth="1"/>
    <col min="12066" max="12066" width="43.6640625" style="2127" customWidth="1"/>
    <col min="12067" max="12069" width="47.33203125" style="2127" customWidth="1"/>
    <col min="12070" max="12070" width="43.6640625" style="2127" customWidth="1"/>
    <col min="12071" max="12073" width="47.33203125" style="2127" customWidth="1"/>
    <col min="12074" max="12074" width="43.6640625" style="2127" customWidth="1"/>
    <col min="12075" max="12075" width="193.33203125" style="2127" customWidth="1"/>
    <col min="12076" max="12091" width="56" style="2127" customWidth="1"/>
    <col min="12092" max="12092" width="59" style="2127" customWidth="1"/>
    <col min="12093" max="12093" width="46" style="2127" customWidth="1"/>
    <col min="12094" max="12288" width="9.33203125" style="2127"/>
    <col min="12289" max="12289" width="193.33203125" style="2127" customWidth="1"/>
    <col min="12290" max="12290" width="47.1640625" style="2127" customWidth="1"/>
    <col min="12291" max="12291" width="47.33203125" style="2127" customWidth="1"/>
    <col min="12292" max="12292" width="47.1640625" style="2127" customWidth="1"/>
    <col min="12293" max="12293" width="43.6640625" style="2127" customWidth="1"/>
    <col min="12294" max="12295" width="47.33203125" style="2127" customWidth="1"/>
    <col min="12296" max="12296" width="47.1640625" style="2127" customWidth="1"/>
    <col min="12297" max="12297" width="43.6640625" style="2127" customWidth="1"/>
    <col min="12298" max="12299" width="47.33203125" style="2127" customWidth="1"/>
    <col min="12300" max="12300" width="47.1640625" style="2127" customWidth="1"/>
    <col min="12301" max="12301" width="43.6640625" style="2127" customWidth="1"/>
    <col min="12302" max="12303" width="45" style="2127" customWidth="1"/>
    <col min="12304" max="12304" width="44.83203125" style="2127" customWidth="1"/>
    <col min="12305" max="12305" width="45" style="2127" customWidth="1"/>
    <col min="12306" max="12307" width="47.33203125" style="2127" customWidth="1"/>
    <col min="12308" max="12308" width="47.1640625" style="2127" customWidth="1"/>
    <col min="12309" max="12309" width="43.6640625" style="2127" customWidth="1"/>
    <col min="12310" max="12310" width="193.33203125" style="2127" customWidth="1"/>
    <col min="12311" max="12313" width="47.33203125" style="2127" customWidth="1"/>
    <col min="12314" max="12314" width="43.6640625" style="2127" customWidth="1"/>
    <col min="12315" max="12317" width="47.33203125" style="2127" customWidth="1"/>
    <col min="12318" max="12318" width="44" style="2127" customWidth="1"/>
    <col min="12319" max="12321" width="47.33203125" style="2127" customWidth="1"/>
    <col min="12322" max="12322" width="43.6640625" style="2127" customWidth="1"/>
    <col min="12323" max="12325" width="47.33203125" style="2127" customWidth="1"/>
    <col min="12326" max="12326" width="43.6640625" style="2127" customWidth="1"/>
    <col min="12327" max="12329" width="47.33203125" style="2127" customWidth="1"/>
    <col min="12330" max="12330" width="43.6640625" style="2127" customWidth="1"/>
    <col min="12331" max="12331" width="193.33203125" style="2127" customWidth="1"/>
    <col min="12332" max="12347" width="56" style="2127" customWidth="1"/>
    <col min="12348" max="12348" width="59" style="2127" customWidth="1"/>
    <col min="12349" max="12349" width="46" style="2127" customWidth="1"/>
    <col min="12350" max="12544" width="9.33203125" style="2127"/>
    <col min="12545" max="12545" width="193.33203125" style="2127" customWidth="1"/>
    <col min="12546" max="12546" width="47.1640625" style="2127" customWidth="1"/>
    <col min="12547" max="12547" width="47.33203125" style="2127" customWidth="1"/>
    <col min="12548" max="12548" width="47.1640625" style="2127" customWidth="1"/>
    <col min="12549" max="12549" width="43.6640625" style="2127" customWidth="1"/>
    <col min="12550" max="12551" width="47.33203125" style="2127" customWidth="1"/>
    <col min="12552" max="12552" width="47.1640625" style="2127" customWidth="1"/>
    <col min="12553" max="12553" width="43.6640625" style="2127" customWidth="1"/>
    <col min="12554" max="12555" width="47.33203125" style="2127" customWidth="1"/>
    <col min="12556" max="12556" width="47.1640625" style="2127" customWidth="1"/>
    <col min="12557" max="12557" width="43.6640625" style="2127" customWidth="1"/>
    <col min="12558" max="12559" width="45" style="2127" customWidth="1"/>
    <col min="12560" max="12560" width="44.83203125" style="2127" customWidth="1"/>
    <col min="12561" max="12561" width="45" style="2127" customWidth="1"/>
    <col min="12562" max="12563" width="47.33203125" style="2127" customWidth="1"/>
    <col min="12564" max="12564" width="47.1640625" style="2127" customWidth="1"/>
    <col min="12565" max="12565" width="43.6640625" style="2127" customWidth="1"/>
    <col min="12566" max="12566" width="193.33203125" style="2127" customWidth="1"/>
    <col min="12567" max="12569" width="47.33203125" style="2127" customWidth="1"/>
    <col min="12570" max="12570" width="43.6640625" style="2127" customWidth="1"/>
    <col min="12571" max="12573" width="47.33203125" style="2127" customWidth="1"/>
    <col min="12574" max="12574" width="44" style="2127" customWidth="1"/>
    <col min="12575" max="12577" width="47.33203125" style="2127" customWidth="1"/>
    <col min="12578" max="12578" width="43.6640625" style="2127" customWidth="1"/>
    <col min="12579" max="12581" width="47.33203125" style="2127" customWidth="1"/>
    <col min="12582" max="12582" width="43.6640625" style="2127" customWidth="1"/>
    <col min="12583" max="12585" width="47.33203125" style="2127" customWidth="1"/>
    <col min="12586" max="12586" width="43.6640625" style="2127" customWidth="1"/>
    <col min="12587" max="12587" width="193.33203125" style="2127" customWidth="1"/>
    <col min="12588" max="12603" width="56" style="2127" customWidth="1"/>
    <col min="12604" max="12604" width="59" style="2127" customWidth="1"/>
    <col min="12605" max="12605" width="46" style="2127" customWidth="1"/>
    <col min="12606" max="12800" width="9.33203125" style="2127"/>
    <col min="12801" max="12801" width="193.33203125" style="2127" customWidth="1"/>
    <col min="12802" max="12802" width="47.1640625" style="2127" customWidth="1"/>
    <col min="12803" max="12803" width="47.33203125" style="2127" customWidth="1"/>
    <col min="12804" max="12804" width="47.1640625" style="2127" customWidth="1"/>
    <col min="12805" max="12805" width="43.6640625" style="2127" customWidth="1"/>
    <col min="12806" max="12807" width="47.33203125" style="2127" customWidth="1"/>
    <col min="12808" max="12808" width="47.1640625" style="2127" customWidth="1"/>
    <col min="12809" max="12809" width="43.6640625" style="2127" customWidth="1"/>
    <col min="12810" max="12811" width="47.33203125" style="2127" customWidth="1"/>
    <col min="12812" max="12812" width="47.1640625" style="2127" customWidth="1"/>
    <col min="12813" max="12813" width="43.6640625" style="2127" customWidth="1"/>
    <col min="12814" max="12815" width="45" style="2127" customWidth="1"/>
    <col min="12816" max="12816" width="44.83203125" style="2127" customWidth="1"/>
    <col min="12817" max="12817" width="45" style="2127" customWidth="1"/>
    <col min="12818" max="12819" width="47.33203125" style="2127" customWidth="1"/>
    <col min="12820" max="12820" width="47.1640625" style="2127" customWidth="1"/>
    <col min="12821" max="12821" width="43.6640625" style="2127" customWidth="1"/>
    <col min="12822" max="12822" width="193.33203125" style="2127" customWidth="1"/>
    <col min="12823" max="12825" width="47.33203125" style="2127" customWidth="1"/>
    <col min="12826" max="12826" width="43.6640625" style="2127" customWidth="1"/>
    <col min="12827" max="12829" width="47.33203125" style="2127" customWidth="1"/>
    <col min="12830" max="12830" width="44" style="2127" customWidth="1"/>
    <col min="12831" max="12833" width="47.33203125" style="2127" customWidth="1"/>
    <col min="12834" max="12834" width="43.6640625" style="2127" customWidth="1"/>
    <col min="12835" max="12837" width="47.33203125" style="2127" customWidth="1"/>
    <col min="12838" max="12838" width="43.6640625" style="2127" customWidth="1"/>
    <col min="12839" max="12841" width="47.33203125" style="2127" customWidth="1"/>
    <col min="12842" max="12842" width="43.6640625" style="2127" customWidth="1"/>
    <col min="12843" max="12843" width="193.33203125" style="2127" customWidth="1"/>
    <col min="12844" max="12859" width="56" style="2127" customWidth="1"/>
    <col min="12860" max="12860" width="59" style="2127" customWidth="1"/>
    <col min="12861" max="12861" width="46" style="2127" customWidth="1"/>
    <col min="12862" max="13056" width="9.33203125" style="2127"/>
    <col min="13057" max="13057" width="193.33203125" style="2127" customWidth="1"/>
    <col min="13058" max="13058" width="47.1640625" style="2127" customWidth="1"/>
    <col min="13059" max="13059" width="47.33203125" style="2127" customWidth="1"/>
    <col min="13060" max="13060" width="47.1640625" style="2127" customWidth="1"/>
    <col min="13061" max="13061" width="43.6640625" style="2127" customWidth="1"/>
    <col min="13062" max="13063" width="47.33203125" style="2127" customWidth="1"/>
    <col min="13064" max="13064" width="47.1640625" style="2127" customWidth="1"/>
    <col min="13065" max="13065" width="43.6640625" style="2127" customWidth="1"/>
    <col min="13066" max="13067" width="47.33203125" style="2127" customWidth="1"/>
    <col min="13068" max="13068" width="47.1640625" style="2127" customWidth="1"/>
    <col min="13069" max="13069" width="43.6640625" style="2127" customWidth="1"/>
    <col min="13070" max="13071" width="45" style="2127" customWidth="1"/>
    <col min="13072" max="13072" width="44.83203125" style="2127" customWidth="1"/>
    <col min="13073" max="13073" width="45" style="2127" customWidth="1"/>
    <col min="13074" max="13075" width="47.33203125" style="2127" customWidth="1"/>
    <col min="13076" max="13076" width="47.1640625" style="2127" customWidth="1"/>
    <col min="13077" max="13077" width="43.6640625" style="2127" customWidth="1"/>
    <col min="13078" max="13078" width="193.33203125" style="2127" customWidth="1"/>
    <col min="13079" max="13081" width="47.33203125" style="2127" customWidth="1"/>
    <col min="13082" max="13082" width="43.6640625" style="2127" customWidth="1"/>
    <col min="13083" max="13085" width="47.33203125" style="2127" customWidth="1"/>
    <col min="13086" max="13086" width="44" style="2127" customWidth="1"/>
    <col min="13087" max="13089" width="47.33203125" style="2127" customWidth="1"/>
    <col min="13090" max="13090" width="43.6640625" style="2127" customWidth="1"/>
    <col min="13091" max="13093" width="47.33203125" style="2127" customWidth="1"/>
    <col min="13094" max="13094" width="43.6640625" style="2127" customWidth="1"/>
    <col min="13095" max="13097" width="47.33203125" style="2127" customWidth="1"/>
    <col min="13098" max="13098" width="43.6640625" style="2127" customWidth="1"/>
    <col min="13099" max="13099" width="193.33203125" style="2127" customWidth="1"/>
    <col min="13100" max="13115" width="56" style="2127" customWidth="1"/>
    <col min="13116" max="13116" width="59" style="2127" customWidth="1"/>
    <col min="13117" max="13117" width="46" style="2127" customWidth="1"/>
    <col min="13118" max="13312" width="9.33203125" style="2127"/>
    <col min="13313" max="13313" width="193.33203125" style="2127" customWidth="1"/>
    <col min="13314" max="13314" width="47.1640625" style="2127" customWidth="1"/>
    <col min="13315" max="13315" width="47.33203125" style="2127" customWidth="1"/>
    <col min="13316" max="13316" width="47.1640625" style="2127" customWidth="1"/>
    <col min="13317" max="13317" width="43.6640625" style="2127" customWidth="1"/>
    <col min="13318" max="13319" width="47.33203125" style="2127" customWidth="1"/>
    <col min="13320" max="13320" width="47.1640625" style="2127" customWidth="1"/>
    <col min="13321" max="13321" width="43.6640625" style="2127" customWidth="1"/>
    <col min="13322" max="13323" width="47.33203125" style="2127" customWidth="1"/>
    <col min="13324" max="13324" width="47.1640625" style="2127" customWidth="1"/>
    <col min="13325" max="13325" width="43.6640625" style="2127" customWidth="1"/>
    <col min="13326" max="13327" width="45" style="2127" customWidth="1"/>
    <col min="13328" max="13328" width="44.83203125" style="2127" customWidth="1"/>
    <col min="13329" max="13329" width="45" style="2127" customWidth="1"/>
    <col min="13330" max="13331" width="47.33203125" style="2127" customWidth="1"/>
    <col min="13332" max="13332" width="47.1640625" style="2127" customWidth="1"/>
    <col min="13333" max="13333" width="43.6640625" style="2127" customWidth="1"/>
    <col min="13334" max="13334" width="193.33203125" style="2127" customWidth="1"/>
    <col min="13335" max="13337" width="47.33203125" style="2127" customWidth="1"/>
    <col min="13338" max="13338" width="43.6640625" style="2127" customWidth="1"/>
    <col min="13339" max="13341" width="47.33203125" style="2127" customWidth="1"/>
    <col min="13342" max="13342" width="44" style="2127" customWidth="1"/>
    <col min="13343" max="13345" width="47.33203125" style="2127" customWidth="1"/>
    <col min="13346" max="13346" width="43.6640625" style="2127" customWidth="1"/>
    <col min="13347" max="13349" width="47.33203125" style="2127" customWidth="1"/>
    <col min="13350" max="13350" width="43.6640625" style="2127" customWidth="1"/>
    <col min="13351" max="13353" width="47.33203125" style="2127" customWidth="1"/>
    <col min="13354" max="13354" width="43.6640625" style="2127" customWidth="1"/>
    <col min="13355" max="13355" width="193.33203125" style="2127" customWidth="1"/>
    <col min="13356" max="13371" width="56" style="2127" customWidth="1"/>
    <col min="13372" max="13372" width="59" style="2127" customWidth="1"/>
    <col min="13373" max="13373" width="46" style="2127" customWidth="1"/>
    <col min="13374" max="13568" width="9.33203125" style="2127"/>
    <col min="13569" max="13569" width="193.33203125" style="2127" customWidth="1"/>
    <col min="13570" max="13570" width="47.1640625" style="2127" customWidth="1"/>
    <col min="13571" max="13571" width="47.33203125" style="2127" customWidth="1"/>
    <col min="13572" max="13572" width="47.1640625" style="2127" customWidth="1"/>
    <col min="13573" max="13573" width="43.6640625" style="2127" customWidth="1"/>
    <col min="13574" max="13575" width="47.33203125" style="2127" customWidth="1"/>
    <col min="13576" max="13576" width="47.1640625" style="2127" customWidth="1"/>
    <col min="13577" max="13577" width="43.6640625" style="2127" customWidth="1"/>
    <col min="13578" max="13579" width="47.33203125" style="2127" customWidth="1"/>
    <col min="13580" max="13580" width="47.1640625" style="2127" customWidth="1"/>
    <col min="13581" max="13581" width="43.6640625" style="2127" customWidth="1"/>
    <col min="13582" max="13583" width="45" style="2127" customWidth="1"/>
    <col min="13584" max="13584" width="44.83203125" style="2127" customWidth="1"/>
    <col min="13585" max="13585" width="45" style="2127" customWidth="1"/>
    <col min="13586" max="13587" width="47.33203125" style="2127" customWidth="1"/>
    <col min="13588" max="13588" width="47.1640625" style="2127" customWidth="1"/>
    <col min="13589" max="13589" width="43.6640625" style="2127" customWidth="1"/>
    <col min="13590" max="13590" width="193.33203125" style="2127" customWidth="1"/>
    <col min="13591" max="13593" width="47.33203125" style="2127" customWidth="1"/>
    <col min="13594" max="13594" width="43.6640625" style="2127" customWidth="1"/>
    <col min="13595" max="13597" width="47.33203125" style="2127" customWidth="1"/>
    <col min="13598" max="13598" width="44" style="2127" customWidth="1"/>
    <col min="13599" max="13601" width="47.33203125" style="2127" customWidth="1"/>
    <col min="13602" max="13602" width="43.6640625" style="2127" customWidth="1"/>
    <col min="13603" max="13605" width="47.33203125" style="2127" customWidth="1"/>
    <col min="13606" max="13606" width="43.6640625" style="2127" customWidth="1"/>
    <col min="13607" max="13609" width="47.33203125" style="2127" customWidth="1"/>
    <col min="13610" max="13610" width="43.6640625" style="2127" customWidth="1"/>
    <col min="13611" max="13611" width="193.33203125" style="2127" customWidth="1"/>
    <col min="13612" max="13627" width="56" style="2127" customWidth="1"/>
    <col min="13628" max="13628" width="59" style="2127" customWidth="1"/>
    <col min="13629" max="13629" width="46" style="2127" customWidth="1"/>
    <col min="13630" max="13824" width="9.33203125" style="2127"/>
    <col min="13825" max="13825" width="193.33203125" style="2127" customWidth="1"/>
    <col min="13826" max="13826" width="47.1640625" style="2127" customWidth="1"/>
    <col min="13827" max="13827" width="47.33203125" style="2127" customWidth="1"/>
    <col min="13828" max="13828" width="47.1640625" style="2127" customWidth="1"/>
    <col min="13829" max="13829" width="43.6640625" style="2127" customWidth="1"/>
    <col min="13830" max="13831" width="47.33203125" style="2127" customWidth="1"/>
    <col min="13832" max="13832" width="47.1640625" style="2127" customWidth="1"/>
    <col min="13833" max="13833" width="43.6640625" style="2127" customWidth="1"/>
    <col min="13834" max="13835" width="47.33203125" style="2127" customWidth="1"/>
    <col min="13836" max="13836" width="47.1640625" style="2127" customWidth="1"/>
    <col min="13837" max="13837" width="43.6640625" style="2127" customWidth="1"/>
    <col min="13838" max="13839" width="45" style="2127" customWidth="1"/>
    <col min="13840" max="13840" width="44.83203125" style="2127" customWidth="1"/>
    <col min="13841" max="13841" width="45" style="2127" customWidth="1"/>
    <col min="13842" max="13843" width="47.33203125" style="2127" customWidth="1"/>
    <col min="13844" max="13844" width="47.1640625" style="2127" customWidth="1"/>
    <col min="13845" max="13845" width="43.6640625" style="2127" customWidth="1"/>
    <col min="13846" max="13846" width="193.33203125" style="2127" customWidth="1"/>
    <col min="13847" max="13849" width="47.33203125" style="2127" customWidth="1"/>
    <col min="13850" max="13850" width="43.6640625" style="2127" customWidth="1"/>
    <col min="13851" max="13853" width="47.33203125" style="2127" customWidth="1"/>
    <col min="13854" max="13854" width="44" style="2127" customWidth="1"/>
    <col min="13855" max="13857" width="47.33203125" style="2127" customWidth="1"/>
    <col min="13858" max="13858" width="43.6640625" style="2127" customWidth="1"/>
    <col min="13859" max="13861" width="47.33203125" style="2127" customWidth="1"/>
    <col min="13862" max="13862" width="43.6640625" style="2127" customWidth="1"/>
    <col min="13863" max="13865" width="47.33203125" style="2127" customWidth="1"/>
    <col min="13866" max="13866" width="43.6640625" style="2127" customWidth="1"/>
    <col min="13867" max="13867" width="193.33203125" style="2127" customWidth="1"/>
    <col min="13868" max="13883" width="56" style="2127" customWidth="1"/>
    <col min="13884" max="13884" width="59" style="2127" customWidth="1"/>
    <col min="13885" max="13885" width="46" style="2127" customWidth="1"/>
    <col min="13886" max="14080" width="9.33203125" style="2127"/>
    <col min="14081" max="14081" width="193.33203125" style="2127" customWidth="1"/>
    <col min="14082" max="14082" width="47.1640625" style="2127" customWidth="1"/>
    <col min="14083" max="14083" width="47.33203125" style="2127" customWidth="1"/>
    <col min="14084" max="14084" width="47.1640625" style="2127" customWidth="1"/>
    <col min="14085" max="14085" width="43.6640625" style="2127" customWidth="1"/>
    <col min="14086" max="14087" width="47.33203125" style="2127" customWidth="1"/>
    <col min="14088" max="14088" width="47.1640625" style="2127" customWidth="1"/>
    <col min="14089" max="14089" width="43.6640625" style="2127" customWidth="1"/>
    <col min="14090" max="14091" width="47.33203125" style="2127" customWidth="1"/>
    <col min="14092" max="14092" width="47.1640625" style="2127" customWidth="1"/>
    <col min="14093" max="14093" width="43.6640625" style="2127" customWidth="1"/>
    <col min="14094" max="14095" width="45" style="2127" customWidth="1"/>
    <col min="14096" max="14096" width="44.83203125" style="2127" customWidth="1"/>
    <col min="14097" max="14097" width="45" style="2127" customWidth="1"/>
    <col min="14098" max="14099" width="47.33203125" style="2127" customWidth="1"/>
    <col min="14100" max="14100" width="47.1640625" style="2127" customWidth="1"/>
    <col min="14101" max="14101" width="43.6640625" style="2127" customWidth="1"/>
    <col min="14102" max="14102" width="193.33203125" style="2127" customWidth="1"/>
    <col min="14103" max="14105" width="47.33203125" style="2127" customWidth="1"/>
    <col min="14106" max="14106" width="43.6640625" style="2127" customWidth="1"/>
    <col min="14107" max="14109" width="47.33203125" style="2127" customWidth="1"/>
    <col min="14110" max="14110" width="44" style="2127" customWidth="1"/>
    <col min="14111" max="14113" width="47.33203125" style="2127" customWidth="1"/>
    <col min="14114" max="14114" width="43.6640625" style="2127" customWidth="1"/>
    <col min="14115" max="14117" width="47.33203125" style="2127" customWidth="1"/>
    <col min="14118" max="14118" width="43.6640625" style="2127" customWidth="1"/>
    <col min="14119" max="14121" width="47.33203125" style="2127" customWidth="1"/>
    <col min="14122" max="14122" width="43.6640625" style="2127" customWidth="1"/>
    <col min="14123" max="14123" width="193.33203125" style="2127" customWidth="1"/>
    <col min="14124" max="14139" width="56" style="2127" customWidth="1"/>
    <col min="14140" max="14140" width="59" style="2127" customWidth="1"/>
    <col min="14141" max="14141" width="46" style="2127" customWidth="1"/>
    <col min="14142" max="14336" width="9.33203125" style="2127"/>
    <col min="14337" max="14337" width="193.33203125" style="2127" customWidth="1"/>
    <col min="14338" max="14338" width="47.1640625" style="2127" customWidth="1"/>
    <col min="14339" max="14339" width="47.33203125" style="2127" customWidth="1"/>
    <col min="14340" max="14340" width="47.1640625" style="2127" customWidth="1"/>
    <col min="14341" max="14341" width="43.6640625" style="2127" customWidth="1"/>
    <col min="14342" max="14343" width="47.33203125" style="2127" customWidth="1"/>
    <col min="14344" max="14344" width="47.1640625" style="2127" customWidth="1"/>
    <col min="14345" max="14345" width="43.6640625" style="2127" customWidth="1"/>
    <col min="14346" max="14347" width="47.33203125" style="2127" customWidth="1"/>
    <col min="14348" max="14348" width="47.1640625" style="2127" customWidth="1"/>
    <col min="14349" max="14349" width="43.6640625" style="2127" customWidth="1"/>
    <col min="14350" max="14351" width="45" style="2127" customWidth="1"/>
    <col min="14352" max="14352" width="44.83203125" style="2127" customWidth="1"/>
    <col min="14353" max="14353" width="45" style="2127" customWidth="1"/>
    <col min="14354" max="14355" width="47.33203125" style="2127" customWidth="1"/>
    <col min="14356" max="14356" width="47.1640625" style="2127" customWidth="1"/>
    <col min="14357" max="14357" width="43.6640625" style="2127" customWidth="1"/>
    <col min="14358" max="14358" width="193.33203125" style="2127" customWidth="1"/>
    <col min="14359" max="14361" width="47.33203125" style="2127" customWidth="1"/>
    <col min="14362" max="14362" width="43.6640625" style="2127" customWidth="1"/>
    <col min="14363" max="14365" width="47.33203125" style="2127" customWidth="1"/>
    <col min="14366" max="14366" width="44" style="2127" customWidth="1"/>
    <col min="14367" max="14369" width="47.33203125" style="2127" customWidth="1"/>
    <col min="14370" max="14370" width="43.6640625" style="2127" customWidth="1"/>
    <col min="14371" max="14373" width="47.33203125" style="2127" customWidth="1"/>
    <col min="14374" max="14374" width="43.6640625" style="2127" customWidth="1"/>
    <col min="14375" max="14377" width="47.33203125" style="2127" customWidth="1"/>
    <col min="14378" max="14378" width="43.6640625" style="2127" customWidth="1"/>
    <col min="14379" max="14379" width="193.33203125" style="2127" customWidth="1"/>
    <col min="14380" max="14395" width="56" style="2127" customWidth="1"/>
    <col min="14396" max="14396" width="59" style="2127" customWidth="1"/>
    <col min="14397" max="14397" width="46" style="2127" customWidth="1"/>
    <col min="14398" max="14592" width="9.33203125" style="2127"/>
    <col min="14593" max="14593" width="193.33203125" style="2127" customWidth="1"/>
    <col min="14594" max="14594" width="47.1640625" style="2127" customWidth="1"/>
    <col min="14595" max="14595" width="47.33203125" style="2127" customWidth="1"/>
    <col min="14596" max="14596" width="47.1640625" style="2127" customWidth="1"/>
    <col min="14597" max="14597" width="43.6640625" style="2127" customWidth="1"/>
    <col min="14598" max="14599" width="47.33203125" style="2127" customWidth="1"/>
    <col min="14600" max="14600" width="47.1640625" style="2127" customWidth="1"/>
    <col min="14601" max="14601" width="43.6640625" style="2127" customWidth="1"/>
    <col min="14602" max="14603" width="47.33203125" style="2127" customWidth="1"/>
    <col min="14604" max="14604" width="47.1640625" style="2127" customWidth="1"/>
    <col min="14605" max="14605" width="43.6640625" style="2127" customWidth="1"/>
    <col min="14606" max="14607" width="45" style="2127" customWidth="1"/>
    <col min="14608" max="14608" width="44.83203125" style="2127" customWidth="1"/>
    <col min="14609" max="14609" width="45" style="2127" customWidth="1"/>
    <col min="14610" max="14611" width="47.33203125" style="2127" customWidth="1"/>
    <col min="14612" max="14612" width="47.1640625" style="2127" customWidth="1"/>
    <col min="14613" max="14613" width="43.6640625" style="2127" customWidth="1"/>
    <col min="14614" max="14614" width="193.33203125" style="2127" customWidth="1"/>
    <col min="14615" max="14617" width="47.33203125" style="2127" customWidth="1"/>
    <col min="14618" max="14618" width="43.6640625" style="2127" customWidth="1"/>
    <col min="14619" max="14621" width="47.33203125" style="2127" customWidth="1"/>
    <col min="14622" max="14622" width="44" style="2127" customWidth="1"/>
    <col min="14623" max="14625" width="47.33203125" style="2127" customWidth="1"/>
    <col min="14626" max="14626" width="43.6640625" style="2127" customWidth="1"/>
    <col min="14627" max="14629" width="47.33203125" style="2127" customWidth="1"/>
    <col min="14630" max="14630" width="43.6640625" style="2127" customWidth="1"/>
    <col min="14631" max="14633" width="47.33203125" style="2127" customWidth="1"/>
    <col min="14634" max="14634" width="43.6640625" style="2127" customWidth="1"/>
    <col min="14635" max="14635" width="193.33203125" style="2127" customWidth="1"/>
    <col min="14636" max="14651" width="56" style="2127" customWidth="1"/>
    <col min="14652" max="14652" width="59" style="2127" customWidth="1"/>
    <col min="14653" max="14653" width="46" style="2127" customWidth="1"/>
    <col min="14654" max="14848" width="9.33203125" style="2127"/>
    <col min="14849" max="14849" width="193.33203125" style="2127" customWidth="1"/>
    <col min="14850" max="14850" width="47.1640625" style="2127" customWidth="1"/>
    <col min="14851" max="14851" width="47.33203125" style="2127" customWidth="1"/>
    <col min="14852" max="14852" width="47.1640625" style="2127" customWidth="1"/>
    <col min="14853" max="14853" width="43.6640625" style="2127" customWidth="1"/>
    <col min="14854" max="14855" width="47.33203125" style="2127" customWidth="1"/>
    <col min="14856" max="14856" width="47.1640625" style="2127" customWidth="1"/>
    <col min="14857" max="14857" width="43.6640625" style="2127" customWidth="1"/>
    <col min="14858" max="14859" width="47.33203125" style="2127" customWidth="1"/>
    <col min="14860" max="14860" width="47.1640625" style="2127" customWidth="1"/>
    <col min="14861" max="14861" width="43.6640625" style="2127" customWidth="1"/>
    <col min="14862" max="14863" width="45" style="2127" customWidth="1"/>
    <col min="14864" max="14864" width="44.83203125" style="2127" customWidth="1"/>
    <col min="14865" max="14865" width="45" style="2127" customWidth="1"/>
    <col min="14866" max="14867" width="47.33203125" style="2127" customWidth="1"/>
    <col min="14868" max="14868" width="47.1640625" style="2127" customWidth="1"/>
    <col min="14869" max="14869" width="43.6640625" style="2127" customWidth="1"/>
    <col min="14870" max="14870" width="193.33203125" style="2127" customWidth="1"/>
    <col min="14871" max="14873" width="47.33203125" style="2127" customWidth="1"/>
    <col min="14874" max="14874" width="43.6640625" style="2127" customWidth="1"/>
    <col min="14875" max="14877" width="47.33203125" style="2127" customWidth="1"/>
    <col min="14878" max="14878" width="44" style="2127" customWidth="1"/>
    <col min="14879" max="14881" width="47.33203125" style="2127" customWidth="1"/>
    <col min="14882" max="14882" width="43.6640625" style="2127" customWidth="1"/>
    <col min="14883" max="14885" width="47.33203125" style="2127" customWidth="1"/>
    <col min="14886" max="14886" width="43.6640625" style="2127" customWidth="1"/>
    <col min="14887" max="14889" width="47.33203125" style="2127" customWidth="1"/>
    <col min="14890" max="14890" width="43.6640625" style="2127" customWidth="1"/>
    <col min="14891" max="14891" width="193.33203125" style="2127" customWidth="1"/>
    <col min="14892" max="14907" width="56" style="2127" customWidth="1"/>
    <col min="14908" max="14908" width="59" style="2127" customWidth="1"/>
    <col min="14909" max="14909" width="46" style="2127" customWidth="1"/>
    <col min="14910" max="15104" width="9.33203125" style="2127"/>
    <col min="15105" max="15105" width="193.33203125" style="2127" customWidth="1"/>
    <col min="15106" max="15106" width="47.1640625" style="2127" customWidth="1"/>
    <col min="15107" max="15107" width="47.33203125" style="2127" customWidth="1"/>
    <col min="15108" max="15108" width="47.1640625" style="2127" customWidth="1"/>
    <col min="15109" max="15109" width="43.6640625" style="2127" customWidth="1"/>
    <col min="15110" max="15111" width="47.33203125" style="2127" customWidth="1"/>
    <col min="15112" max="15112" width="47.1640625" style="2127" customWidth="1"/>
    <col min="15113" max="15113" width="43.6640625" style="2127" customWidth="1"/>
    <col min="15114" max="15115" width="47.33203125" style="2127" customWidth="1"/>
    <col min="15116" max="15116" width="47.1640625" style="2127" customWidth="1"/>
    <col min="15117" max="15117" width="43.6640625" style="2127" customWidth="1"/>
    <col min="15118" max="15119" width="45" style="2127" customWidth="1"/>
    <col min="15120" max="15120" width="44.83203125" style="2127" customWidth="1"/>
    <col min="15121" max="15121" width="45" style="2127" customWidth="1"/>
    <col min="15122" max="15123" width="47.33203125" style="2127" customWidth="1"/>
    <col min="15124" max="15124" width="47.1640625" style="2127" customWidth="1"/>
    <col min="15125" max="15125" width="43.6640625" style="2127" customWidth="1"/>
    <col min="15126" max="15126" width="193.33203125" style="2127" customWidth="1"/>
    <col min="15127" max="15129" width="47.33203125" style="2127" customWidth="1"/>
    <col min="15130" max="15130" width="43.6640625" style="2127" customWidth="1"/>
    <col min="15131" max="15133" width="47.33203125" style="2127" customWidth="1"/>
    <col min="15134" max="15134" width="44" style="2127" customWidth="1"/>
    <col min="15135" max="15137" width="47.33203125" style="2127" customWidth="1"/>
    <col min="15138" max="15138" width="43.6640625" style="2127" customWidth="1"/>
    <col min="15139" max="15141" width="47.33203125" style="2127" customWidth="1"/>
    <col min="15142" max="15142" width="43.6640625" style="2127" customWidth="1"/>
    <col min="15143" max="15145" width="47.33203125" style="2127" customWidth="1"/>
    <col min="15146" max="15146" width="43.6640625" style="2127" customWidth="1"/>
    <col min="15147" max="15147" width="193.33203125" style="2127" customWidth="1"/>
    <col min="15148" max="15163" width="56" style="2127" customWidth="1"/>
    <col min="15164" max="15164" width="59" style="2127" customWidth="1"/>
    <col min="15165" max="15165" width="46" style="2127" customWidth="1"/>
    <col min="15166" max="15360" width="9.33203125" style="2127"/>
    <col min="15361" max="15361" width="193.33203125" style="2127" customWidth="1"/>
    <col min="15362" max="15362" width="47.1640625" style="2127" customWidth="1"/>
    <col min="15363" max="15363" width="47.33203125" style="2127" customWidth="1"/>
    <col min="15364" max="15364" width="47.1640625" style="2127" customWidth="1"/>
    <col min="15365" max="15365" width="43.6640625" style="2127" customWidth="1"/>
    <col min="15366" max="15367" width="47.33203125" style="2127" customWidth="1"/>
    <col min="15368" max="15368" width="47.1640625" style="2127" customWidth="1"/>
    <col min="15369" max="15369" width="43.6640625" style="2127" customWidth="1"/>
    <col min="15370" max="15371" width="47.33203125" style="2127" customWidth="1"/>
    <col min="15372" max="15372" width="47.1640625" style="2127" customWidth="1"/>
    <col min="15373" max="15373" width="43.6640625" style="2127" customWidth="1"/>
    <col min="15374" max="15375" width="45" style="2127" customWidth="1"/>
    <col min="15376" max="15376" width="44.83203125" style="2127" customWidth="1"/>
    <col min="15377" max="15377" width="45" style="2127" customWidth="1"/>
    <col min="15378" max="15379" width="47.33203125" style="2127" customWidth="1"/>
    <col min="15380" max="15380" width="47.1640625" style="2127" customWidth="1"/>
    <col min="15381" max="15381" width="43.6640625" style="2127" customWidth="1"/>
    <col min="15382" max="15382" width="193.33203125" style="2127" customWidth="1"/>
    <col min="15383" max="15385" width="47.33203125" style="2127" customWidth="1"/>
    <col min="15386" max="15386" width="43.6640625" style="2127" customWidth="1"/>
    <col min="15387" max="15389" width="47.33203125" style="2127" customWidth="1"/>
    <col min="15390" max="15390" width="44" style="2127" customWidth="1"/>
    <col min="15391" max="15393" width="47.33203125" style="2127" customWidth="1"/>
    <col min="15394" max="15394" width="43.6640625" style="2127" customWidth="1"/>
    <col min="15395" max="15397" width="47.33203125" style="2127" customWidth="1"/>
    <col min="15398" max="15398" width="43.6640625" style="2127" customWidth="1"/>
    <col min="15399" max="15401" width="47.33203125" style="2127" customWidth="1"/>
    <col min="15402" max="15402" width="43.6640625" style="2127" customWidth="1"/>
    <col min="15403" max="15403" width="193.33203125" style="2127" customWidth="1"/>
    <col min="15404" max="15419" width="56" style="2127" customWidth="1"/>
    <col min="15420" max="15420" width="59" style="2127" customWidth="1"/>
    <col min="15421" max="15421" width="46" style="2127" customWidth="1"/>
    <col min="15422" max="15616" width="9.33203125" style="2127"/>
    <col min="15617" max="15617" width="193.33203125" style="2127" customWidth="1"/>
    <col min="15618" max="15618" width="47.1640625" style="2127" customWidth="1"/>
    <col min="15619" max="15619" width="47.33203125" style="2127" customWidth="1"/>
    <col min="15620" max="15620" width="47.1640625" style="2127" customWidth="1"/>
    <col min="15621" max="15621" width="43.6640625" style="2127" customWidth="1"/>
    <col min="15622" max="15623" width="47.33203125" style="2127" customWidth="1"/>
    <col min="15624" max="15624" width="47.1640625" style="2127" customWidth="1"/>
    <col min="15625" max="15625" width="43.6640625" style="2127" customWidth="1"/>
    <col min="15626" max="15627" width="47.33203125" style="2127" customWidth="1"/>
    <col min="15628" max="15628" width="47.1640625" style="2127" customWidth="1"/>
    <col min="15629" max="15629" width="43.6640625" style="2127" customWidth="1"/>
    <col min="15630" max="15631" width="45" style="2127" customWidth="1"/>
    <col min="15632" max="15632" width="44.83203125" style="2127" customWidth="1"/>
    <col min="15633" max="15633" width="45" style="2127" customWidth="1"/>
    <col min="15634" max="15635" width="47.33203125" style="2127" customWidth="1"/>
    <col min="15636" max="15636" width="47.1640625" style="2127" customWidth="1"/>
    <col min="15637" max="15637" width="43.6640625" style="2127" customWidth="1"/>
    <col min="15638" max="15638" width="193.33203125" style="2127" customWidth="1"/>
    <col min="15639" max="15641" width="47.33203125" style="2127" customWidth="1"/>
    <col min="15642" max="15642" width="43.6640625" style="2127" customWidth="1"/>
    <col min="15643" max="15645" width="47.33203125" style="2127" customWidth="1"/>
    <col min="15646" max="15646" width="44" style="2127" customWidth="1"/>
    <col min="15647" max="15649" width="47.33203125" style="2127" customWidth="1"/>
    <col min="15650" max="15650" width="43.6640625" style="2127" customWidth="1"/>
    <col min="15651" max="15653" width="47.33203125" style="2127" customWidth="1"/>
    <col min="15654" max="15654" width="43.6640625" style="2127" customWidth="1"/>
    <col min="15655" max="15657" width="47.33203125" style="2127" customWidth="1"/>
    <col min="15658" max="15658" width="43.6640625" style="2127" customWidth="1"/>
    <col min="15659" max="15659" width="193.33203125" style="2127" customWidth="1"/>
    <col min="15660" max="15675" width="56" style="2127" customWidth="1"/>
    <col min="15676" max="15676" width="59" style="2127" customWidth="1"/>
    <col min="15677" max="15677" width="46" style="2127" customWidth="1"/>
    <col min="15678" max="15872" width="9.33203125" style="2127"/>
    <col min="15873" max="15873" width="193.33203125" style="2127" customWidth="1"/>
    <col min="15874" max="15874" width="47.1640625" style="2127" customWidth="1"/>
    <col min="15875" max="15875" width="47.33203125" style="2127" customWidth="1"/>
    <col min="15876" max="15876" width="47.1640625" style="2127" customWidth="1"/>
    <col min="15877" max="15877" width="43.6640625" style="2127" customWidth="1"/>
    <col min="15878" max="15879" width="47.33203125" style="2127" customWidth="1"/>
    <col min="15880" max="15880" width="47.1640625" style="2127" customWidth="1"/>
    <col min="15881" max="15881" width="43.6640625" style="2127" customWidth="1"/>
    <col min="15882" max="15883" width="47.33203125" style="2127" customWidth="1"/>
    <col min="15884" max="15884" width="47.1640625" style="2127" customWidth="1"/>
    <col min="15885" max="15885" width="43.6640625" style="2127" customWidth="1"/>
    <col min="15886" max="15887" width="45" style="2127" customWidth="1"/>
    <col min="15888" max="15888" width="44.83203125" style="2127" customWidth="1"/>
    <col min="15889" max="15889" width="45" style="2127" customWidth="1"/>
    <col min="15890" max="15891" width="47.33203125" style="2127" customWidth="1"/>
    <col min="15892" max="15892" width="47.1640625" style="2127" customWidth="1"/>
    <col min="15893" max="15893" width="43.6640625" style="2127" customWidth="1"/>
    <col min="15894" max="15894" width="193.33203125" style="2127" customWidth="1"/>
    <col min="15895" max="15897" width="47.33203125" style="2127" customWidth="1"/>
    <col min="15898" max="15898" width="43.6640625" style="2127" customWidth="1"/>
    <col min="15899" max="15901" width="47.33203125" style="2127" customWidth="1"/>
    <col min="15902" max="15902" width="44" style="2127" customWidth="1"/>
    <col min="15903" max="15905" width="47.33203125" style="2127" customWidth="1"/>
    <col min="15906" max="15906" width="43.6640625" style="2127" customWidth="1"/>
    <col min="15907" max="15909" width="47.33203125" style="2127" customWidth="1"/>
    <col min="15910" max="15910" width="43.6640625" style="2127" customWidth="1"/>
    <col min="15911" max="15913" width="47.33203125" style="2127" customWidth="1"/>
    <col min="15914" max="15914" width="43.6640625" style="2127" customWidth="1"/>
    <col min="15915" max="15915" width="193.33203125" style="2127" customWidth="1"/>
    <col min="15916" max="15931" width="56" style="2127" customWidth="1"/>
    <col min="15932" max="15932" width="59" style="2127" customWidth="1"/>
    <col min="15933" max="15933" width="46" style="2127" customWidth="1"/>
    <col min="15934" max="16128" width="9.33203125" style="2127"/>
    <col min="16129" max="16129" width="193.33203125" style="2127" customWidth="1"/>
    <col min="16130" max="16130" width="47.1640625" style="2127" customWidth="1"/>
    <col min="16131" max="16131" width="47.33203125" style="2127" customWidth="1"/>
    <col min="16132" max="16132" width="47.1640625" style="2127" customWidth="1"/>
    <col min="16133" max="16133" width="43.6640625" style="2127" customWidth="1"/>
    <col min="16134" max="16135" width="47.33203125" style="2127" customWidth="1"/>
    <col min="16136" max="16136" width="47.1640625" style="2127" customWidth="1"/>
    <col min="16137" max="16137" width="43.6640625" style="2127" customWidth="1"/>
    <col min="16138" max="16139" width="47.33203125" style="2127" customWidth="1"/>
    <col min="16140" max="16140" width="47.1640625" style="2127" customWidth="1"/>
    <col min="16141" max="16141" width="43.6640625" style="2127" customWidth="1"/>
    <col min="16142" max="16143" width="45" style="2127" customWidth="1"/>
    <col min="16144" max="16144" width="44.83203125" style="2127" customWidth="1"/>
    <col min="16145" max="16145" width="45" style="2127" customWidth="1"/>
    <col min="16146" max="16147" width="47.33203125" style="2127" customWidth="1"/>
    <col min="16148" max="16148" width="47.1640625" style="2127" customWidth="1"/>
    <col min="16149" max="16149" width="43.6640625" style="2127" customWidth="1"/>
    <col min="16150" max="16150" width="193.33203125" style="2127" customWidth="1"/>
    <col min="16151" max="16153" width="47.33203125" style="2127" customWidth="1"/>
    <col min="16154" max="16154" width="43.6640625" style="2127" customWidth="1"/>
    <col min="16155" max="16157" width="47.33203125" style="2127" customWidth="1"/>
    <col min="16158" max="16158" width="44" style="2127" customWidth="1"/>
    <col min="16159" max="16161" width="47.33203125" style="2127" customWidth="1"/>
    <col min="16162" max="16162" width="43.6640625" style="2127" customWidth="1"/>
    <col min="16163" max="16165" width="47.33203125" style="2127" customWidth="1"/>
    <col min="16166" max="16166" width="43.6640625" style="2127" customWidth="1"/>
    <col min="16167" max="16169" width="47.33203125" style="2127" customWidth="1"/>
    <col min="16170" max="16170" width="43.6640625" style="2127" customWidth="1"/>
    <col min="16171" max="16171" width="193.33203125" style="2127" customWidth="1"/>
    <col min="16172" max="16187" width="56" style="2127" customWidth="1"/>
    <col min="16188" max="16188" width="59" style="2127" customWidth="1"/>
    <col min="16189" max="16189" width="46" style="2127" customWidth="1"/>
    <col min="16190" max="16384" width="9.33203125" style="2127"/>
  </cols>
  <sheetData>
    <row r="1" spans="1:67" ht="51.75" customHeight="1" x14ac:dyDescent="0.6"/>
    <row r="2" spans="1:67" ht="51.75" customHeight="1" x14ac:dyDescent="0.6"/>
    <row r="3" spans="1:67" s="2554" customFormat="1" ht="54" customHeight="1" x14ac:dyDescent="0.75">
      <c r="A3" s="2659" t="s">
        <v>820</v>
      </c>
      <c r="B3" s="2659"/>
      <c r="C3" s="2659"/>
      <c r="D3" s="2659"/>
      <c r="E3" s="2659"/>
      <c r="F3" s="2659"/>
      <c r="G3" s="2659"/>
      <c r="H3" s="2659"/>
      <c r="I3" s="2659"/>
      <c r="J3" s="2659"/>
      <c r="K3" s="2659"/>
      <c r="L3" s="2659"/>
      <c r="M3" s="2659"/>
      <c r="N3" s="2659"/>
      <c r="O3" s="2659"/>
      <c r="P3" s="2659"/>
      <c r="Q3" s="2659"/>
      <c r="R3" s="2659"/>
      <c r="S3" s="2659"/>
      <c r="T3" s="2659"/>
      <c r="U3" s="2659"/>
      <c r="V3" s="2660" t="s">
        <v>820</v>
      </c>
      <c r="W3" s="2660"/>
      <c r="X3" s="2660"/>
      <c r="Y3" s="2660"/>
      <c r="Z3" s="2660"/>
      <c r="AA3" s="2660"/>
      <c r="AB3" s="2660"/>
      <c r="AC3" s="2660"/>
      <c r="AD3" s="2660"/>
      <c r="AE3" s="2660"/>
      <c r="AF3" s="2660"/>
      <c r="AG3" s="2660"/>
      <c r="AH3" s="2660"/>
      <c r="AI3" s="2660"/>
      <c r="AJ3" s="2660"/>
      <c r="AK3" s="2660"/>
      <c r="AL3" s="2660"/>
      <c r="AM3" s="2660"/>
      <c r="AN3" s="2660"/>
      <c r="AO3" s="2660"/>
      <c r="AP3" s="2660"/>
      <c r="AQ3" s="2660" t="s">
        <v>820</v>
      </c>
      <c r="AR3" s="2660"/>
      <c r="AS3" s="2660"/>
      <c r="AT3" s="2660"/>
      <c r="AU3" s="2660"/>
      <c r="AV3" s="2660"/>
      <c r="AW3" s="2660"/>
      <c r="AX3" s="2660"/>
      <c r="AY3" s="2660"/>
      <c r="AZ3" s="2660"/>
      <c r="BA3" s="2660"/>
      <c r="BB3" s="2660"/>
      <c r="BC3" s="2660"/>
      <c r="BD3" s="2660"/>
      <c r="BE3" s="2660"/>
      <c r="BF3" s="2660"/>
      <c r="BG3" s="2660"/>
      <c r="BH3" s="2660"/>
      <c r="BI3" s="2660"/>
      <c r="BJ3" s="2660"/>
      <c r="BK3" s="2660"/>
      <c r="BL3" s="2660"/>
      <c r="BM3" s="2660"/>
      <c r="BN3" s="2660"/>
      <c r="BO3" s="2660"/>
    </row>
    <row r="4" spans="1:67" s="2554" customFormat="1" ht="54" customHeight="1" x14ac:dyDescent="0.75">
      <c r="A4" s="2659" t="s">
        <v>1454</v>
      </c>
      <c r="B4" s="2659"/>
      <c r="C4" s="2659"/>
      <c r="D4" s="2659"/>
      <c r="E4" s="2659"/>
      <c r="F4" s="2659"/>
      <c r="G4" s="2659"/>
      <c r="H4" s="2659"/>
      <c r="I4" s="2659"/>
      <c r="J4" s="2659"/>
      <c r="K4" s="2659"/>
      <c r="L4" s="2659"/>
      <c r="M4" s="2659"/>
      <c r="N4" s="2659"/>
      <c r="O4" s="2659"/>
      <c r="P4" s="2659"/>
      <c r="Q4" s="2659"/>
      <c r="R4" s="2659"/>
      <c r="S4" s="2659"/>
      <c r="T4" s="2659"/>
      <c r="U4" s="2659"/>
      <c r="V4" s="2661" t="s">
        <v>1454</v>
      </c>
      <c r="W4" s="2661"/>
      <c r="X4" s="2661"/>
      <c r="Y4" s="2661"/>
      <c r="Z4" s="2661"/>
      <c r="AA4" s="2661"/>
      <c r="AB4" s="2661"/>
      <c r="AC4" s="2661"/>
      <c r="AD4" s="2661"/>
      <c r="AE4" s="2661"/>
      <c r="AF4" s="2661"/>
      <c r="AG4" s="2661"/>
      <c r="AH4" s="2661"/>
      <c r="AI4" s="2661"/>
      <c r="AJ4" s="2661"/>
      <c r="AK4" s="2661"/>
      <c r="AL4" s="2661"/>
      <c r="AM4" s="2661"/>
      <c r="AN4" s="2661"/>
      <c r="AO4" s="2661"/>
      <c r="AP4" s="2661"/>
      <c r="AQ4" s="2660" t="s">
        <v>1454</v>
      </c>
      <c r="AR4" s="2660"/>
      <c r="AS4" s="2660"/>
      <c r="AT4" s="2660"/>
      <c r="AU4" s="2660"/>
      <c r="AV4" s="2660"/>
      <c r="AW4" s="2660"/>
      <c r="AX4" s="2660"/>
      <c r="AY4" s="2660"/>
      <c r="AZ4" s="2660"/>
      <c r="BA4" s="2660"/>
      <c r="BB4" s="2660"/>
      <c r="BC4" s="2660"/>
      <c r="BD4" s="2660"/>
      <c r="BE4" s="2660"/>
      <c r="BF4" s="2660"/>
      <c r="BG4" s="2660"/>
      <c r="BH4" s="2660"/>
      <c r="BI4" s="2660"/>
      <c r="BJ4" s="2660"/>
      <c r="BK4" s="2660"/>
      <c r="BL4" s="2660"/>
      <c r="BM4" s="2660"/>
      <c r="BN4" s="2660"/>
      <c r="BO4" s="2660"/>
    </row>
    <row r="5" spans="1:67" ht="42.75" customHeight="1" thickBot="1" x14ac:dyDescent="0.65"/>
    <row r="6" spans="1:67" s="2129" customFormat="1" ht="54.75" customHeight="1" thickBot="1" x14ac:dyDescent="0.65">
      <c r="A6" s="2128"/>
      <c r="B6" s="2653" t="s">
        <v>1455</v>
      </c>
      <c r="C6" s="2654"/>
      <c r="D6" s="2654"/>
      <c r="E6" s="2655"/>
      <c r="F6" s="2662" t="s">
        <v>835</v>
      </c>
      <c r="G6" s="2663"/>
      <c r="H6" s="2663"/>
      <c r="I6" s="2664"/>
      <c r="J6" s="2653" t="s">
        <v>1456</v>
      </c>
      <c r="K6" s="2654"/>
      <c r="L6" s="2654"/>
      <c r="M6" s="2655"/>
      <c r="N6" s="2653" t="s">
        <v>124</v>
      </c>
      <c r="O6" s="2654"/>
      <c r="P6" s="2654"/>
      <c r="Q6" s="2655"/>
      <c r="R6" s="2662" t="s">
        <v>850</v>
      </c>
      <c r="S6" s="2663"/>
      <c r="T6" s="2663"/>
      <c r="U6" s="2664"/>
      <c r="V6" s="2128"/>
      <c r="W6" s="2653" t="s">
        <v>234</v>
      </c>
      <c r="X6" s="2654"/>
      <c r="Y6" s="2654"/>
      <c r="Z6" s="2655"/>
      <c r="AA6" s="2662" t="s">
        <v>229</v>
      </c>
      <c r="AB6" s="2663"/>
      <c r="AC6" s="2663"/>
      <c r="AD6" s="2664"/>
      <c r="AE6" s="2653" t="s">
        <v>859</v>
      </c>
      <c r="AF6" s="2654"/>
      <c r="AG6" s="2654"/>
      <c r="AH6" s="2655"/>
      <c r="AI6" s="2662" t="s">
        <v>862</v>
      </c>
      <c r="AJ6" s="2663"/>
      <c r="AK6" s="2663"/>
      <c r="AL6" s="2664"/>
      <c r="AM6" s="2671" t="s">
        <v>1457</v>
      </c>
      <c r="AN6" s="2672"/>
      <c r="AO6" s="2672"/>
      <c r="AP6" s="2673"/>
      <c r="AQ6" s="2128"/>
      <c r="AR6" s="2668" t="s">
        <v>1458</v>
      </c>
      <c r="AS6" s="2669"/>
      <c r="AT6" s="2669"/>
      <c r="AU6" s="2669"/>
      <c r="AV6" s="2669"/>
      <c r="AW6" s="2669"/>
      <c r="AX6" s="2669"/>
      <c r="AY6" s="2670"/>
      <c r="AZ6" s="2662" t="s">
        <v>1459</v>
      </c>
      <c r="BA6" s="2663"/>
      <c r="BB6" s="2663"/>
      <c r="BC6" s="2664"/>
      <c r="BD6" s="2653" t="s">
        <v>1460</v>
      </c>
      <c r="BE6" s="2654"/>
      <c r="BF6" s="2654"/>
      <c r="BG6" s="2655"/>
    </row>
    <row r="7" spans="1:67" s="2132" customFormat="1" ht="54.75" customHeight="1" thickBot="1" x14ac:dyDescent="0.65">
      <c r="A7" s="2130" t="s">
        <v>1295</v>
      </c>
      <c r="B7" s="2656"/>
      <c r="C7" s="2657"/>
      <c r="D7" s="2657"/>
      <c r="E7" s="2658"/>
      <c r="F7" s="2665"/>
      <c r="G7" s="2666"/>
      <c r="H7" s="2666"/>
      <c r="I7" s="2667"/>
      <c r="J7" s="2656"/>
      <c r="K7" s="2657"/>
      <c r="L7" s="2657"/>
      <c r="M7" s="2658"/>
      <c r="N7" s="2656"/>
      <c r="O7" s="2657"/>
      <c r="P7" s="2657"/>
      <c r="Q7" s="2658"/>
      <c r="R7" s="2665"/>
      <c r="S7" s="2666"/>
      <c r="T7" s="2666"/>
      <c r="U7" s="2667"/>
      <c r="V7" s="2130" t="s">
        <v>1295</v>
      </c>
      <c r="W7" s="2656"/>
      <c r="X7" s="2657"/>
      <c r="Y7" s="2657"/>
      <c r="Z7" s="2658"/>
      <c r="AA7" s="2665"/>
      <c r="AB7" s="2666"/>
      <c r="AC7" s="2666"/>
      <c r="AD7" s="2667"/>
      <c r="AE7" s="2656"/>
      <c r="AF7" s="2657"/>
      <c r="AG7" s="2657"/>
      <c r="AH7" s="2658"/>
      <c r="AI7" s="2665"/>
      <c r="AJ7" s="2666"/>
      <c r="AK7" s="2666"/>
      <c r="AL7" s="2667"/>
      <c r="AM7" s="2674"/>
      <c r="AN7" s="2675"/>
      <c r="AO7" s="2675"/>
      <c r="AP7" s="2676"/>
      <c r="AQ7" s="2130" t="s">
        <v>1295</v>
      </c>
      <c r="AR7" s="2668" t="s">
        <v>1461</v>
      </c>
      <c r="AS7" s="2669"/>
      <c r="AT7" s="2669"/>
      <c r="AU7" s="2670"/>
      <c r="AV7" s="2668" t="s">
        <v>1462</v>
      </c>
      <c r="AW7" s="2669"/>
      <c r="AX7" s="2669"/>
      <c r="AY7" s="2670"/>
      <c r="AZ7" s="2665"/>
      <c r="BA7" s="2666"/>
      <c r="BB7" s="2666"/>
      <c r="BC7" s="2667"/>
      <c r="BD7" s="2656"/>
      <c r="BE7" s="2657"/>
      <c r="BF7" s="2657"/>
      <c r="BG7" s="2658"/>
      <c r="BH7" s="2131"/>
    </row>
    <row r="8" spans="1:67" s="2129" customFormat="1" ht="141.75" customHeight="1" thickBot="1" x14ac:dyDescent="0.65">
      <c r="A8" s="2133">
        <v>2019</v>
      </c>
      <c r="B8" s="2134" t="s">
        <v>1463</v>
      </c>
      <c r="C8" s="2134" t="s">
        <v>1464</v>
      </c>
      <c r="D8" s="2134" t="s">
        <v>139</v>
      </c>
      <c r="E8" s="2134" t="s">
        <v>1465</v>
      </c>
      <c r="F8" s="2134" t="s">
        <v>1463</v>
      </c>
      <c r="G8" s="2134" t="s">
        <v>1466</v>
      </c>
      <c r="H8" s="2134" t="s">
        <v>139</v>
      </c>
      <c r="I8" s="2134" t="s">
        <v>1465</v>
      </c>
      <c r="J8" s="2134" t="s">
        <v>1463</v>
      </c>
      <c r="K8" s="2134" t="s">
        <v>1467</v>
      </c>
      <c r="L8" s="2134" t="s">
        <v>139</v>
      </c>
      <c r="M8" s="2134" t="s">
        <v>1465</v>
      </c>
      <c r="N8" s="2134" t="s">
        <v>1463</v>
      </c>
      <c r="O8" s="2134" t="s">
        <v>1468</v>
      </c>
      <c r="P8" s="2134" t="s">
        <v>139</v>
      </c>
      <c r="Q8" s="2134" t="s">
        <v>1465</v>
      </c>
      <c r="R8" s="2134" t="s">
        <v>1463</v>
      </c>
      <c r="S8" s="2134" t="s">
        <v>1468</v>
      </c>
      <c r="T8" s="2134" t="s">
        <v>139</v>
      </c>
      <c r="U8" s="2134" t="s">
        <v>1465</v>
      </c>
      <c r="V8" s="2133">
        <v>2019</v>
      </c>
      <c r="W8" s="2134" t="s">
        <v>1463</v>
      </c>
      <c r="X8" s="2134" t="s">
        <v>1469</v>
      </c>
      <c r="Y8" s="2134" t="s">
        <v>139</v>
      </c>
      <c r="Z8" s="2134" t="s">
        <v>1465</v>
      </c>
      <c r="AA8" s="2134" t="s">
        <v>1463</v>
      </c>
      <c r="AB8" s="2134" t="s">
        <v>1470</v>
      </c>
      <c r="AC8" s="2134" t="s">
        <v>139</v>
      </c>
      <c r="AD8" s="2134" t="s">
        <v>1465</v>
      </c>
      <c r="AE8" s="2134" t="s">
        <v>1463</v>
      </c>
      <c r="AF8" s="2134" t="s">
        <v>1468</v>
      </c>
      <c r="AG8" s="2134" t="s">
        <v>139</v>
      </c>
      <c r="AH8" s="2134" t="s">
        <v>1465</v>
      </c>
      <c r="AI8" s="2134" t="s">
        <v>1463</v>
      </c>
      <c r="AJ8" s="2134" t="s">
        <v>1468</v>
      </c>
      <c r="AK8" s="2134" t="s">
        <v>139</v>
      </c>
      <c r="AL8" s="2134" t="s">
        <v>1465</v>
      </c>
      <c r="AM8" s="2134" t="s">
        <v>1463</v>
      </c>
      <c r="AN8" s="2134" t="s">
        <v>1471</v>
      </c>
      <c r="AO8" s="2134" t="s">
        <v>139</v>
      </c>
      <c r="AP8" s="2134" t="s">
        <v>1465</v>
      </c>
      <c r="AQ8" s="2133">
        <v>2019</v>
      </c>
      <c r="AR8" s="2134" t="s">
        <v>1463</v>
      </c>
      <c r="AS8" s="2134" t="s">
        <v>1468</v>
      </c>
      <c r="AT8" s="2134" t="s">
        <v>139</v>
      </c>
      <c r="AU8" s="2134" t="s">
        <v>1465</v>
      </c>
      <c r="AV8" s="2134" t="s">
        <v>1463</v>
      </c>
      <c r="AW8" s="2134" t="s">
        <v>1468</v>
      </c>
      <c r="AX8" s="2134" t="s">
        <v>139</v>
      </c>
      <c r="AY8" s="2134" t="s">
        <v>1465</v>
      </c>
      <c r="AZ8" s="2134" t="s">
        <v>1463</v>
      </c>
      <c r="BA8" s="2134" t="s">
        <v>1468</v>
      </c>
      <c r="BB8" s="2134" t="s">
        <v>139</v>
      </c>
      <c r="BC8" s="2134" t="s">
        <v>1465</v>
      </c>
      <c r="BD8" s="2134" t="s">
        <v>1463</v>
      </c>
      <c r="BE8" s="2134" t="s">
        <v>1468</v>
      </c>
      <c r="BF8" s="2134" t="s">
        <v>139</v>
      </c>
      <c r="BG8" s="2134" t="s">
        <v>1465</v>
      </c>
      <c r="BH8" s="2129" t="s">
        <v>1472</v>
      </c>
      <c r="BI8" s="2129" t="s">
        <v>137</v>
      </c>
    </row>
    <row r="9" spans="1:67" s="2138" customFormat="1" ht="45.75" customHeight="1" x14ac:dyDescent="0.6">
      <c r="A9" s="2135" t="s">
        <v>1298</v>
      </c>
      <c r="B9" s="2136"/>
      <c r="C9" s="2136"/>
      <c r="D9" s="2136"/>
      <c r="E9" s="2136"/>
      <c r="F9" s="2136"/>
      <c r="G9" s="2136"/>
      <c r="H9" s="2136"/>
      <c r="I9" s="2136"/>
      <c r="J9" s="2136"/>
      <c r="K9" s="2136"/>
      <c r="L9" s="2136"/>
      <c r="M9" s="2136"/>
      <c r="N9" s="2136"/>
      <c r="O9" s="2136"/>
      <c r="P9" s="2136"/>
      <c r="Q9" s="2136"/>
      <c r="R9" s="2136"/>
      <c r="S9" s="2136"/>
      <c r="T9" s="2136"/>
      <c r="U9" s="2136"/>
      <c r="V9" s="2135" t="s">
        <v>1298</v>
      </c>
      <c r="W9" s="2136"/>
      <c r="X9" s="2136"/>
      <c r="Y9" s="2136"/>
      <c r="Z9" s="2136"/>
      <c r="AA9" s="2136"/>
      <c r="AB9" s="2136"/>
      <c r="AC9" s="2136"/>
      <c r="AD9" s="2136"/>
      <c r="AE9" s="2136"/>
      <c r="AF9" s="2136"/>
      <c r="AG9" s="2136"/>
      <c r="AH9" s="2136"/>
      <c r="AI9" s="2136"/>
      <c r="AJ9" s="2136"/>
      <c r="AK9" s="2136"/>
      <c r="AL9" s="2136"/>
      <c r="AM9" s="2135"/>
      <c r="AN9" s="2135"/>
      <c r="AO9" s="2135"/>
      <c r="AP9" s="2135"/>
      <c r="AQ9" s="2135" t="s">
        <v>1298</v>
      </c>
      <c r="AR9" s="2135"/>
      <c r="AS9" s="2135"/>
      <c r="AT9" s="2135"/>
      <c r="AU9" s="2135"/>
      <c r="AV9" s="2135"/>
      <c r="AW9" s="2135"/>
      <c r="AX9" s="2135"/>
      <c r="AY9" s="2135"/>
      <c r="AZ9" s="2135"/>
      <c r="BA9" s="2135"/>
      <c r="BB9" s="2137"/>
      <c r="BC9" s="2137"/>
      <c r="BD9" s="2137"/>
      <c r="BE9" s="2137"/>
      <c r="BF9" s="2136"/>
      <c r="BG9" s="2136"/>
    </row>
    <row r="10" spans="1:67" ht="57" customHeight="1" x14ac:dyDescent="0.6">
      <c r="A10" s="2139" t="s">
        <v>1299</v>
      </c>
      <c r="B10" s="2140">
        <f>[4]int.bevételek2019!B9</f>
        <v>968</v>
      </c>
      <c r="C10" s="2140">
        <f>'[5]int.bevételek RM IV'!D10</f>
        <v>2065</v>
      </c>
      <c r="D10" s="2140">
        <v>2063</v>
      </c>
      <c r="E10" s="2141">
        <f t="shared" ref="E10:E30" si="0">D10/C10</f>
        <v>0.99903147699757866</v>
      </c>
      <c r="F10" s="2140">
        <f>[4]int.bevételek2019!C9</f>
        <v>0</v>
      </c>
      <c r="G10" s="2140">
        <f>'[5]int.bevételek RM IV'!G10</f>
        <v>0</v>
      </c>
      <c r="H10" s="2140"/>
      <c r="I10" s="2141"/>
      <c r="J10" s="2140">
        <f>[4]int.bevételek2019!D9</f>
        <v>0</v>
      </c>
      <c r="K10" s="2140">
        <f>'[5]int.bevételek RM IV'!J10</f>
        <v>0</v>
      </c>
      <c r="L10" s="2140"/>
      <c r="M10" s="2141"/>
      <c r="N10" s="2140">
        <f>[4]int.bevételek2019!E9</f>
        <v>0</v>
      </c>
      <c r="O10" s="2140">
        <f>'[5]int.bevételek RM IV'!M10</f>
        <v>0</v>
      </c>
      <c r="P10" s="2140"/>
      <c r="Q10" s="2141"/>
      <c r="R10" s="2140">
        <f t="shared" ref="R10:T27" si="1">B10+F10+J10+N10</f>
        <v>968</v>
      </c>
      <c r="S10" s="2140">
        <f t="shared" si="1"/>
        <v>2065</v>
      </c>
      <c r="T10" s="2140">
        <f t="shared" si="1"/>
        <v>2063</v>
      </c>
      <c r="U10" s="2141">
        <f t="shared" ref="U10:U30" si="2">T10/S10</f>
        <v>0.99903147699757866</v>
      </c>
      <c r="V10" s="2139" t="s">
        <v>1299</v>
      </c>
      <c r="W10" s="2140">
        <f>[4]int.bevételek2019!H9</f>
        <v>0</v>
      </c>
      <c r="X10" s="2140">
        <f>'[5]int.bevételek RM IV'!T10</f>
        <v>0</v>
      </c>
      <c r="Y10" s="2140"/>
      <c r="Z10" s="2141"/>
      <c r="AA10" s="2140">
        <f>[4]int.bevételek2019!I9</f>
        <v>0</v>
      </c>
      <c r="AB10" s="2140">
        <f>'[5]int.bevételek RM IV'!W10</f>
        <v>0</v>
      </c>
      <c r="AC10" s="2140"/>
      <c r="AD10" s="2141"/>
      <c r="AE10" s="2140">
        <f>[4]int.bevételek2019!J9</f>
        <v>0</v>
      </c>
      <c r="AF10" s="2140">
        <f>'[5]int.bevételek RM IV'!Z10</f>
        <v>0</v>
      </c>
      <c r="AG10" s="2140"/>
      <c r="AH10" s="2141"/>
      <c r="AI10" s="2140">
        <f t="shared" ref="AI10:AK27" si="3">W10+AA10+AE10</f>
        <v>0</v>
      </c>
      <c r="AJ10" s="2140">
        <f t="shared" si="3"/>
        <v>0</v>
      </c>
      <c r="AK10" s="2140">
        <f t="shared" si="3"/>
        <v>0</v>
      </c>
      <c r="AL10" s="2141"/>
      <c r="AM10" s="2140"/>
      <c r="AN10" s="2140">
        <f>'[5]int.bevételek RM IV'!AJ10</f>
        <v>512</v>
      </c>
      <c r="AO10" s="2140">
        <v>512</v>
      </c>
      <c r="AP10" s="2141">
        <f t="shared" ref="AP10:AP30" si="4">AO10/AN10</f>
        <v>1</v>
      </c>
      <c r="AQ10" s="2139" t="s">
        <v>1299</v>
      </c>
      <c r="AR10" s="2140">
        <f>[4]int.bevételek2019!L9</f>
        <v>152738</v>
      </c>
      <c r="AS10" s="2140">
        <f>'[5]int.bevételek RM IV'!AM10</f>
        <v>154833</v>
      </c>
      <c r="AT10" s="2140">
        <f>143302-786</f>
        <v>142516</v>
      </c>
      <c r="AU10" s="2141">
        <f t="shared" ref="AU10:AU30" si="5">AT10/AS10</f>
        <v>0.92044977491878344</v>
      </c>
      <c r="AV10" s="2140">
        <f>[4]int.bevételek2019!M9</f>
        <v>0</v>
      </c>
      <c r="AW10" s="2140">
        <f>'[5]int.bevételek RM IV'!AP10</f>
        <v>11699</v>
      </c>
      <c r="AX10" s="2140">
        <v>786</v>
      </c>
      <c r="AY10" s="2141">
        <f t="shared" ref="AY10:AY26" si="6">AX10/AW10</f>
        <v>6.7185229506795452E-2</v>
      </c>
      <c r="AZ10" s="2140">
        <f t="shared" ref="AZ10:BB27" si="7">AR10+AV10</f>
        <v>152738</v>
      </c>
      <c r="BA10" s="2140">
        <f t="shared" si="7"/>
        <v>166532</v>
      </c>
      <c r="BB10" s="2140">
        <f t="shared" si="7"/>
        <v>143302</v>
      </c>
      <c r="BC10" s="2141">
        <f t="shared" ref="BC10:BC30" si="8">BB10/BA10</f>
        <v>0.86050728989023129</v>
      </c>
      <c r="BD10" s="2140">
        <f t="shared" ref="BD10:BF27" si="9">R10+AI10+AM10+AZ10</f>
        <v>153706</v>
      </c>
      <c r="BE10" s="2140">
        <f t="shared" si="9"/>
        <v>169109</v>
      </c>
      <c r="BF10" s="2140">
        <f t="shared" si="9"/>
        <v>145877</v>
      </c>
      <c r="BG10" s="2141">
        <f t="shared" ref="BG10:BG30" si="10">BF10/BE10</f>
        <v>0.86262114967269632</v>
      </c>
      <c r="BH10" s="2127">
        <f>'[6]éves besz.kiadásai2019'!AQ10-'4 int bevétel'!AK10-AX10</f>
        <v>0</v>
      </c>
      <c r="BI10" s="2127">
        <f>'[6]éves besz.kiadásai2019'!AP10-'4 int bevétel'!AJ10-AW10</f>
        <v>0</v>
      </c>
    </row>
    <row r="11" spans="1:67" ht="57" customHeight="1" x14ac:dyDescent="0.6">
      <c r="A11" s="2139" t="s">
        <v>1434</v>
      </c>
      <c r="B11" s="2140">
        <f>[4]int.bevételek2019!B10</f>
        <v>1009</v>
      </c>
      <c r="C11" s="2140">
        <f>'[5]int.bevételek RM IV'!D11</f>
        <v>1717</v>
      </c>
      <c r="D11" s="2140">
        <v>1716</v>
      </c>
      <c r="E11" s="2141">
        <f t="shared" si="0"/>
        <v>0.99941758881770526</v>
      </c>
      <c r="F11" s="2140">
        <f>[4]int.bevételek2019!C10</f>
        <v>0</v>
      </c>
      <c r="G11" s="2140">
        <f>'[5]int.bevételek RM IV'!G11</f>
        <v>0</v>
      </c>
      <c r="H11" s="2140"/>
      <c r="I11" s="2141"/>
      <c r="J11" s="2140">
        <f>[4]int.bevételek2019!D10</f>
        <v>0</v>
      </c>
      <c r="K11" s="2140">
        <f>'[5]int.bevételek RM IV'!J11</f>
        <v>0</v>
      </c>
      <c r="L11" s="2140"/>
      <c r="M11" s="2141"/>
      <c r="N11" s="2140">
        <f>[4]int.bevételek2019!E10</f>
        <v>0</v>
      </c>
      <c r="O11" s="2140">
        <f>'[5]int.bevételek RM IV'!M11</f>
        <v>0</v>
      </c>
      <c r="P11" s="2140"/>
      <c r="Q11" s="2141"/>
      <c r="R11" s="2140">
        <f t="shared" si="1"/>
        <v>1009</v>
      </c>
      <c r="S11" s="2140">
        <f t="shared" si="1"/>
        <v>1717</v>
      </c>
      <c r="T11" s="2140">
        <f t="shared" si="1"/>
        <v>1716</v>
      </c>
      <c r="U11" s="2141">
        <f t="shared" si="2"/>
        <v>0.99941758881770526</v>
      </c>
      <c r="V11" s="2139" t="s">
        <v>1434</v>
      </c>
      <c r="W11" s="2140">
        <f>[4]int.bevételek2019!H10</f>
        <v>0</v>
      </c>
      <c r="X11" s="2140">
        <f>'[5]int.bevételek RM IV'!T11</f>
        <v>0</v>
      </c>
      <c r="Y11" s="2140"/>
      <c r="Z11" s="2141"/>
      <c r="AA11" s="2140">
        <f>[4]int.bevételek2019!I10</f>
        <v>0</v>
      </c>
      <c r="AB11" s="2140">
        <f>'[5]int.bevételek RM IV'!W11</f>
        <v>0</v>
      </c>
      <c r="AC11" s="2140"/>
      <c r="AD11" s="2141"/>
      <c r="AE11" s="2140">
        <f>[4]int.bevételek2019!J10</f>
        <v>0</v>
      </c>
      <c r="AF11" s="2140">
        <f>'[5]int.bevételek RM IV'!Z11</f>
        <v>0</v>
      </c>
      <c r="AG11" s="2140"/>
      <c r="AH11" s="2141"/>
      <c r="AI11" s="2140">
        <f t="shared" si="3"/>
        <v>0</v>
      </c>
      <c r="AJ11" s="2140">
        <f t="shared" si="3"/>
        <v>0</v>
      </c>
      <c r="AK11" s="2140">
        <f t="shared" si="3"/>
        <v>0</v>
      </c>
      <c r="AL11" s="2141"/>
      <c r="AM11" s="2140"/>
      <c r="AN11" s="2140">
        <f>'[5]int.bevételek RM IV'!AJ11</f>
        <v>467</v>
      </c>
      <c r="AO11" s="2140">
        <v>467</v>
      </c>
      <c r="AP11" s="2141">
        <f t="shared" si="4"/>
        <v>1</v>
      </c>
      <c r="AQ11" s="2139" t="s">
        <v>1434</v>
      </c>
      <c r="AR11" s="2140">
        <f>[4]int.bevételek2019!L10</f>
        <v>104489</v>
      </c>
      <c r="AS11" s="2140">
        <f>'[5]int.bevételek RM IV'!AM11</f>
        <v>104654</v>
      </c>
      <c r="AT11" s="2140">
        <f>106095-4787</f>
        <v>101308</v>
      </c>
      <c r="AU11" s="2141">
        <f t="shared" si="5"/>
        <v>0.96802797790815454</v>
      </c>
      <c r="AV11" s="2140">
        <f>[4]int.bevételek2019!M10</f>
        <v>0</v>
      </c>
      <c r="AW11" s="2140">
        <f>'[5]int.bevételek RM IV'!AP11</f>
        <v>5258</v>
      </c>
      <c r="AX11" s="2140">
        <v>4787</v>
      </c>
      <c r="AY11" s="2141">
        <f t="shared" si="6"/>
        <v>0.91042221376949406</v>
      </c>
      <c r="AZ11" s="2140">
        <f t="shared" si="7"/>
        <v>104489</v>
      </c>
      <c r="BA11" s="2140">
        <f t="shared" si="7"/>
        <v>109912</v>
      </c>
      <c r="BB11" s="2140">
        <f t="shared" si="7"/>
        <v>106095</v>
      </c>
      <c r="BC11" s="2141">
        <f t="shared" si="8"/>
        <v>0.96527221777421934</v>
      </c>
      <c r="BD11" s="2140">
        <f t="shared" si="9"/>
        <v>105498</v>
      </c>
      <c r="BE11" s="2140">
        <f t="shared" si="9"/>
        <v>112096</v>
      </c>
      <c r="BF11" s="2140">
        <f t="shared" si="9"/>
        <v>108278</v>
      </c>
      <c r="BG11" s="2141">
        <f t="shared" si="10"/>
        <v>0.96593990864972878</v>
      </c>
      <c r="BH11" s="2127">
        <f>'[6]éves besz.kiadásai2019'!AQ11-'4 int bevétel'!AK11-AX11</f>
        <v>0</v>
      </c>
      <c r="BI11" s="2127">
        <f>'[6]éves besz.kiadásai2019'!AP11-'4 int bevétel'!AJ11-AW11</f>
        <v>0</v>
      </c>
    </row>
    <row r="12" spans="1:67" ht="57" customHeight="1" x14ac:dyDescent="0.6">
      <c r="A12" s="2139" t="s">
        <v>1435</v>
      </c>
      <c r="B12" s="2140">
        <f>[4]int.bevételek2019!B11</f>
        <v>1373</v>
      </c>
      <c r="C12" s="2140">
        <f>'[5]int.bevételek RM IV'!D12</f>
        <v>1846</v>
      </c>
      <c r="D12" s="2140">
        <v>1845</v>
      </c>
      <c r="E12" s="2141">
        <f t="shared" si="0"/>
        <v>0.99945828819068261</v>
      </c>
      <c r="F12" s="2140">
        <f>[4]int.bevételek2019!C11</f>
        <v>0</v>
      </c>
      <c r="G12" s="2140">
        <f>'[5]int.bevételek RM IV'!G12</f>
        <v>244</v>
      </c>
      <c r="H12" s="2140">
        <v>243</v>
      </c>
      <c r="I12" s="2141">
        <f>H12/G12</f>
        <v>0.99590163934426235</v>
      </c>
      <c r="J12" s="2140">
        <f>[4]int.bevételek2019!D11</f>
        <v>0</v>
      </c>
      <c r="K12" s="2140">
        <f>'[5]int.bevételek RM IV'!J12</f>
        <v>0</v>
      </c>
      <c r="L12" s="2140"/>
      <c r="M12" s="2141"/>
      <c r="N12" s="2140">
        <f>[4]int.bevételek2019!E11</f>
        <v>0</v>
      </c>
      <c r="O12" s="2140">
        <f>'[5]int.bevételek RM IV'!M12</f>
        <v>0</v>
      </c>
      <c r="P12" s="2140"/>
      <c r="Q12" s="2141"/>
      <c r="R12" s="2140">
        <f t="shared" si="1"/>
        <v>1373</v>
      </c>
      <c r="S12" s="2140">
        <f t="shared" si="1"/>
        <v>2090</v>
      </c>
      <c r="T12" s="2140">
        <f t="shared" si="1"/>
        <v>2088</v>
      </c>
      <c r="U12" s="2141">
        <f t="shared" si="2"/>
        <v>0.99904306220095696</v>
      </c>
      <c r="V12" s="2139" t="s">
        <v>1435</v>
      </c>
      <c r="W12" s="2140">
        <f>[4]int.bevételek2019!H11</f>
        <v>0</v>
      </c>
      <c r="X12" s="2140">
        <f>'[5]int.bevételek RM IV'!T12</f>
        <v>0</v>
      </c>
      <c r="Y12" s="2140"/>
      <c r="Z12" s="2141"/>
      <c r="AA12" s="2140">
        <f>[4]int.bevételek2019!I11</f>
        <v>0</v>
      </c>
      <c r="AB12" s="2140">
        <f>'[5]int.bevételek RM IV'!W12</f>
        <v>0</v>
      </c>
      <c r="AC12" s="2140"/>
      <c r="AD12" s="2141"/>
      <c r="AE12" s="2140">
        <f>[4]int.bevételek2019!J11</f>
        <v>0</v>
      </c>
      <c r="AF12" s="2140">
        <f>'[5]int.bevételek RM IV'!Z12</f>
        <v>0</v>
      </c>
      <c r="AG12" s="2140"/>
      <c r="AH12" s="2141"/>
      <c r="AI12" s="2140">
        <f t="shared" si="3"/>
        <v>0</v>
      </c>
      <c r="AJ12" s="2140">
        <f t="shared" si="3"/>
        <v>0</v>
      </c>
      <c r="AK12" s="2140">
        <f t="shared" si="3"/>
        <v>0</v>
      </c>
      <c r="AL12" s="2141"/>
      <c r="AM12" s="2140"/>
      <c r="AN12" s="2140">
        <f>'[5]int.bevételek RM IV'!AJ12</f>
        <v>422</v>
      </c>
      <c r="AO12" s="2140">
        <v>422</v>
      </c>
      <c r="AP12" s="2141">
        <f t="shared" si="4"/>
        <v>1</v>
      </c>
      <c r="AQ12" s="2139" t="s">
        <v>1435</v>
      </c>
      <c r="AR12" s="2140">
        <f>[4]int.bevételek2019!L11</f>
        <v>96207</v>
      </c>
      <c r="AS12" s="2140">
        <f>'[5]int.bevételek RM IV'!AM12</f>
        <v>97170</v>
      </c>
      <c r="AT12" s="2140">
        <f>98490-5089</f>
        <v>93401</v>
      </c>
      <c r="AU12" s="2141">
        <f t="shared" si="5"/>
        <v>0.96121230832561488</v>
      </c>
      <c r="AV12" s="2140">
        <f>[4]int.bevételek2019!M11</f>
        <v>0</v>
      </c>
      <c r="AW12" s="2140">
        <f>'[5]int.bevételek RM IV'!AP12</f>
        <v>5091</v>
      </c>
      <c r="AX12" s="2140">
        <v>5089</v>
      </c>
      <c r="AY12" s="2141">
        <f t="shared" si="6"/>
        <v>0.99960714987232369</v>
      </c>
      <c r="AZ12" s="2140">
        <f t="shared" si="7"/>
        <v>96207</v>
      </c>
      <c r="BA12" s="2140">
        <f t="shared" si="7"/>
        <v>102261</v>
      </c>
      <c r="BB12" s="2140">
        <f t="shared" si="7"/>
        <v>98490</v>
      </c>
      <c r="BC12" s="2141">
        <f t="shared" si="8"/>
        <v>0.96312377152580164</v>
      </c>
      <c r="BD12" s="2140">
        <f t="shared" si="9"/>
        <v>97580</v>
      </c>
      <c r="BE12" s="2140">
        <f t="shared" si="9"/>
        <v>104773</v>
      </c>
      <c r="BF12" s="2140">
        <f t="shared" si="9"/>
        <v>101000</v>
      </c>
      <c r="BG12" s="2141">
        <f t="shared" si="10"/>
        <v>0.9639888139119811</v>
      </c>
      <c r="BH12" s="2127">
        <f>'[6]éves besz.kiadásai2019'!AQ12-'4 int bevétel'!AK12-AX12</f>
        <v>0</v>
      </c>
      <c r="BI12" s="2127">
        <f>'[6]éves besz.kiadásai2019'!AP12-'4 int bevétel'!AJ12-AW12</f>
        <v>0</v>
      </c>
    </row>
    <row r="13" spans="1:67" ht="57" customHeight="1" x14ac:dyDescent="0.6">
      <c r="A13" s="2139" t="s">
        <v>1436</v>
      </c>
      <c r="B13" s="2140">
        <f>[4]int.bevételek2019!B12</f>
        <v>958</v>
      </c>
      <c r="C13" s="2140">
        <f>'[5]int.bevételek RM IV'!D13</f>
        <v>1356</v>
      </c>
      <c r="D13" s="2140">
        <v>1355</v>
      </c>
      <c r="E13" s="2141">
        <f t="shared" si="0"/>
        <v>0.99926253687315636</v>
      </c>
      <c r="F13" s="2140">
        <f>[4]int.bevételek2019!C12</f>
        <v>0</v>
      </c>
      <c r="G13" s="2140">
        <f>'[5]int.bevételek RM IV'!G13</f>
        <v>0</v>
      </c>
      <c r="H13" s="2140"/>
      <c r="I13" s="2141"/>
      <c r="J13" s="2140">
        <f>[4]int.bevételek2019!D12</f>
        <v>0</v>
      </c>
      <c r="K13" s="2140">
        <f>'[5]int.bevételek RM IV'!J13</f>
        <v>0</v>
      </c>
      <c r="L13" s="2140"/>
      <c r="M13" s="2141"/>
      <c r="N13" s="2140">
        <f>[4]int.bevételek2019!E12</f>
        <v>0</v>
      </c>
      <c r="O13" s="2140">
        <f>'[5]int.bevételek RM IV'!M13</f>
        <v>0</v>
      </c>
      <c r="P13" s="2140"/>
      <c r="Q13" s="2141"/>
      <c r="R13" s="2140">
        <f t="shared" si="1"/>
        <v>958</v>
      </c>
      <c r="S13" s="2140">
        <f t="shared" si="1"/>
        <v>1356</v>
      </c>
      <c r="T13" s="2140">
        <f t="shared" si="1"/>
        <v>1355</v>
      </c>
      <c r="U13" s="2141">
        <f t="shared" si="2"/>
        <v>0.99926253687315636</v>
      </c>
      <c r="V13" s="2139" t="s">
        <v>1436</v>
      </c>
      <c r="W13" s="2140">
        <f>[4]int.bevételek2019!H12</f>
        <v>0</v>
      </c>
      <c r="X13" s="2140">
        <f>'[5]int.bevételek RM IV'!T13</f>
        <v>0</v>
      </c>
      <c r="Y13" s="2140"/>
      <c r="Z13" s="2141"/>
      <c r="AA13" s="2140">
        <f>[4]int.bevételek2019!I12</f>
        <v>0</v>
      </c>
      <c r="AB13" s="2140">
        <f>'[5]int.bevételek RM IV'!W13</f>
        <v>0</v>
      </c>
      <c r="AC13" s="2140"/>
      <c r="AD13" s="2141"/>
      <c r="AE13" s="2140">
        <f>[4]int.bevételek2019!J12</f>
        <v>0</v>
      </c>
      <c r="AF13" s="2140">
        <f>'[5]int.bevételek RM IV'!Z13</f>
        <v>0</v>
      </c>
      <c r="AG13" s="2140"/>
      <c r="AH13" s="2141"/>
      <c r="AI13" s="2140">
        <f t="shared" si="3"/>
        <v>0</v>
      </c>
      <c r="AJ13" s="2140">
        <f t="shared" si="3"/>
        <v>0</v>
      </c>
      <c r="AK13" s="2140">
        <f t="shared" si="3"/>
        <v>0</v>
      </c>
      <c r="AL13" s="2141"/>
      <c r="AM13" s="2140"/>
      <c r="AN13" s="2140">
        <f>'[5]int.bevételek RM IV'!AJ13</f>
        <v>623</v>
      </c>
      <c r="AO13" s="2140">
        <v>623</v>
      </c>
      <c r="AP13" s="2141">
        <f t="shared" si="4"/>
        <v>1</v>
      </c>
      <c r="AQ13" s="2139" t="s">
        <v>1436</v>
      </c>
      <c r="AR13" s="2140">
        <f>[4]int.bevételek2019!L12</f>
        <v>135940</v>
      </c>
      <c r="AS13" s="2140">
        <f>'[5]int.bevételek RM IV'!AM13</f>
        <v>139301</v>
      </c>
      <c r="AT13" s="2140">
        <f>136365-4174</f>
        <v>132191</v>
      </c>
      <c r="AU13" s="2141">
        <f t="shared" si="5"/>
        <v>0.948959447527297</v>
      </c>
      <c r="AV13" s="2140">
        <f>[4]int.bevételek2019!M12</f>
        <v>0</v>
      </c>
      <c r="AW13" s="2140">
        <f>'[5]int.bevételek RM IV'!AP13</f>
        <v>6150</v>
      </c>
      <c r="AX13" s="2140">
        <v>4174</v>
      </c>
      <c r="AY13" s="2141">
        <f t="shared" si="6"/>
        <v>0.67869918699186993</v>
      </c>
      <c r="AZ13" s="2140">
        <f t="shared" si="7"/>
        <v>135940</v>
      </c>
      <c r="BA13" s="2140">
        <f t="shared" si="7"/>
        <v>145451</v>
      </c>
      <c r="BB13" s="2140">
        <f t="shared" si="7"/>
        <v>136365</v>
      </c>
      <c r="BC13" s="2141">
        <f t="shared" si="8"/>
        <v>0.93753222734804165</v>
      </c>
      <c r="BD13" s="2140">
        <f t="shared" si="9"/>
        <v>136898</v>
      </c>
      <c r="BE13" s="2140">
        <f t="shared" si="9"/>
        <v>147430</v>
      </c>
      <c r="BF13" s="2140">
        <f t="shared" si="9"/>
        <v>138343</v>
      </c>
      <c r="BG13" s="2141">
        <f t="shared" si="10"/>
        <v>0.93836396934138233</v>
      </c>
      <c r="BH13" s="2127">
        <f>'[6]éves besz.kiadásai2019'!AQ13-'4 int bevétel'!AK13-AX13</f>
        <v>0</v>
      </c>
      <c r="BI13" s="2127">
        <f>'[6]éves besz.kiadásai2019'!AP13-'4 int bevétel'!AJ13-AW13</f>
        <v>0</v>
      </c>
    </row>
    <row r="14" spans="1:67" ht="57" customHeight="1" x14ac:dyDescent="0.6">
      <c r="A14" s="2139" t="s">
        <v>1437</v>
      </c>
      <c r="B14" s="2140">
        <f>[4]int.bevételek2019!B13</f>
        <v>1338</v>
      </c>
      <c r="C14" s="2140">
        <f>'[5]int.bevételek RM IV'!D14</f>
        <v>1712</v>
      </c>
      <c r="D14" s="2140">
        <v>1708</v>
      </c>
      <c r="E14" s="2141">
        <f t="shared" si="0"/>
        <v>0.99766355140186913</v>
      </c>
      <c r="F14" s="2140">
        <f>[4]int.bevételek2019!C13</f>
        <v>0</v>
      </c>
      <c r="G14" s="2140">
        <f>'[5]int.bevételek RM IV'!G14</f>
        <v>135</v>
      </c>
      <c r="H14" s="2140">
        <v>134</v>
      </c>
      <c r="I14" s="2141">
        <f>H14/G14</f>
        <v>0.99259259259259258</v>
      </c>
      <c r="J14" s="2140">
        <f>[4]int.bevételek2019!D13</f>
        <v>0</v>
      </c>
      <c r="K14" s="2140">
        <f>'[5]int.bevételek RM IV'!J14</f>
        <v>983</v>
      </c>
      <c r="L14" s="2140">
        <v>983</v>
      </c>
      <c r="M14" s="2141">
        <f>L14/K14</f>
        <v>1</v>
      </c>
      <c r="N14" s="2140">
        <f>[4]int.bevételek2019!E13</f>
        <v>0</v>
      </c>
      <c r="O14" s="2140">
        <f>'[5]int.bevételek RM IV'!M14</f>
        <v>0</v>
      </c>
      <c r="P14" s="2140"/>
      <c r="Q14" s="2141"/>
      <c r="R14" s="2140">
        <f t="shared" si="1"/>
        <v>1338</v>
      </c>
      <c r="S14" s="2140">
        <f t="shared" si="1"/>
        <v>2830</v>
      </c>
      <c r="T14" s="2140">
        <f t="shared" si="1"/>
        <v>2825</v>
      </c>
      <c r="U14" s="2141">
        <f t="shared" si="2"/>
        <v>0.99823321554770317</v>
      </c>
      <c r="V14" s="2139" t="s">
        <v>1437</v>
      </c>
      <c r="W14" s="2140">
        <f>[4]int.bevételek2019!H13</f>
        <v>0</v>
      </c>
      <c r="X14" s="2140">
        <f>'[5]int.bevételek RM IV'!T14</f>
        <v>0</v>
      </c>
      <c r="Y14" s="2140"/>
      <c r="Z14" s="2141"/>
      <c r="AA14" s="2140">
        <f>[4]int.bevételek2019!I13</f>
        <v>0</v>
      </c>
      <c r="AB14" s="2140">
        <f>'[5]int.bevételek RM IV'!W14</f>
        <v>0</v>
      </c>
      <c r="AC14" s="2140"/>
      <c r="AD14" s="2141"/>
      <c r="AE14" s="2140">
        <f>[4]int.bevételek2019!J13</f>
        <v>0</v>
      </c>
      <c r="AF14" s="2140">
        <f>'[5]int.bevételek RM IV'!Z14</f>
        <v>0</v>
      </c>
      <c r="AG14" s="2140"/>
      <c r="AH14" s="2141"/>
      <c r="AI14" s="2140">
        <f t="shared" si="3"/>
        <v>0</v>
      </c>
      <c r="AJ14" s="2140">
        <f t="shared" si="3"/>
        <v>0</v>
      </c>
      <c r="AK14" s="2140">
        <f t="shared" si="3"/>
        <v>0</v>
      </c>
      <c r="AL14" s="2141"/>
      <c r="AM14" s="2140"/>
      <c r="AN14" s="2140">
        <f>'[5]int.bevételek RM IV'!AJ14</f>
        <v>382</v>
      </c>
      <c r="AO14" s="2140">
        <v>382</v>
      </c>
      <c r="AP14" s="2141">
        <f t="shared" si="4"/>
        <v>1</v>
      </c>
      <c r="AQ14" s="2139" t="s">
        <v>1437</v>
      </c>
      <c r="AR14" s="2140">
        <f>[4]int.bevételek2019!L13</f>
        <v>111846</v>
      </c>
      <c r="AS14" s="2140">
        <f>'[5]int.bevételek RM IV'!AM14</f>
        <v>115314</v>
      </c>
      <c r="AT14" s="2140">
        <f>116797-6085</f>
        <v>110712</v>
      </c>
      <c r="AU14" s="2141">
        <f t="shared" si="5"/>
        <v>0.96009157604453921</v>
      </c>
      <c r="AV14" s="2140">
        <f>[4]int.bevételek2019!M13</f>
        <v>0</v>
      </c>
      <c r="AW14" s="2140">
        <f>'[5]int.bevételek RM IV'!AP14</f>
        <v>6088</v>
      </c>
      <c r="AX14" s="2140">
        <v>6085</v>
      </c>
      <c r="AY14" s="2141">
        <f t="shared" si="6"/>
        <v>0.99950722733245734</v>
      </c>
      <c r="AZ14" s="2140">
        <f t="shared" si="7"/>
        <v>111846</v>
      </c>
      <c r="BA14" s="2140">
        <f t="shared" si="7"/>
        <v>121402</v>
      </c>
      <c r="BB14" s="2140">
        <f t="shared" si="7"/>
        <v>116797</v>
      </c>
      <c r="BC14" s="2141">
        <f t="shared" si="8"/>
        <v>0.96206817021136393</v>
      </c>
      <c r="BD14" s="2140">
        <f t="shared" si="9"/>
        <v>113184</v>
      </c>
      <c r="BE14" s="2140">
        <f t="shared" si="9"/>
        <v>124614</v>
      </c>
      <c r="BF14" s="2140">
        <f t="shared" si="9"/>
        <v>120004</v>
      </c>
      <c r="BG14" s="2141">
        <f t="shared" si="10"/>
        <v>0.96300576179241493</v>
      </c>
      <c r="BH14" s="2127">
        <f>'[6]éves besz.kiadásai2019'!AQ14-'4 int bevétel'!AK14-AX14</f>
        <v>0</v>
      </c>
      <c r="BI14" s="2127">
        <f>'[6]éves besz.kiadásai2019'!AP14-'4 int bevétel'!AJ14-AW14</f>
        <v>0</v>
      </c>
    </row>
    <row r="15" spans="1:67" ht="57" customHeight="1" x14ac:dyDescent="0.6">
      <c r="A15" s="2139" t="s">
        <v>1438</v>
      </c>
      <c r="B15" s="2140">
        <f>[4]int.bevételek2019!B14</f>
        <v>1269</v>
      </c>
      <c r="C15" s="2140">
        <f>'[5]int.bevételek RM IV'!D15</f>
        <v>1952</v>
      </c>
      <c r="D15" s="2140">
        <v>1951</v>
      </c>
      <c r="E15" s="2141">
        <f t="shared" si="0"/>
        <v>0.99948770491803274</v>
      </c>
      <c r="F15" s="2140">
        <f>[4]int.bevételek2019!C14</f>
        <v>0</v>
      </c>
      <c r="G15" s="2140">
        <f>'[5]int.bevételek RM IV'!G15</f>
        <v>0</v>
      </c>
      <c r="H15" s="2140"/>
      <c r="I15" s="2141"/>
      <c r="J15" s="2140">
        <f>[4]int.bevételek2019!D14</f>
        <v>0</v>
      </c>
      <c r="K15" s="2140">
        <f>'[5]int.bevételek RM IV'!J15</f>
        <v>1156</v>
      </c>
      <c r="L15" s="2140">
        <v>1155</v>
      </c>
      <c r="M15" s="2141">
        <f>L15/K15</f>
        <v>0.99913494809688586</v>
      </c>
      <c r="N15" s="2140">
        <f>[4]int.bevételek2019!E14</f>
        <v>0</v>
      </c>
      <c r="O15" s="2140">
        <f>'[5]int.bevételek RM IV'!M15</f>
        <v>0</v>
      </c>
      <c r="P15" s="2140"/>
      <c r="Q15" s="2141"/>
      <c r="R15" s="2140">
        <f t="shared" si="1"/>
        <v>1269</v>
      </c>
      <c r="S15" s="2140">
        <f t="shared" si="1"/>
        <v>3108</v>
      </c>
      <c r="T15" s="2140">
        <f t="shared" si="1"/>
        <v>3106</v>
      </c>
      <c r="U15" s="2141">
        <f t="shared" si="2"/>
        <v>0.99935649935649939</v>
      </c>
      <c r="V15" s="2139" t="s">
        <v>1438</v>
      </c>
      <c r="W15" s="2140">
        <f>[4]int.bevételek2019!H14</f>
        <v>0</v>
      </c>
      <c r="X15" s="2140">
        <f>'[5]int.bevételek RM IV'!T15</f>
        <v>0</v>
      </c>
      <c r="Y15" s="2140"/>
      <c r="Z15" s="2141"/>
      <c r="AA15" s="2140">
        <f>[4]int.bevételek2019!I14</f>
        <v>0</v>
      </c>
      <c r="AB15" s="2140">
        <f>'[5]int.bevételek RM IV'!W15</f>
        <v>0</v>
      </c>
      <c r="AC15" s="2140"/>
      <c r="AD15" s="2141"/>
      <c r="AE15" s="2140">
        <f>[4]int.bevételek2019!J14</f>
        <v>0</v>
      </c>
      <c r="AF15" s="2140">
        <f>'[5]int.bevételek RM IV'!Z15</f>
        <v>0</v>
      </c>
      <c r="AG15" s="2140"/>
      <c r="AH15" s="2141"/>
      <c r="AI15" s="2140">
        <f t="shared" si="3"/>
        <v>0</v>
      </c>
      <c r="AJ15" s="2140">
        <f t="shared" si="3"/>
        <v>0</v>
      </c>
      <c r="AK15" s="2140">
        <f t="shared" si="3"/>
        <v>0</v>
      </c>
      <c r="AL15" s="2141"/>
      <c r="AM15" s="2140"/>
      <c r="AN15" s="2140">
        <f>'[5]int.bevételek RM IV'!AJ15</f>
        <v>1654</v>
      </c>
      <c r="AO15" s="2140">
        <v>1654</v>
      </c>
      <c r="AP15" s="2141">
        <f t="shared" si="4"/>
        <v>1</v>
      </c>
      <c r="AQ15" s="2139" t="s">
        <v>1438</v>
      </c>
      <c r="AR15" s="2140">
        <f>[4]int.bevételek2019!L14</f>
        <v>94157</v>
      </c>
      <c r="AS15" s="2140">
        <f>'[5]int.bevételek RM IV'!AM15</f>
        <v>97475</v>
      </c>
      <c r="AT15" s="2140">
        <f>102931-9577</f>
        <v>93354</v>
      </c>
      <c r="AU15" s="2141">
        <f t="shared" si="5"/>
        <v>0.95772249294690948</v>
      </c>
      <c r="AV15" s="2140">
        <f>[4]int.bevételek2019!M14</f>
        <v>0</v>
      </c>
      <c r="AW15" s="2140">
        <f>'[5]int.bevételek RM IV'!AP15</f>
        <v>9578</v>
      </c>
      <c r="AX15" s="2140">
        <v>9577</v>
      </c>
      <c r="AY15" s="2141">
        <f t="shared" si="6"/>
        <v>0.99989559406974315</v>
      </c>
      <c r="AZ15" s="2140">
        <f t="shared" si="7"/>
        <v>94157</v>
      </c>
      <c r="BA15" s="2140">
        <f t="shared" si="7"/>
        <v>107053</v>
      </c>
      <c r="BB15" s="2140">
        <f t="shared" si="7"/>
        <v>102931</v>
      </c>
      <c r="BC15" s="2141">
        <f t="shared" si="8"/>
        <v>0.96149570773355253</v>
      </c>
      <c r="BD15" s="2140">
        <f t="shared" si="9"/>
        <v>95426</v>
      </c>
      <c r="BE15" s="2140">
        <f t="shared" si="9"/>
        <v>111815</v>
      </c>
      <c r="BF15" s="2140">
        <f t="shared" si="9"/>
        <v>107691</v>
      </c>
      <c r="BG15" s="2141">
        <f t="shared" si="10"/>
        <v>0.96311764968921876</v>
      </c>
      <c r="BH15" s="2127">
        <f>'[6]éves besz.kiadásai2019'!AQ15-'4 int bevétel'!AK15-AX15</f>
        <v>0</v>
      </c>
      <c r="BI15" s="2127">
        <f>'[6]éves besz.kiadásai2019'!AP15-'4 int bevétel'!AJ15-AW15</f>
        <v>0</v>
      </c>
    </row>
    <row r="16" spans="1:67" ht="57" customHeight="1" x14ac:dyDescent="0.6">
      <c r="A16" s="2139" t="s">
        <v>1439</v>
      </c>
      <c r="B16" s="2140">
        <f>[4]int.bevételek2019!B15</f>
        <v>790</v>
      </c>
      <c r="C16" s="2140">
        <f>'[5]int.bevételek RM IV'!D16</f>
        <v>1521</v>
      </c>
      <c r="D16" s="2140">
        <v>1521</v>
      </c>
      <c r="E16" s="2141">
        <f t="shared" si="0"/>
        <v>1</v>
      </c>
      <c r="F16" s="2140">
        <f>[4]int.bevételek2019!C15</f>
        <v>0</v>
      </c>
      <c r="G16" s="2140">
        <f>'[5]int.bevételek RM IV'!G16</f>
        <v>23</v>
      </c>
      <c r="H16" s="2140">
        <v>23</v>
      </c>
      <c r="I16" s="2141">
        <f>H16/G16</f>
        <v>1</v>
      </c>
      <c r="J16" s="2140">
        <f>[4]int.bevételek2019!D15</f>
        <v>0</v>
      </c>
      <c r="K16" s="2140">
        <f>'[5]int.bevételek RM IV'!J16</f>
        <v>22</v>
      </c>
      <c r="L16" s="2140">
        <v>22</v>
      </c>
      <c r="M16" s="2141">
        <f>L16/K16</f>
        <v>1</v>
      </c>
      <c r="N16" s="2140">
        <f>[4]int.bevételek2019!E15</f>
        <v>0</v>
      </c>
      <c r="O16" s="2140">
        <f>'[5]int.bevételek RM IV'!M16</f>
        <v>0</v>
      </c>
      <c r="P16" s="2140"/>
      <c r="Q16" s="2141"/>
      <c r="R16" s="2140">
        <f t="shared" si="1"/>
        <v>790</v>
      </c>
      <c r="S16" s="2140">
        <f t="shared" si="1"/>
        <v>1566</v>
      </c>
      <c r="T16" s="2140">
        <f t="shared" si="1"/>
        <v>1566</v>
      </c>
      <c r="U16" s="2141">
        <f t="shared" si="2"/>
        <v>1</v>
      </c>
      <c r="V16" s="2139" t="s">
        <v>1439</v>
      </c>
      <c r="W16" s="2140">
        <f>[4]int.bevételek2019!H15</f>
        <v>0</v>
      </c>
      <c r="X16" s="2140">
        <f>'[5]int.bevételek RM IV'!T16</f>
        <v>0</v>
      </c>
      <c r="Y16" s="2140"/>
      <c r="Z16" s="2141"/>
      <c r="AA16" s="2140">
        <f>[4]int.bevételek2019!I15</f>
        <v>0</v>
      </c>
      <c r="AB16" s="2140">
        <f>'[5]int.bevételek RM IV'!W16</f>
        <v>0</v>
      </c>
      <c r="AC16" s="2140"/>
      <c r="AD16" s="2141"/>
      <c r="AE16" s="2140">
        <f>[4]int.bevételek2019!J15</f>
        <v>0</v>
      </c>
      <c r="AF16" s="2140">
        <f>'[5]int.bevételek RM IV'!Z16</f>
        <v>0</v>
      </c>
      <c r="AG16" s="2140"/>
      <c r="AH16" s="2141"/>
      <c r="AI16" s="2140">
        <f t="shared" si="3"/>
        <v>0</v>
      </c>
      <c r="AJ16" s="2140">
        <f t="shared" si="3"/>
        <v>0</v>
      </c>
      <c r="AK16" s="2140">
        <f t="shared" si="3"/>
        <v>0</v>
      </c>
      <c r="AL16" s="2141"/>
      <c r="AM16" s="2140"/>
      <c r="AN16" s="2140">
        <f>'[5]int.bevételek RM IV'!AJ16</f>
        <v>452</v>
      </c>
      <c r="AO16" s="2140">
        <v>452</v>
      </c>
      <c r="AP16" s="2141">
        <f t="shared" si="4"/>
        <v>1</v>
      </c>
      <c r="AQ16" s="2139" t="s">
        <v>1439</v>
      </c>
      <c r="AR16" s="2140">
        <f>[4]int.bevételek2019!L15</f>
        <v>79183</v>
      </c>
      <c r="AS16" s="2140">
        <f>'[5]int.bevételek RM IV'!AM16</f>
        <v>80477</v>
      </c>
      <c r="AT16" s="2140">
        <f>81419-3581</f>
        <v>77838</v>
      </c>
      <c r="AU16" s="2141">
        <f t="shared" si="5"/>
        <v>0.96720802216782431</v>
      </c>
      <c r="AV16" s="2140">
        <f>[4]int.bevételek2019!M15</f>
        <v>0</v>
      </c>
      <c r="AW16" s="2140">
        <f>'[5]int.bevételek RM IV'!AP16</f>
        <v>3581</v>
      </c>
      <c r="AX16" s="2140">
        <v>3581</v>
      </c>
      <c r="AY16" s="2141">
        <f t="shared" si="6"/>
        <v>1</v>
      </c>
      <c r="AZ16" s="2140">
        <f t="shared" si="7"/>
        <v>79183</v>
      </c>
      <c r="BA16" s="2140">
        <f t="shared" si="7"/>
        <v>84058</v>
      </c>
      <c r="BB16" s="2140">
        <f t="shared" si="7"/>
        <v>81419</v>
      </c>
      <c r="BC16" s="2141">
        <f t="shared" si="8"/>
        <v>0.96860501082585837</v>
      </c>
      <c r="BD16" s="2140">
        <f t="shared" si="9"/>
        <v>79973</v>
      </c>
      <c r="BE16" s="2140">
        <f t="shared" si="9"/>
        <v>86076</v>
      </c>
      <c r="BF16" s="2140">
        <f t="shared" si="9"/>
        <v>83437</v>
      </c>
      <c r="BG16" s="2141">
        <f t="shared" si="10"/>
        <v>0.96934104744644267</v>
      </c>
      <c r="BH16" s="2127">
        <f>'[6]éves besz.kiadásai2019'!AQ16-'4 int bevétel'!AK16-AX16</f>
        <v>0</v>
      </c>
      <c r="BI16" s="2127">
        <f>'[6]éves besz.kiadásai2019'!AP16-'4 int bevétel'!AJ16-AW16</f>
        <v>0</v>
      </c>
    </row>
    <row r="17" spans="1:61" ht="57" customHeight="1" x14ac:dyDescent="0.6">
      <c r="A17" s="2139" t="s">
        <v>1440</v>
      </c>
      <c r="B17" s="2140">
        <f>[4]int.bevételek2019!B16</f>
        <v>958</v>
      </c>
      <c r="C17" s="2140">
        <f>'[5]int.bevételek RM IV'!D17</f>
        <v>1371</v>
      </c>
      <c r="D17" s="2140">
        <v>1370</v>
      </c>
      <c r="E17" s="2141">
        <f t="shared" si="0"/>
        <v>0.99927060539752011</v>
      </c>
      <c r="F17" s="2140">
        <f>[4]int.bevételek2019!C16</f>
        <v>0</v>
      </c>
      <c r="G17" s="2140">
        <f>'[5]int.bevételek RM IV'!G17</f>
        <v>0</v>
      </c>
      <c r="H17" s="2140"/>
      <c r="I17" s="2141"/>
      <c r="J17" s="2140">
        <f>[4]int.bevételek2019!D16</f>
        <v>0</v>
      </c>
      <c r="K17" s="2140">
        <f>'[5]int.bevételek RM IV'!J17</f>
        <v>0</v>
      </c>
      <c r="L17" s="2140"/>
      <c r="M17" s="2141"/>
      <c r="N17" s="2140">
        <f>[4]int.bevételek2019!E16</f>
        <v>0</v>
      </c>
      <c r="O17" s="2140">
        <f>'[5]int.bevételek RM IV'!M17</f>
        <v>0</v>
      </c>
      <c r="P17" s="2140"/>
      <c r="Q17" s="2141"/>
      <c r="R17" s="2140">
        <f t="shared" si="1"/>
        <v>958</v>
      </c>
      <c r="S17" s="2140">
        <f t="shared" si="1"/>
        <v>1371</v>
      </c>
      <c r="T17" s="2140">
        <f t="shared" si="1"/>
        <v>1370</v>
      </c>
      <c r="U17" s="2141">
        <f t="shared" si="2"/>
        <v>0.99927060539752011</v>
      </c>
      <c r="V17" s="2139" t="s">
        <v>1440</v>
      </c>
      <c r="W17" s="2140">
        <f>[4]int.bevételek2019!H16</f>
        <v>0</v>
      </c>
      <c r="X17" s="2140">
        <f>'[5]int.bevételek RM IV'!T17</f>
        <v>0</v>
      </c>
      <c r="Y17" s="2140"/>
      <c r="Z17" s="2141"/>
      <c r="AA17" s="2140">
        <f>[4]int.bevételek2019!I16</f>
        <v>0</v>
      </c>
      <c r="AB17" s="2140">
        <f>'[5]int.bevételek RM IV'!W17</f>
        <v>0</v>
      </c>
      <c r="AC17" s="2140"/>
      <c r="AD17" s="2141"/>
      <c r="AE17" s="2140">
        <f>[4]int.bevételek2019!J16</f>
        <v>0</v>
      </c>
      <c r="AF17" s="2140">
        <f>'[5]int.bevételek RM IV'!Z17</f>
        <v>0</v>
      </c>
      <c r="AG17" s="2140"/>
      <c r="AH17" s="2141"/>
      <c r="AI17" s="2140">
        <f t="shared" si="3"/>
        <v>0</v>
      </c>
      <c r="AJ17" s="2140">
        <f t="shared" si="3"/>
        <v>0</v>
      </c>
      <c r="AK17" s="2140">
        <f t="shared" si="3"/>
        <v>0</v>
      </c>
      <c r="AL17" s="2141"/>
      <c r="AM17" s="2140"/>
      <c r="AN17" s="2140">
        <f>'[5]int.bevételek RM IV'!AJ17</f>
        <v>58</v>
      </c>
      <c r="AO17" s="2140">
        <v>58</v>
      </c>
      <c r="AP17" s="2141">
        <f t="shared" si="4"/>
        <v>1</v>
      </c>
      <c r="AQ17" s="2139" t="s">
        <v>1440</v>
      </c>
      <c r="AR17" s="2140">
        <f>[4]int.bevételek2019!L16</f>
        <v>83693</v>
      </c>
      <c r="AS17" s="2140">
        <f>'[5]int.bevételek RM IV'!AM17</f>
        <v>87156</v>
      </c>
      <c r="AT17" s="2140">
        <f>93752-9746</f>
        <v>84006</v>
      </c>
      <c r="AU17" s="2141">
        <f t="shared" si="5"/>
        <v>0.96385790995456422</v>
      </c>
      <c r="AV17" s="2140">
        <f>[4]int.bevételek2019!M16</f>
        <v>0</v>
      </c>
      <c r="AW17" s="2140">
        <f>'[5]int.bevételek RM IV'!AP17</f>
        <v>16098</v>
      </c>
      <c r="AX17" s="2140">
        <v>9746</v>
      </c>
      <c r="AY17" s="2141">
        <f t="shared" si="6"/>
        <v>0.60541682196546154</v>
      </c>
      <c r="AZ17" s="2140">
        <f t="shared" si="7"/>
        <v>83693</v>
      </c>
      <c r="BA17" s="2140">
        <f t="shared" si="7"/>
        <v>103254</v>
      </c>
      <c r="BB17" s="2140">
        <f t="shared" si="7"/>
        <v>93752</v>
      </c>
      <c r="BC17" s="2141">
        <f t="shared" si="8"/>
        <v>0.90797450946210312</v>
      </c>
      <c r="BD17" s="2140">
        <f t="shared" si="9"/>
        <v>84651</v>
      </c>
      <c r="BE17" s="2140">
        <f t="shared" si="9"/>
        <v>104683</v>
      </c>
      <c r="BF17" s="2140">
        <f t="shared" si="9"/>
        <v>95180</v>
      </c>
      <c r="BG17" s="2141">
        <f t="shared" si="10"/>
        <v>0.9092211724921907</v>
      </c>
      <c r="BH17" s="2127">
        <f>'[6]éves besz.kiadásai2019'!AQ17-'4 int bevétel'!AK17-AX17</f>
        <v>0</v>
      </c>
      <c r="BI17" s="2127">
        <f>'[6]éves besz.kiadásai2019'!AP17-'4 int bevétel'!AJ17-AW17</f>
        <v>0</v>
      </c>
    </row>
    <row r="18" spans="1:61" ht="57" customHeight="1" x14ac:dyDescent="0.6">
      <c r="A18" s="2139" t="s">
        <v>1307</v>
      </c>
      <c r="B18" s="2140">
        <f>[4]int.bevételek2019!B17</f>
        <v>805</v>
      </c>
      <c r="C18" s="2140">
        <f>'[5]int.bevételek RM IV'!D18</f>
        <v>1107</v>
      </c>
      <c r="D18" s="2933">
        <v>1107</v>
      </c>
      <c r="E18" s="2141">
        <f t="shared" si="0"/>
        <v>1</v>
      </c>
      <c r="F18" s="2140">
        <f>[4]int.bevételek2019!C17</f>
        <v>0</v>
      </c>
      <c r="G18" s="2140">
        <f>'[5]int.bevételek RM IV'!G18</f>
        <v>15</v>
      </c>
      <c r="H18" s="2140">
        <v>14</v>
      </c>
      <c r="I18" s="2141">
        <f>H18/G18</f>
        <v>0.93333333333333335</v>
      </c>
      <c r="J18" s="2140">
        <f>[4]int.bevételek2019!D17</f>
        <v>0</v>
      </c>
      <c r="K18" s="2140">
        <f>'[5]int.bevételek RM IV'!J18</f>
        <v>0</v>
      </c>
      <c r="L18" s="2140"/>
      <c r="M18" s="2141"/>
      <c r="N18" s="2140">
        <f>[4]int.bevételek2019!E17</f>
        <v>0</v>
      </c>
      <c r="O18" s="2140">
        <f>'[5]int.bevételek RM IV'!M18</f>
        <v>0</v>
      </c>
      <c r="P18" s="2140"/>
      <c r="Q18" s="2141"/>
      <c r="R18" s="2140">
        <f t="shared" si="1"/>
        <v>805</v>
      </c>
      <c r="S18" s="2140">
        <f t="shared" si="1"/>
        <v>1122</v>
      </c>
      <c r="T18" s="2140">
        <f t="shared" si="1"/>
        <v>1121</v>
      </c>
      <c r="U18" s="2141">
        <f t="shared" si="2"/>
        <v>0.99910873440285208</v>
      </c>
      <c r="V18" s="2139" t="s">
        <v>1307</v>
      </c>
      <c r="W18" s="2140">
        <f>[4]int.bevételek2019!H17</f>
        <v>0</v>
      </c>
      <c r="X18" s="2140">
        <f>'[5]int.bevételek RM IV'!T18</f>
        <v>0</v>
      </c>
      <c r="Y18" s="2140"/>
      <c r="Z18" s="2141"/>
      <c r="AA18" s="2140">
        <f>[4]int.bevételek2019!I17</f>
        <v>0</v>
      </c>
      <c r="AB18" s="2140">
        <f>'[5]int.bevételek RM IV'!W18</f>
        <v>0</v>
      </c>
      <c r="AC18" s="2140"/>
      <c r="AD18" s="2141"/>
      <c r="AE18" s="2140">
        <f>[4]int.bevételek2019!J17</f>
        <v>0</v>
      </c>
      <c r="AF18" s="2140">
        <f>'[5]int.bevételek RM IV'!Z18</f>
        <v>0</v>
      </c>
      <c r="AG18" s="2140"/>
      <c r="AH18" s="2141"/>
      <c r="AI18" s="2140">
        <f t="shared" si="3"/>
        <v>0</v>
      </c>
      <c r="AJ18" s="2140">
        <f t="shared" si="3"/>
        <v>0</v>
      </c>
      <c r="AK18" s="2140">
        <f t="shared" si="3"/>
        <v>0</v>
      </c>
      <c r="AL18" s="2141"/>
      <c r="AM18" s="2140"/>
      <c r="AN18" s="2140">
        <f>'[5]int.bevételek RM IV'!AJ18</f>
        <v>245</v>
      </c>
      <c r="AO18" s="2140">
        <v>245</v>
      </c>
      <c r="AP18" s="2141">
        <f t="shared" si="4"/>
        <v>1</v>
      </c>
      <c r="AQ18" s="2139" t="s">
        <v>1307</v>
      </c>
      <c r="AR18" s="2140">
        <f>[4]int.bevételek2019!L17</f>
        <v>120840</v>
      </c>
      <c r="AS18" s="2140">
        <f>'[5]int.bevételek RM IV'!AM18</f>
        <v>125912</v>
      </c>
      <c r="AT18" s="2140">
        <f>125912-5198</f>
        <v>120714</v>
      </c>
      <c r="AU18" s="2141">
        <f t="shared" si="5"/>
        <v>0.9587171993138065</v>
      </c>
      <c r="AV18" s="2140">
        <f>[4]int.bevételek2019!M17</f>
        <v>0</v>
      </c>
      <c r="AW18" s="2140">
        <f>'[5]int.bevételek RM IV'!AP18</f>
        <v>5199</v>
      </c>
      <c r="AX18" s="2140">
        <v>5198</v>
      </c>
      <c r="AY18" s="2141">
        <f t="shared" si="6"/>
        <v>0.99980765531833049</v>
      </c>
      <c r="AZ18" s="2140">
        <f t="shared" si="7"/>
        <v>120840</v>
      </c>
      <c r="BA18" s="2140">
        <f t="shared" si="7"/>
        <v>131111</v>
      </c>
      <c r="BB18" s="2140">
        <f t="shared" si="7"/>
        <v>125912</v>
      </c>
      <c r="BC18" s="2141">
        <f t="shared" si="8"/>
        <v>0.96034657656489542</v>
      </c>
      <c r="BD18" s="2140">
        <f t="shared" si="9"/>
        <v>121645</v>
      </c>
      <c r="BE18" s="2140">
        <f t="shared" si="9"/>
        <v>132478</v>
      </c>
      <c r="BF18" s="2140">
        <f t="shared" si="9"/>
        <v>127278</v>
      </c>
      <c r="BG18" s="2141">
        <f t="shared" si="10"/>
        <v>0.96074819970108249</v>
      </c>
      <c r="BH18" s="2127">
        <f>'[6]éves besz.kiadásai2019'!AQ18-'4 int bevétel'!AK18-AX18</f>
        <v>0</v>
      </c>
      <c r="BI18" s="2127">
        <f>'[6]éves besz.kiadásai2019'!AP18-'4 int bevétel'!AJ18-AW18</f>
        <v>0</v>
      </c>
    </row>
    <row r="19" spans="1:61" ht="57" customHeight="1" x14ac:dyDescent="0.6">
      <c r="A19" s="2139" t="s">
        <v>1441</v>
      </c>
      <c r="B19" s="2140">
        <f>[4]int.bevételek2019!B18</f>
        <v>1220</v>
      </c>
      <c r="C19" s="2140">
        <f>'[5]int.bevételek RM IV'!D19</f>
        <v>2441</v>
      </c>
      <c r="D19" s="2140">
        <v>2440</v>
      </c>
      <c r="E19" s="2141">
        <f t="shared" si="0"/>
        <v>0.99959033183121671</v>
      </c>
      <c r="F19" s="2140">
        <f>[4]int.bevételek2019!C18</f>
        <v>0</v>
      </c>
      <c r="G19" s="2140">
        <f>'[5]int.bevételek RM IV'!G19</f>
        <v>0</v>
      </c>
      <c r="H19" s="2140"/>
      <c r="I19" s="2141"/>
      <c r="J19" s="2140">
        <f>[4]int.bevételek2019!D18</f>
        <v>0</v>
      </c>
      <c r="K19" s="2140">
        <f>'[5]int.bevételek RM IV'!J19</f>
        <v>0</v>
      </c>
      <c r="L19" s="2140"/>
      <c r="M19" s="2141"/>
      <c r="N19" s="2140">
        <f>[4]int.bevételek2019!E18</f>
        <v>0</v>
      </c>
      <c r="O19" s="2140">
        <f>'[5]int.bevételek RM IV'!M19</f>
        <v>0</v>
      </c>
      <c r="P19" s="2140"/>
      <c r="Q19" s="2141"/>
      <c r="R19" s="2140">
        <f t="shared" si="1"/>
        <v>1220</v>
      </c>
      <c r="S19" s="2140">
        <f t="shared" si="1"/>
        <v>2441</v>
      </c>
      <c r="T19" s="2140">
        <f t="shared" si="1"/>
        <v>2440</v>
      </c>
      <c r="U19" s="2141">
        <f t="shared" si="2"/>
        <v>0.99959033183121671</v>
      </c>
      <c r="V19" s="2139" t="s">
        <v>1441</v>
      </c>
      <c r="W19" s="2140">
        <f>[4]int.bevételek2019!H18</f>
        <v>0</v>
      </c>
      <c r="X19" s="2140">
        <f>'[5]int.bevételek RM IV'!T19</f>
        <v>0</v>
      </c>
      <c r="Y19" s="2140"/>
      <c r="Z19" s="2141"/>
      <c r="AA19" s="2140">
        <f>[4]int.bevételek2019!I18</f>
        <v>0</v>
      </c>
      <c r="AB19" s="2140">
        <f>'[5]int.bevételek RM IV'!W19</f>
        <v>0</v>
      </c>
      <c r="AC19" s="2140"/>
      <c r="AD19" s="2141"/>
      <c r="AE19" s="2140">
        <f>[4]int.bevételek2019!J18</f>
        <v>0</v>
      </c>
      <c r="AF19" s="2140">
        <f>'[5]int.bevételek RM IV'!Z19</f>
        <v>0</v>
      </c>
      <c r="AG19" s="2140"/>
      <c r="AH19" s="2141"/>
      <c r="AI19" s="2140">
        <f t="shared" si="3"/>
        <v>0</v>
      </c>
      <c r="AJ19" s="2140">
        <f t="shared" si="3"/>
        <v>0</v>
      </c>
      <c r="AK19" s="2140">
        <f t="shared" si="3"/>
        <v>0</v>
      </c>
      <c r="AL19" s="2141"/>
      <c r="AM19" s="2140"/>
      <c r="AN19" s="2140">
        <f>'[5]int.bevételek RM IV'!AJ19</f>
        <v>708</v>
      </c>
      <c r="AO19" s="2140">
        <v>708</v>
      </c>
      <c r="AP19" s="2141">
        <f t="shared" si="4"/>
        <v>1</v>
      </c>
      <c r="AQ19" s="2139" t="s">
        <v>1441</v>
      </c>
      <c r="AR19" s="2140">
        <f>[4]int.bevételek2019!L18</f>
        <v>134319</v>
      </c>
      <c r="AS19" s="2140">
        <f>'[5]int.bevételek RM IV'!AM19</f>
        <v>135070</v>
      </c>
      <c r="AT19" s="2140">
        <f>132742-1141</f>
        <v>131601</v>
      </c>
      <c r="AU19" s="2141">
        <f t="shared" si="5"/>
        <v>0.97431702080402749</v>
      </c>
      <c r="AV19" s="2140">
        <f>[4]int.bevételek2019!M18</f>
        <v>0</v>
      </c>
      <c r="AW19" s="2140">
        <f>'[5]int.bevételek RM IV'!AP19</f>
        <v>22934</v>
      </c>
      <c r="AX19" s="2140">
        <v>1141</v>
      </c>
      <c r="AY19" s="2141">
        <f t="shared" si="6"/>
        <v>4.9751460713351355E-2</v>
      </c>
      <c r="AZ19" s="2140">
        <f t="shared" si="7"/>
        <v>134319</v>
      </c>
      <c r="BA19" s="2140">
        <f t="shared" si="7"/>
        <v>158004</v>
      </c>
      <c r="BB19" s="2140">
        <f t="shared" si="7"/>
        <v>132742</v>
      </c>
      <c r="BC19" s="2141">
        <f t="shared" si="8"/>
        <v>0.84011797169691904</v>
      </c>
      <c r="BD19" s="2140">
        <f t="shared" si="9"/>
        <v>135539</v>
      </c>
      <c r="BE19" s="2140">
        <f t="shared" si="9"/>
        <v>161153</v>
      </c>
      <c r="BF19" s="2140">
        <f t="shared" si="9"/>
        <v>135890</v>
      </c>
      <c r="BG19" s="2141">
        <f t="shared" si="10"/>
        <v>0.84323593107171446</v>
      </c>
      <c r="BH19" s="2127">
        <f>'[6]éves besz.kiadásai2019'!AQ19-'4 int bevétel'!AK19-AX19</f>
        <v>0</v>
      </c>
      <c r="BI19" s="2127">
        <f>'[6]éves besz.kiadásai2019'!AP19-'4 int bevétel'!AJ19-AW19</f>
        <v>0</v>
      </c>
    </row>
    <row r="20" spans="1:61" ht="57" customHeight="1" x14ac:dyDescent="0.6">
      <c r="A20" s="2139" t="s">
        <v>1442</v>
      </c>
      <c r="B20" s="2140">
        <f>[4]int.bevételek2019!B19</f>
        <v>532</v>
      </c>
      <c r="C20" s="2140">
        <f>'[5]int.bevételek RM IV'!D20</f>
        <v>848</v>
      </c>
      <c r="D20" s="2140">
        <v>847</v>
      </c>
      <c r="E20" s="2141">
        <f t="shared" si="0"/>
        <v>0.99882075471698117</v>
      </c>
      <c r="F20" s="2140">
        <f>[4]int.bevételek2019!C19</f>
        <v>0</v>
      </c>
      <c r="G20" s="2140">
        <f>'[5]int.bevételek RM IV'!G20</f>
        <v>0</v>
      </c>
      <c r="H20" s="2140"/>
      <c r="I20" s="2141"/>
      <c r="J20" s="2140">
        <f>[4]int.bevételek2019!D19</f>
        <v>0</v>
      </c>
      <c r="K20" s="2140">
        <f>'[5]int.bevételek RM IV'!J20</f>
        <v>180</v>
      </c>
      <c r="L20" s="2140">
        <v>179</v>
      </c>
      <c r="M20" s="2141">
        <f>L20/K20</f>
        <v>0.99444444444444446</v>
      </c>
      <c r="N20" s="2140">
        <f>[4]int.bevételek2019!E19</f>
        <v>0</v>
      </c>
      <c r="O20" s="2140">
        <f>'[5]int.bevételek RM IV'!M20</f>
        <v>0</v>
      </c>
      <c r="P20" s="2140"/>
      <c r="Q20" s="2141"/>
      <c r="R20" s="2140">
        <f t="shared" si="1"/>
        <v>532</v>
      </c>
      <c r="S20" s="2140">
        <f t="shared" si="1"/>
        <v>1028</v>
      </c>
      <c r="T20" s="2140">
        <f t="shared" si="1"/>
        <v>1026</v>
      </c>
      <c r="U20" s="2141">
        <f t="shared" si="2"/>
        <v>0.99805447470817121</v>
      </c>
      <c r="V20" s="2139" t="s">
        <v>1442</v>
      </c>
      <c r="W20" s="2140">
        <f>[4]int.bevételek2019!H19</f>
        <v>0</v>
      </c>
      <c r="X20" s="2140">
        <f>'[5]int.bevételek RM IV'!T20</f>
        <v>0</v>
      </c>
      <c r="Y20" s="2140"/>
      <c r="Z20" s="2141"/>
      <c r="AA20" s="2140">
        <f>[4]int.bevételek2019!I19</f>
        <v>0</v>
      </c>
      <c r="AB20" s="2140">
        <f>'[5]int.bevételek RM IV'!W20</f>
        <v>0</v>
      </c>
      <c r="AC20" s="2140"/>
      <c r="AD20" s="2141"/>
      <c r="AE20" s="2140">
        <f>[4]int.bevételek2019!J19</f>
        <v>0</v>
      </c>
      <c r="AF20" s="2140">
        <f>'[5]int.bevételek RM IV'!Z20</f>
        <v>0</v>
      </c>
      <c r="AG20" s="2140"/>
      <c r="AH20" s="2141"/>
      <c r="AI20" s="2140">
        <f t="shared" si="3"/>
        <v>0</v>
      </c>
      <c r="AJ20" s="2140">
        <f t="shared" si="3"/>
        <v>0</v>
      </c>
      <c r="AK20" s="2140">
        <f t="shared" si="3"/>
        <v>0</v>
      </c>
      <c r="AL20" s="2141"/>
      <c r="AM20" s="2140"/>
      <c r="AN20" s="2140">
        <f>'[5]int.bevételek RM IV'!AJ20</f>
        <v>63</v>
      </c>
      <c r="AO20" s="2140">
        <v>63</v>
      </c>
      <c r="AP20" s="2141">
        <f t="shared" si="4"/>
        <v>1</v>
      </c>
      <c r="AQ20" s="2139" t="s">
        <v>1442</v>
      </c>
      <c r="AR20" s="2140">
        <f>[4]int.bevételek2019!L19</f>
        <v>71269</v>
      </c>
      <c r="AS20" s="2140">
        <f>'[5]int.bevételek RM IV'!AM20</f>
        <v>72422</v>
      </c>
      <c r="AT20" s="2140">
        <f>70780-292</f>
        <v>70488</v>
      </c>
      <c r="AU20" s="2141">
        <f t="shared" si="5"/>
        <v>0.97329540747286736</v>
      </c>
      <c r="AV20" s="2140">
        <f>[4]int.bevételek2019!M19</f>
        <v>0</v>
      </c>
      <c r="AW20" s="2140">
        <f>'[5]int.bevételek RM IV'!AP20</f>
        <v>1167</v>
      </c>
      <c r="AX20" s="2140">
        <v>292</v>
      </c>
      <c r="AY20" s="2141">
        <f t="shared" si="6"/>
        <v>0.25021422450728364</v>
      </c>
      <c r="AZ20" s="2140">
        <f t="shared" si="7"/>
        <v>71269</v>
      </c>
      <c r="BA20" s="2140">
        <f t="shared" si="7"/>
        <v>73589</v>
      </c>
      <c r="BB20" s="2140">
        <f t="shared" si="7"/>
        <v>70780</v>
      </c>
      <c r="BC20" s="2141">
        <f t="shared" si="8"/>
        <v>0.96182853415592007</v>
      </c>
      <c r="BD20" s="2140">
        <f t="shared" si="9"/>
        <v>71801</v>
      </c>
      <c r="BE20" s="2140">
        <f t="shared" si="9"/>
        <v>74680</v>
      </c>
      <c r="BF20" s="2140">
        <f t="shared" si="9"/>
        <v>71869</v>
      </c>
      <c r="BG20" s="2141">
        <f t="shared" si="10"/>
        <v>0.96235940010712373</v>
      </c>
      <c r="BH20" s="2127">
        <f>'[6]éves besz.kiadásai2019'!AQ20-'4 int bevétel'!AK20-AX20</f>
        <v>0</v>
      </c>
      <c r="BI20" s="2127">
        <f>'[6]éves besz.kiadásai2019'!AP20-'4 int bevétel'!AJ20-AW20</f>
        <v>0</v>
      </c>
    </row>
    <row r="21" spans="1:61" ht="57" customHeight="1" x14ac:dyDescent="0.6">
      <c r="A21" s="2139" t="s">
        <v>1310</v>
      </c>
      <c r="B21" s="2140">
        <f>[4]int.bevételek2019!B20</f>
        <v>782</v>
      </c>
      <c r="C21" s="2140">
        <f>'[5]int.bevételek RM IV'!D21</f>
        <v>1590</v>
      </c>
      <c r="D21" s="2140">
        <v>1590</v>
      </c>
      <c r="E21" s="2141">
        <f t="shared" si="0"/>
        <v>1</v>
      </c>
      <c r="F21" s="2140">
        <f>[4]int.bevételek2019!C20</f>
        <v>0</v>
      </c>
      <c r="G21" s="2140">
        <f>'[5]int.bevételek RM IV'!G21</f>
        <v>0</v>
      </c>
      <c r="H21" s="2140"/>
      <c r="I21" s="2141"/>
      <c r="J21" s="2140">
        <f>[4]int.bevételek2019!D20</f>
        <v>0</v>
      </c>
      <c r="K21" s="2140">
        <f>'[5]int.bevételek RM IV'!J21</f>
        <v>0</v>
      </c>
      <c r="L21" s="2140"/>
      <c r="M21" s="2141"/>
      <c r="N21" s="2140">
        <f>[4]int.bevételek2019!E20</f>
        <v>0</v>
      </c>
      <c r="O21" s="2140">
        <f>'[5]int.bevételek RM IV'!M21</f>
        <v>0</v>
      </c>
      <c r="P21" s="2140"/>
      <c r="Q21" s="2141"/>
      <c r="R21" s="2140">
        <f t="shared" si="1"/>
        <v>782</v>
      </c>
      <c r="S21" s="2140">
        <f t="shared" si="1"/>
        <v>1590</v>
      </c>
      <c r="T21" s="2140">
        <f t="shared" si="1"/>
        <v>1590</v>
      </c>
      <c r="U21" s="2141">
        <f t="shared" si="2"/>
        <v>1</v>
      </c>
      <c r="V21" s="2139" t="s">
        <v>1310</v>
      </c>
      <c r="W21" s="2140">
        <f>[4]int.bevételek2019!H20</f>
        <v>0</v>
      </c>
      <c r="X21" s="2140">
        <f>'[5]int.bevételek RM IV'!T21</f>
        <v>0</v>
      </c>
      <c r="Y21" s="2140"/>
      <c r="Z21" s="2141"/>
      <c r="AA21" s="2140">
        <f>[4]int.bevételek2019!I20</f>
        <v>0</v>
      </c>
      <c r="AB21" s="2140">
        <f>'[5]int.bevételek RM IV'!W21</f>
        <v>0</v>
      </c>
      <c r="AC21" s="2140"/>
      <c r="AD21" s="2141"/>
      <c r="AE21" s="2140">
        <f>[4]int.bevételek2019!J20</f>
        <v>0</v>
      </c>
      <c r="AF21" s="2140">
        <f>'[5]int.bevételek RM IV'!Z21</f>
        <v>0</v>
      </c>
      <c r="AG21" s="2140"/>
      <c r="AH21" s="2141"/>
      <c r="AI21" s="2140">
        <f t="shared" si="3"/>
        <v>0</v>
      </c>
      <c r="AJ21" s="2140">
        <f t="shared" si="3"/>
        <v>0</v>
      </c>
      <c r="AK21" s="2140">
        <f t="shared" si="3"/>
        <v>0</v>
      </c>
      <c r="AL21" s="2141"/>
      <c r="AM21" s="2140"/>
      <c r="AN21" s="2140">
        <f>'[5]int.bevételek RM IV'!AJ21</f>
        <v>144</v>
      </c>
      <c r="AO21" s="2140">
        <v>144</v>
      </c>
      <c r="AP21" s="2141">
        <f t="shared" si="4"/>
        <v>1</v>
      </c>
      <c r="AQ21" s="2139" t="s">
        <v>1310</v>
      </c>
      <c r="AR21" s="2140">
        <f>[4]int.bevételek2019!L20</f>
        <v>52243</v>
      </c>
      <c r="AS21" s="2140">
        <f>'[5]int.bevételek RM IV'!AM21</f>
        <v>57905</v>
      </c>
      <c r="AT21" s="2140">
        <f>65181-9664</f>
        <v>55517</v>
      </c>
      <c r="AU21" s="2141">
        <f t="shared" si="5"/>
        <v>0.95876003799326481</v>
      </c>
      <c r="AV21" s="2140">
        <f>[4]int.bevételek2019!M20</f>
        <v>0</v>
      </c>
      <c r="AW21" s="2140">
        <f>'[5]int.bevételek RM IV'!AP21</f>
        <v>13179</v>
      </c>
      <c r="AX21" s="2140">
        <v>9664</v>
      </c>
      <c r="AY21" s="2141">
        <f t="shared" si="6"/>
        <v>0.7332878063586008</v>
      </c>
      <c r="AZ21" s="2140">
        <f t="shared" si="7"/>
        <v>52243</v>
      </c>
      <c r="BA21" s="2140">
        <f t="shared" si="7"/>
        <v>71084</v>
      </c>
      <c r="BB21" s="2140">
        <f t="shared" si="7"/>
        <v>65181</v>
      </c>
      <c r="BC21" s="2141">
        <f t="shared" si="8"/>
        <v>0.91695740250970681</v>
      </c>
      <c r="BD21" s="2140">
        <f t="shared" si="9"/>
        <v>53025</v>
      </c>
      <c r="BE21" s="2140">
        <f t="shared" si="9"/>
        <v>72818</v>
      </c>
      <c r="BF21" s="2140">
        <f t="shared" si="9"/>
        <v>66915</v>
      </c>
      <c r="BG21" s="2141">
        <f t="shared" si="10"/>
        <v>0.91893487873877333</v>
      </c>
      <c r="BH21" s="2127">
        <f>'[6]éves besz.kiadásai2019'!AQ21-'4 int bevétel'!AK21-AX21</f>
        <v>0</v>
      </c>
      <c r="BI21" s="2127">
        <f>'[6]éves besz.kiadásai2019'!AP21-'4 int bevétel'!AJ21-AW21</f>
        <v>0</v>
      </c>
    </row>
    <row r="22" spans="1:61" ht="57" customHeight="1" x14ac:dyDescent="0.6">
      <c r="A22" s="2139" t="s">
        <v>1443</v>
      </c>
      <c r="B22" s="2140">
        <f>[4]int.bevételek2019!B21</f>
        <v>460</v>
      </c>
      <c r="C22" s="2140">
        <f>'[5]int.bevételek RM IV'!D22</f>
        <v>1073</v>
      </c>
      <c r="D22" s="2140">
        <v>1072</v>
      </c>
      <c r="E22" s="2141">
        <f t="shared" si="0"/>
        <v>0.99906803355079221</v>
      </c>
      <c r="F22" s="2140">
        <f>[4]int.bevételek2019!C21</f>
        <v>0</v>
      </c>
      <c r="G22" s="2140">
        <f>'[5]int.bevételek RM IV'!G22</f>
        <v>0</v>
      </c>
      <c r="H22" s="2140"/>
      <c r="I22" s="2141"/>
      <c r="J22" s="2140">
        <f>[4]int.bevételek2019!D21</f>
        <v>0</v>
      </c>
      <c r="K22" s="2140">
        <f>'[5]int.bevételek RM IV'!J22</f>
        <v>0</v>
      </c>
      <c r="L22" s="2140"/>
      <c r="M22" s="2141"/>
      <c r="N22" s="2140">
        <f>[4]int.bevételek2019!E21</f>
        <v>0</v>
      </c>
      <c r="O22" s="2140">
        <f>'[5]int.bevételek RM IV'!M22</f>
        <v>0</v>
      </c>
      <c r="P22" s="2140"/>
      <c r="Q22" s="2141"/>
      <c r="R22" s="2140">
        <f t="shared" si="1"/>
        <v>460</v>
      </c>
      <c r="S22" s="2140">
        <f t="shared" si="1"/>
        <v>1073</v>
      </c>
      <c r="T22" s="2140">
        <f t="shared" si="1"/>
        <v>1072</v>
      </c>
      <c r="U22" s="2141">
        <f t="shared" si="2"/>
        <v>0.99906803355079221</v>
      </c>
      <c r="V22" s="2139" t="s">
        <v>1443</v>
      </c>
      <c r="W22" s="2140">
        <f>[4]int.bevételek2019!H21</f>
        <v>0</v>
      </c>
      <c r="X22" s="2140">
        <f>'[5]int.bevételek RM IV'!T22</f>
        <v>0</v>
      </c>
      <c r="Y22" s="2140"/>
      <c r="Z22" s="2141"/>
      <c r="AA22" s="2140">
        <f>[4]int.bevételek2019!I21</f>
        <v>0</v>
      </c>
      <c r="AB22" s="2140">
        <f>'[5]int.bevételek RM IV'!W22</f>
        <v>0</v>
      </c>
      <c r="AC22" s="2140"/>
      <c r="AD22" s="2141"/>
      <c r="AE22" s="2140">
        <f>[4]int.bevételek2019!J21</f>
        <v>0</v>
      </c>
      <c r="AF22" s="2140">
        <f>'[5]int.bevételek RM IV'!Z22</f>
        <v>0</v>
      </c>
      <c r="AG22" s="2140"/>
      <c r="AH22" s="2141"/>
      <c r="AI22" s="2140">
        <f t="shared" si="3"/>
        <v>0</v>
      </c>
      <c r="AJ22" s="2140">
        <f t="shared" si="3"/>
        <v>0</v>
      </c>
      <c r="AK22" s="2140">
        <f t="shared" si="3"/>
        <v>0</v>
      </c>
      <c r="AL22" s="2141"/>
      <c r="AM22" s="2140"/>
      <c r="AN22" s="2140">
        <f>'[5]int.bevételek RM IV'!AJ22</f>
        <v>112</v>
      </c>
      <c r="AO22" s="2140">
        <v>112</v>
      </c>
      <c r="AP22" s="2141">
        <f t="shared" si="4"/>
        <v>1</v>
      </c>
      <c r="AQ22" s="2139" t="s">
        <v>1443</v>
      </c>
      <c r="AR22" s="2140">
        <f>[4]int.bevételek2019!L21</f>
        <v>72099</v>
      </c>
      <c r="AS22" s="2140">
        <f>'[5]int.bevételek RM IV'!AM22</f>
        <v>78848</v>
      </c>
      <c r="AT22" s="2140">
        <f>93129-19438</f>
        <v>73691</v>
      </c>
      <c r="AU22" s="2141">
        <f t="shared" si="5"/>
        <v>0.93459567775974028</v>
      </c>
      <c r="AV22" s="2140">
        <f>[4]int.bevételek2019!M21</f>
        <v>0</v>
      </c>
      <c r="AW22" s="2140">
        <f>'[5]int.bevételek RM IV'!AP22</f>
        <v>19438</v>
      </c>
      <c r="AX22" s="2140">
        <v>19438</v>
      </c>
      <c r="AY22" s="2141">
        <f t="shared" si="6"/>
        <v>1</v>
      </c>
      <c r="AZ22" s="2140">
        <f t="shared" si="7"/>
        <v>72099</v>
      </c>
      <c r="BA22" s="2140">
        <f t="shared" si="7"/>
        <v>98286</v>
      </c>
      <c r="BB22" s="2140">
        <f t="shared" si="7"/>
        <v>93129</v>
      </c>
      <c r="BC22" s="2141">
        <f t="shared" si="8"/>
        <v>0.94753067578291927</v>
      </c>
      <c r="BD22" s="2140">
        <f t="shared" si="9"/>
        <v>72559</v>
      </c>
      <c r="BE22" s="2140">
        <f t="shared" si="9"/>
        <v>99471</v>
      </c>
      <c r="BF22" s="2140">
        <f t="shared" si="9"/>
        <v>94313</v>
      </c>
      <c r="BG22" s="2141">
        <f t="shared" si="10"/>
        <v>0.94814569070382326</v>
      </c>
      <c r="BH22" s="2127">
        <f>'[6]éves besz.kiadásai2019'!AQ22-'4 int bevétel'!AK22-AX22</f>
        <v>0</v>
      </c>
      <c r="BI22" s="2127">
        <f>'[6]éves besz.kiadásai2019'!AP22-'4 int bevétel'!AJ22-AW22</f>
        <v>0</v>
      </c>
    </row>
    <row r="23" spans="1:61" ht="57" customHeight="1" x14ac:dyDescent="0.6">
      <c r="A23" s="2139" t="s">
        <v>1444</v>
      </c>
      <c r="B23" s="2140">
        <f>[4]int.bevételek2019!B22</f>
        <v>524</v>
      </c>
      <c r="C23" s="2140">
        <f>'[5]int.bevételek RM IV'!D23</f>
        <v>1818</v>
      </c>
      <c r="D23" s="2140">
        <v>1817</v>
      </c>
      <c r="E23" s="2141">
        <f t="shared" si="0"/>
        <v>0.99944994499449946</v>
      </c>
      <c r="F23" s="2140">
        <f>[4]int.bevételek2019!C22</f>
        <v>0</v>
      </c>
      <c r="G23" s="2140">
        <f>'[5]int.bevételek RM IV'!G23</f>
        <v>200</v>
      </c>
      <c r="H23" s="2140">
        <v>200</v>
      </c>
      <c r="I23" s="2141">
        <f>H23/G23</f>
        <v>1</v>
      </c>
      <c r="J23" s="2140">
        <f>[4]int.bevételek2019!D22</f>
        <v>0</v>
      </c>
      <c r="K23" s="2140">
        <f>'[5]int.bevételek RM IV'!J23</f>
        <v>0</v>
      </c>
      <c r="L23" s="2140"/>
      <c r="M23" s="2141"/>
      <c r="N23" s="2140">
        <f>[4]int.bevételek2019!E22</f>
        <v>0</v>
      </c>
      <c r="O23" s="2140">
        <f>'[5]int.bevételek RM IV'!M23</f>
        <v>0</v>
      </c>
      <c r="P23" s="2140"/>
      <c r="Q23" s="2141"/>
      <c r="R23" s="2140">
        <f t="shared" si="1"/>
        <v>524</v>
      </c>
      <c r="S23" s="2140">
        <f t="shared" si="1"/>
        <v>2018</v>
      </c>
      <c r="T23" s="2140">
        <f t="shared" si="1"/>
        <v>2017</v>
      </c>
      <c r="U23" s="2141">
        <f t="shared" si="2"/>
        <v>0.99950445986124881</v>
      </c>
      <c r="V23" s="2139" t="s">
        <v>1444</v>
      </c>
      <c r="W23" s="2140">
        <f>[4]int.bevételek2019!H22</f>
        <v>0</v>
      </c>
      <c r="X23" s="2140">
        <f>'[5]int.bevételek RM IV'!T23</f>
        <v>0</v>
      </c>
      <c r="Y23" s="2140"/>
      <c r="Z23" s="2141"/>
      <c r="AA23" s="2140">
        <f>[4]int.bevételek2019!I22</f>
        <v>0</v>
      </c>
      <c r="AB23" s="2140">
        <f>'[5]int.bevételek RM IV'!W23</f>
        <v>0</v>
      </c>
      <c r="AC23" s="2140"/>
      <c r="AD23" s="2141"/>
      <c r="AE23" s="2140">
        <f>[4]int.bevételek2019!J22</f>
        <v>0</v>
      </c>
      <c r="AF23" s="2140">
        <f>'[5]int.bevételek RM IV'!Z23</f>
        <v>0</v>
      </c>
      <c r="AG23" s="2140"/>
      <c r="AH23" s="2141"/>
      <c r="AI23" s="2140">
        <f t="shared" si="3"/>
        <v>0</v>
      </c>
      <c r="AJ23" s="2140">
        <f t="shared" si="3"/>
        <v>0</v>
      </c>
      <c r="AK23" s="2140">
        <f t="shared" si="3"/>
        <v>0</v>
      </c>
      <c r="AL23" s="2141"/>
      <c r="AM23" s="2140"/>
      <c r="AN23" s="2140">
        <f>'[5]int.bevételek RM IV'!AJ23</f>
        <v>203</v>
      </c>
      <c r="AO23" s="2140">
        <v>203</v>
      </c>
      <c r="AP23" s="2141">
        <f t="shared" si="4"/>
        <v>1</v>
      </c>
      <c r="AQ23" s="2139" t="s">
        <v>1444</v>
      </c>
      <c r="AR23" s="2140">
        <f>[4]int.bevételek2019!L22</f>
        <v>96501</v>
      </c>
      <c r="AS23" s="2140">
        <f>'[5]int.bevételek RM IV'!AM23</f>
        <v>99107</v>
      </c>
      <c r="AT23" s="2140">
        <f>95430-761</f>
        <v>94669</v>
      </c>
      <c r="AU23" s="2141">
        <f t="shared" si="5"/>
        <v>0.95522011563259912</v>
      </c>
      <c r="AV23" s="2140">
        <f>[4]int.bevételek2019!M22</f>
        <v>0</v>
      </c>
      <c r="AW23" s="2140">
        <f>'[5]int.bevételek RM IV'!AP23</f>
        <v>762</v>
      </c>
      <c r="AX23" s="2140">
        <v>761</v>
      </c>
      <c r="AY23" s="2141">
        <f t="shared" si="6"/>
        <v>0.99868766404199472</v>
      </c>
      <c r="AZ23" s="2140">
        <f t="shared" si="7"/>
        <v>96501</v>
      </c>
      <c r="BA23" s="2140">
        <f t="shared" si="7"/>
        <v>99869</v>
      </c>
      <c r="BB23" s="2140">
        <f t="shared" si="7"/>
        <v>95430</v>
      </c>
      <c r="BC23" s="2141">
        <f t="shared" si="8"/>
        <v>0.95555177282239734</v>
      </c>
      <c r="BD23" s="2140">
        <f t="shared" si="9"/>
        <v>97025</v>
      </c>
      <c r="BE23" s="2140">
        <f t="shared" si="9"/>
        <v>102090</v>
      </c>
      <c r="BF23" s="2140">
        <f t="shared" si="9"/>
        <v>97650</v>
      </c>
      <c r="BG23" s="2141">
        <f t="shared" si="10"/>
        <v>0.95650896267998819</v>
      </c>
      <c r="BH23" s="2127">
        <f>'[6]éves besz.kiadásai2019'!AQ23-'4 int bevétel'!AK23-AX23</f>
        <v>0</v>
      </c>
      <c r="BI23" s="2127">
        <f>'[6]éves besz.kiadásai2019'!AP23-'4 int bevétel'!AJ23-AW23</f>
        <v>0</v>
      </c>
    </row>
    <row r="24" spans="1:61" ht="57" customHeight="1" x14ac:dyDescent="0.6">
      <c r="A24" s="2139" t="s">
        <v>1314</v>
      </c>
      <c r="B24" s="2140">
        <f>[4]int.bevételek2019!B23</f>
        <v>1360</v>
      </c>
      <c r="C24" s="2140">
        <f>'[5]int.bevételek RM IV'!D24</f>
        <v>1804</v>
      </c>
      <c r="D24" s="2140">
        <v>1803</v>
      </c>
      <c r="E24" s="2141">
        <f t="shared" si="0"/>
        <v>0.99944567627494452</v>
      </c>
      <c r="F24" s="2140">
        <f>[4]int.bevételek2019!C23</f>
        <v>0</v>
      </c>
      <c r="G24" s="2140">
        <f>'[5]int.bevételek RM IV'!G24</f>
        <v>0</v>
      </c>
      <c r="H24" s="2140"/>
      <c r="I24" s="2141"/>
      <c r="J24" s="2140">
        <f>[4]int.bevételek2019!D23</f>
        <v>0</v>
      </c>
      <c r="K24" s="2140">
        <f>'[5]int.bevételek RM IV'!J24</f>
        <v>60</v>
      </c>
      <c r="L24" s="2140">
        <v>60</v>
      </c>
      <c r="M24" s="2141">
        <f>L24/K24</f>
        <v>1</v>
      </c>
      <c r="N24" s="2140">
        <f>[4]int.bevételek2019!E23</f>
        <v>0</v>
      </c>
      <c r="O24" s="2140">
        <f>'[5]int.bevételek RM IV'!M24</f>
        <v>0</v>
      </c>
      <c r="P24" s="2140"/>
      <c r="Q24" s="2141"/>
      <c r="R24" s="2140">
        <f t="shared" si="1"/>
        <v>1360</v>
      </c>
      <c r="S24" s="2140">
        <f t="shared" si="1"/>
        <v>1864</v>
      </c>
      <c r="T24" s="2140">
        <f t="shared" si="1"/>
        <v>1863</v>
      </c>
      <c r="U24" s="2141">
        <f t="shared" si="2"/>
        <v>0.99946351931330468</v>
      </c>
      <c r="V24" s="2139" t="s">
        <v>1314</v>
      </c>
      <c r="W24" s="2140">
        <f>[4]int.bevételek2019!H23</f>
        <v>0</v>
      </c>
      <c r="X24" s="2140">
        <f>'[5]int.bevételek RM IV'!T24</f>
        <v>0</v>
      </c>
      <c r="Y24" s="2140"/>
      <c r="Z24" s="2141"/>
      <c r="AA24" s="2140">
        <f>[4]int.bevételek2019!I23</f>
        <v>0</v>
      </c>
      <c r="AB24" s="2140">
        <f>'[5]int.bevételek RM IV'!W24</f>
        <v>0</v>
      </c>
      <c r="AC24" s="2140"/>
      <c r="AD24" s="2141"/>
      <c r="AE24" s="2140">
        <f>[4]int.bevételek2019!J23</f>
        <v>0</v>
      </c>
      <c r="AF24" s="2140">
        <f>'[5]int.bevételek RM IV'!Z24</f>
        <v>0</v>
      </c>
      <c r="AG24" s="2140"/>
      <c r="AH24" s="2141"/>
      <c r="AI24" s="2140">
        <f t="shared" si="3"/>
        <v>0</v>
      </c>
      <c r="AJ24" s="2140">
        <f t="shared" si="3"/>
        <v>0</v>
      </c>
      <c r="AK24" s="2140">
        <f t="shared" si="3"/>
        <v>0</v>
      </c>
      <c r="AL24" s="2141"/>
      <c r="AM24" s="2140"/>
      <c r="AN24" s="2140">
        <f>'[5]int.bevételek RM IV'!AJ24</f>
        <v>417</v>
      </c>
      <c r="AO24" s="2140">
        <v>417</v>
      </c>
      <c r="AP24" s="2141">
        <f t="shared" si="4"/>
        <v>1</v>
      </c>
      <c r="AQ24" s="2139" t="s">
        <v>1314</v>
      </c>
      <c r="AR24" s="2140">
        <f>[4]int.bevételek2019!L23</f>
        <v>120096</v>
      </c>
      <c r="AS24" s="2140">
        <f>'[5]int.bevételek RM IV'!AM24</f>
        <v>122795</v>
      </c>
      <c r="AT24" s="2140">
        <f>120345-1479</f>
        <v>118866</v>
      </c>
      <c r="AU24" s="2141">
        <f t="shared" si="5"/>
        <v>0.96800358320778535</v>
      </c>
      <c r="AV24" s="2140">
        <f>[4]int.bevételek2019!M23</f>
        <v>0</v>
      </c>
      <c r="AW24" s="2140">
        <f>'[5]int.bevételek RM IV'!AP24</f>
        <v>1480</v>
      </c>
      <c r="AX24" s="2140">
        <v>1479</v>
      </c>
      <c r="AY24" s="2141">
        <f t="shared" si="6"/>
        <v>0.99932432432432428</v>
      </c>
      <c r="AZ24" s="2140">
        <f t="shared" si="7"/>
        <v>120096</v>
      </c>
      <c r="BA24" s="2140">
        <f t="shared" si="7"/>
        <v>124275</v>
      </c>
      <c r="BB24" s="2140">
        <f t="shared" si="7"/>
        <v>120345</v>
      </c>
      <c r="BC24" s="2141">
        <f t="shared" si="8"/>
        <v>0.96837658418829209</v>
      </c>
      <c r="BD24" s="2140">
        <f t="shared" si="9"/>
        <v>121456</v>
      </c>
      <c r="BE24" s="2140">
        <f t="shared" si="9"/>
        <v>126556</v>
      </c>
      <c r="BF24" s="2140">
        <f t="shared" si="9"/>
        <v>122625</v>
      </c>
      <c r="BG24" s="2141">
        <f t="shared" si="10"/>
        <v>0.96893865166408544</v>
      </c>
      <c r="BH24" s="2127">
        <f>'[6]éves besz.kiadásai2019'!AQ24-'4 int bevétel'!AK24-AX24</f>
        <v>0</v>
      </c>
      <c r="BI24" s="2127">
        <f>'[6]éves besz.kiadásai2019'!AP24-'4 int bevétel'!AJ24-AW24</f>
        <v>0</v>
      </c>
    </row>
    <row r="25" spans="1:61" ht="57" customHeight="1" x14ac:dyDescent="0.6">
      <c r="A25" s="2139" t="s">
        <v>1315</v>
      </c>
      <c r="B25" s="2140">
        <f>[4]int.bevételek2019!B24</f>
        <v>1007</v>
      </c>
      <c r="C25" s="2140">
        <f>'[5]int.bevételek RM IV'!D25</f>
        <v>1343</v>
      </c>
      <c r="D25" s="2140">
        <v>1342</v>
      </c>
      <c r="E25" s="2141">
        <f t="shared" si="0"/>
        <v>0.99925539836187638</v>
      </c>
      <c r="F25" s="2140">
        <f>[4]int.bevételek2019!C24</f>
        <v>0</v>
      </c>
      <c r="G25" s="2140">
        <f>'[5]int.bevételek RM IV'!G25</f>
        <v>0</v>
      </c>
      <c r="H25" s="2140"/>
      <c r="I25" s="2141"/>
      <c r="J25" s="2140">
        <f>[4]int.bevételek2019!D24</f>
        <v>0</v>
      </c>
      <c r="K25" s="2140">
        <f>'[5]int.bevételek RM IV'!J25</f>
        <v>0</v>
      </c>
      <c r="L25" s="2140"/>
      <c r="M25" s="2141"/>
      <c r="N25" s="2140">
        <f>[4]int.bevételek2019!E24</f>
        <v>0</v>
      </c>
      <c r="O25" s="2140">
        <f>'[5]int.bevételek RM IV'!M25</f>
        <v>0</v>
      </c>
      <c r="P25" s="2140"/>
      <c r="Q25" s="2141"/>
      <c r="R25" s="2140">
        <f t="shared" si="1"/>
        <v>1007</v>
      </c>
      <c r="S25" s="2140">
        <f t="shared" si="1"/>
        <v>1343</v>
      </c>
      <c r="T25" s="2140">
        <f t="shared" si="1"/>
        <v>1342</v>
      </c>
      <c r="U25" s="2141">
        <f t="shared" si="2"/>
        <v>0.99925539836187638</v>
      </c>
      <c r="V25" s="2139" t="s">
        <v>1315</v>
      </c>
      <c r="W25" s="2140">
        <f>[4]int.bevételek2019!H24</f>
        <v>0</v>
      </c>
      <c r="X25" s="2140">
        <f>'[5]int.bevételek RM IV'!T25</f>
        <v>0</v>
      </c>
      <c r="Y25" s="2140"/>
      <c r="Z25" s="2141"/>
      <c r="AA25" s="2140">
        <f>[4]int.bevételek2019!I24</f>
        <v>0</v>
      </c>
      <c r="AB25" s="2140">
        <f>'[5]int.bevételek RM IV'!W25</f>
        <v>0</v>
      </c>
      <c r="AC25" s="2140"/>
      <c r="AD25" s="2141"/>
      <c r="AE25" s="2140">
        <f>[4]int.bevételek2019!J24</f>
        <v>0</v>
      </c>
      <c r="AF25" s="2140">
        <f>'[5]int.bevételek RM IV'!Z25</f>
        <v>0</v>
      </c>
      <c r="AG25" s="2140"/>
      <c r="AH25" s="2141"/>
      <c r="AI25" s="2140">
        <f t="shared" si="3"/>
        <v>0</v>
      </c>
      <c r="AJ25" s="2140">
        <f t="shared" si="3"/>
        <v>0</v>
      </c>
      <c r="AK25" s="2140">
        <f t="shared" si="3"/>
        <v>0</v>
      </c>
      <c r="AL25" s="2141"/>
      <c r="AM25" s="2140"/>
      <c r="AN25" s="2140">
        <f>'[5]int.bevételek RM IV'!AJ25</f>
        <v>289</v>
      </c>
      <c r="AO25" s="2140">
        <v>289</v>
      </c>
      <c r="AP25" s="2141">
        <f t="shared" si="4"/>
        <v>1</v>
      </c>
      <c r="AQ25" s="2139" t="s">
        <v>1315</v>
      </c>
      <c r="AR25" s="2140">
        <f>[4]int.bevételek2019!L24</f>
        <v>112094</v>
      </c>
      <c r="AS25" s="2140">
        <f>'[5]int.bevételek RM IV'!AM25</f>
        <v>117696</v>
      </c>
      <c r="AT25" s="2140">
        <f>109711-2578</f>
        <v>107133</v>
      </c>
      <c r="AU25" s="2141">
        <f t="shared" si="5"/>
        <v>0.91025183523654163</v>
      </c>
      <c r="AV25" s="2140">
        <f>[4]int.bevételek2019!M24</f>
        <v>0</v>
      </c>
      <c r="AW25" s="2140">
        <f>'[5]int.bevételek RM IV'!AP25</f>
        <v>5648</v>
      </c>
      <c r="AX25" s="2140">
        <v>2578</v>
      </c>
      <c r="AY25" s="2141">
        <f t="shared" si="6"/>
        <v>0.45644475920679889</v>
      </c>
      <c r="AZ25" s="2140">
        <f t="shared" si="7"/>
        <v>112094</v>
      </c>
      <c r="BA25" s="2140">
        <f t="shared" si="7"/>
        <v>123344</v>
      </c>
      <c r="BB25" s="2140">
        <f t="shared" si="7"/>
        <v>109711</v>
      </c>
      <c r="BC25" s="2141">
        <f t="shared" si="8"/>
        <v>0.8894717213646387</v>
      </c>
      <c r="BD25" s="2140">
        <f t="shared" si="9"/>
        <v>113101</v>
      </c>
      <c r="BE25" s="2140">
        <f t="shared" si="9"/>
        <v>124976</v>
      </c>
      <c r="BF25" s="2140">
        <f t="shared" si="9"/>
        <v>111342</v>
      </c>
      <c r="BG25" s="2141">
        <f t="shared" si="10"/>
        <v>0.89090705415439764</v>
      </c>
      <c r="BH25" s="2127">
        <f>'[6]éves besz.kiadásai2019'!AQ25-'4 int bevétel'!AK25-AX25</f>
        <v>0</v>
      </c>
      <c r="BI25" s="2127">
        <f>'[6]éves besz.kiadásai2019'!AP25-'4 int bevétel'!AJ25-AW25</f>
        <v>0</v>
      </c>
    </row>
    <row r="26" spans="1:61" ht="57" customHeight="1" x14ac:dyDescent="0.6">
      <c r="A26" s="2139" t="s">
        <v>1350</v>
      </c>
      <c r="B26" s="2140">
        <f>[4]int.bevételek2019!B25</f>
        <v>647</v>
      </c>
      <c r="C26" s="2140">
        <f>'[5]int.bevételek RM IV'!D26</f>
        <v>1260</v>
      </c>
      <c r="D26" s="2140">
        <v>1258</v>
      </c>
      <c r="E26" s="2141">
        <f t="shared" si="0"/>
        <v>0.99841269841269842</v>
      </c>
      <c r="F26" s="2140">
        <f>[4]int.bevételek2019!C25</f>
        <v>0</v>
      </c>
      <c r="G26" s="2140">
        <f>'[5]int.bevételek RM IV'!G26</f>
        <v>707</v>
      </c>
      <c r="H26" s="2140">
        <v>707</v>
      </c>
      <c r="I26" s="2141">
        <f>H26/G26</f>
        <v>1</v>
      </c>
      <c r="J26" s="2140">
        <f>[4]int.bevételek2019!D25</f>
        <v>0</v>
      </c>
      <c r="K26" s="2140">
        <f>'[5]int.bevételek RM IV'!J26</f>
        <v>0</v>
      </c>
      <c r="L26" s="2140"/>
      <c r="M26" s="2141"/>
      <c r="N26" s="2140">
        <f>[4]int.bevételek2019!E25</f>
        <v>0</v>
      </c>
      <c r="O26" s="2140">
        <f>'[5]int.bevételek RM IV'!M26</f>
        <v>0</v>
      </c>
      <c r="P26" s="2140"/>
      <c r="Q26" s="2141"/>
      <c r="R26" s="2140">
        <f t="shared" si="1"/>
        <v>647</v>
      </c>
      <c r="S26" s="2140">
        <f t="shared" si="1"/>
        <v>1967</v>
      </c>
      <c r="T26" s="2140">
        <f t="shared" si="1"/>
        <v>1965</v>
      </c>
      <c r="U26" s="2141">
        <f t="shared" si="2"/>
        <v>0.99898322318251143</v>
      </c>
      <c r="V26" s="2139" t="s">
        <v>1350</v>
      </c>
      <c r="W26" s="2140">
        <f>[4]int.bevételek2019!H25</f>
        <v>0</v>
      </c>
      <c r="X26" s="2140">
        <f>'[5]int.bevételek RM IV'!T26</f>
        <v>0</v>
      </c>
      <c r="Y26" s="2140"/>
      <c r="Z26" s="2141"/>
      <c r="AA26" s="2140">
        <f>[4]int.bevételek2019!I25</f>
        <v>0</v>
      </c>
      <c r="AB26" s="2140">
        <f>'[5]int.bevételek RM IV'!W26</f>
        <v>628</v>
      </c>
      <c r="AC26" s="2140">
        <v>627</v>
      </c>
      <c r="AD26" s="2141">
        <f>AC26/AB26</f>
        <v>0.99840764331210186</v>
      </c>
      <c r="AE26" s="2140">
        <f>[4]int.bevételek2019!J25</f>
        <v>0</v>
      </c>
      <c r="AF26" s="2140">
        <f>'[5]int.bevételek RM IV'!Z26</f>
        <v>0</v>
      </c>
      <c r="AG26" s="2140"/>
      <c r="AH26" s="2141"/>
      <c r="AI26" s="2140">
        <f t="shared" si="3"/>
        <v>0</v>
      </c>
      <c r="AJ26" s="2140">
        <f t="shared" si="3"/>
        <v>628</v>
      </c>
      <c r="AK26" s="2140">
        <f t="shared" si="3"/>
        <v>627</v>
      </c>
      <c r="AL26" s="2141">
        <f>AK26/AJ26</f>
        <v>0.99840764331210186</v>
      </c>
      <c r="AM26" s="2140"/>
      <c r="AN26" s="2140">
        <f>'[5]int.bevételek RM IV'!AJ26</f>
        <v>155</v>
      </c>
      <c r="AO26" s="2140">
        <v>155</v>
      </c>
      <c r="AP26" s="2141">
        <f t="shared" si="4"/>
        <v>1</v>
      </c>
      <c r="AQ26" s="2139" t="s">
        <v>1350</v>
      </c>
      <c r="AR26" s="2140">
        <f>[4]int.bevételek2019!L25</f>
        <v>75908</v>
      </c>
      <c r="AS26" s="2140">
        <f>'[5]int.bevételek RM IV'!AM26</f>
        <v>78331</v>
      </c>
      <c r="AT26" s="2140">
        <f>88305-15102</f>
        <v>73203</v>
      </c>
      <c r="AU26" s="2141">
        <f t="shared" si="5"/>
        <v>0.93453422016826038</v>
      </c>
      <c r="AV26" s="2140">
        <f>[4]int.bevételek2019!M25</f>
        <v>0</v>
      </c>
      <c r="AW26" s="2140">
        <f>'[5]int.bevételek RM IV'!AP26</f>
        <v>16469</v>
      </c>
      <c r="AX26" s="2140">
        <v>15102</v>
      </c>
      <c r="AY26" s="2141">
        <f t="shared" si="6"/>
        <v>0.91699556742971644</v>
      </c>
      <c r="AZ26" s="2140">
        <f t="shared" si="7"/>
        <v>75908</v>
      </c>
      <c r="BA26" s="2140">
        <f t="shared" si="7"/>
        <v>94800</v>
      </c>
      <c r="BB26" s="2140">
        <f t="shared" si="7"/>
        <v>88305</v>
      </c>
      <c r="BC26" s="2141">
        <f t="shared" si="8"/>
        <v>0.93148734177215187</v>
      </c>
      <c r="BD26" s="2140">
        <f t="shared" si="9"/>
        <v>76555</v>
      </c>
      <c r="BE26" s="2140">
        <f t="shared" si="9"/>
        <v>97550</v>
      </c>
      <c r="BF26" s="2140">
        <f t="shared" si="9"/>
        <v>91052</v>
      </c>
      <c r="BG26" s="2141">
        <f t="shared" si="10"/>
        <v>0.93338800615069195</v>
      </c>
      <c r="BH26" s="2127">
        <f>'[6]éves besz.kiadásai2019'!AQ26-'4 int bevétel'!AK26-AX26</f>
        <v>0</v>
      </c>
      <c r="BI26" s="2127">
        <f>'[6]éves besz.kiadásai2019'!AP26-'4 int bevétel'!AJ26-AW26</f>
        <v>0</v>
      </c>
    </row>
    <row r="27" spans="1:61" ht="57" customHeight="1" thickBot="1" x14ac:dyDescent="0.65">
      <c r="A27" s="2142" t="s">
        <v>1446</v>
      </c>
      <c r="B27" s="2143">
        <f>[4]int.bevételek2019!B26</f>
        <v>689</v>
      </c>
      <c r="C27" s="2140">
        <f>'[5]int.bevételek RM IV'!D27</f>
        <v>1218</v>
      </c>
      <c r="D27" s="2143">
        <v>1217</v>
      </c>
      <c r="E27" s="2144">
        <f t="shared" si="0"/>
        <v>0.99917898193760257</v>
      </c>
      <c r="F27" s="2143">
        <f>[4]int.bevételek2019!C26</f>
        <v>0</v>
      </c>
      <c r="G27" s="2140">
        <f>'[5]int.bevételek RM IV'!G27</f>
        <v>17</v>
      </c>
      <c r="H27" s="2143">
        <v>16</v>
      </c>
      <c r="I27" s="2144">
        <f>H27/G27</f>
        <v>0.94117647058823528</v>
      </c>
      <c r="J27" s="2143">
        <f>[4]int.bevételek2019!D26</f>
        <v>0</v>
      </c>
      <c r="K27" s="2140">
        <f>'[5]int.bevételek RM IV'!J27</f>
        <v>0</v>
      </c>
      <c r="L27" s="2143"/>
      <c r="M27" s="2144"/>
      <c r="N27" s="2143">
        <f>[4]int.bevételek2019!E26</f>
        <v>0</v>
      </c>
      <c r="O27" s="2143">
        <f>'[5]int.bevételek RM IV'!M27</f>
        <v>0</v>
      </c>
      <c r="P27" s="2140"/>
      <c r="Q27" s="2144"/>
      <c r="R27" s="2140">
        <f t="shared" si="1"/>
        <v>689</v>
      </c>
      <c r="S27" s="2140">
        <f t="shared" si="1"/>
        <v>1235</v>
      </c>
      <c r="T27" s="2140">
        <f t="shared" si="1"/>
        <v>1233</v>
      </c>
      <c r="U27" s="2144">
        <f t="shared" si="2"/>
        <v>0.99838056680161946</v>
      </c>
      <c r="V27" s="2142" t="s">
        <v>1446</v>
      </c>
      <c r="W27" s="2143">
        <f>[4]int.bevételek2019!H26</f>
        <v>0</v>
      </c>
      <c r="X27" s="2143">
        <f>'[5]int.bevételek RM IV'!T27</f>
        <v>0</v>
      </c>
      <c r="Y27" s="2143"/>
      <c r="Z27" s="2144"/>
      <c r="AA27" s="2143">
        <f>[4]int.bevételek2019!I26</f>
        <v>0</v>
      </c>
      <c r="AB27" s="2143">
        <f>'[5]int.bevételek RM IV'!W27</f>
        <v>0</v>
      </c>
      <c r="AC27" s="2140"/>
      <c r="AD27" s="2144"/>
      <c r="AE27" s="2143">
        <f>[4]int.bevételek2019!J26</f>
        <v>0</v>
      </c>
      <c r="AF27" s="2143">
        <f>'[5]int.bevételek RM IV'!Z27</f>
        <v>0</v>
      </c>
      <c r="AG27" s="2143"/>
      <c r="AH27" s="2145"/>
      <c r="AI27" s="2140">
        <f t="shared" si="3"/>
        <v>0</v>
      </c>
      <c r="AJ27" s="2140">
        <f t="shared" si="3"/>
        <v>0</v>
      </c>
      <c r="AK27" s="2140">
        <f t="shared" si="3"/>
        <v>0</v>
      </c>
      <c r="AL27" s="2144"/>
      <c r="AM27" s="2143"/>
      <c r="AN27" s="2140">
        <f>'[5]int.bevételek RM IV'!AJ27</f>
        <v>97</v>
      </c>
      <c r="AO27" s="2143">
        <v>97</v>
      </c>
      <c r="AP27" s="2144">
        <f t="shared" si="4"/>
        <v>1</v>
      </c>
      <c r="AQ27" s="2142" t="s">
        <v>1446</v>
      </c>
      <c r="AR27" s="2143">
        <f>[4]int.bevételek2019!L26</f>
        <v>54174</v>
      </c>
      <c r="AS27" s="2140">
        <f>'[5]int.bevételek RM IV'!AM27</f>
        <v>57554</v>
      </c>
      <c r="AT27" s="2143">
        <f>57473-2005</f>
        <v>55468</v>
      </c>
      <c r="AU27" s="2144">
        <f t="shared" si="5"/>
        <v>0.96375577718316707</v>
      </c>
      <c r="AV27" s="2143">
        <f>[4]int.bevételek2019!M26</f>
        <v>0</v>
      </c>
      <c r="AW27" s="2140">
        <f>'[5]int.bevételek RM IV'!AP27</f>
        <v>2106</v>
      </c>
      <c r="AX27" s="2143">
        <v>2005</v>
      </c>
      <c r="AY27" s="2144">
        <f>AX27/AW27</f>
        <v>0.95204178537511874</v>
      </c>
      <c r="AZ27" s="2140">
        <f t="shared" si="7"/>
        <v>54174</v>
      </c>
      <c r="BA27" s="2140">
        <f t="shared" si="7"/>
        <v>59660</v>
      </c>
      <c r="BB27" s="2140">
        <f t="shared" si="7"/>
        <v>57473</v>
      </c>
      <c r="BC27" s="2144">
        <f t="shared" si="8"/>
        <v>0.96334227287965135</v>
      </c>
      <c r="BD27" s="2140">
        <f t="shared" si="9"/>
        <v>54863</v>
      </c>
      <c r="BE27" s="2140">
        <f t="shared" si="9"/>
        <v>60992</v>
      </c>
      <c r="BF27" s="2140">
        <f t="shared" si="9"/>
        <v>58803</v>
      </c>
      <c r="BG27" s="2144">
        <f t="shared" si="10"/>
        <v>0.96411004721930749</v>
      </c>
      <c r="BH27" s="2127">
        <f>'[6]éves besz.kiadásai2019'!AQ27-'4 int bevétel'!AK27-AX27</f>
        <v>0</v>
      </c>
      <c r="BI27" s="2127">
        <f>'[6]éves besz.kiadásai2019'!AP27-'4 int bevétel'!AJ27-AW27</f>
        <v>0</v>
      </c>
    </row>
    <row r="28" spans="1:61" ht="57" customHeight="1" thickBot="1" x14ac:dyDescent="0.65">
      <c r="A28" s="2146" t="s">
        <v>1318</v>
      </c>
      <c r="B28" s="2147">
        <f>SUM(B10:B27)</f>
        <v>16689</v>
      </c>
      <c r="C28" s="2147">
        <f>SUM(C10:C27)</f>
        <v>28042</v>
      </c>
      <c r="D28" s="2147">
        <f>SUM(D10:D27)</f>
        <v>28022</v>
      </c>
      <c r="E28" s="2148">
        <f t="shared" si="0"/>
        <v>0.99928678410954996</v>
      </c>
      <c r="F28" s="2147">
        <f>SUM(F10:F27)</f>
        <v>0</v>
      </c>
      <c r="G28" s="2147">
        <f>SUM(G10:G27)</f>
        <v>1341</v>
      </c>
      <c r="H28" s="2147">
        <f>SUM(H10:H27)</f>
        <v>1337</v>
      </c>
      <c r="I28" s="2148">
        <f>H28/G28</f>
        <v>0.99701715137956748</v>
      </c>
      <c r="J28" s="2147">
        <f>SUM(J10:J27)</f>
        <v>0</v>
      </c>
      <c r="K28" s="2147">
        <f>SUM(K10:K27)</f>
        <v>2401</v>
      </c>
      <c r="L28" s="2147">
        <f>SUM(L10:L27)</f>
        <v>2399</v>
      </c>
      <c r="M28" s="2148">
        <f>L28/K28</f>
        <v>0.99916701374427319</v>
      </c>
      <c r="N28" s="2147">
        <f>SUM(N10:N27)</f>
        <v>0</v>
      </c>
      <c r="O28" s="2147">
        <f>SUM(O10:O27)</f>
        <v>0</v>
      </c>
      <c r="P28" s="2147">
        <f>SUM(P10:P27)</f>
        <v>0</v>
      </c>
      <c r="Q28" s="2148"/>
      <c r="R28" s="2147">
        <f>SUM(R10:R27)</f>
        <v>16689</v>
      </c>
      <c r="S28" s="2147">
        <f>SUM(S10:S27)</f>
        <v>31784</v>
      </c>
      <c r="T28" s="2147">
        <f>SUM(T10:T27)</f>
        <v>31758</v>
      </c>
      <c r="U28" s="2148">
        <f t="shared" si="2"/>
        <v>0.99918197835388878</v>
      </c>
      <c r="V28" s="2146" t="s">
        <v>1318</v>
      </c>
      <c r="W28" s="2147">
        <f>SUM(W10:W27)</f>
        <v>0</v>
      </c>
      <c r="X28" s="2147">
        <f>SUM(X10:X27)</f>
        <v>0</v>
      </c>
      <c r="Y28" s="2147">
        <f>SUM(Y10:Y27)</f>
        <v>0</v>
      </c>
      <c r="Z28" s="2148"/>
      <c r="AA28" s="2147">
        <f>SUM(AA10:AA27)</f>
        <v>0</v>
      </c>
      <c r="AB28" s="2147">
        <f>SUM(AB10:AB27)</f>
        <v>628</v>
      </c>
      <c r="AC28" s="2147">
        <f>SUM(AC10:AC27)</f>
        <v>627</v>
      </c>
      <c r="AD28" s="2148">
        <f>AC28/AB28</f>
        <v>0.99840764331210186</v>
      </c>
      <c r="AE28" s="2147">
        <f>SUM(AE10:AE27)</f>
        <v>0</v>
      </c>
      <c r="AF28" s="2147">
        <f>SUM(AF10:AF27)</f>
        <v>0</v>
      </c>
      <c r="AG28" s="2147">
        <f>SUM(AG10:AG27)</f>
        <v>0</v>
      </c>
      <c r="AH28" s="2148"/>
      <c r="AI28" s="2147">
        <f>SUM(AI10:AI27)</f>
        <v>0</v>
      </c>
      <c r="AJ28" s="2147">
        <f>SUM(AJ10:AJ27)</f>
        <v>628</v>
      </c>
      <c r="AK28" s="2147">
        <f>SUM(AK10:AK27)</f>
        <v>627</v>
      </c>
      <c r="AL28" s="2148">
        <f>AK28/AJ28</f>
        <v>0.99840764331210186</v>
      </c>
      <c r="AM28" s="2147">
        <f>SUM(AM10:AM27)</f>
        <v>0</v>
      </c>
      <c r="AN28" s="2147">
        <f>SUM(AN10:AN27)</f>
        <v>7003</v>
      </c>
      <c r="AO28" s="2147">
        <f>SUM(AO10:AO27)</f>
        <v>7003</v>
      </c>
      <c r="AP28" s="2148">
        <f t="shared" si="4"/>
        <v>1</v>
      </c>
      <c r="AQ28" s="2146" t="s">
        <v>1318</v>
      </c>
      <c r="AR28" s="2147">
        <f>SUM(AR10:AR27)</f>
        <v>1767796</v>
      </c>
      <c r="AS28" s="2147">
        <f>SUM(AS10:AS27)</f>
        <v>1822020</v>
      </c>
      <c r="AT28" s="2147">
        <f>SUM(AT10:AT27)</f>
        <v>1736676</v>
      </c>
      <c r="AU28" s="2148">
        <f t="shared" si="5"/>
        <v>0.95315967991569794</v>
      </c>
      <c r="AV28" s="2147">
        <f>SUM(AV10:AV27)</f>
        <v>0</v>
      </c>
      <c r="AW28" s="2147">
        <f>SUM(AW10:AW27)</f>
        <v>151925</v>
      </c>
      <c r="AX28" s="2147">
        <f>SUM(AX10:AX27)</f>
        <v>101483</v>
      </c>
      <c r="AY28" s="2148">
        <f>AX28/AW28</f>
        <v>0.66798091163402995</v>
      </c>
      <c r="AZ28" s="2147">
        <f>SUM(AZ10:AZ27)</f>
        <v>1767796</v>
      </c>
      <c r="BA28" s="2147">
        <f>SUM(BA10:BA27)</f>
        <v>1973945</v>
      </c>
      <c r="BB28" s="2147">
        <f>SUM(BB10:BB27)</f>
        <v>1838159</v>
      </c>
      <c r="BC28" s="2148">
        <f t="shared" si="8"/>
        <v>0.93121084933977394</v>
      </c>
      <c r="BD28" s="2147">
        <f>SUM(BD10:BD27)</f>
        <v>1784485</v>
      </c>
      <c r="BE28" s="2147">
        <f>SUM(BE10:BE27)</f>
        <v>2013360</v>
      </c>
      <c r="BF28" s="2147">
        <f>SUM(BF10:BF27)</f>
        <v>1877547</v>
      </c>
      <c r="BG28" s="2148">
        <f t="shared" si="10"/>
        <v>0.93254410537608778</v>
      </c>
      <c r="BH28" s="2127">
        <f>'[6]éves besz.kiadásai2019'!AQ28-'4 int bevétel'!AK28-AX28</f>
        <v>0</v>
      </c>
    </row>
    <row r="29" spans="1:61" ht="57" customHeight="1" thickBot="1" x14ac:dyDescent="0.65">
      <c r="A29" s="2146" t="s">
        <v>181</v>
      </c>
      <c r="B29" s="2147">
        <f>[4]int.bevételek2019!B28</f>
        <v>425332</v>
      </c>
      <c r="C29" s="2140">
        <f>'[5]int.bevételek RM IV'!D29</f>
        <v>372329</v>
      </c>
      <c r="D29" s="2147">
        <v>372328</v>
      </c>
      <c r="E29" s="2148">
        <f t="shared" si="0"/>
        <v>0.99999731420329874</v>
      </c>
      <c r="F29" s="2147">
        <f>[4]int.bevételek2019!C28</f>
        <v>0</v>
      </c>
      <c r="G29" s="2140">
        <f>'[5]int.bevételek RM IV'!G29</f>
        <v>6589</v>
      </c>
      <c r="H29" s="2147">
        <v>6589</v>
      </c>
      <c r="I29" s="2148">
        <f>H29/G29</f>
        <v>1</v>
      </c>
      <c r="J29" s="2147">
        <f>[4]int.bevételek2019!D28</f>
        <v>0</v>
      </c>
      <c r="K29" s="2140">
        <f>'[5]int.bevételek RM IV'!J29</f>
        <v>0</v>
      </c>
      <c r="L29" s="2147"/>
      <c r="M29" s="2148"/>
      <c r="N29" s="2147">
        <f>[4]int.bevételek2019!E28</f>
        <v>0</v>
      </c>
      <c r="O29" s="2147">
        <f>'[5]int.bevételek RM IV'!M29</f>
        <v>0</v>
      </c>
      <c r="P29" s="2147"/>
      <c r="Q29" s="2148"/>
      <c r="R29" s="2140">
        <f>B29+F29+J29+N29</f>
        <v>425332</v>
      </c>
      <c r="S29" s="2140">
        <f>C29+G29+K29+O29</f>
        <v>378918</v>
      </c>
      <c r="T29" s="2140">
        <f>D29+H29+L29+P29</f>
        <v>378917</v>
      </c>
      <c r="U29" s="2148">
        <f t="shared" si="2"/>
        <v>0.99999736090658142</v>
      </c>
      <c r="V29" s="2146" t="s">
        <v>181</v>
      </c>
      <c r="W29" s="2147">
        <f>[4]int.bevételek2019!H28</f>
        <v>0</v>
      </c>
      <c r="X29" s="2147">
        <f>'[5]int.bevételek RM IV'!T29</f>
        <v>90</v>
      </c>
      <c r="Y29" s="2147">
        <v>90</v>
      </c>
      <c r="Z29" s="2148">
        <f>Y29/X29</f>
        <v>1</v>
      </c>
      <c r="AA29" s="2147">
        <f>[4]int.bevételek2019!I28</f>
        <v>0</v>
      </c>
      <c r="AB29" s="2147">
        <f>'[5]int.bevételek RM IV'!W29</f>
        <v>0</v>
      </c>
      <c r="AC29" s="2147"/>
      <c r="AD29" s="2148"/>
      <c r="AE29" s="2147">
        <f>[4]int.bevételek2019!J28</f>
        <v>0</v>
      </c>
      <c r="AF29" s="2147">
        <f>'[5]int.bevételek RM IV'!Z29</f>
        <v>0</v>
      </c>
      <c r="AG29" s="2147"/>
      <c r="AH29" s="2148"/>
      <c r="AI29" s="2140">
        <f>W29+AA29+AE29</f>
        <v>0</v>
      </c>
      <c r="AJ29" s="2140">
        <f>X29+AB29+AF29</f>
        <v>90</v>
      </c>
      <c r="AK29" s="2140">
        <f>Y29+AC29+AG29</f>
        <v>90</v>
      </c>
      <c r="AL29" s="2148">
        <f>AK29/AJ29</f>
        <v>1</v>
      </c>
      <c r="AM29" s="2147"/>
      <c r="AN29" s="2140">
        <f>'[5]int.bevételek RM IV'!AJ29</f>
        <v>9225</v>
      </c>
      <c r="AO29" s="2147">
        <v>9225</v>
      </c>
      <c r="AP29" s="2148">
        <f t="shared" si="4"/>
        <v>1</v>
      </c>
      <c r="AQ29" s="2146" t="s">
        <v>181</v>
      </c>
      <c r="AR29" s="2147">
        <f>[4]int.bevételek2019!L28</f>
        <v>1083791</v>
      </c>
      <c r="AS29" s="2140">
        <f>'[5]int.bevételek RM IV'!AM29</f>
        <v>1101885</v>
      </c>
      <c r="AT29" s="2147">
        <f>1073722-40286</f>
        <v>1033436</v>
      </c>
      <c r="AU29" s="2148">
        <f t="shared" si="5"/>
        <v>0.93788008730493655</v>
      </c>
      <c r="AV29" s="2147">
        <f>[4]int.bevételek2019!M28</f>
        <v>45000</v>
      </c>
      <c r="AW29" s="2140">
        <f>'[5]int.bevételek RM IV'!AP29</f>
        <v>129449</v>
      </c>
      <c r="AX29" s="2147">
        <v>40286</v>
      </c>
      <c r="AY29" s="2148">
        <f>AX29/AW29</f>
        <v>0.31121136509358899</v>
      </c>
      <c r="AZ29" s="2140">
        <f>AR29+AV29</f>
        <v>1128791</v>
      </c>
      <c r="BA29" s="2140">
        <f>AS29+AW29</f>
        <v>1231334</v>
      </c>
      <c r="BB29" s="2140">
        <f>AT29+AX29</f>
        <v>1073722</v>
      </c>
      <c r="BC29" s="2148">
        <f t="shared" si="8"/>
        <v>0.87199898646508578</v>
      </c>
      <c r="BD29" s="2140">
        <f>R29+AI29+AM29+AZ29</f>
        <v>1554123</v>
      </c>
      <c r="BE29" s="2140">
        <f>S29+AJ29+AN29+BA29</f>
        <v>1619567</v>
      </c>
      <c r="BF29" s="2140">
        <f>T29+AK29+AO29+BB29</f>
        <v>1461954</v>
      </c>
      <c r="BG29" s="2148">
        <f t="shared" si="10"/>
        <v>0.90268201315536811</v>
      </c>
      <c r="BH29" s="2127">
        <f>'[6]éves besz.kiadásai2019'!AQ29-'4 int bevétel'!AK29-AX29</f>
        <v>0</v>
      </c>
      <c r="BI29" s="2127">
        <f>'[6]éves besz.kiadásai2019'!AP29-'4 int bevétel'!AJ29-AW29</f>
        <v>0</v>
      </c>
    </row>
    <row r="30" spans="1:61" ht="57" customHeight="1" thickBot="1" x14ac:dyDescent="0.65">
      <c r="A30" s="2146" t="s">
        <v>1319</v>
      </c>
      <c r="B30" s="2147">
        <f>SUM(B28:B29)</f>
        <v>442021</v>
      </c>
      <c r="C30" s="2147">
        <f>SUM(C28:C29)</f>
        <v>400371</v>
      </c>
      <c r="D30" s="2147">
        <f>SUM(D28:D29)</f>
        <v>400350</v>
      </c>
      <c r="E30" s="2149">
        <f t="shared" si="0"/>
        <v>0.99994754864862845</v>
      </c>
      <c r="F30" s="2147">
        <f>SUM(F28:F29)</f>
        <v>0</v>
      </c>
      <c r="G30" s="2147">
        <f>SUM(G28:G29)</f>
        <v>7930</v>
      </c>
      <c r="H30" s="2147">
        <f>SUM(H28:H29)</f>
        <v>7926</v>
      </c>
      <c r="I30" s="2149">
        <f>H30/G30</f>
        <v>0.99949558638083225</v>
      </c>
      <c r="J30" s="2147">
        <f>SUM(J28:J29)</f>
        <v>0</v>
      </c>
      <c r="K30" s="2147">
        <f>SUM(K28:K29)</f>
        <v>2401</v>
      </c>
      <c r="L30" s="2147">
        <f>SUM(L28:L29)</f>
        <v>2399</v>
      </c>
      <c r="M30" s="2149">
        <f>L30/K30</f>
        <v>0.99916701374427319</v>
      </c>
      <c r="N30" s="2147">
        <f>SUM(N28:N29)</f>
        <v>0</v>
      </c>
      <c r="O30" s="2147">
        <f>SUM(O28:O29)</f>
        <v>0</v>
      </c>
      <c r="P30" s="2147">
        <f>SUM(P28:P29)</f>
        <v>0</v>
      </c>
      <c r="Q30" s="2149"/>
      <c r="R30" s="2147">
        <f>SUM(R28:R29)</f>
        <v>442021</v>
      </c>
      <c r="S30" s="2147">
        <f>SUM(S28:S29)</f>
        <v>410702</v>
      </c>
      <c r="T30" s="2147">
        <f>SUM(T28:T29)</f>
        <v>410675</v>
      </c>
      <c r="U30" s="2149">
        <f t="shared" si="2"/>
        <v>0.99993425890304888</v>
      </c>
      <c r="V30" s="2146" t="s">
        <v>1319</v>
      </c>
      <c r="W30" s="2147">
        <f>SUM(W28:W29)</f>
        <v>0</v>
      </c>
      <c r="X30" s="2147">
        <f>SUM(X28:X29)</f>
        <v>90</v>
      </c>
      <c r="Y30" s="2147">
        <f>SUM(Y28:Y29)</f>
        <v>90</v>
      </c>
      <c r="Z30" s="2149">
        <f>Y30/X30</f>
        <v>1</v>
      </c>
      <c r="AA30" s="2147">
        <f>SUM(AA28:AA29)</f>
        <v>0</v>
      </c>
      <c r="AB30" s="2147">
        <f>SUM(AB28:AB29)</f>
        <v>628</v>
      </c>
      <c r="AC30" s="2147">
        <f>SUM(AC28:AC29)</f>
        <v>627</v>
      </c>
      <c r="AD30" s="2149">
        <f>AC30/AB30</f>
        <v>0.99840764331210186</v>
      </c>
      <c r="AE30" s="2147">
        <f>SUM(AE28:AE29)</f>
        <v>0</v>
      </c>
      <c r="AF30" s="2147">
        <f>SUM(AF28:AF29)</f>
        <v>0</v>
      </c>
      <c r="AG30" s="2147">
        <f>SUM(AG28:AG29)</f>
        <v>0</v>
      </c>
      <c r="AH30" s="2148"/>
      <c r="AI30" s="2147">
        <f>AI28+AI29</f>
        <v>0</v>
      </c>
      <c r="AJ30" s="2147">
        <f>AJ28+AJ29</f>
        <v>718</v>
      </c>
      <c r="AK30" s="2147">
        <f>AK28+AK29</f>
        <v>717</v>
      </c>
      <c r="AL30" s="2149">
        <f>AK30/AJ30</f>
        <v>0.99860724233983289</v>
      </c>
      <c r="AM30" s="2147">
        <f>SUM(AM28:AM29)</f>
        <v>0</v>
      </c>
      <c r="AN30" s="2147">
        <f>SUM(AN28:AN29)</f>
        <v>16228</v>
      </c>
      <c r="AO30" s="2147">
        <f>SUM(AO28:AO29)</f>
        <v>16228</v>
      </c>
      <c r="AP30" s="2149">
        <f t="shared" si="4"/>
        <v>1</v>
      </c>
      <c r="AQ30" s="2146" t="s">
        <v>1319</v>
      </c>
      <c r="AR30" s="2147">
        <f>SUM(AR28:AR29)</f>
        <v>2851587</v>
      </c>
      <c r="AS30" s="2147">
        <f>SUM(AS28:AS29)</f>
        <v>2923905</v>
      </c>
      <c r="AT30" s="2147">
        <f>SUM(AT28:AT29)</f>
        <v>2770112</v>
      </c>
      <c r="AU30" s="2149">
        <f t="shared" si="5"/>
        <v>0.94740150586287863</v>
      </c>
      <c r="AV30" s="2147">
        <f>SUM(AV28:AV29)</f>
        <v>45000</v>
      </c>
      <c r="AW30" s="2147">
        <f>SUM(AW28:AW29)</f>
        <v>281374</v>
      </c>
      <c r="AX30" s="2147">
        <f>SUM(AX28:AX29)</f>
        <v>141769</v>
      </c>
      <c r="AY30" s="2149">
        <f>AX30/AW30</f>
        <v>0.50384541571005137</v>
      </c>
      <c r="AZ30" s="2147">
        <f>AZ28+AZ29</f>
        <v>2896587</v>
      </c>
      <c r="BA30" s="2147">
        <f>BA28+BA29</f>
        <v>3205279</v>
      </c>
      <c r="BB30" s="2147">
        <f>BB28+BB29</f>
        <v>2911881</v>
      </c>
      <c r="BC30" s="2149">
        <f t="shared" si="8"/>
        <v>0.90846413057958453</v>
      </c>
      <c r="BD30" s="2147">
        <f>BD28+BD29</f>
        <v>3338608</v>
      </c>
      <c r="BE30" s="2147">
        <f>BE28+BE29</f>
        <v>3632927</v>
      </c>
      <c r="BF30" s="2147">
        <f>BF28+BF29</f>
        <v>3339501</v>
      </c>
      <c r="BG30" s="2149">
        <f t="shared" si="10"/>
        <v>0.91923151772661549</v>
      </c>
      <c r="BH30" s="2127">
        <f>'[6]éves besz.kiadásai2019'!AQ30-'4 int bevétel'!AK30-AX30</f>
        <v>0</v>
      </c>
    </row>
    <row r="31" spans="1:61" ht="57" customHeight="1" x14ac:dyDescent="0.6">
      <c r="A31" s="2150" t="s">
        <v>1449</v>
      </c>
      <c r="B31" s="2143"/>
      <c r="C31" s="2143"/>
      <c r="D31" s="2143"/>
      <c r="E31" s="2143"/>
      <c r="F31" s="2143"/>
      <c r="G31" s="2143"/>
      <c r="H31" s="2143"/>
      <c r="I31" s="2143"/>
      <c r="J31" s="2143"/>
      <c r="K31" s="2143"/>
      <c r="L31" s="2143"/>
      <c r="M31" s="2143"/>
      <c r="N31" s="2143"/>
      <c r="O31" s="2143"/>
      <c r="P31" s="2143"/>
      <c r="Q31" s="2143"/>
      <c r="R31" s="2143"/>
      <c r="S31" s="2143"/>
      <c r="T31" s="2143"/>
      <c r="U31" s="2143"/>
      <c r="V31" s="2150" t="s">
        <v>1449</v>
      </c>
      <c r="W31" s="2143"/>
      <c r="X31" s="2143"/>
      <c r="Y31" s="2143"/>
      <c r="Z31" s="2143"/>
      <c r="AA31" s="2143"/>
      <c r="AB31" s="2143"/>
      <c r="AC31" s="2143"/>
      <c r="AD31" s="2143"/>
      <c r="AE31" s="2143"/>
      <c r="AF31" s="2143"/>
      <c r="AG31" s="2143"/>
      <c r="AH31" s="2143"/>
      <c r="AI31" s="2143"/>
      <c r="AJ31" s="2143"/>
      <c r="AK31" s="2143"/>
      <c r="AL31" s="2143"/>
      <c r="AM31" s="2143"/>
      <c r="AN31" s="2143"/>
      <c r="AO31" s="2143"/>
      <c r="AP31" s="2143"/>
      <c r="AQ31" s="2150" t="s">
        <v>1449</v>
      </c>
      <c r="AR31" s="2143"/>
      <c r="AS31" s="2143"/>
      <c r="AT31" s="2143"/>
      <c r="AU31" s="2143"/>
      <c r="AV31" s="2143"/>
      <c r="AW31" s="2143"/>
      <c r="AX31" s="2143"/>
      <c r="AY31" s="2143"/>
      <c r="AZ31" s="2143"/>
      <c r="BA31" s="2143"/>
      <c r="BB31" s="2143"/>
      <c r="BC31" s="2143"/>
      <c r="BD31" s="2143"/>
      <c r="BE31" s="2143"/>
      <c r="BF31" s="2143"/>
      <c r="BG31" s="2143"/>
    </row>
    <row r="32" spans="1:61" ht="57" customHeight="1" x14ac:dyDescent="0.6">
      <c r="A32" s="2151" t="s">
        <v>1321</v>
      </c>
      <c r="B32" s="2143"/>
      <c r="C32" s="2143"/>
      <c r="D32" s="2143"/>
      <c r="E32" s="2143"/>
      <c r="F32" s="2143"/>
      <c r="G32" s="2143"/>
      <c r="H32" s="2143"/>
      <c r="I32" s="2143"/>
      <c r="J32" s="2143"/>
      <c r="K32" s="2143"/>
      <c r="L32" s="2143"/>
      <c r="M32" s="2143"/>
      <c r="N32" s="2143"/>
      <c r="O32" s="2143"/>
      <c r="P32" s="2143"/>
      <c r="Q32" s="2143"/>
      <c r="R32" s="2143"/>
      <c r="S32" s="2143"/>
      <c r="T32" s="2143"/>
      <c r="U32" s="2143"/>
      <c r="V32" s="2151" t="s">
        <v>1321</v>
      </c>
      <c r="W32" s="2143"/>
      <c r="X32" s="2143"/>
      <c r="Y32" s="2143"/>
      <c r="Z32" s="2143"/>
      <c r="AA32" s="2143"/>
      <c r="AB32" s="2143"/>
      <c r="AC32" s="2143"/>
      <c r="AD32" s="2143"/>
      <c r="AE32" s="2143"/>
      <c r="AF32" s="2143"/>
      <c r="AG32" s="2143"/>
      <c r="AH32" s="2143"/>
      <c r="AI32" s="2143"/>
      <c r="AJ32" s="2143"/>
      <c r="AK32" s="2143"/>
      <c r="AL32" s="2143"/>
      <c r="AM32" s="2143"/>
      <c r="AN32" s="2143"/>
      <c r="AO32" s="2143"/>
      <c r="AP32" s="2143"/>
      <c r="AQ32" s="2151" t="s">
        <v>1321</v>
      </c>
      <c r="AR32" s="2143"/>
      <c r="AS32" s="2143"/>
      <c r="AT32" s="2143"/>
      <c r="AU32" s="2143"/>
      <c r="AV32" s="2143"/>
      <c r="AW32" s="2143"/>
      <c r="AX32" s="2143"/>
      <c r="AY32" s="2143"/>
      <c r="AZ32" s="2143"/>
      <c r="BA32" s="2143"/>
      <c r="BB32" s="2143"/>
      <c r="BC32" s="2143"/>
      <c r="BD32" s="2143"/>
      <c r="BE32" s="2143"/>
      <c r="BF32" s="2143"/>
      <c r="BG32" s="2143"/>
    </row>
    <row r="33" spans="1:61" ht="57" customHeight="1" x14ac:dyDescent="0.6">
      <c r="A33" s="2152" t="s">
        <v>1322</v>
      </c>
      <c r="B33" s="2143">
        <f>[4]int.bevételek2019!B32</f>
        <v>287126</v>
      </c>
      <c r="C33" s="2140">
        <f>'[5]int.bevételek RM IV'!D33</f>
        <v>356231</v>
      </c>
      <c r="D33" s="2143">
        <v>356232</v>
      </c>
      <c r="E33" s="2141">
        <f t="shared" ref="E33:E38" si="11">D33/C33</f>
        <v>1.0000028071672595</v>
      </c>
      <c r="F33" s="2143">
        <f>[4]int.bevételek2019!C32</f>
        <v>0</v>
      </c>
      <c r="G33" s="2140">
        <f>'[5]int.bevételek RM IV'!G33</f>
        <v>118016</v>
      </c>
      <c r="H33" s="2143">
        <v>118017</v>
      </c>
      <c r="I33" s="2141">
        <f t="shared" ref="I33:I38" si="12">H33/G33</f>
        <v>1.0000084734273318</v>
      </c>
      <c r="J33" s="2143">
        <f>[4]int.bevételek2019!D32</f>
        <v>0</v>
      </c>
      <c r="K33" s="2140">
        <f>'[5]int.bevételek RM IV'!J33</f>
        <v>300</v>
      </c>
      <c r="L33" s="2143">
        <v>300</v>
      </c>
      <c r="M33" s="2141">
        <f>L33/K33</f>
        <v>1</v>
      </c>
      <c r="N33" s="2143">
        <f>[4]int.bevételek2019!E32</f>
        <v>0</v>
      </c>
      <c r="O33" s="2143">
        <f>'[5]int.bevételek RM IV'!M33</f>
        <v>0</v>
      </c>
      <c r="P33" s="2140"/>
      <c r="Q33" s="2141"/>
      <c r="R33" s="2140">
        <f t="shared" ref="R33:T37" si="13">B33+F33+J33+N33</f>
        <v>287126</v>
      </c>
      <c r="S33" s="2140">
        <f t="shared" si="13"/>
        <v>474547</v>
      </c>
      <c r="T33" s="2140">
        <f t="shared" si="13"/>
        <v>474549</v>
      </c>
      <c r="U33" s="2141">
        <f t="shared" ref="U33:U38" si="14">T33/S33</f>
        <v>1.0000042145456614</v>
      </c>
      <c r="V33" s="2152" t="s">
        <v>1322</v>
      </c>
      <c r="W33" s="2143">
        <f>[4]int.bevételek2019!H32</f>
        <v>0</v>
      </c>
      <c r="X33" s="2143">
        <f>'[5]int.bevételek RM IV'!T33</f>
        <v>0</v>
      </c>
      <c r="Y33" s="2143"/>
      <c r="Z33" s="2141"/>
      <c r="AA33" s="2143">
        <f>[4]int.bevételek2019!I32</f>
        <v>0</v>
      </c>
      <c r="AB33" s="2143">
        <f>'[5]int.bevételek RM IV'!W33</f>
        <v>20858</v>
      </c>
      <c r="AC33" s="2143">
        <v>20858</v>
      </c>
      <c r="AD33" s="2141">
        <f t="shared" ref="AD33:AD38" si="15">AC33/AB33</f>
        <v>1</v>
      </c>
      <c r="AE33" s="2143">
        <f>[4]int.bevételek2019!J32</f>
        <v>0</v>
      </c>
      <c r="AF33" s="2143">
        <f>'[5]int.bevételek RM IV'!Z33</f>
        <v>0</v>
      </c>
      <c r="AG33" s="2143"/>
      <c r="AH33" s="2141"/>
      <c r="AI33" s="2140">
        <f t="shared" ref="AI33:AK37" si="16">W33+AA33+AE33</f>
        <v>0</v>
      </c>
      <c r="AJ33" s="2140">
        <f t="shared" si="16"/>
        <v>20858</v>
      </c>
      <c r="AK33" s="2140">
        <f t="shared" si="16"/>
        <v>20858</v>
      </c>
      <c r="AL33" s="2141">
        <f t="shared" ref="AL33:AL38" si="17">AK33/AJ33</f>
        <v>1</v>
      </c>
      <c r="AM33" s="2143"/>
      <c r="AN33" s="2140">
        <f>'[5]int.bevételek RM IV'!AJ33</f>
        <v>1040</v>
      </c>
      <c r="AO33" s="2143">
        <v>1040</v>
      </c>
      <c r="AP33" s="2141">
        <f t="shared" ref="AP33:AP38" si="18">AO33/AN33</f>
        <v>1</v>
      </c>
      <c r="AQ33" s="2152" t="s">
        <v>1322</v>
      </c>
      <c r="AR33" s="2143">
        <f>[4]int.bevételek2019!L32</f>
        <v>100091</v>
      </c>
      <c r="AS33" s="2140">
        <f>'[5]int.bevételek RM IV'!AM33</f>
        <v>166346</v>
      </c>
      <c r="AT33" s="2143">
        <v>156538</v>
      </c>
      <c r="AU33" s="2141">
        <f t="shared" ref="AU33:AU38" si="19">AT33/AS33</f>
        <v>0.94103855818594973</v>
      </c>
      <c r="AV33" s="2143">
        <f>[4]int.bevételek2019!M32</f>
        <v>0</v>
      </c>
      <c r="AW33" s="2140">
        <f>'[5]int.bevételek RM IV'!AP33</f>
        <v>700</v>
      </c>
      <c r="AX33" s="2143"/>
      <c r="AY33" s="2141">
        <f t="shared" ref="AY33:AY38" si="20">AX33/AW33</f>
        <v>0</v>
      </c>
      <c r="AZ33" s="2140">
        <f t="shared" ref="AZ33:BB37" si="21">AR33+AV33</f>
        <v>100091</v>
      </c>
      <c r="BA33" s="2140">
        <f t="shared" si="21"/>
        <v>167046</v>
      </c>
      <c r="BB33" s="2140">
        <f t="shared" si="21"/>
        <v>156538</v>
      </c>
      <c r="BC33" s="2141">
        <f t="shared" ref="BC33:BC38" si="22">BB33/BA33</f>
        <v>0.9370951713899166</v>
      </c>
      <c r="BD33" s="2140">
        <f t="shared" ref="BD33:BF37" si="23">R33+AI33+AM33+AZ33</f>
        <v>387217</v>
      </c>
      <c r="BE33" s="2140">
        <f t="shared" si="23"/>
        <v>663491</v>
      </c>
      <c r="BF33" s="2140">
        <f t="shared" si="23"/>
        <v>652985</v>
      </c>
      <c r="BG33" s="2141">
        <f t="shared" ref="BG33:BG38" si="24">BF33/BE33</f>
        <v>0.98416557270558302</v>
      </c>
      <c r="BH33" s="2127">
        <f>'[6]éves besz.kiadásai2019'!AQ33-'4 int bevétel'!AK33-AX33</f>
        <v>-1264</v>
      </c>
      <c r="BI33" s="2127">
        <f>'[6]éves besz.kiadásai2019'!AP33-'4 int bevétel'!AJ33-AW33</f>
        <v>0</v>
      </c>
    </row>
    <row r="34" spans="1:61" ht="57" customHeight="1" x14ac:dyDescent="0.6">
      <c r="A34" s="2153" t="s">
        <v>304</v>
      </c>
      <c r="B34" s="2154">
        <f>[4]int.bevételek2019!B33</f>
        <v>33830</v>
      </c>
      <c r="C34" s="2140">
        <f>'[5]int.bevételek RM IV'!D34</f>
        <v>33830</v>
      </c>
      <c r="D34" s="2154">
        <v>32709</v>
      </c>
      <c r="E34" s="2141">
        <f t="shared" si="11"/>
        <v>0.96686373041678986</v>
      </c>
      <c r="F34" s="2154">
        <f>[4]int.bevételek2019!C33</f>
        <v>0</v>
      </c>
      <c r="G34" s="2140">
        <f>'[5]int.bevételek RM IV'!G34</f>
        <v>26834</v>
      </c>
      <c r="H34" s="2154">
        <v>26834</v>
      </c>
      <c r="I34" s="2141">
        <f t="shared" si="12"/>
        <v>1</v>
      </c>
      <c r="J34" s="2154">
        <f>[4]int.bevételek2019!D33</f>
        <v>0</v>
      </c>
      <c r="K34" s="2140">
        <f>'[5]int.bevételek RM IV'!J34</f>
        <v>0</v>
      </c>
      <c r="L34" s="2154"/>
      <c r="M34" s="2141"/>
      <c r="N34" s="2154">
        <f>[4]int.bevételek2019!E33</f>
        <v>0</v>
      </c>
      <c r="O34" s="2154">
        <f>'[5]int.bevételek RM IV'!M34</f>
        <v>0</v>
      </c>
      <c r="P34" s="2140"/>
      <c r="Q34" s="2141"/>
      <c r="R34" s="2140">
        <f t="shared" si="13"/>
        <v>33830</v>
      </c>
      <c r="S34" s="2140">
        <f t="shared" si="13"/>
        <v>60664</v>
      </c>
      <c r="T34" s="2140">
        <f t="shared" si="13"/>
        <v>59543</v>
      </c>
      <c r="U34" s="2141">
        <f t="shared" si="14"/>
        <v>0.98152116576552817</v>
      </c>
      <c r="V34" s="2153" t="s">
        <v>304</v>
      </c>
      <c r="W34" s="2154">
        <f>[4]int.bevételek2019!H33</f>
        <v>0</v>
      </c>
      <c r="X34" s="2154">
        <f>'[5]int.bevételek RM IV'!T34</f>
        <v>0</v>
      </c>
      <c r="Y34" s="2154"/>
      <c r="Z34" s="2141"/>
      <c r="AA34" s="2154">
        <f>[4]int.bevételek2019!I33</f>
        <v>0</v>
      </c>
      <c r="AB34" s="2154">
        <f>'[5]int.bevételek RM IV'!W34</f>
        <v>2000</v>
      </c>
      <c r="AC34" s="2154">
        <v>2000</v>
      </c>
      <c r="AD34" s="2141">
        <f t="shared" si="15"/>
        <v>1</v>
      </c>
      <c r="AE34" s="2154">
        <f>[4]int.bevételek2019!J33</f>
        <v>0</v>
      </c>
      <c r="AF34" s="2154">
        <f>'[5]int.bevételek RM IV'!Z34</f>
        <v>0</v>
      </c>
      <c r="AG34" s="2154"/>
      <c r="AH34" s="2141"/>
      <c r="AI34" s="2140">
        <f t="shared" si="16"/>
        <v>0</v>
      </c>
      <c r="AJ34" s="2140">
        <f t="shared" si="16"/>
        <v>2000</v>
      </c>
      <c r="AK34" s="2140">
        <f t="shared" si="16"/>
        <v>2000</v>
      </c>
      <c r="AL34" s="2141">
        <f t="shared" si="17"/>
        <v>1</v>
      </c>
      <c r="AM34" s="2154"/>
      <c r="AN34" s="2140">
        <f>'[5]int.bevételek RM IV'!AJ34</f>
        <v>9666</v>
      </c>
      <c r="AO34" s="2154">
        <v>9666</v>
      </c>
      <c r="AP34" s="2141">
        <f t="shared" si="18"/>
        <v>1</v>
      </c>
      <c r="AQ34" s="2153" t="s">
        <v>304</v>
      </c>
      <c r="AR34" s="2154">
        <f>[4]int.bevételek2019!L33</f>
        <v>93972</v>
      </c>
      <c r="AS34" s="2140">
        <f>'[5]int.bevételek RM IV'!AM34</f>
        <v>108253</v>
      </c>
      <c r="AT34" s="2154">
        <f>97962-1125</f>
        <v>96837</v>
      </c>
      <c r="AU34" s="2141">
        <f t="shared" si="19"/>
        <v>0.89454333829085564</v>
      </c>
      <c r="AV34" s="2154">
        <f>[4]int.bevételek2019!M33</f>
        <v>0</v>
      </c>
      <c r="AW34" s="2140">
        <f>'[5]int.bevételek RM IV'!AP34</f>
        <v>1305</v>
      </c>
      <c r="AX34" s="2154">
        <v>1125</v>
      </c>
      <c r="AY34" s="2141">
        <f t="shared" si="20"/>
        <v>0.86206896551724133</v>
      </c>
      <c r="AZ34" s="2140">
        <f t="shared" si="21"/>
        <v>93972</v>
      </c>
      <c r="BA34" s="2140">
        <f t="shared" si="21"/>
        <v>109558</v>
      </c>
      <c r="BB34" s="2140">
        <f t="shared" si="21"/>
        <v>97962</v>
      </c>
      <c r="BC34" s="2141">
        <f t="shared" si="22"/>
        <v>0.89415651983424305</v>
      </c>
      <c r="BD34" s="2140">
        <f t="shared" si="23"/>
        <v>127802</v>
      </c>
      <c r="BE34" s="2140">
        <f t="shared" si="23"/>
        <v>181888</v>
      </c>
      <c r="BF34" s="2140">
        <f t="shared" si="23"/>
        <v>169171</v>
      </c>
      <c r="BG34" s="2141">
        <f t="shared" si="24"/>
        <v>0.9300833479943702</v>
      </c>
      <c r="BH34" s="2127">
        <f>'[6]éves besz.kiadásai2019'!AQ34-'4 int bevétel'!AK34-AX34</f>
        <v>0</v>
      </c>
      <c r="BI34" s="2127">
        <f>'[6]éves besz.kiadásai2019'!AP34-'4 int bevétel'!AJ34-AW34</f>
        <v>0</v>
      </c>
    </row>
    <row r="35" spans="1:61" ht="57" customHeight="1" x14ac:dyDescent="0.6">
      <c r="A35" s="2153" t="s">
        <v>1323</v>
      </c>
      <c r="B35" s="2154">
        <f>[4]int.bevételek2019!B34</f>
        <v>87000</v>
      </c>
      <c r="C35" s="2140">
        <f>'[5]int.bevételek RM IV'!D35</f>
        <v>104177</v>
      </c>
      <c r="D35" s="2154">
        <v>104177</v>
      </c>
      <c r="E35" s="2141">
        <f t="shared" si="11"/>
        <v>1</v>
      </c>
      <c r="F35" s="2154">
        <f>[4]int.bevételek2019!C34</f>
        <v>0</v>
      </c>
      <c r="G35" s="2140">
        <f>'[5]int.bevételek RM IV'!G35</f>
        <v>46303</v>
      </c>
      <c r="H35" s="2154">
        <v>46303</v>
      </c>
      <c r="I35" s="2141">
        <f t="shared" si="12"/>
        <v>1</v>
      </c>
      <c r="J35" s="2154">
        <f>[4]int.bevételek2019!D34</f>
        <v>0</v>
      </c>
      <c r="K35" s="2140">
        <f>'[5]int.bevételek RM IV'!J35</f>
        <v>0</v>
      </c>
      <c r="L35" s="2154"/>
      <c r="M35" s="2155"/>
      <c r="N35" s="2154">
        <f>[4]int.bevételek2019!E34</f>
        <v>0</v>
      </c>
      <c r="O35" s="2154">
        <f>'[5]int.bevételek RM IV'!M35</f>
        <v>0</v>
      </c>
      <c r="P35" s="2140"/>
      <c r="Q35" s="2141"/>
      <c r="R35" s="2140">
        <f t="shared" si="13"/>
        <v>87000</v>
      </c>
      <c r="S35" s="2140">
        <f t="shared" si="13"/>
        <v>150480</v>
      </c>
      <c r="T35" s="2140">
        <f t="shared" si="13"/>
        <v>150480</v>
      </c>
      <c r="U35" s="2141">
        <f t="shared" si="14"/>
        <v>1</v>
      </c>
      <c r="V35" s="2153" t="s">
        <v>1323</v>
      </c>
      <c r="W35" s="2154">
        <f>[4]int.bevételek2019!H34</f>
        <v>0</v>
      </c>
      <c r="X35" s="2154">
        <f>'[5]int.bevételek RM IV'!T35</f>
        <v>0</v>
      </c>
      <c r="Y35" s="2154"/>
      <c r="Z35" s="2141"/>
      <c r="AA35" s="2154">
        <f>[4]int.bevételek2019!I34</f>
        <v>0</v>
      </c>
      <c r="AB35" s="2154">
        <f>'[5]int.bevételek RM IV'!W35</f>
        <v>29387</v>
      </c>
      <c r="AC35" s="2154">
        <v>29387</v>
      </c>
      <c r="AD35" s="2141">
        <f t="shared" si="15"/>
        <v>1</v>
      </c>
      <c r="AE35" s="2154">
        <f>[4]int.bevételek2019!J34</f>
        <v>0</v>
      </c>
      <c r="AF35" s="2154">
        <f>'[5]int.bevételek RM IV'!Z35</f>
        <v>0</v>
      </c>
      <c r="AG35" s="2154"/>
      <c r="AH35" s="2141"/>
      <c r="AI35" s="2140">
        <f t="shared" si="16"/>
        <v>0</v>
      </c>
      <c r="AJ35" s="2140">
        <f t="shared" si="16"/>
        <v>29387</v>
      </c>
      <c r="AK35" s="2140">
        <f t="shared" si="16"/>
        <v>29387</v>
      </c>
      <c r="AL35" s="2141">
        <f t="shared" si="17"/>
        <v>1</v>
      </c>
      <c r="AM35" s="2154"/>
      <c r="AN35" s="2140">
        <f>'[5]int.bevételek RM IV'!AJ35</f>
        <v>12675</v>
      </c>
      <c r="AO35" s="2154">
        <v>12675</v>
      </c>
      <c r="AP35" s="2141">
        <f t="shared" si="18"/>
        <v>1</v>
      </c>
      <c r="AQ35" s="2153" t="s">
        <v>1323</v>
      </c>
      <c r="AR35" s="2154">
        <f>[4]int.bevételek2019!L34</f>
        <v>375107</v>
      </c>
      <c r="AS35" s="2140">
        <f>'[5]int.bevételek RM IV'!AM35</f>
        <v>474755</v>
      </c>
      <c r="AT35" s="2154">
        <f>442001-771</f>
        <v>441230</v>
      </c>
      <c r="AU35" s="2141">
        <f t="shared" si="19"/>
        <v>0.92938462996703564</v>
      </c>
      <c r="AV35" s="2154">
        <f>[4]int.bevételek2019!M34</f>
        <v>0</v>
      </c>
      <c r="AW35" s="2140">
        <f>'[5]int.bevételek RM IV'!AP35</f>
        <v>37504</v>
      </c>
      <c r="AX35" s="2154">
        <v>771</v>
      </c>
      <c r="AY35" s="2141">
        <f t="shared" si="20"/>
        <v>2.0557807167235494E-2</v>
      </c>
      <c r="AZ35" s="2140">
        <f t="shared" si="21"/>
        <v>375107</v>
      </c>
      <c r="BA35" s="2140">
        <f t="shared" si="21"/>
        <v>512259</v>
      </c>
      <c r="BB35" s="2140">
        <f t="shared" si="21"/>
        <v>442001</v>
      </c>
      <c r="BC35" s="2141">
        <f t="shared" si="22"/>
        <v>0.86284672402046625</v>
      </c>
      <c r="BD35" s="2140">
        <f t="shared" si="23"/>
        <v>462107</v>
      </c>
      <c r="BE35" s="2140">
        <f t="shared" si="23"/>
        <v>704801</v>
      </c>
      <c r="BF35" s="2140">
        <f t="shared" si="23"/>
        <v>634543</v>
      </c>
      <c r="BG35" s="2141">
        <f t="shared" si="24"/>
        <v>0.90031512441100392</v>
      </c>
      <c r="BH35" s="2127">
        <f>'[6]éves besz.kiadásai2019'!AQ35-'4 int bevétel'!AK35-AX35</f>
        <v>0</v>
      </c>
      <c r="BI35" s="2127">
        <f>'[6]éves besz.kiadásai2019'!AP35-'4 int bevétel'!AJ35-AW35</f>
        <v>0</v>
      </c>
    </row>
    <row r="36" spans="1:61" ht="57" customHeight="1" x14ac:dyDescent="0.6">
      <c r="A36" s="2153" t="s">
        <v>1324</v>
      </c>
      <c r="B36" s="2154">
        <f>[4]int.bevételek2019!B35</f>
        <v>24000</v>
      </c>
      <c r="C36" s="2140">
        <f>'[5]int.bevételek RM IV'!D36</f>
        <v>27953</v>
      </c>
      <c r="D36" s="2154">
        <v>27954</v>
      </c>
      <c r="E36" s="2141">
        <f t="shared" si="11"/>
        <v>1.0000357743354917</v>
      </c>
      <c r="F36" s="2154">
        <f>[4]int.bevételek2019!C35</f>
        <v>0</v>
      </c>
      <c r="G36" s="2140">
        <f>'[5]int.bevételek RM IV'!G36</f>
        <v>18941</v>
      </c>
      <c r="H36" s="2154">
        <v>18941</v>
      </c>
      <c r="I36" s="2141">
        <f t="shared" si="12"/>
        <v>1</v>
      </c>
      <c r="J36" s="2154">
        <f>[4]int.bevételek2019!D35</f>
        <v>0</v>
      </c>
      <c r="K36" s="2140">
        <f>'[5]int.bevételek RM IV'!J36</f>
        <v>0</v>
      </c>
      <c r="L36" s="2154"/>
      <c r="M36" s="2155"/>
      <c r="N36" s="2154">
        <f>[4]int.bevételek2019!E35</f>
        <v>0</v>
      </c>
      <c r="O36" s="2154">
        <f>'[5]int.bevételek RM IV'!M36</f>
        <v>0</v>
      </c>
      <c r="P36" s="2140"/>
      <c r="Q36" s="2141"/>
      <c r="R36" s="2140">
        <f t="shared" si="13"/>
        <v>24000</v>
      </c>
      <c r="S36" s="2140">
        <f t="shared" si="13"/>
        <v>46894</v>
      </c>
      <c r="T36" s="2140">
        <f t="shared" si="13"/>
        <v>46895</v>
      </c>
      <c r="U36" s="2141">
        <f t="shared" si="14"/>
        <v>1.0000213246897258</v>
      </c>
      <c r="V36" s="2153" t="s">
        <v>1324</v>
      </c>
      <c r="W36" s="2154">
        <f>[4]int.bevételek2019!H35</f>
        <v>0</v>
      </c>
      <c r="X36" s="2154">
        <f>'[5]int.bevételek RM IV'!T36</f>
        <v>0</v>
      </c>
      <c r="Y36" s="2154"/>
      <c r="Z36" s="2156"/>
      <c r="AA36" s="2154">
        <f>[4]int.bevételek2019!I35</f>
        <v>0</v>
      </c>
      <c r="AB36" s="2154">
        <f>'[5]int.bevételek RM IV'!W36</f>
        <v>9995</v>
      </c>
      <c r="AC36" s="2154">
        <v>9995</v>
      </c>
      <c r="AD36" s="2141">
        <f t="shared" si="15"/>
        <v>1</v>
      </c>
      <c r="AE36" s="2154">
        <f>[4]int.bevételek2019!J35</f>
        <v>0</v>
      </c>
      <c r="AF36" s="2154">
        <f>'[5]int.bevételek RM IV'!Z36</f>
        <v>0</v>
      </c>
      <c r="AG36" s="2154"/>
      <c r="AH36" s="2141"/>
      <c r="AI36" s="2140">
        <f t="shared" si="16"/>
        <v>0</v>
      </c>
      <c r="AJ36" s="2140">
        <f t="shared" si="16"/>
        <v>9995</v>
      </c>
      <c r="AK36" s="2140">
        <f t="shared" si="16"/>
        <v>9995</v>
      </c>
      <c r="AL36" s="2141">
        <f t="shared" si="17"/>
        <v>1</v>
      </c>
      <c r="AM36" s="2154"/>
      <c r="AN36" s="2140">
        <f>'[5]int.bevételek RM IV'!AJ36</f>
        <v>38946</v>
      </c>
      <c r="AO36" s="2154">
        <v>38946</v>
      </c>
      <c r="AP36" s="2141">
        <f t="shared" si="18"/>
        <v>1</v>
      </c>
      <c r="AQ36" s="2153" t="s">
        <v>1324</v>
      </c>
      <c r="AR36" s="2154">
        <f>[4]int.bevételek2019!L35</f>
        <v>222365</v>
      </c>
      <c r="AS36" s="2140">
        <f>'[5]int.bevételek RM IV'!AM36</f>
        <v>361422</v>
      </c>
      <c r="AT36" s="2154">
        <v>350231</v>
      </c>
      <c r="AU36" s="2141">
        <f t="shared" si="19"/>
        <v>0.96903619591502455</v>
      </c>
      <c r="AV36" s="2154">
        <f>[4]int.bevételek2019!M35</f>
        <v>0</v>
      </c>
      <c r="AW36" s="2140">
        <f>'[5]int.bevételek RM IV'!AP36</f>
        <v>24686</v>
      </c>
      <c r="AX36" s="2154"/>
      <c r="AY36" s="2141">
        <f t="shared" si="20"/>
        <v>0</v>
      </c>
      <c r="AZ36" s="2140">
        <f t="shared" si="21"/>
        <v>222365</v>
      </c>
      <c r="BA36" s="2140">
        <f t="shared" si="21"/>
        <v>386108</v>
      </c>
      <c r="BB36" s="2140">
        <f t="shared" si="21"/>
        <v>350231</v>
      </c>
      <c r="BC36" s="2141">
        <f t="shared" si="22"/>
        <v>0.90708040237446519</v>
      </c>
      <c r="BD36" s="2140">
        <f t="shared" si="23"/>
        <v>246365</v>
      </c>
      <c r="BE36" s="2140">
        <f t="shared" si="23"/>
        <v>481943</v>
      </c>
      <c r="BF36" s="2140">
        <f t="shared" si="23"/>
        <v>446067</v>
      </c>
      <c r="BG36" s="2141">
        <f t="shared" si="24"/>
        <v>0.92555966161973513</v>
      </c>
      <c r="BH36" s="2127">
        <f>'[6]éves besz.kiadásai2019'!AQ36-'4 int bevétel'!AK36-AX36</f>
        <v>-292</v>
      </c>
      <c r="BI36" s="2127">
        <f>'[6]éves besz.kiadásai2019'!AP36-'4 int bevétel'!AJ36-AW36</f>
        <v>602</v>
      </c>
    </row>
    <row r="37" spans="1:61" ht="57" customHeight="1" thickBot="1" x14ac:dyDescent="0.65">
      <c r="A37" s="2157" t="s">
        <v>1326</v>
      </c>
      <c r="B37" s="2154">
        <f>[4]int.bevételek2019!B36</f>
        <v>178083</v>
      </c>
      <c r="C37" s="2140">
        <f>'[5]int.bevételek RM IV'!D37</f>
        <v>178083</v>
      </c>
      <c r="D37" s="2154">
        <v>172868</v>
      </c>
      <c r="E37" s="2144">
        <f t="shared" si="11"/>
        <v>0.97071590213552106</v>
      </c>
      <c r="F37" s="2154">
        <f>[4]int.bevételek2019!C36</f>
        <v>0</v>
      </c>
      <c r="G37" s="2140">
        <f>'[5]int.bevételek RM IV'!G37</f>
        <v>67734</v>
      </c>
      <c r="H37" s="2154">
        <v>65542</v>
      </c>
      <c r="I37" s="2144">
        <f t="shared" si="12"/>
        <v>0.9676381137980925</v>
      </c>
      <c r="J37" s="2154">
        <f>[4]int.bevételek2019!D36</f>
        <v>0</v>
      </c>
      <c r="K37" s="2140">
        <f>'[5]int.bevételek RM IV'!J37</f>
        <v>0</v>
      </c>
      <c r="L37" s="2158">
        <f>107-1</f>
        <v>106</v>
      </c>
      <c r="M37" s="2144"/>
      <c r="N37" s="2159">
        <f>[4]int.bevételek2019!E36</f>
        <v>0</v>
      </c>
      <c r="O37" s="2159">
        <f>'[5]int.bevételek RM IV'!M37</f>
        <v>0</v>
      </c>
      <c r="P37" s="2140"/>
      <c r="Q37" s="2144"/>
      <c r="R37" s="2140">
        <f t="shared" si="13"/>
        <v>178083</v>
      </c>
      <c r="S37" s="2140">
        <f t="shared" si="13"/>
        <v>245817</v>
      </c>
      <c r="T37" s="2140">
        <f t="shared" si="13"/>
        <v>238516</v>
      </c>
      <c r="U37" s="2144">
        <f t="shared" si="14"/>
        <v>0.97029904359747288</v>
      </c>
      <c r="V37" s="2157" t="s">
        <v>1326</v>
      </c>
      <c r="W37" s="2154">
        <f>[4]int.bevételek2019!H36</f>
        <v>0</v>
      </c>
      <c r="X37" s="2154">
        <f>'[5]int.bevételek RM IV'!T37</f>
        <v>0</v>
      </c>
      <c r="Y37" s="2154"/>
      <c r="Z37" s="2144"/>
      <c r="AA37" s="2154">
        <f>[4]int.bevételek2019!I36</f>
        <v>0</v>
      </c>
      <c r="AB37" s="2154">
        <f>'[5]int.bevételek RM IV'!W37</f>
        <v>6600</v>
      </c>
      <c r="AC37" s="2154">
        <v>6600</v>
      </c>
      <c r="AD37" s="2144">
        <f t="shared" si="15"/>
        <v>1</v>
      </c>
      <c r="AE37" s="2154">
        <f>[4]int.bevételek2019!J36</f>
        <v>0</v>
      </c>
      <c r="AF37" s="2154">
        <f>'[5]int.bevételek RM IV'!Z37</f>
        <v>0</v>
      </c>
      <c r="AG37" s="2154"/>
      <c r="AH37" s="2144"/>
      <c r="AI37" s="2140">
        <f t="shared" si="16"/>
        <v>0</v>
      </c>
      <c r="AJ37" s="2140">
        <f t="shared" si="16"/>
        <v>6600</v>
      </c>
      <c r="AK37" s="2140">
        <f t="shared" si="16"/>
        <v>6600</v>
      </c>
      <c r="AL37" s="2144">
        <f t="shared" si="17"/>
        <v>1</v>
      </c>
      <c r="AM37" s="2154"/>
      <c r="AN37" s="2140">
        <f>'[5]int.bevételek RM IV'!AJ37</f>
        <v>28106</v>
      </c>
      <c r="AO37" s="2154">
        <v>28106</v>
      </c>
      <c r="AP37" s="2144">
        <f t="shared" si="18"/>
        <v>1</v>
      </c>
      <c r="AQ37" s="2157" t="s">
        <v>1326</v>
      </c>
      <c r="AR37" s="2154">
        <f>[4]int.bevételek2019!L36</f>
        <v>332600</v>
      </c>
      <c r="AS37" s="2140">
        <f>'[5]int.bevételek RM IV'!AM37</f>
        <v>385123</v>
      </c>
      <c r="AT37" s="2154">
        <f>367278-13407</f>
        <v>353871</v>
      </c>
      <c r="AU37" s="2144">
        <f t="shared" si="19"/>
        <v>0.9188518992633522</v>
      </c>
      <c r="AV37" s="2154">
        <f>[4]int.bevételek2019!M36</f>
        <v>0</v>
      </c>
      <c r="AW37" s="2140">
        <f>'[5]int.bevételek RM IV'!AP37</f>
        <v>18785</v>
      </c>
      <c r="AX37" s="2154">
        <v>13407</v>
      </c>
      <c r="AY37" s="2144">
        <f t="shared" si="20"/>
        <v>0.71370774554165561</v>
      </c>
      <c r="AZ37" s="2140">
        <f t="shared" si="21"/>
        <v>332600</v>
      </c>
      <c r="BA37" s="2140">
        <f t="shared" si="21"/>
        <v>403908</v>
      </c>
      <c r="BB37" s="2140">
        <f t="shared" si="21"/>
        <v>367278</v>
      </c>
      <c r="BC37" s="2144">
        <f t="shared" si="22"/>
        <v>0.9093110312249324</v>
      </c>
      <c r="BD37" s="2140">
        <f t="shared" si="23"/>
        <v>510683</v>
      </c>
      <c r="BE37" s="2140">
        <f t="shared" si="23"/>
        <v>684431</v>
      </c>
      <c r="BF37" s="2140">
        <f t="shared" si="23"/>
        <v>640500</v>
      </c>
      <c r="BG37" s="2144">
        <f t="shared" si="24"/>
        <v>0.93581383660295925</v>
      </c>
      <c r="BH37" s="2127">
        <f>'[6]éves besz.kiadásai2019'!AQ37-'4 int bevétel'!AK37-AX37</f>
        <v>0</v>
      </c>
      <c r="BI37" s="2127">
        <f>'[6]éves besz.kiadásai2019'!AP37-'4 int bevétel'!AJ37-AW37</f>
        <v>0</v>
      </c>
    </row>
    <row r="38" spans="1:61" ht="57" customHeight="1" thickBot="1" x14ac:dyDescent="0.65">
      <c r="A38" s="2160" t="s">
        <v>1473</v>
      </c>
      <c r="B38" s="2147">
        <f>SUM(B33:B37)</f>
        <v>610039</v>
      </c>
      <c r="C38" s="2147">
        <f>SUM(C33:C37)</f>
        <v>700274</v>
      </c>
      <c r="D38" s="2147">
        <f>SUM(D33:D37)</f>
        <v>693940</v>
      </c>
      <c r="E38" s="2148">
        <f t="shared" si="11"/>
        <v>0.99095496905496994</v>
      </c>
      <c r="F38" s="2147">
        <f>SUM(F33:F37)</f>
        <v>0</v>
      </c>
      <c r="G38" s="2147">
        <f>SUM(G33:G37)</f>
        <v>277828</v>
      </c>
      <c r="H38" s="2147">
        <f>SUM(H33:H37)</f>
        <v>275637</v>
      </c>
      <c r="I38" s="2148">
        <f t="shared" si="12"/>
        <v>0.99211382582029173</v>
      </c>
      <c r="J38" s="2147">
        <f>SUM(J33:J37)</f>
        <v>0</v>
      </c>
      <c r="K38" s="2147">
        <f>SUM(K33:K37)</f>
        <v>300</v>
      </c>
      <c r="L38" s="2147">
        <f>SUM(L33:L37)</f>
        <v>406</v>
      </c>
      <c r="M38" s="2148">
        <f>L38/K38</f>
        <v>1.3533333333333333</v>
      </c>
      <c r="N38" s="2147">
        <f>SUM(N33:N37)</f>
        <v>0</v>
      </c>
      <c r="O38" s="2147">
        <f>SUM(O33:O37)</f>
        <v>0</v>
      </c>
      <c r="P38" s="2147">
        <f>SUM(P33:P37)</f>
        <v>0</v>
      </c>
      <c r="Q38" s="2148"/>
      <c r="R38" s="2147">
        <f>SUM(R33:R37)</f>
        <v>610039</v>
      </c>
      <c r="S38" s="2147">
        <f>SUM(S33:S37)</f>
        <v>978402</v>
      </c>
      <c r="T38" s="2147">
        <f>SUM(T33:T37)</f>
        <v>969983</v>
      </c>
      <c r="U38" s="2148">
        <f t="shared" si="14"/>
        <v>0.99139515250377652</v>
      </c>
      <c r="V38" s="2160" t="s">
        <v>1473</v>
      </c>
      <c r="W38" s="2147">
        <f>SUM(W33:W37)</f>
        <v>0</v>
      </c>
      <c r="X38" s="2147">
        <f>SUM(X33:X37)</f>
        <v>0</v>
      </c>
      <c r="Y38" s="2147">
        <f>SUM(Y33:Y37)</f>
        <v>0</v>
      </c>
      <c r="Z38" s="2148"/>
      <c r="AA38" s="2147">
        <f>SUM(AA33:AA37)</f>
        <v>0</v>
      </c>
      <c r="AB38" s="2147">
        <f>SUM(AB33:AB37)</f>
        <v>68840</v>
      </c>
      <c r="AC38" s="2147">
        <f>SUM(AC33:AC37)</f>
        <v>68840</v>
      </c>
      <c r="AD38" s="2148">
        <f t="shared" si="15"/>
        <v>1</v>
      </c>
      <c r="AE38" s="2147">
        <f>SUM(AE33:AE37)</f>
        <v>0</v>
      </c>
      <c r="AF38" s="2147">
        <f>SUM(AF33:AF37)</f>
        <v>0</v>
      </c>
      <c r="AG38" s="2147">
        <f>SUM(AG33:AG37)</f>
        <v>0</v>
      </c>
      <c r="AH38" s="2148"/>
      <c r="AI38" s="2147">
        <f>SUM(AI33:AI37)</f>
        <v>0</v>
      </c>
      <c r="AJ38" s="2147">
        <f>SUM(AJ33:AJ37)</f>
        <v>68840</v>
      </c>
      <c r="AK38" s="2147">
        <f>SUM(AK33:AK37)</f>
        <v>68840</v>
      </c>
      <c r="AL38" s="2148">
        <f t="shared" si="17"/>
        <v>1</v>
      </c>
      <c r="AM38" s="2147">
        <f>SUM(AM33:AM37)</f>
        <v>0</v>
      </c>
      <c r="AN38" s="2147">
        <f>SUM(AN33:AN37)</f>
        <v>90433</v>
      </c>
      <c r="AO38" s="2147">
        <f>SUM(AO33:AO37)</f>
        <v>90433</v>
      </c>
      <c r="AP38" s="2148">
        <f t="shared" si="18"/>
        <v>1</v>
      </c>
      <c r="AQ38" s="2160" t="s">
        <v>1473</v>
      </c>
      <c r="AR38" s="2147">
        <f>SUM(AR33:AR37)</f>
        <v>1124135</v>
      </c>
      <c r="AS38" s="2147">
        <f>SUM(AS33:AS37)</f>
        <v>1495899</v>
      </c>
      <c r="AT38" s="2147">
        <f>SUM(AT33:AT37)</f>
        <v>1398707</v>
      </c>
      <c r="AU38" s="2148">
        <f t="shared" si="19"/>
        <v>0.93502769906257044</v>
      </c>
      <c r="AV38" s="2147">
        <f>SUM(AV33:AV37)</f>
        <v>0</v>
      </c>
      <c r="AW38" s="2147">
        <f>SUM(AW33:AW37)</f>
        <v>82980</v>
      </c>
      <c r="AX38" s="2147">
        <f>SUM(AX33:AX37)</f>
        <v>15303</v>
      </c>
      <c r="AY38" s="2148">
        <f t="shared" si="20"/>
        <v>0.18441793203181489</v>
      </c>
      <c r="AZ38" s="2147">
        <f>SUM(AZ33:AZ37)</f>
        <v>1124135</v>
      </c>
      <c r="BA38" s="2147">
        <f>SUM(BA33:BA37)</f>
        <v>1578879</v>
      </c>
      <c r="BB38" s="2147">
        <f>SUM(BB33:BB37)</f>
        <v>1414010</v>
      </c>
      <c r="BC38" s="2148">
        <f t="shared" si="22"/>
        <v>0.8955784452133444</v>
      </c>
      <c r="BD38" s="2147">
        <f>SUM(BD33:BD37)</f>
        <v>1734174</v>
      </c>
      <c r="BE38" s="2147">
        <f>SUM(BE33:BE37)</f>
        <v>2716554</v>
      </c>
      <c r="BF38" s="2147">
        <f>SUM(BF33:BF37)</f>
        <v>2543266</v>
      </c>
      <c r="BG38" s="2148">
        <f t="shared" si="24"/>
        <v>0.93621036062599894</v>
      </c>
      <c r="BH38" s="2127">
        <f>'[6]éves besz.kiadásai2019'!AQ38-'4 int bevétel'!AK38-AX38</f>
        <v>-1556</v>
      </c>
    </row>
    <row r="39" spans="1:61" ht="57" customHeight="1" x14ac:dyDescent="0.6">
      <c r="A39" s="2161" t="s">
        <v>1327</v>
      </c>
      <c r="B39" s="2162"/>
      <c r="C39" s="2162"/>
      <c r="D39" s="2162"/>
      <c r="E39" s="2162"/>
      <c r="F39" s="2162"/>
      <c r="G39" s="2162"/>
      <c r="H39" s="2162"/>
      <c r="I39" s="2162"/>
      <c r="J39" s="2162"/>
      <c r="K39" s="2162"/>
      <c r="L39" s="2162"/>
      <c r="M39" s="2162"/>
      <c r="N39" s="2162"/>
      <c r="O39" s="2162"/>
      <c r="P39" s="2162"/>
      <c r="Q39" s="2162"/>
      <c r="R39" s="2162"/>
      <c r="S39" s="2162"/>
      <c r="T39" s="2162"/>
      <c r="U39" s="2162"/>
      <c r="V39" s="2161" t="s">
        <v>1327</v>
      </c>
      <c r="W39" s="2162"/>
      <c r="X39" s="2162"/>
      <c r="Y39" s="2162"/>
      <c r="Z39" s="2162"/>
      <c r="AA39" s="2162"/>
      <c r="AB39" s="2162"/>
      <c r="AC39" s="2162"/>
      <c r="AD39" s="2162"/>
      <c r="AE39" s="2162"/>
      <c r="AF39" s="2162"/>
      <c r="AG39" s="2162"/>
      <c r="AH39" s="2162"/>
      <c r="AI39" s="2162"/>
      <c r="AJ39" s="2162"/>
      <c r="AK39" s="2162"/>
      <c r="AL39" s="2162"/>
      <c r="AM39" s="2162"/>
      <c r="AN39" s="2162"/>
      <c r="AO39" s="2162"/>
      <c r="AP39" s="2162"/>
      <c r="AQ39" s="2161" t="s">
        <v>1327</v>
      </c>
      <c r="AR39" s="2162"/>
      <c r="AS39" s="2162"/>
      <c r="AT39" s="2162"/>
      <c r="AU39" s="2162"/>
      <c r="AV39" s="2162"/>
      <c r="AW39" s="2162"/>
      <c r="AX39" s="2162"/>
      <c r="AY39" s="2162"/>
      <c r="AZ39" s="2162"/>
      <c r="BA39" s="2162"/>
      <c r="BB39" s="2162"/>
      <c r="BC39" s="2162"/>
      <c r="BD39" s="2162"/>
      <c r="BE39" s="2162"/>
      <c r="BF39" s="2162"/>
      <c r="BG39" s="2162"/>
    </row>
    <row r="40" spans="1:61" s="2165" customFormat="1" ht="114" customHeight="1" thickBot="1" x14ac:dyDescent="0.65">
      <c r="A40" s="2163" t="s">
        <v>1328</v>
      </c>
      <c r="B40" s="2140">
        <f>[4]int.bevételek2019!B39</f>
        <v>94499</v>
      </c>
      <c r="C40" s="2140">
        <f>'[5]int.bevételek RM IV'!D40</f>
        <v>123840</v>
      </c>
      <c r="D40" s="2140">
        <v>123836</v>
      </c>
      <c r="E40" s="2149">
        <f>D40/C40</f>
        <v>0.99996770025839798</v>
      </c>
      <c r="F40" s="2140">
        <f>[4]int.bevételek2019!C39</f>
        <v>0</v>
      </c>
      <c r="G40" s="2140">
        <f>'[5]int.bevételek RM IV'!G40</f>
        <v>460</v>
      </c>
      <c r="H40" s="2140">
        <v>460</v>
      </c>
      <c r="I40" s="2149">
        <f>H40/G40</f>
        <v>1</v>
      </c>
      <c r="J40" s="2140">
        <f>[4]int.bevételek2019!D39</f>
        <v>0</v>
      </c>
      <c r="K40" s="2140">
        <f>'[5]int.bevételek RM IV'!J40</f>
        <v>310</v>
      </c>
      <c r="L40" s="2140">
        <v>310</v>
      </c>
      <c r="M40" s="2149">
        <f>L40/K40</f>
        <v>1</v>
      </c>
      <c r="N40" s="2143">
        <f>[4]int.bevételek2019!E39</f>
        <v>0</v>
      </c>
      <c r="O40" s="2143">
        <f>'[5]int.bevételek RM IV'!M40</f>
        <v>0</v>
      </c>
      <c r="P40" s="2143"/>
      <c r="Q40" s="2149"/>
      <c r="R40" s="2140">
        <f>B40+F40+J40+N40</f>
        <v>94499</v>
      </c>
      <c r="S40" s="2140">
        <f>C40+G40+K40+O40</f>
        <v>124610</v>
      </c>
      <c r="T40" s="2140">
        <f>D40+H40+L40+P40</f>
        <v>124606</v>
      </c>
      <c r="U40" s="2149">
        <f>T40/S40</f>
        <v>0.99996789984752432</v>
      </c>
      <c r="V40" s="2163" t="s">
        <v>1328</v>
      </c>
      <c r="W40" s="2140">
        <f>[4]int.bevételek2019!H39</f>
        <v>0</v>
      </c>
      <c r="X40" s="2140">
        <f>'[5]int.bevételek RM IV'!T40</f>
        <v>4</v>
      </c>
      <c r="Y40" s="2140">
        <v>4</v>
      </c>
      <c r="Z40" s="2149">
        <f>Y40/X40</f>
        <v>1</v>
      </c>
      <c r="AA40" s="2140">
        <f>[4]int.bevételek2019!I39</f>
        <v>0</v>
      </c>
      <c r="AB40" s="2140">
        <f>'[5]int.bevételek RM IV'!W40</f>
        <v>0</v>
      </c>
      <c r="AC40" s="2140"/>
      <c r="AD40" s="2149"/>
      <c r="AE40" s="2140">
        <f>[4]int.bevételek2019!J39</f>
        <v>0</v>
      </c>
      <c r="AF40" s="2140">
        <f>'[5]int.bevételek RM IV'!Z40</f>
        <v>0</v>
      </c>
      <c r="AG40" s="2140"/>
      <c r="AH40" s="2149"/>
      <c r="AI40" s="2140">
        <f>W40+AA40+AE40</f>
        <v>0</v>
      </c>
      <c r="AJ40" s="2140">
        <f>X40+AB40+AF40</f>
        <v>4</v>
      </c>
      <c r="AK40" s="2140">
        <f>Y40+AC40+AG40</f>
        <v>4</v>
      </c>
      <c r="AL40" s="2149">
        <f>AK40/AJ40</f>
        <v>1</v>
      </c>
      <c r="AM40" s="2140"/>
      <c r="AN40" s="2140">
        <f>'[5]int.bevételek RM IV'!AJ40</f>
        <v>10384</v>
      </c>
      <c r="AO40" s="2140">
        <v>10384</v>
      </c>
      <c r="AP40" s="2149">
        <f>AO40/AN40</f>
        <v>1</v>
      </c>
      <c r="AQ40" s="2163" t="s">
        <v>1328</v>
      </c>
      <c r="AR40" s="2140">
        <f>[4]int.bevételek2019!L39</f>
        <v>729273</v>
      </c>
      <c r="AS40" s="2140">
        <f>'[5]int.bevételek RM IV'!AM40</f>
        <v>820106</v>
      </c>
      <c r="AT40" s="2140">
        <f>839019-28520</f>
        <v>810499</v>
      </c>
      <c r="AU40" s="2149">
        <f>AT40/AS40</f>
        <v>0.98828566063411316</v>
      </c>
      <c r="AV40" s="2140">
        <f>[4]int.bevételek2019!M39</f>
        <v>0</v>
      </c>
      <c r="AW40" s="2140">
        <f>'[5]int.bevételek RM IV'!AP40</f>
        <v>74937</v>
      </c>
      <c r="AX40" s="2140">
        <v>28520</v>
      </c>
      <c r="AY40" s="2164">
        <f>AX40/AW40</f>
        <v>0.38058635920840173</v>
      </c>
      <c r="AZ40" s="2140">
        <f>AR40+AV40</f>
        <v>729273</v>
      </c>
      <c r="BA40" s="2140">
        <f>AS40+AW40</f>
        <v>895043</v>
      </c>
      <c r="BB40" s="2140">
        <f>AT40+AX40</f>
        <v>839019</v>
      </c>
      <c r="BC40" s="2149">
        <f>BB40/BA40</f>
        <v>0.93740635924754456</v>
      </c>
      <c r="BD40" s="2140">
        <f>R40+AI40+AM40+AZ40</f>
        <v>823772</v>
      </c>
      <c r="BE40" s="2140">
        <f>S40+AJ40+AN40+BA40</f>
        <v>1030041</v>
      </c>
      <c r="BF40" s="2140">
        <f>T40+AK40+AO40+BB40</f>
        <v>974013</v>
      </c>
      <c r="BG40" s="2149">
        <f>BF40/BE40</f>
        <v>0.94560604869126563</v>
      </c>
      <c r="BH40" s="2127">
        <f>'[6]éves besz.kiadásai2019'!AQ40-'4 int bevétel'!AK40-AX40</f>
        <v>0</v>
      </c>
      <c r="BI40" s="2124">
        <f>'[6]éves besz.kiadásai2019'!AP40-'4 int bevétel'!AJ40-AW40</f>
        <v>0</v>
      </c>
    </row>
    <row r="41" spans="1:61" ht="57" customHeight="1" x14ac:dyDescent="0.6">
      <c r="A41" s="2161" t="s">
        <v>1329</v>
      </c>
      <c r="B41" s="2162"/>
      <c r="C41" s="2162"/>
      <c r="D41" s="2162"/>
      <c r="E41" s="2144"/>
      <c r="F41" s="2162"/>
      <c r="G41" s="2162"/>
      <c r="H41" s="2162"/>
      <c r="I41" s="2144"/>
      <c r="J41" s="2162"/>
      <c r="K41" s="2162"/>
      <c r="L41" s="2162"/>
      <c r="M41" s="2144"/>
      <c r="N41" s="2162"/>
      <c r="O41" s="2162"/>
      <c r="P41" s="2162"/>
      <c r="Q41" s="2144"/>
      <c r="R41" s="2162"/>
      <c r="S41" s="2162"/>
      <c r="T41" s="2162"/>
      <c r="U41" s="2144"/>
      <c r="V41" s="2161" t="s">
        <v>1329</v>
      </c>
      <c r="W41" s="2162"/>
      <c r="X41" s="2162"/>
      <c r="Y41" s="2162"/>
      <c r="Z41" s="2144"/>
      <c r="AA41" s="2162"/>
      <c r="AB41" s="2162"/>
      <c r="AC41" s="2162"/>
      <c r="AD41" s="2144"/>
      <c r="AE41" s="2162"/>
      <c r="AF41" s="2162"/>
      <c r="AG41" s="2162"/>
      <c r="AH41" s="2144"/>
      <c r="AI41" s="2162"/>
      <c r="AJ41" s="2162"/>
      <c r="AK41" s="2162"/>
      <c r="AL41" s="2144"/>
      <c r="AM41" s="2162"/>
      <c r="AN41" s="2162"/>
      <c r="AO41" s="2162"/>
      <c r="AP41" s="2144"/>
      <c r="AQ41" s="2161" t="s">
        <v>1329</v>
      </c>
      <c r="AR41" s="2162"/>
      <c r="AS41" s="2162"/>
      <c r="AT41" s="2162"/>
      <c r="AU41" s="2144"/>
      <c r="AV41" s="2162"/>
      <c r="AW41" s="2162"/>
      <c r="AX41" s="2162"/>
      <c r="AY41" s="2144"/>
      <c r="AZ41" s="2162"/>
      <c r="BA41" s="2162"/>
      <c r="BB41" s="2162"/>
      <c r="BC41" s="2144"/>
      <c r="BD41" s="2162"/>
      <c r="BE41" s="2162"/>
      <c r="BF41" s="2162"/>
      <c r="BG41" s="2144"/>
    </row>
    <row r="42" spans="1:61" ht="57" customHeight="1" thickBot="1" x14ac:dyDescent="0.65">
      <c r="A42" s="2166" t="s">
        <v>1451</v>
      </c>
      <c r="B42" s="2167">
        <f>[4]int.bevételek2019!B41</f>
        <v>27393</v>
      </c>
      <c r="C42" s="2140">
        <f>'[5]int.bevételek RM IV'!D42</f>
        <v>27677</v>
      </c>
      <c r="D42" s="2167">
        <v>27566</v>
      </c>
      <c r="E42" s="2149">
        <f>D42/C42</f>
        <v>0.99598944972359726</v>
      </c>
      <c r="F42" s="2167">
        <f>[4]int.bevételek2019!C41</f>
        <v>312186</v>
      </c>
      <c r="G42" s="2140">
        <f>'[5]int.bevételek RM IV'!G42</f>
        <v>340118</v>
      </c>
      <c r="H42" s="2167">
        <v>340103</v>
      </c>
      <c r="I42" s="2149">
        <f>H42/G42</f>
        <v>0.99995589765904769</v>
      </c>
      <c r="J42" s="2167">
        <f>[4]int.bevételek2019!D41</f>
        <v>0</v>
      </c>
      <c r="K42" s="2140">
        <f>'[5]int.bevételek RM IV'!J42</f>
        <v>0</v>
      </c>
      <c r="L42" s="2167"/>
      <c r="M42" s="2149"/>
      <c r="N42" s="2167">
        <f>[4]int.bevételek2019!E41</f>
        <v>0</v>
      </c>
      <c r="O42" s="2167">
        <f>'[5]int.bevételek RM IV'!M42</f>
        <v>0</v>
      </c>
      <c r="P42" s="2140"/>
      <c r="Q42" s="2149"/>
      <c r="R42" s="2140">
        <f>B42+F42+J42+N42</f>
        <v>339579</v>
      </c>
      <c r="S42" s="2140">
        <f>C42+G42+K42+O42</f>
        <v>367795</v>
      </c>
      <c r="T42" s="2140">
        <f>D42+H42+L42+P42</f>
        <v>367669</v>
      </c>
      <c r="U42" s="2149">
        <f>T42/S42</f>
        <v>0.99965741785505513</v>
      </c>
      <c r="V42" s="2152" t="s">
        <v>1451</v>
      </c>
      <c r="W42" s="2167">
        <f>[4]int.bevételek2019!H41</f>
        <v>0</v>
      </c>
      <c r="X42" s="2167">
        <f>'[5]int.bevételek RM IV'!T42</f>
        <v>92</v>
      </c>
      <c r="Y42" s="2167">
        <v>92</v>
      </c>
      <c r="Z42" s="2149">
        <f>Y42/X42</f>
        <v>1</v>
      </c>
      <c r="AA42" s="2167">
        <f>[4]int.bevételek2019!I41</f>
        <v>1990</v>
      </c>
      <c r="AB42" s="2167">
        <f>'[5]int.bevételek RM IV'!W42</f>
        <v>10830</v>
      </c>
      <c r="AC42" s="2167">
        <v>10830</v>
      </c>
      <c r="AD42" s="2149">
        <f>AC42/AB42</f>
        <v>1</v>
      </c>
      <c r="AE42" s="2167">
        <f>[4]int.bevételek2019!J41</f>
        <v>0</v>
      </c>
      <c r="AF42" s="2167">
        <f>'[5]int.bevételek RM IV'!Z42</f>
        <v>0</v>
      </c>
      <c r="AG42" s="2167"/>
      <c r="AH42" s="2149"/>
      <c r="AI42" s="2140">
        <f>W42+AA42+AE42</f>
        <v>1990</v>
      </c>
      <c r="AJ42" s="2140">
        <f>X42+AB42+AF42</f>
        <v>10922</v>
      </c>
      <c r="AK42" s="2140">
        <f>Y42+AC42+AG42</f>
        <v>10922</v>
      </c>
      <c r="AL42" s="2149">
        <f>AK42/AJ42</f>
        <v>1</v>
      </c>
      <c r="AM42" s="2167"/>
      <c r="AN42" s="2140">
        <f>'[5]int.bevételek RM IV'!AJ42</f>
        <v>38212</v>
      </c>
      <c r="AO42" s="2167">
        <v>38212</v>
      </c>
      <c r="AP42" s="2149">
        <f>AO42/AN42</f>
        <v>1</v>
      </c>
      <c r="AQ42" s="2152" t="s">
        <v>1451</v>
      </c>
      <c r="AR42" s="2167">
        <f>[4]int.bevételek2019!L41</f>
        <v>307391</v>
      </c>
      <c r="AS42" s="2140">
        <f>'[5]int.bevételek RM IV'!AM42</f>
        <v>325247</v>
      </c>
      <c r="AT42" s="2167">
        <f>317487-13925</f>
        <v>303562</v>
      </c>
      <c r="AU42" s="2149">
        <f>AT42/AS42</f>
        <v>0.933327594105403</v>
      </c>
      <c r="AV42" s="2167">
        <f>[4]int.bevételek2019!M41</f>
        <v>12736</v>
      </c>
      <c r="AW42" s="2140">
        <f>'[5]int.bevételek RM IV'!AP42</f>
        <v>41699</v>
      </c>
      <c r="AX42" s="2167">
        <v>13925</v>
      </c>
      <c r="AY42" s="2149">
        <f>AX42/AW42</f>
        <v>0.33394086189117245</v>
      </c>
      <c r="AZ42" s="2140">
        <f>AR42+AV42</f>
        <v>320127</v>
      </c>
      <c r="BA42" s="2140">
        <f>AS42+AW42</f>
        <v>366946</v>
      </c>
      <c r="BB42" s="2140">
        <f>AT42+AX42</f>
        <v>317487</v>
      </c>
      <c r="BC42" s="2149">
        <f>BB42/BA42</f>
        <v>0.86521450022619129</v>
      </c>
      <c r="BD42" s="2140">
        <f>R42+AI42+AM42+AZ42</f>
        <v>661696</v>
      </c>
      <c r="BE42" s="2140">
        <f>S42+AJ42+AN42+BA42</f>
        <v>783875</v>
      </c>
      <c r="BF42" s="2140">
        <f>T42+AK42+AO42+BB42</f>
        <v>734290</v>
      </c>
      <c r="BG42" s="2149">
        <f>BF42/BE42</f>
        <v>0.93674374103013869</v>
      </c>
      <c r="BH42" s="2127">
        <f>'[6]éves besz.kiadásai2019'!AQ42-'4 int bevétel'!AK42-AX42</f>
        <v>0</v>
      </c>
      <c r="BI42" s="2127">
        <f>'[6]éves besz.kiadásai2019'!AP42-'4 int bevétel'!AJ42-AW42</f>
        <v>1332</v>
      </c>
    </row>
    <row r="43" spans="1:61" ht="57" customHeight="1" x14ac:dyDescent="0.6">
      <c r="A43" s="2161" t="s">
        <v>1332</v>
      </c>
      <c r="B43" s="2162"/>
      <c r="C43" s="2162"/>
      <c r="D43" s="2162"/>
      <c r="E43" s="2144"/>
      <c r="F43" s="2162"/>
      <c r="G43" s="2162"/>
      <c r="H43" s="2162"/>
      <c r="I43" s="2144"/>
      <c r="J43" s="2162"/>
      <c r="K43" s="2162"/>
      <c r="L43" s="2162"/>
      <c r="M43" s="2144"/>
      <c r="N43" s="2162"/>
      <c r="O43" s="2162"/>
      <c r="P43" s="2162"/>
      <c r="Q43" s="2144"/>
      <c r="R43" s="2162"/>
      <c r="S43" s="2162"/>
      <c r="T43" s="2162"/>
      <c r="U43" s="2144"/>
      <c r="V43" s="2161" t="s">
        <v>1332</v>
      </c>
      <c r="W43" s="2162"/>
      <c r="X43" s="2162"/>
      <c r="Y43" s="2162"/>
      <c r="Z43" s="2144"/>
      <c r="AA43" s="2162"/>
      <c r="AB43" s="2162"/>
      <c r="AC43" s="2162"/>
      <c r="AD43" s="2144"/>
      <c r="AE43" s="2162"/>
      <c r="AF43" s="2162"/>
      <c r="AG43" s="2162"/>
      <c r="AH43" s="2144"/>
      <c r="AI43" s="2162"/>
      <c r="AJ43" s="2162"/>
      <c r="AK43" s="2162"/>
      <c r="AL43" s="2144"/>
      <c r="AM43" s="2162"/>
      <c r="AN43" s="2162"/>
      <c r="AO43" s="2162"/>
      <c r="AP43" s="2144"/>
      <c r="AQ43" s="2161" t="s">
        <v>1332</v>
      </c>
      <c r="AR43" s="2162"/>
      <c r="AS43" s="2162"/>
      <c r="AT43" s="2162"/>
      <c r="AU43" s="2144"/>
      <c r="AV43" s="2162"/>
      <c r="AW43" s="2162"/>
      <c r="AX43" s="2162"/>
      <c r="AY43" s="2144"/>
      <c r="AZ43" s="2162"/>
      <c r="BA43" s="2162"/>
      <c r="BB43" s="2162"/>
      <c r="BC43" s="2144"/>
      <c r="BD43" s="2162"/>
      <c r="BE43" s="2162"/>
      <c r="BF43" s="2162"/>
      <c r="BG43" s="2144"/>
    </row>
    <row r="44" spans="1:61" ht="45.75" thickBot="1" x14ac:dyDescent="0.65">
      <c r="A44" s="2168" t="s">
        <v>1474</v>
      </c>
      <c r="B44" s="2143">
        <f>[4]int.bevételek2019!B43</f>
        <v>53475</v>
      </c>
      <c r="C44" s="2140">
        <f>'[5]int.bevételek RM IV'!D44</f>
        <v>53909</v>
      </c>
      <c r="D44" s="2143">
        <v>60039</v>
      </c>
      <c r="E44" s="2141">
        <f>D44/C44</f>
        <v>1.1137101411638131</v>
      </c>
      <c r="F44" s="2143">
        <f>[4]int.bevételek2019!C43</f>
        <v>0</v>
      </c>
      <c r="G44" s="2140">
        <f>'[5]int.bevételek RM IV'!G44</f>
        <v>6625</v>
      </c>
      <c r="H44" s="2143">
        <v>8202</v>
      </c>
      <c r="I44" s="2141">
        <f>H44/G44</f>
        <v>1.2380377358490566</v>
      </c>
      <c r="J44" s="2143">
        <f>[4]int.bevételek2019!D43</f>
        <v>0</v>
      </c>
      <c r="K44" s="2140">
        <f>'[5]int.bevételek RM IV'!J44</f>
        <v>0</v>
      </c>
      <c r="L44" s="2140"/>
      <c r="M44" s="2141"/>
      <c r="N44" s="2169">
        <f>[4]int.bevételek2019!E43</f>
        <v>0</v>
      </c>
      <c r="O44" s="2140">
        <f>'[5]int.bevételek RM IV'!M44</f>
        <v>0</v>
      </c>
      <c r="P44" s="2140"/>
      <c r="Q44" s="2141"/>
      <c r="R44" s="2140">
        <f>B44+F44+J44+N44</f>
        <v>53475</v>
      </c>
      <c r="S44" s="2140">
        <f>C44+G44+K44+O44</f>
        <v>60534</v>
      </c>
      <c r="T44" s="2140">
        <f>D44+H44+L44+P44</f>
        <v>68241</v>
      </c>
      <c r="U44" s="2141">
        <f>T44/S44</f>
        <v>1.1273168797700466</v>
      </c>
      <c r="V44" s="2168" t="s">
        <v>1474</v>
      </c>
      <c r="W44" s="2143">
        <f>[4]int.bevételek2019!H43</f>
        <v>0</v>
      </c>
      <c r="X44" s="2143">
        <f>'[5]int.bevételek RM IV'!T44</f>
        <v>489</v>
      </c>
      <c r="Y44" s="2143">
        <v>515</v>
      </c>
      <c r="Z44" s="2141">
        <f>Y44/X44</f>
        <v>1.0531697341513293</v>
      </c>
      <c r="AA44" s="2143">
        <f>[4]int.bevételek2019!I43</f>
        <v>0</v>
      </c>
      <c r="AB44" s="2143">
        <f>'[5]int.bevételek RM IV'!W44</f>
        <v>0</v>
      </c>
      <c r="AC44" s="2143"/>
      <c r="AD44" s="2141"/>
      <c r="AE44" s="2143">
        <f>[4]int.bevételek2019!J43</f>
        <v>0</v>
      </c>
      <c r="AF44" s="2143">
        <f>'[5]int.bevételek RM IV'!Z44</f>
        <v>0</v>
      </c>
      <c r="AG44" s="2143"/>
      <c r="AH44" s="2141"/>
      <c r="AI44" s="2140">
        <f>W44+AA44+AE44</f>
        <v>0</v>
      </c>
      <c r="AJ44" s="2140">
        <f>X44+AB44+AF44</f>
        <v>489</v>
      </c>
      <c r="AK44" s="2140">
        <f>Y44+AC44+AG44</f>
        <v>515</v>
      </c>
      <c r="AL44" s="2141">
        <f>AK44/AJ44</f>
        <v>1.0531697341513293</v>
      </c>
      <c r="AM44" s="2143"/>
      <c r="AN44" s="2140">
        <f>'[5]int.bevételek RM IV'!AJ44</f>
        <v>803</v>
      </c>
      <c r="AO44" s="2143">
        <v>803</v>
      </c>
      <c r="AP44" s="2141">
        <f>AO44/AN44</f>
        <v>1</v>
      </c>
      <c r="AQ44" s="2168" t="s">
        <v>1474</v>
      </c>
      <c r="AR44" s="2143">
        <f>[4]int.bevételek2019!L43</f>
        <v>733382</v>
      </c>
      <c r="AS44" s="2140">
        <f>'[5]int.bevételek RM IV'!AM44</f>
        <v>757441</v>
      </c>
      <c r="AT44" s="2143">
        <f>755651-28763</f>
        <v>726888</v>
      </c>
      <c r="AU44" s="2141">
        <f>AT44/AS44</f>
        <v>0.95966286483039598</v>
      </c>
      <c r="AV44" s="2143">
        <f>[4]int.bevételek2019!M43</f>
        <v>22470</v>
      </c>
      <c r="AW44" s="2140">
        <f>'[5]int.bevételek RM IV'!AP44</f>
        <v>42247</v>
      </c>
      <c r="AX44" s="2143">
        <v>28763</v>
      </c>
      <c r="AY44" s="2141">
        <f>AX44/AW44</f>
        <v>0.68082940800530212</v>
      </c>
      <c r="AZ44" s="2140">
        <f>AR44+AV44</f>
        <v>755852</v>
      </c>
      <c r="BA44" s="2140">
        <f>AS44+AW44</f>
        <v>799688</v>
      </c>
      <c r="BB44" s="2140">
        <f>AT44+AX44</f>
        <v>755651</v>
      </c>
      <c r="BC44" s="2141">
        <f>BB44/BA44</f>
        <v>0.94493227358669885</v>
      </c>
      <c r="BD44" s="2140">
        <f>R44+AI44+AM44+AZ44</f>
        <v>809327</v>
      </c>
      <c r="BE44" s="2140">
        <f>S44+AJ44+AN44+BA44</f>
        <v>861514</v>
      </c>
      <c r="BF44" s="2140">
        <f>T44+AK44+AO44+BB44</f>
        <v>825210</v>
      </c>
      <c r="BG44" s="2141">
        <f>BF44/BE44</f>
        <v>0.95786023210301863</v>
      </c>
      <c r="BH44" s="2127">
        <f>'[6]éves besz.kiadásai2019'!AQ44-'4 int bevétel'!AK44-AX44</f>
        <v>0</v>
      </c>
      <c r="BI44" s="2127">
        <f>'[6]éves besz.kiadásai2019'!AP44-'4 int bevétel'!AJ44-AW44</f>
        <v>0</v>
      </c>
    </row>
    <row r="45" spans="1:61" ht="57" customHeight="1" x14ac:dyDescent="0.6">
      <c r="A45" s="2161" t="s">
        <v>1452</v>
      </c>
      <c r="B45" s="2162"/>
      <c r="C45" s="2162"/>
      <c r="D45" s="2162"/>
      <c r="E45" s="2162"/>
      <c r="F45" s="2162"/>
      <c r="G45" s="2162"/>
      <c r="H45" s="2162"/>
      <c r="I45" s="2162"/>
      <c r="J45" s="2162"/>
      <c r="K45" s="2162"/>
      <c r="L45" s="2162"/>
      <c r="M45" s="2162"/>
      <c r="N45" s="2162"/>
      <c r="O45" s="2162"/>
      <c r="P45" s="2162"/>
      <c r="Q45" s="2162"/>
      <c r="R45" s="2162"/>
      <c r="S45" s="2162"/>
      <c r="T45" s="2162"/>
      <c r="U45" s="2162"/>
      <c r="V45" s="2161" t="s">
        <v>1452</v>
      </c>
      <c r="W45" s="2162"/>
      <c r="X45" s="2162"/>
      <c r="Y45" s="2162"/>
      <c r="Z45" s="2144"/>
      <c r="AA45" s="2162"/>
      <c r="AB45" s="2162"/>
      <c r="AC45" s="2162"/>
      <c r="AD45" s="2162"/>
      <c r="AE45" s="2162"/>
      <c r="AF45" s="2162"/>
      <c r="AG45" s="2162"/>
      <c r="AH45" s="2162"/>
      <c r="AI45" s="2162"/>
      <c r="AJ45" s="2162"/>
      <c r="AK45" s="2162"/>
      <c r="AL45" s="2162"/>
      <c r="AM45" s="2162"/>
      <c r="AN45" s="2162"/>
      <c r="AO45" s="2162"/>
      <c r="AP45" s="2162"/>
      <c r="AQ45" s="2161" t="s">
        <v>1452</v>
      </c>
      <c r="AR45" s="2162"/>
      <c r="AS45" s="2162"/>
      <c r="AT45" s="2162"/>
      <c r="AU45" s="2162"/>
      <c r="AV45" s="2162"/>
      <c r="AW45" s="2162"/>
      <c r="AX45" s="2162"/>
      <c r="AY45" s="2162"/>
      <c r="AZ45" s="2162"/>
      <c r="BA45" s="2162"/>
      <c r="BB45" s="2162"/>
      <c r="BC45" s="2162"/>
      <c r="BD45" s="2162"/>
      <c r="BE45" s="2162"/>
      <c r="BF45" s="2162"/>
      <c r="BG45" s="2162"/>
    </row>
    <row r="46" spans="1:61" ht="57" customHeight="1" x14ac:dyDescent="0.6">
      <c r="A46" s="2170" t="s">
        <v>1343</v>
      </c>
      <c r="B46" s="2140">
        <f>[4]int.bevételek2019!B45</f>
        <v>139534</v>
      </c>
      <c r="C46" s="2140">
        <f>'[5]int.bevételek RM IV'!D46</f>
        <v>143430</v>
      </c>
      <c r="D46" s="2140">
        <v>143430</v>
      </c>
      <c r="E46" s="2141">
        <f>D46/C46</f>
        <v>1</v>
      </c>
      <c r="F46" s="2140">
        <f>[4]int.bevételek2019!C45</f>
        <v>0</v>
      </c>
      <c r="G46" s="2140">
        <f>'[5]int.bevételek RM IV'!G46</f>
        <v>0</v>
      </c>
      <c r="H46" s="2140"/>
      <c r="I46" s="2141"/>
      <c r="J46" s="2140">
        <f>[4]int.bevételek2019!D45</f>
        <v>0</v>
      </c>
      <c r="K46" s="2140">
        <f>'[5]int.bevételek RM IV'!J46</f>
        <v>0</v>
      </c>
      <c r="L46" s="2140"/>
      <c r="M46" s="2141"/>
      <c r="N46" s="2140">
        <f>[4]int.bevételek2019!E45</f>
        <v>0</v>
      </c>
      <c r="O46" s="2140">
        <f>'[5]int.bevételek RM IV'!M46</f>
        <v>0</v>
      </c>
      <c r="P46" s="2140"/>
      <c r="Q46" s="2141"/>
      <c r="R46" s="2140">
        <f t="shared" ref="R46:T48" si="25">B46+F46+J46+N46</f>
        <v>139534</v>
      </c>
      <c r="S46" s="2140">
        <f t="shared" si="25"/>
        <v>143430</v>
      </c>
      <c r="T46" s="2140">
        <f t="shared" si="25"/>
        <v>143430</v>
      </c>
      <c r="U46" s="2141">
        <f>T46/S46</f>
        <v>1</v>
      </c>
      <c r="V46" s="2170" t="s">
        <v>1343</v>
      </c>
      <c r="W46" s="2140">
        <f>[4]int.bevételek2019!H45</f>
        <v>0</v>
      </c>
      <c r="X46" s="2140">
        <f>'[5]int.bevételek RM IV'!T46</f>
        <v>125</v>
      </c>
      <c r="Y46" s="2140">
        <v>125</v>
      </c>
      <c r="Z46" s="2141">
        <f>Y46/X46</f>
        <v>1</v>
      </c>
      <c r="AA46" s="2140">
        <f>[4]int.bevételek2019!I45</f>
        <v>0</v>
      </c>
      <c r="AB46" s="2140">
        <f>'[5]int.bevételek RM IV'!W46</f>
        <v>0</v>
      </c>
      <c r="AC46" s="2140"/>
      <c r="AD46" s="2141"/>
      <c r="AE46" s="2140">
        <f>[4]int.bevételek2019!J45</f>
        <v>0</v>
      </c>
      <c r="AF46" s="2140">
        <f>'[5]int.bevételek RM IV'!Z46</f>
        <v>0</v>
      </c>
      <c r="AG46" s="2140"/>
      <c r="AH46" s="2141"/>
      <c r="AI46" s="2140">
        <f t="shared" ref="AI46:AK48" si="26">W46+AA46+AE46</f>
        <v>0</v>
      </c>
      <c r="AJ46" s="2140">
        <f t="shared" si="26"/>
        <v>125</v>
      </c>
      <c r="AK46" s="2140">
        <f t="shared" si="26"/>
        <v>125</v>
      </c>
      <c r="AL46" s="2141">
        <f>AK46/AJ46</f>
        <v>1</v>
      </c>
      <c r="AM46" s="2140"/>
      <c r="AN46" s="2140">
        <f>'[5]int.bevételek RM IV'!AJ46</f>
        <v>12380</v>
      </c>
      <c r="AO46" s="2140">
        <v>12380</v>
      </c>
      <c r="AP46" s="2141">
        <f t="shared" ref="AP46:AP51" si="27">AO46/AN46</f>
        <v>1</v>
      </c>
      <c r="AQ46" s="2170" t="s">
        <v>1343</v>
      </c>
      <c r="AR46" s="2140">
        <f>[4]int.bevételek2019!L45</f>
        <v>0</v>
      </c>
      <c r="AS46" s="2140">
        <f>'[5]int.bevételek RM IV'!AM46</f>
        <v>3040</v>
      </c>
      <c r="AT46" s="2140">
        <v>1452</v>
      </c>
      <c r="AU46" s="2141">
        <f t="shared" ref="AU46:AU51" si="28">AT46/AS46</f>
        <v>0.47763157894736841</v>
      </c>
      <c r="AV46" s="2140">
        <f>[4]int.bevételek2019!M45</f>
        <v>0</v>
      </c>
      <c r="AW46" s="2140">
        <f>'[5]int.bevételek RM IV'!AP46</f>
        <v>0</v>
      </c>
      <c r="AX46" s="2140"/>
      <c r="AY46" s="2140"/>
      <c r="AZ46" s="2140">
        <f t="shared" ref="AZ46:BB48" si="29">AR46+AV46</f>
        <v>0</v>
      </c>
      <c r="BA46" s="2140">
        <f t="shared" si="29"/>
        <v>3040</v>
      </c>
      <c r="BB46" s="2140">
        <f t="shared" si="29"/>
        <v>1452</v>
      </c>
      <c r="BC46" s="2141">
        <f t="shared" ref="BC46:BC51" si="30">BB46/BA46</f>
        <v>0.47763157894736841</v>
      </c>
      <c r="BD46" s="2140">
        <f t="shared" ref="BD46:BF48" si="31">R46+AI46+AM46+AZ46</f>
        <v>139534</v>
      </c>
      <c r="BE46" s="2140">
        <f t="shared" si="31"/>
        <v>158975</v>
      </c>
      <c r="BF46" s="2140">
        <f t="shared" si="31"/>
        <v>157387</v>
      </c>
      <c r="BG46" s="2141">
        <f t="shared" ref="BG46:BG51" si="32">BF46/BE46</f>
        <v>0.99001100802012898</v>
      </c>
      <c r="BH46" s="2127">
        <f>'[6]éves besz.kiadásai2019'!AQ46-'4 int bevétel'!AK46-AX46</f>
        <v>7899</v>
      </c>
      <c r="BI46" s="2124">
        <f>'[6]éves besz.kiadásai2019'!AP46-'4 int bevétel'!AJ46-AW46</f>
        <v>15485</v>
      </c>
    </row>
    <row r="47" spans="1:61" s="2165" customFormat="1" ht="57" customHeight="1" x14ac:dyDescent="0.6">
      <c r="A47" s="2171" t="s">
        <v>58</v>
      </c>
      <c r="B47" s="2154">
        <f>[4]int.bevételek2019!B46</f>
        <v>14550</v>
      </c>
      <c r="C47" s="2154">
        <f>'[5]int.bevételek RM IV'!D47</f>
        <v>16335</v>
      </c>
      <c r="D47" s="2154">
        <v>15355</v>
      </c>
      <c r="E47" s="2156">
        <f>D47/C47</f>
        <v>0.94000612182430365</v>
      </c>
      <c r="F47" s="2154">
        <f>[4]int.bevételek2019!C46</f>
        <v>0</v>
      </c>
      <c r="G47" s="2154">
        <f>'[5]int.bevételek RM IV'!G47</f>
        <v>37223</v>
      </c>
      <c r="H47" s="2154">
        <f>37422-1</f>
        <v>37421</v>
      </c>
      <c r="I47" s="2156">
        <f>H47/G47</f>
        <v>1.005319291835693</v>
      </c>
      <c r="J47" s="2154">
        <f>[4]int.bevételek2019!D46</f>
        <v>0</v>
      </c>
      <c r="K47" s="2154">
        <f>'[5]int.bevételek RM IV'!J47</f>
        <v>0</v>
      </c>
      <c r="L47" s="2154"/>
      <c r="M47" s="2156"/>
      <c r="N47" s="2154">
        <f>[4]int.bevételek2019!E46</f>
        <v>1300</v>
      </c>
      <c r="O47" s="2140">
        <f>'[5]int.bevételek RM IV'!M47</f>
        <v>2333</v>
      </c>
      <c r="P47" s="2154">
        <v>2333</v>
      </c>
      <c r="Q47" s="2156">
        <f>P47/O47</f>
        <v>1</v>
      </c>
      <c r="R47" s="2154">
        <f t="shared" si="25"/>
        <v>15850</v>
      </c>
      <c r="S47" s="2154">
        <f t="shared" si="25"/>
        <v>55891</v>
      </c>
      <c r="T47" s="2154">
        <f t="shared" si="25"/>
        <v>55109</v>
      </c>
      <c r="U47" s="2156">
        <f>T47/S47</f>
        <v>0.98600848079297199</v>
      </c>
      <c r="V47" s="2171" t="s">
        <v>58</v>
      </c>
      <c r="W47" s="2154">
        <f>[4]int.bevételek2019!H46</f>
        <v>0</v>
      </c>
      <c r="X47" s="2154">
        <f>'[5]int.bevételek RM IV'!T47</f>
        <v>1939</v>
      </c>
      <c r="Y47" s="2154">
        <v>1939</v>
      </c>
      <c r="Z47" s="2141">
        <f>Y47/X47</f>
        <v>1</v>
      </c>
      <c r="AA47" s="2140">
        <f>[4]int.bevételek2019!I46</f>
        <v>0</v>
      </c>
      <c r="AB47" s="2154">
        <f>'[5]int.bevételek RM IV'!W47</f>
        <v>0</v>
      </c>
      <c r="AC47" s="2154"/>
      <c r="AD47" s="2156"/>
      <c r="AE47" s="2154">
        <f>[4]int.bevételek2019!J46</f>
        <v>0</v>
      </c>
      <c r="AF47" s="2154">
        <f>'[5]int.bevételek RM IV'!Z47</f>
        <v>0</v>
      </c>
      <c r="AG47" s="2154"/>
      <c r="AH47" s="2156"/>
      <c r="AI47" s="2154">
        <f t="shared" si="26"/>
        <v>0</v>
      </c>
      <c r="AJ47" s="2154">
        <f t="shared" si="26"/>
        <v>1939</v>
      </c>
      <c r="AK47" s="2154">
        <f t="shared" si="26"/>
        <v>1939</v>
      </c>
      <c r="AL47" s="2156">
        <f>AK47/AJ47</f>
        <v>1</v>
      </c>
      <c r="AM47" s="2154"/>
      <c r="AN47" s="2154">
        <f>'[5]int.bevételek RM IV'!AJ47</f>
        <v>5492</v>
      </c>
      <c r="AO47" s="2154">
        <v>5492</v>
      </c>
      <c r="AP47" s="2156">
        <f t="shared" si="27"/>
        <v>1</v>
      </c>
      <c r="AQ47" s="2171" t="s">
        <v>58</v>
      </c>
      <c r="AR47" s="2154">
        <f>[4]int.bevételek2019!L46</f>
        <v>1743335</v>
      </c>
      <c r="AS47" s="2154">
        <f>'[5]int.bevételek RM IV'!AM47</f>
        <v>2022656</v>
      </c>
      <c r="AT47" s="2154">
        <f>1822173-50176</f>
        <v>1771997</v>
      </c>
      <c r="AU47" s="2156">
        <f t="shared" si="28"/>
        <v>0.87607432998987467</v>
      </c>
      <c r="AV47" s="2154">
        <f>[4]int.bevételek2019!M46</f>
        <v>32500</v>
      </c>
      <c r="AW47" s="2154">
        <f>'[5]int.bevételek RM IV'!AP47</f>
        <v>70457</v>
      </c>
      <c r="AX47" s="2154">
        <v>50176</v>
      </c>
      <c r="AY47" s="2172">
        <f>AX47/AW47</f>
        <v>0.7121506734604085</v>
      </c>
      <c r="AZ47" s="2154">
        <f t="shared" si="29"/>
        <v>1775835</v>
      </c>
      <c r="BA47" s="2154">
        <f t="shared" si="29"/>
        <v>2093113</v>
      </c>
      <c r="BB47" s="2154">
        <f t="shared" si="29"/>
        <v>1822173</v>
      </c>
      <c r="BC47" s="2156">
        <f t="shared" si="30"/>
        <v>0.87055643914112613</v>
      </c>
      <c r="BD47" s="2154">
        <f t="shared" si="31"/>
        <v>1791685</v>
      </c>
      <c r="BE47" s="2154">
        <f t="shared" si="31"/>
        <v>2156435</v>
      </c>
      <c r="BF47" s="2154">
        <f t="shared" si="31"/>
        <v>1884713</v>
      </c>
      <c r="BG47" s="2156">
        <f t="shared" si="32"/>
        <v>0.87399481087999409</v>
      </c>
      <c r="BH47" s="2127">
        <f>'[6]éves besz.kiadásai2019'!AQ47-'4 int bevétel'!AK47-AX47</f>
        <v>0</v>
      </c>
      <c r="BI47" s="2124">
        <f>'[6]éves besz.kiadásai2019'!AP47-'4 int bevétel'!AJ47-AW47</f>
        <v>0</v>
      </c>
    </row>
    <row r="48" spans="1:61" ht="57" customHeight="1" thickBot="1" x14ac:dyDescent="0.65">
      <c r="A48" s="2173" t="s">
        <v>1453</v>
      </c>
      <c r="B48" s="2174">
        <f>[4]int.bevételek2019!B47</f>
        <v>0</v>
      </c>
      <c r="C48" s="2174">
        <f>'[5]int.bevételek RM IV'!D48</f>
        <v>0</v>
      </c>
      <c r="D48" s="2174">
        <v>614</v>
      </c>
      <c r="E48" s="2156"/>
      <c r="F48" s="2174">
        <f>[4]int.bevételek2019!C47</f>
        <v>0</v>
      </c>
      <c r="G48" s="2174">
        <f>'[5]int.bevételek RM IV'!G48</f>
        <v>0</v>
      </c>
      <c r="H48" s="2174"/>
      <c r="I48" s="2145"/>
      <c r="J48" s="2174">
        <f>[4]int.bevételek2019!D47</f>
        <v>0</v>
      </c>
      <c r="K48" s="2174">
        <f>'[5]int.bevételek RM IV'!J48</f>
        <v>0</v>
      </c>
      <c r="L48" s="2174"/>
      <c r="M48" s="2149"/>
      <c r="N48" s="2175">
        <f>[4]int.bevételek2019!E47</f>
        <v>0</v>
      </c>
      <c r="O48" s="2140">
        <f>'[5]int.bevételek RM IV'!M48</f>
        <v>0</v>
      </c>
      <c r="P48" s="2174"/>
      <c r="Q48" s="2149"/>
      <c r="R48" s="2174">
        <f t="shared" si="25"/>
        <v>0</v>
      </c>
      <c r="S48" s="2174">
        <f t="shared" si="25"/>
        <v>0</v>
      </c>
      <c r="T48" s="2174">
        <f t="shared" si="25"/>
        <v>614</v>
      </c>
      <c r="U48" s="2145"/>
      <c r="V48" s="2173" t="s">
        <v>1453</v>
      </c>
      <c r="W48" s="2174">
        <f>[4]int.bevételek2019!H47</f>
        <v>0</v>
      </c>
      <c r="X48" s="2174">
        <f>'[5]int.bevételek RM IV'!T48</f>
        <v>0</v>
      </c>
      <c r="Y48" s="2174">
        <v>70</v>
      </c>
      <c r="Z48" s="2149"/>
      <c r="AA48" s="2140">
        <f>[4]int.bevételek2019!I47</f>
        <v>0</v>
      </c>
      <c r="AB48" s="2174">
        <f>'[5]int.bevételek RM IV'!W48</f>
        <v>0</v>
      </c>
      <c r="AC48" s="2174"/>
      <c r="AD48" s="2149"/>
      <c r="AE48" s="2174">
        <f>[4]int.bevételek2019!J47</f>
        <v>0</v>
      </c>
      <c r="AF48" s="2174">
        <f>'[5]int.bevételek RM IV'!Z48</f>
        <v>0</v>
      </c>
      <c r="AG48" s="2174"/>
      <c r="AH48" s="2149"/>
      <c r="AI48" s="2174">
        <f t="shared" si="26"/>
        <v>0</v>
      </c>
      <c r="AJ48" s="2174">
        <f t="shared" si="26"/>
        <v>0</v>
      </c>
      <c r="AK48" s="2174">
        <f t="shared" si="26"/>
        <v>70</v>
      </c>
      <c r="AL48" s="2149"/>
      <c r="AM48" s="2174"/>
      <c r="AN48" s="2174">
        <f>'[5]int.bevételek RM IV'!AJ48</f>
        <v>366</v>
      </c>
      <c r="AO48" s="2174">
        <v>366</v>
      </c>
      <c r="AP48" s="2149">
        <f t="shared" si="27"/>
        <v>1</v>
      </c>
      <c r="AQ48" s="2173" t="s">
        <v>1453</v>
      </c>
      <c r="AR48" s="2174">
        <f>[4]int.bevételek2019!L47</f>
        <v>198287</v>
      </c>
      <c r="AS48" s="2174">
        <f>'[5]int.bevételek RM IV'!AM48</f>
        <v>202088</v>
      </c>
      <c r="AT48" s="2174">
        <f>197542-1212</f>
        <v>196330</v>
      </c>
      <c r="AU48" s="2149">
        <f t="shared" si="28"/>
        <v>0.9715074620957207</v>
      </c>
      <c r="AV48" s="2174">
        <f>[4]int.bevételek2019!M47</f>
        <v>526</v>
      </c>
      <c r="AW48" s="2174">
        <f>'[5]int.bevételek RM IV'!AP48</f>
        <v>1282</v>
      </c>
      <c r="AX48" s="2174">
        <v>1212</v>
      </c>
      <c r="AY48" s="2149">
        <f>AX48/AW48</f>
        <v>0.9453978159126365</v>
      </c>
      <c r="AZ48" s="2174">
        <f t="shared" si="29"/>
        <v>198813</v>
      </c>
      <c r="BA48" s="2174">
        <f t="shared" si="29"/>
        <v>203370</v>
      </c>
      <c r="BB48" s="2174">
        <f t="shared" si="29"/>
        <v>197542</v>
      </c>
      <c r="BC48" s="2149">
        <f t="shared" si="30"/>
        <v>0.9713428725967449</v>
      </c>
      <c r="BD48" s="2174">
        <f t="shared" si="31"/>
        <v>198813</v>
      </c>
      <c r="BE48" s="2174">
        <f t="shared" si="31"/>
        <v>203736</v>
      </c>
      <c r="BF48" s="2174">
        <f t="shared" si="31"/>
        <v>198592</v>
      </c>
      <c r="BG48" s="2149">
        <f t="shared" si="32"/>
        <v>0.97475163937644793</v>
      </c>
      <c r="BH48" s="2127">
        <f>'[6]éves besz.kiadásai2019'!AQ48-'4 int bevétel'!AK48-AX48</f>
        <v>0</v>
      </c>
      <c r="BI48" s="2127">
        <f>'[6]éves besz.kiadásai2019'!AP48-'4 int bevétel'!AJ48-AW48</f>
        <v>0</v>
      </c>
    </row>
    <row r="49" spans="1:59" ht="57" customHeight="1" thickBot="1" x14ac:dyDescent="0.65">
      <c r="A49" s="2176" t="s">
        <v>1475</v>
      </c>
      <c r="B49" s="2174">
        <f>SUM(B46:B48)</f>
        <v>154084</v>
      </c>
      <c r="C49" s="2174">
        <f>SUM(C46:C48)</f>
        <v>159765</v>
      </c>
      <c r="D49" s="2174">
        <f>SUM(D46:D48)</f>
        <v>159399</v>
      </c>
      <c r="E49" s="2148">
        <f>D49/C49</f>
        <v>0.99770913529246075</v>
      </c>
      <c r="F49" s="2174">
        <f>SUM(F46:F48)</f>
        <v>0</v>
      </c>
      <c r="G49" s="2174">
        <f>SUM(G46:G48)</f>
        <v>37223</v>
      </c>
      <c r="H49" s="2174">
        <f>SUM(H46:H48)</f>
        <v>37421</v>
      </c>
      <c r="I49" s="2149">
        <f>H49/G49</f>
        <v>1.005319291835693</v>
      </c>
      <c r="J49" s="2174">
        <f>SUM(J46:J48)</f>
        <v>0</v>
      </c>
      <c r="K49" s="2174">
        <f>SUM(K46:K48)</f>
        <v>0</v>
      </c>
      <c r="L49" s="2174">
        <f>SUM(L46:L48)</f>
        <v>0</v>
      </c>
      <c r="M49" s="2148"/>
      <c r="N49" s="2174">
        <f>SUM(N46:N48)</f>
        <v>1300</v>
      </c>
      <c r="O49" s="2174">
        <f>SUM(O46:O48)</f>
        <v>2333</v>
      </c>
      <c r="P49" s="2174">
        <f>SUM(P46:P48)</f>
        <v>2333</v>
      </c>
      <c r="Q49" s="2149">
        <f>P49/O49</f>
        <v>1</v>
      </c>
      <c r="R49" s="2174">
        <f>SUM(R46:R48)</f>
        <v>155384</v>
      </c>
      <c r="S49" s="2174">
        <f>SUM(S46:S48)</f>
        <v>199321</v>
      </c>
      <c r="T49" s="2174">
        <f>SUM(T46:T48)</f>
        <v>199153</v>
      </c>
      <c r="U49" s="2149">
        <f>T49/S49</f>
        <v>0.99915713848515708</v>
      </c>
      <c r="V49" s="2176" t="s">
        <v>1475</v>
      </c>
      <c r="W49" s="2174">
        <f>SUM(W46:W48)</f>
        <v>0</v>
      </c>
      <c r="X49" s="2174">
        <f>SUM(X46:X48)</f>
        <v>2064</v>
      </c>
      <c r="Y49" s="2174">
        <f>SUM(Y46:Y48)</f>
        <v>2134</v>
      </c>
      <c r="Z49" s="2149">
        <f>Y49/X49</f>
        <v>1.0339147286821706</v>
      </c>
      <c r="AA49" s="2174">
        <f>SUM(AA46:AA48)</f>
        <v>0</v>
      </c>
      <c r="AB49" s="2174">
        <f>SUM(AB46:AB48)</f>
        <v>0</v>
      </c>
      <c r="AC49" s="2174">
        <f>SUM(AC46:AC48)</f>
        <v>0</v>
      </c>
      <c r="AD49" s="2149"/>
      <c r="AE49" s="2174">
        <f>SUM(AE46:AE48)</f>
        <v>0</v>
      </c>
      <c r="AF49" s="2174">
        <f>SUM(AF46:AF48)</f>
        <v>0</v>
      </c>
      <c r="AG49" s="2174">
        <f>SUM(AG46:AG48)</f>
        <v>0</v>
      </c>
      <c r="AH49" s="2149"/>
      <c r="AI49" s="2174">
        <f>SUM(AI46:AI48)</f>
        <v>0</v>
      </c>
      <c r="AJ49" s="2174">
        <f>SUM(AJ46:AJ48)</f>
        <v>2064</v>
      </c>
      <c r="AK49" s="2174">
        <f>SUM(AK46:AK48)</f>
        <v>2134</v>
      </c>
      <c r="AL49" s="2149">
        <f>AK49/AJ49</f>
        <v>1.0339147286821706</v>
      </c>
      <c r="AM49" s="2174">
        <f>SUM(AM46:AM48)</f>
        <v>0</v>
      </c>
      <c r="AN49" s="2174">
        <f>SUM(AN46:AN48)</f>
        <v>18238</v>
      </c>
      <c r="AO49" s="2174">
        <f>SUM(AO46:AO48)</f>
        <v>18238</v>
      </c>
      <c r="AP49" s="2149">
        <f t="shared" si="27"/>
        <v>1</v>
      </c>
      <c r="AQ49" s="2176" t="s">
        <v>1475</v>
      </c>
      <c r="AR49" s="2174">
        <f>SUM(AR46:AR48)</f>
        <v>1941622</v>
      </c>
      <c r="AS49" s="2174">
        <f>SUM(AS46:AS48)</f>
        <v>2227784</v>
      </c>
      <c r="AT49" s="2174">
        <f>SUM(AT46:AT48)</f>
        <v>1969779</v>
      </c>
      <c r="AU49" s="2149">
        <f t="shared" si="28"/>
        <v>0.88418760526155138</v>
      </c>
      <c r="AV49" s="2174">
        <f>SUM(AV46:AV48)</f>
        <v>33026</v>
      </c>
      <c r="AW49" s="2174">
        <f>SUM(AW46:AW48)</f>
        <v>71739</v>
      </c>
      <c r="AX49" s="2174">
        <f>SUM(AX46:AX48)</f>
        <v>51388</v>
      </c>
      <c r="AY49" s="2149">
        <f>AX49/AW49</f>
        <v>0.71631887815553608</v>
      </c>
      <c r="AZ49" s="2174">
        <f>SUM(AZ46:AZ48)</f>
        <v>1974648</v>
      </c>
      <c r="BA49" s="2174">
        <f>SUM(BA46:BA48)</f>
        <v>2299523</v>
      </c>
      <c r="BB49" s="2174">
        <f>SUM(BB46:BB48)</f>
        <v>2021167</v>
      </c>
      <c r="BC49" s="2149">
        <f t="shared" si="30"/>
        <v>0.87895054757008306</v>
      </c>
      <c r="BD49" s="2174">
        <f>SUM(BD46:BD48)</f>
        <v>2130032</v>
      </c>
      <c r="BE49" s="2174">
        <f>SUM(BE46:BE48)</f>
        <v>2519146</v>
      </c>
      <c r="BF49" s="2174">
        <f>SUM(BF46:BF48)</f>
        <v>2240692</v>
      </c>
      <c r="BG49" s="2149">
        <f t="shared" si="32"/>
        <v>0.88946492184256098</v>
      </c>
    </row>
    <row r="50" spans="1:59" ht="57" customHeight="1" thickBot="1" x14ac:dyDescent="0.65">
      <c r="A50" s="2176" t="s">
        <v>1347</v>
      </c>
      <c r="B50" s="2177">
        <f>B38+B40+B42+B44+B49</f>
        <v>939490</v>
      </c>
      <c r="C50" s="2177">
        <f>C38+C40+C42+C44+C49</f>
        <v>1065465</v>
      </c>
      <c r="D50" s="2177">
        <f>D38+D40+D42+D44+D49</f>
        <v>1064780</v>
      </c>
      <c r="E50" s="2148">
        <f>D50/C50</f>
        <v>0.99935708821969749</v>
      </c>
      <c r="F50" s="2177">
        <f>F38+F40+F42+F44+F49</f>
        <v>312186</v>
      </c>
      <c r="G50" s="2177">
        <f>G38+G40+G42+G44+G49</f>
        <v>662254</v>
      </c>
      <c r="H50" s="2177">
        <f>H38+H40+H42+H44+H49</f>
        <v>661823</v>
      </c>
      <c r="I50" s="2148">
        <f>H50/G50</f>
        <v>0.99934919230385921</v>
      </c>
      <c r="J50" s="2177">
        <f>J38+J40+J42+J44+J49</f>
        <v>0</v>
      </c>
      <c r="K50" s="2177">
        <f>K38+K40+K42+K44+K49</f>
        <v>610</v>
      </c>
      <c r="L50" s="2177">
        <f>L38+L40+L42+L44+L49</f>
        <v>716</v>
      </c>
      <c r="M50" s="2148">
        <f>L50/K50</f>
        <v>1.1737704918032787</v>
      </c>
      <c r="N50" s="2177">
        <f>N38+N40+N42+N44+N49</f>
        <v>1300</v>
      </c>
      <c r="O50" s="2177">
        <f>O38+O40+O42+O44+O49</f>
        <v>2333</v>
      </c>
      <c r="P50" s="2177">
        <f>P38+P40+P42+P44+P49</f>
        <v>2333</v>
      </c>
      <c r="Q50" s="2148">
        <f>P50/O50</f>
        <v>1</v>
      </c>
      <c r="R50" s="2177">
        <f>R38+R40+R42+R44+R49</f>
        <v>1252976</v>
      </c>
      <c r="S50" s="2177">
        <f>S38+S40+S42+S44+S49</f>
        <v>1730662</v>
      </c>
      <c r="T50" s="2177">
        <f>T38+T40+T42+T44+T49</f>
        <v>1729652</v>
      </c>
      <c r="U50" s="2148">
        <f>T50/S50</f>
        <v>0.99941640828769573</v>
      </c>
      <c r="V50" s="2176" t="s">
        <v>1347</v>
      </c>
      <c r="W50" s="2177">
        <f>W38+W40+W42+W44+W49</f>
        <v>0</v>
      </c>
      <c r="X50" s="2177">
        <f>X38+X40+X42+X44+X49</f>
        <v>2649</v>
      </c>
      <c r="Y50" s="2177">
        <f>Y38+Y40+Y42+Y44+Y49</f>
        <v>2745</v>
      </c>
      <c r="Z50" s="2148">
        <f>Y50/X50</f>
        <v>1.0362400906002265</v>
      </c>
      <c r="AA50" s="2177">
        <f>AA38+AA40+AA42+AA44+AA49</f>
        <v>1990</v>
      </c>
      <c r="AB50" s="2177">
        <f>AB38+AB40+AB42+AB44+AB49</f>
        <v>79670</v>
      </c>
      <c r="AC50" s="2177">
        <f>AC38+AC40+AC42+AC44+AC49</f>
        <v>79670</v>
      </c>
      <c r="AD50" s="2148">
        <f>AC50/AB50</f>
        <v>1</v>
      </c>
      <c r="AE50" s="2177">
        <f>AE38+AE40+AE42+AE44+AE49</f>
        <v>0</v>
      </c>
      <c r="AF50" s="2177">
        <f>AF38+AF40+AF42+AF44+AF49</f>
        <v>0</v>
      </c>
      <c r="AG50" s="2177">
        <f>AG38+AG40+AG42+AG44+AG49</f>
        <v>0</v>
      </c>
      <c r="AH50" s="2148"/>
      <c r="AI50" s="2177">
        <f>AI38+AI40+AI42+AI44+AI49</f>
        <v>1990</v>
      </c>
      <c r="AJ50" s="2177">
        <f>AJ38+AJ40+AJ42+AJ44+AJ49</f>
        <v>82319</v>
      </c>
      <c r="AK50" s="2177">
        <f>AK38+AK40+AK42+AK44+AK49</f>
        <v>82415</v>
      </c>
      <c r="AL50" s="2148">
        <f>AK50/AJ50</f>
        <v>1.0011661949246224</v>
      </c>
      <c r="AM50" s="2177">
        <f>AM38+AM40+AM42+AM44+AM49</f>
        <v>0</v>
      </c>
      <c r="AN50" s="2177">
        <f>AN38+AN40+AN42+AN44+AN49</f>
        <v>158070</v>
      </c>
      <c r="AO50" s="2177">
        <f>AO38+AO40+AO42+AO44+AO49</f>
        <v>158070</v>
      </c>
      <c r="AP50" s="2148">
        <f t="shared" si="27"/>
        <v>1</v>
      </c>
      <c r="AQ50" s="2176" t="s">
        <v>1347</v>
      </c>
      <c r="AR50" s="2177">
        <f>AR38+AR40+AR42+AR44+AR49</f>
        <v>4835803</v>
      </c>
      <c r="AS50" s="2177">
        <f>AS38+AS40+AS42+AS44+AS49</f>
        <v>5626477</v>
      </c>
      <c r="AT50" s="2177">
        <f>AT38+AT40+AT42+AT44+AT49</f>
        <v>5209435</v>
      </c>
      <c r="AU50" s="2148">
        <f t="shared" si="28"/>
        <v>0.92587866261605622</v>
      </c>
      <c r="AV50" s="2177">
        <f>AV38+AV40+AV42+AV44+AV49</f>
        <v>68232</v>
      </c>
      <c r="AW50" s="2177">
        <f>AW38+AW40+AW42+AW44+AW49</f>
        <v>313602</v>
      </c>
      <c r="AX50" s="2177">
        <f>AX38+AX40+AX42+AX44+AX49</f>
        <v>137899</v>
      </c>
      <c r="AY50" s="2148">
        <f>AX50/AW50</f>
        <v>0.43972614970567792</v>
      </c>
      <c r="AZ50" s="2177">
        <f>AZ38+AZ40+AZ42+AZ44+AZ49</f>
        <v>4904035</v>
      </c>
      <c r="BA50" s="2177">
        <f>BA38+BA40+BA42+BA44+BA49</f>
        <v>5940079</v>
      </c>
      <c r="BB50" s="2177">
        <f>BB38+BB40+BB42+BB44+BB49</f>
        <v>5347334</v>
      </c>
      <c r="BC50" s="2148">
        <f t="shared" si="30"/>
        <v>0.90021260660001323</v>
      </c>
      <c r="BD50" s="2177">
        <f>BD38+BD40+BD42+BD44+BD49</f>
        <v>6159001</v>
      </c>
      <c r="BE50" s="2177">
        <f>BE38+BE40+BE42+BE44+BE49</f>
        <v>7911130</v>
      </c>
      <c r="BF50" s="2177">
        <f>BF38+BF40+BF42+BF44+BF49</f>
        <v>7317471</v>
      </c>
      <c r="BG50" s="2148">
        <f t="shared" si="32"/>
        <v>0.92495901344055775</v>
      </c>
    </row>
    <row r="51" spans="1:59" ht="57" customHeight="1" thickBot="1" x14ac:dyDescent="0.65">
      <c r="A51" s="2160" t="s">
        <v>1348</v>
      </c>
      <c r="B51" s="2147">
        <f>B30+B50</f>
        <v>1381511</v>
      </c>
      <c r="C51" s="2147">
        <f>C30+C50</f>
        <v>1465836</v>
      </c>
      <c r="D51" s="2147">
        <f>D30+D50</f>
        <v>1465130</v>
      </c>
      <c r="E51" s="2141">
        <f>D51/C51</f>
        <v>0.99951836358228341</v>
      </c>
      <c r="F51" s="2147">
        <f>F30+F50</f>
        <v>312186</v>
      </c>
      <c r="G51" s="2147">
        <f>G30+G50</f>
        <v>670184</v>
      </c>
      <c r="H51" s="2147">
        <f>H30+H50</f>
        <v>669749</v>
      </c>
      <c r="I51" s="2148">
        <f>H51/G51</f>
        <v>0.99935092452222074</v>
      </c>
      <c r="J51" s="2147">
        <f>J30+J50</f>
        <v>0</v>
      </c>
      <c r="K51" s="2147">
        <f>K30+K50</f>
        <v>3011</v>
      </c>
      <c r="L51" s="2147">
        <f>L30+L50</f>
        <v>3115</v>
      </c>
      <c r="M51" s="2148">
        <f>L51/K51</f>
        <v>1.0345400199269346</v>
      </c>
      <c r="N51" s="2147">
        <f>N30+N50</f>
        <v>1300</v>
      </c>
      <c r="O51" s="2147">
        <f>O30+O50</f>
        <v>2333</v>
      </c>
      <c r="P51" s="2147">
        <f>P30+P50</f>
        <v>2333</v>
      </c>
      <c r="Q51" s="2148">
        <f>P51/O51</f>
        <v>1</v>
      </c>
      <c r="R51" s="2147">
        <f>R30+R50</f>
        <v>1694997</v>
      </c>
      <c r="S51" s="2147">
        <f>S30+S50</f>
        <v>2141364</v>
      </c>
      <c r="T51" s="2147">
        <f>T30+T50</f>
        <v>2140327</v>
      </c>
      <c r="U51" s="2148">
        <f>T51/S51</f>
        <v>0.99951572922679188</v>
      </c>
      <c r="V51" s="2178" t="s">
        <v>1348</v>
      </c>
      <c r="W51" s="2147">
        <f>W30+W50</f>
        <v>0</v>
      </c>
      <c r="X51" s="2147">
        <f>X30+X50</f>
        <v>2739</v>
      </c>
      <c r="Y51" s="2147">
        <f>Y30+Y50</f>
        <v>2835</v>
      </c>
      <c r="Z51" s="2148">
        <f>Y51/X51</f>
        <v>1.0350492880613362</v>
      </c>
      <c r="AA51" s="2147">
        <f>AA30+AA50</f>
        <v>1990</v>
      </c>
      <c r="AB51" s="2147">
        <f>AB30+AB50</f>
        <v>80298</v>
      </c>
      <c r="AC51" s="2147">
        <f>AC30+AC50</f>
        <v>80297</v>
      </c>
      <c r="AD51" s="2148">
        <f>AC51/AB51</f>
        <v>0.99998754638969833</v>
      </c>
      <c r="AE51" s="2147">
        <f>AE30+AE50</f>
        <v>0</v>
      </c>
      <c r="AF51" s="2147">
        <f>AF30+AF50</f>
        <v>0</v>
      </c>
      <c r="AG51" s="2147">
        <f>AG30+AG50</f>
        <v>0</v>
      </c>
      <c r="AH51" s="2148"/>
      <c r="AI51" s="2147">
        <f>AI30+AI50</f>
        <v>1990</v>
      </c>
      <c r="AJ51" s="2147">
        <f>AJ30+AJ50</f>
        <v>83037</v>
      </c>
      <c r="AK51" s="2147">
        <f>AK30+AK50</f>
        <v>83132</v>
      </c>
      <c r="AL51" s="2148">
        <f>AK51/AJ51</f>
        <v>1.0011440683068993</v>
      </c>
      <c r="AM51" s="2147">
        <f>AM30+AM50</f>
        <v>0</v>
      </c>
      <c r="AN51" s="2147">
        <f>AN30+AN50</f>
        <v>174298</v>
      </c>
      <c r="AO51" s="2147">
        <f>AO30+AO50</f>
        <v>174298</v>
      </c>
      <c r="AP51" s="2148">
        <f t="shared" si="27"/>
        <v>1</v>
      </c>
      <c r="AQ51" s="2178" t="s">
        <v>1348</v>
      </c>
      <c r="AR51" s="2147">
        <f>AR30+AR50</f>
        <v>7687390</v>
      </c>
      <c r="AS51" s="2147">
        <f>AS30+AS50</f>
        <v>8550382</v>
      </c>
      <c r="AT51" s="2147">
        <f>AT30+AT50</f>
        <v>7979547</v>
      </c>
      <c r="AU51" s="2148">
        <f t="shared" si="28"/>
        <v>0.93323865530218419</v>
      </c>
      <c r="AV51" s="2147">
        <f>AV30+AV50</f>
        <v>113232</v>
      </c>
      <c r="AW51" s="2147">
        <f>AW30+AW50</f>
        <v>594976</v>
      </c>
      <c r="AX51" s="2147">
        <f>AX30+AX50</f>
        <v>279668</v>
      </c>
      <c r="AY51" s="2148">
        <f>AX51/AW51</f>
        <v>0.47004921206905825</v>
      </c>
      <c r="AZ51" s="2147">
        <f>AZ30+AZ50</f>
        <v>7800622</v>
      </c>
      <c r="BA51" s="2147">
        <f>BA30+BA50</f>
        <v>9145358</v>
      </c>
      <c r="BB51" s="2147">
        <f>BB30+BB50</f>
        <v>8259215</v>
      </c>
      <c r="BC51" s="2148">
        <f t="shared" si="30"/>
        <v>0.90310461329124569</v>
      </c>
      <c r="BD51" s="2147">
        <f>BD30+BD50</f>
        <v>9497609</v>
      </c>
      <c r="BE51" s="2147">
        <f>BE30+BE50</f>
        <v>11544057</v>
      </c>
      <c r="BF51" s="2147">
        <f>BF30+BF50</f>
        <v>10656972</v>
      </c>
      <c r="BG51" s="2148">
        <f t="shared" si="32"/>
        <v>0.92315656445563288</v>
      </c>
    </row>
    <row r="52" spans="1:59" s="2184" customFormat="1" ht="49.5" customHeight="1" x14ac:dyDescent="0.6">
      <c r="A52" s="2179"/>
      <c r="B52" s="2180"/>
      <c r="C52" s="2180"/>
      <c r="D52" s="2180"/>
      <c r="E52" s="2180"/>
      <c r="F52" s="2180"/>
      <c r="G52" s="2180"/>
      <c r="H52" s="2180"/>
      <c r="I52" s="2180"/>
      <c r="J52" s="2180"/>
      <c r="K52" s="2180"/>
      <c r="L52" s="2180"/>
      <c r="M52" s="2180"/>
      <c r="N52" s="2180"/>
      <c r="O52" s="2180"/>
      <c r="P52" s="2180"/>
      <c r="Q52" s="2180"/>
      <c r="R52" s="2180"/>
      <c r="S52" s="2180"/>
      <c r="T52" s="2180"/>
      <c r="U52" s="2180"/>
      <c r="V52" s="2181"/>
      <c r="W52" s="2180"/>
      <c r="X52" s="2180"/>
      <c r="Y52" s="2180"/>
      <c r="Z52" s="2180"/>
      <c r="AA52" s="2180"/>
      <c r="AB52" s="2180"/>
      <c r="AC52" s="2180"/>
      <c r="AD52" s="2180"/>
      <c r="AE52" s="2180"/>
      <c r="AF52" s="2180"/>
      <c r="AG52" s="2180"/>
      <c r="AH52" s="2180"/>
      <c r="AI52" s="2180"/>
      <c r="AJ52" s="2180"/>
      <c r="AK52" s="2180"/>
      <c r="AL52" s="2180"/>
      <c r="AM52" s="2181"/>
      <c r="AN52" s="2181"/>
      <c r="AO52" s="2181"/>
      <c r="AP52" s="2181"/>
      <c r="AQ52" s="2181"/>
      <c r="AR52" s="2181"/>
      <c r="AS52" s="2181"/>
      <c r="AT52" s="2181"/>
      <c r="AU52" s="2181"/>
      <c r="AV52" s="2181"/>
      <c r="AW52" s="2181"/>
      <c r="AX52" s="2181"/>
      <c r="AY52" s="2181"/>
      <c r="AZ52" s="2181"/>
      <c r="BA52" s="2181"/>
      <c r="BB52" s="2182"/>
      <c r="BC52" s="2182"/>
      <c r="BD52" s="2182"/>
      <c r="BE52" s="2182"/>
      <c r="BF52" s="2183"/>
      <c r="BG52" s="2183"/>
    </row>
    <row r="53" spans="1:59" s="2184" customFormat="1" ht="47.25" customHeight="1" x14ac:dyDescent="0.6">
      <c r="A53" s="2185"/>
      <c r="B53" s="2180">
        <f>[4]int.bevételek2019!B50</f>
        <v>1381511</v>
      </c>
      <c r="C53" s="2180">
        <f>'[5]int.bevételek RM IV'!D54</f>
        <v>1465836</v>
      </c>
      <c r="D53" s="2180"/>
      <c r="E53" s="2180"/>
      <c r="F53" s="2180">
        <f>[4]int.bevételek2019!$C$50</f>
        <v>312186</v>
      </c>
      <c r="G53" s="2180">
        <f>'[5]int.bevételek RM IV'!G54</f>
        <v>670184</v>
      </c>
      <c r="H53" s="2180"/>
      <c r="I53" s="2180"/>
      <c r="J53" s="2180">
        <f>[4]int.bevételek2019!$D$50</f>
        <v>0</v>
      </c>
      <c r="K53" s="2180">
        <f>'[5]int.bevételek RM IV'!J54</f>
        <v>3011</v>
      </c>
      <c r="L53" s="2180"/>
      <c r="M53" s="2180"/>
      <c r="N53" s="2180">
        <f>[4]int.bevételek2019!$E$50</f>
        <v>1300</v>
      </c>
      <c r="O53" s="2180">
        <f>'[5]int.bevételek RM IV'!$M$54</f>
        <v>2333</v>
      </c>
      <c r="P53" s="2180"/>
      <c r="Q53" s="2180"/>
      <c r="R53" s="2180">
        <f>[4]int.bevételek2019!$F$50</f>
        <v>1694997</v>
      </c>
      <c r="S53" s="2180">
        <f>'[5]int.bevételek RM IV'!$P$54</f>
        <v>2141364</v>
      </c>
      <c r="T53" s="2180">
        <f>D53+H53+L53+P53</f>
        <v>0</v>
      </c>
      <c r="U53" s="2180"/>
      <c r="V53" s="2186"/>
      <c r="W53" s="2180">
        <f>[4]int.bevételek2019!$H$50</f>
        <v>0</v>
      </c>
      <c r="X53" s="2180">
        <f>'[5]int.bevételek RM IV'!$T$54</f>
        <v>2739</v>
      </c>
      <c r="Y53" s="2180"/>
      <c r="Z53" s="2180"/>
      <c r="AA53" s="2180">
        <f>[4]int.bevételek2019!$I$50</f>
        <v>1990</v>
      </c>
      <c r="AB53" s="2180">
        <f>'[5]int.bevételek RM IV'!$W$54</f>
        <v>80298</v>
      </c>
      <c r="AC53" s="2180"/>
      <c r="AD53" s="2180"/>
      <c r="AE53" s="2180">
        <f>[4]int.bevételek2019!$J$50</f>
        <v>0</v>
      </c>
      <c r="AF53" s="2180">
        <f>'[5]int.bevételek RM IV'!$Z$54</f>
        <v>0</v>
      </c>
      <c r="AG53" s="2180"/>
      <c r="AH53" s="2180"/>
      <c r="AI53" s="2180">
        <f>[4]int.bevételek2019!$K$50</f>
        <v>1990</v>
      </c>
      <c r="AJ53" s="2180">
        <f>'[5]int.bevételek RM IV'!$AC$54</f>
        <v>83037</v>
      </c>
      <c r="AK53" s="2180">
        <f>Y53+AC53+AG53</f>
        <v>0</v>
      </c>
      <c r="AL53" s="2180"/>
      <c r="AM53" s="2186"/>
      <c r="AN53" s="2187">
        <f>'[5]int.bevételek RM IV'!$AJ$54</f>
        <v>174298</v>
      </c>
      <c r="AO53" s="2187"/>
      <c r="AP53" s="2186"/>
      <c r="AQ53" s="2186"/>
      <c r="AR53" s="2187">
        <f>[4]int.bevételek2019!$L$50</f>
        <v>7687390</v>
      </c>
      <c r="AS53" s="2187">
        <f>'[5]int.bevételek RM IV'!$AM$54</f>
        <v>8550382</v>
      </c>
      <c r="AT53" s="2187"/>
      <c r="AU53" s="2186"/>
      <c r="AV53" s="2187">
        <f>[4]int.bevételek2019!$M$50</f>
        <v>113232</v>
      </c>
      <c r="AW53" s="2187">
        <f>'[5]int.bevételek RM IV'!$AP$54</f>
        <v>594976</v>
      </c>
      <c r="AX53" s="2187"/>
      <c r="AY53" s="2186"/>
      <c r="AZ53" s="2187">
        <f>[4]int.bevételek2019!$N$50</f>
        <v>7800622</v>
      </c>
      <c r="BA53" s="2187">
        <f>'[5]int.bevételek RM IV'!$AS$54</f>
        <v>9145358</v>
      </c>
      <c r="BB53" s="2182"/>
      <c r="BC53" s="2182"/>
      <c r="BD53" s="2180">
        <f>[4]int.bevételek2019!$O$50</f>
        <v>9497609</v>
      </c>
      <c r="BE53" s="2180">
        <f>'[5]int.bevételek RM IV'!$AV$54</f>
        <v>11544057</v>
      </c>
      <c r="BF53" s="2180"/>
      <c r="BG53" s="2180"/>
    </row>
    <row r="54" spans="1:59" s="2184" customFormat="1" ht="47.25" customHeight="1" x14ac:dyDescent="0.6">
      <c r="A54" s="2185"/>
      <c r="B54" s="2180">
        <f>B51-B53</f>
        <v>0</v>
      </c>
      <c r="C54" s="2180">
        <f>C51-C53</f>
        <v>0</v>
      </c>
      <c r="D54" s="2180">
        <f>D51-D53</f>
        <v>1465130</v>
      </c>
      <c r="E54" s="2180"/>
      <c r="F54" s="2180">
        <f>F51-F53</f>
        <v>0</v>
      </c>
      <c r="G54" s="2180">
        <f>G51-G53</f>
        <v>0</v>
      </c>
      <c r="H54" s="2180">
        <f>H51-H53</f>
        <v>669749</v>
      </c>
      <c r="I54" s="2180"/>
      <c r="J54" s="2180">
        <f>J51-J53</f>
        <v>0</v>
      </c>
      <c r="K54" s="2180">
        <f>K51-K53</f>
        <v>0</v>
      </c>
      <c r="L54" s="2180">
        <f>L51-L53</f>
        <v>3115</v>
      </c>
      <c r="M54" s="2180"/>
      <c r="N54" s="2180">
        <f>N51-N53</f>
        <v>0</v>
      </c>
      <c r="O54" s="2180">
        <f>O51-O53</f>
        <v>0</v>
      </c>
      <c r="P54" s="2180">
        <f>P51-P53</f>
        <v>2333</v>
      </c>
      <c r="Q54" s="2180"/>
      <c r="R54" s="2180">
        <f>R51-R53</f>
        <v>0</v>
      </c>
      <c r="S54" s="2180">
        <f>S51-S53</f>
        <v>0</v>
      </c>
      <c r="T54" s="2180">
        <f>T51-T53</f>
        <v>2140327</v>
      </c>
      <c r="U54" s="2180"/>
      <c r="V54" s="2180"/>
      <c r="W54" s="2180">
        <f>W51-W53</f>
        <v>0</v>
      </c>
      <c r="X54" s="2180">
        <f>X51-X53</f>
        <v>0</v>
      </c>
      <c r="Y54" s="2180">
        <f>Y51-Y53</f>
        <v>2835</v>
      </c>
      <c r="Z54" s="2180"/>
      <c r="AA54" s="2180">
        <f>AA51-AA53</f>
        <v>0</v>
      </c>
      <c r="AB54" s="2180">
        <f>AB51-AB53</f>
        <v>0</v>
      </c>
      <c r="AC54" s="2180">
        <f>AC51-AC53</f>
        <v>80297</v>
      </c>
      <c r="AD54" s="2180"/>
      <c r="AE54" s="2180">
        <f>AE51-AE53</f>
        <v>0</v>
      </c>
      <c r="AF54" s="2180">
        <f>AF51-AF53</f>
        <v>0</v>
      </c>
      <c r="AG54" s="2180">
        <f>AG51-AG53</f>
        <v>0</v>
      </c>
      <c r="AH54" s="2180"/>
      <c r="AI54" s="2180">
        <f>AI51-AI53</f>
        <v>0</v>
      </c>
      <c r="AJ54" s="2180">
        <f>AJ51-AJ53</f>
        <v>0</v>
      </c>
      <c r="AK54" s="2180">
        <f>AK51-AK53</f>
        <v>83132</v>
      </c>
      <c r="AL54" s="2180"/>
      <c r="AM54" s="2180">
        <f>AM51-AM53</f>
        <v>0</v>
      </c>
      <c r="AN54" s="2180">
        <f>AN51-AN53</f>
        <v>0</v>
      </c>
      <c r="AO54" s="2180">
        <f>AO51-AO53</f>
        <v>174298</v>
      </c>
      <c r="AP54" s="2180"/>
      <c r="AQ54" s="2180"/>
      <c r="AR54" s="2180">
        <f>AR51-AR53</f>
        <v>0</v>
      </c>
      <c r="AS54" s="2180">
        <f>AS51-AS53</f>
        <v>0</v>
      </c>
      <c r="AT54" s="2180">
        <f>AT51-AT53</f>
        <v>7979547</v>
      </c>
      <c r="AU54" s="2180"/>
      <c r="AV54" s="2180">
        <f>AV51-AV53</f>
        <v>0</v>
      </c>
      <c r="AW54" s="2180">
        <f>AW51-AW53</f>
        <v>0</v>
      </c>
      <c r="AX54" s="2180">
        <f>AX51-AX53</f>
        <v>279668</v>
      </c>
      <c r="AY54" s="2180"/>
      <c r="AZ54" s="2180">
        <f>AZ51-AZ53</f>
        <v>0</v>
      </c>
      <c r="BA54" s="2180">
        <f>BA51-BA53</f>
        <v>0</v>
      </c>
      <c r="BB54" s="2180">
        <f>BB51-BB53</f>
        <v>8259215</v>
      </c>
      <c r="BC54" s="2180"/>
      <c r="BD54" s="2180">
        <f>BD51-BD53</f>
        <v>0</v>
      </c>
      <c r="BE54" s="2180">
        <f>BE51-BE53</f>
        <v>0</v>
      </c>
      <c r="BF54" s="2180">
        <f>BF51-BF53</f>
        <v>10656972</v>
      </c>
      <c r="BG54" s="2180"/>
    </row>
    <row r="55" spans="1:59" ht="26.45" customHeight="1" x14ac:dyDescent="0.6">
      <c r="A55" s="2188"/>
      <c r="B55" s="2189"/>
      <c r="C55" s="2189"/>
      <c r="D55" s="2189"/>
      <c r="E55" s="2189"/>
      <c r="F55" s="2189"/>
      <c r="G55" s="2189"/>
      <c r="H55" s="2189"/>
      <c r="I55" s="2189"/>
      <c r="J55" s="2189"/>
      <c r="K55" s="2189"/>
      <c r="L55" s="2189"/>
      <c r="M55" s="2189"/>
      <c r="N55" s="2189"/>
      <c r="O55" s="2189"/>
      <c r="P55" s="2189"/>
      <c r="Q55" s="2189"/>
      <c r="R55" s="2189"/>
      <c r="S55" s="2189"/>
      <c r="T55" s="2189"/>
      <c r="U55" s="2189"/>
      <c r="V55" s="2190"/>
      <c r="W55" s="2189"/>
      <c r="X55" s="2189"/>
      <c r="Y55" s="2189"/>
      <c r="Z55" s="2189"/>
      <c r="AA55" s="2189"/>
      <c r="AB55" s="2189"/>
      <c r="AC55" s="2189"/>
      <c r="AD55" s="2189"/>
      <c r="AE55" s="2189"/>
      <c r="AF55" s="2189"/>
      <c r="AG55" s="2189"/>
      <c r="AH55" s="2189"/>
      <c r="AI55" s="2189"/>
      <c r="AJ55" s="2189"/>
      <c r="AK55" s="2189"/>
      <c r="AL55" s="2189"/>
      <c r="AM55" s="2190"/>
      <c r="AN55" s="2190"/>
      <c r="AO55" s="2190"/>
      <c r="AP55" s="2190"/>
      <c r="AQ55" s="2190"/>
      <c r="AR55" s="2190"/>
      <c r="AS55" s="2190"/>
      <c r="AT55" s="2190"/>
      <c r="AU55" s="2190"/>
      <c r="AV55" s="2190"/>
      <c r="AW55" s="2190"/>
      <c r="AX55" s="2190"/>
      <c r="AY55" s="2190"/>
      <c r="AZ55" s="2190"/>
      <c r="BA55" s="2190"/>
      <c r="BB55" s="2191"/>
      <c r="BC55" s="2191"/>
      <c r="BD55" s="2191"/>
      <c r="BE55" s="2191"/>
      <c r="BF55" s="2189"/>
      <c r="BG55" s="2189"/>
    </row>
    <row r="56" spans="1:59" ht="26.45" customHeight="1" x14ac:dyDescent="0.6">
      <c r="A56" s="2188"/>
      <c r="B56" s="2189"/>
      <c r="C56" s="2189"/>
      <c r="D56" s="2189"/>
      <c r="E56" s="2189"/>
      <c r="F56" s="2189"/>
      <c r="G56" s="2189"/>
      <c r="H56" s="2189"/>
      <c r="I56" s="2189"/>
      <c r="J56" s="2189"/>
      <c r="K56" s="2189"/>
      <c r="L56" s="2189"/>
      <c r="M56" s="2189"/>
      <c r="N56" s="2189"/>
      <c r="O56" s="2189"/>
      <c r="P56" s="2189"/>
      <c r="Q56" s="2189"/>
      <c r="R56" s="2189"/>
      <c r="S56" s="2189"/>
      <c r="T56" s="2189"/>
      <c r="U56" s="2189"/>
      <c r="V56" s="2190"/>
      <c r="W56" s="2189"/>
      <c r="X56" s="2189"/>
      <c r="Y56" s="2189"/>
      <c r="Z56" s="2189"/>
      <c r="AA56" s="2189"/>
      <c r="AB56" s="2189"/>
      <c r="AC56" s="2189"/>
      <c r="AD56" s="2189"/>
      <c r="AE56" s="2189"/>
      <c r="AF56" s="2189"/>
      <c r="AG56" s="2189"/>
      <c r="AH56" s="2189"/>
      <c r="AI56" s="2189"/>
      <c r="AJ56" s="2189"/>
      <c r="AK56" s="2189"/>
      <c r="AL56" s="2189"/>
      <c r="AM56" s="2190"/>
      <c r="AN56" s="2190"/>
      <c r="AO56" s="2190"/>
      <c r="AP56" s="2190"/>
      <c r="AQ56" s="2190"/>
      <c r="AR56" s="2190"/>
      <c r="AS56" s="2190"/>
      <c r="AT56" s="2190"/>
      <c r="AU56" s="2190"/>
      <c r="AV56" s="2190"/>
      <c r="AW56" s="2190"/>
      <c r="AX56" s="2190"/>
      <c r="AY56" s="2190"/>
      <c r="AZ56" s="2190"/>
      <c r="BA56" s="2190"/>
      <c r="BB56" s="2191"/>
      <c r="BC56" s="2191"/>
      <c r="BD56" s="2191"/>
      <c r="BE56" s="2191"/>
      <c r="BF56" s="2189"/>
      <c r="BG56" s="2189"/>
    </row>
    <row r="57" spans="1:59" ht="26.45" customHeight="1" x14ac:dyDescent="0.6">
      <c r="A57" s="2188"/>
      <c r="V57" s="2190"/>
      <c r="AM57" s="2188"/>
      <c r="AN57" s="2188"/>
      <c r="AO57" s="2188"/>
      <c r="AP57" s="2188"/>
      <c r="AQ57" s="2190"/>
      <c r="AR57" s="2188"/>
      <c r="AS57" s="2188"/>
      <c r="AT57" s="2188"/>
      <c r="AU57" s="2188"/>
      <c r="AV57" s="2188"/>
      <c r="AW57" s="2188"/>
      <c r="AX57" s="2188"/>
      <c r="AY57" s="2188"/>
      <c r="AZ57" s="2188"/>
      <c r="BA57" s="2188"/>
    </row>
  </sheetData>
  <mergeCells count="23">
    <mergeCell ref="AZ6:BC7"/>
    <mergeCell ref="AV7:AY7"/>
    <mergeCell ref="AA6:AD7"/>
    <mergeCell ref="AE6:AH7"/>
    <mergeCell ref="AI6:AL7"/>
    <mergeCell ref="AM6:AP7"/>
    <mergeCell ref="AR6:AY6"/>
    <mergeCell ref="W6:Z7"/>
    <mergeCell ref="A3:U3"/>
    <mergeCell ref="V3:AP3"/>
    <mergeCell ref="AQ3:BG3"/>
    <mergeCell ref="BH3:BO3"/>
    <mergeCell ref="A4:U4"/>
    <mergeCell ref="V4:AP4"/>
    <mergeCell ref="AQ4:BG4"/>
    <mergeCell ref="BH4:BO4"/>
    <mergeCell ref="B6:E7"/>
    <mergeCell ref="F6:I7"/>
    <mergeCell ref="J6:M7"/>
    <mergeCell ref="N6:Q7"/>
    <mergeCell ref="R6:U7"/>
    <mergeCell ref="BD6:BG7"/>
    <mergeCell ref="AR7:AU7"/>
  </mergeCells>
  <printOptions horizontalCentered="1" verticalCentered="1"/>
  <pageMargins left="0" right="0" top="0" bottom="0" header="0" footer="0"/>
  <pageSetup paperSize="9" scale="17" orientation="landscape" r:id="rId1"/>
  <headerFooter alignWithMargins="0">
    <oddHeader>&amp;L&amp;20
&amp;R&amp;38
&amp;"Times New Roman CE,Félkövér" 4.melléklet a ..../2020. (......) önkormányzati rendelethez</oddHeader>
    <oddFooter xml:space="preserve">&amp;C &amp;R
&amp;36 &amp;10
</oddFooter>
  </headerFooter>
  <colBreaks count="2" manualBreakCount="2">
    <brk id="21" max="53" man="1"/>
    <brk id="42" max="5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86"/>
  <sheetViews>
    <sheetView zoomScale="75" zoomScaleNormal="75" zoomScaleSheetLayoutView="75" workbookViewId="0">
      <selection activeCell="J20" sqref="J20"/>
    </sheetView>
  </sheetViews>
  <sheetFormatPr defaultColWidth="9.33203125" defaultRowHeight="12.95" customHeight="1" x14ac:dyDescent="0.2"/>
  <cols>
    <col min="1" max="1" width="135.83203125" style="2461" customWidth="1"/>
    <col min="2" max="3" width="31.33203125" style="2460" customWidth="1"/>
    <col min="4" max="4" width="31.33203125" style="2458" customWidth="1"/>
    <col min="5" max="5" width="30.83203125" style="2458" customWidth="1"/>
    <col min="6" max="6" width="13.33203125" style="2458" customWidth="1"/>
    <col min="7" max="7" width="11.5" style="2458" bestFit="1" customWidth="1"/>
    <col min="8" max="13" width="9.33203125" style="2458"/>
    <col min="14" max="14" width="15.1640625" style="2458" customWidth="1"/>
    <col min="15" max="15" width="9.33203125" style="2458"/>
    <col min="16" max="16" width="11.5" style="2458" bestFit="1" customWidth="1"/>
    <col min="17" max="16384" width="9.33203125" style="2458"/>
  </cols>
  <sheetData>
    <row r="1" spans="1:6" ht="24.75" customHeight="1" x14ac:dyDescent="0.3">
      <c r="A1" s="2679" t="s">
        <v>820</v>
      </c>
      <c r="B1" s="2679"/>
      <c r="C1" s="2679"/>
      <c r="D1" s="2679"/>
      <c r="E1" s="2679"/>
    </row>
    <row r="2" spans="1:6" ht="24.75" customHeight="1" x14ac:dyDescent="0.3">
      <c r="A2" s="2679" t="s">
        <v>1745</v>
      </c>
      <c r="B2" s="2679"/>
      <c r="C2" s="2679"/>
      <c r="D2" s="2679"/>
      <c r="E2" s="2679"/>
    </row>
    <row r="3" spans="1:6" ht="15" x14ac:dyDescent="0.2">
      <c r="A3" s="2459"/>
    </row>
    <row r="4" spans="1:6" ht="15" x14ac:dyDescent="0.2">
      <c r="A4" s="2459"/>
    </row>
    <row r="5" spans="1:6" ht="19.5" customHeight="1" thickBot="1" x14ac:dyDescent="0.3">
      <c r="D5" s="2462"/>
      <c r="E5" s="2484" t="s">
        <v>26</v>
      </c>
    </row>
    <row r="6" spans="1:6" s="2479" customFormat="1" ht="24.75" customHeight="1" x14ac:dyDescent="0.3">
      <c r="A6" s="2485" t="s">
        <v>1746</v>
      </c>
      <c r="B6" s="2486" t="s">
        <v>1424</v>
      </c>
      <c r="C6" s="2486" t="s">
        <v>1747</v>
      </c>
      <c r="D6" s="2486" t="s">
        <v>1424</v>
      </c>
      <c r="E6" s="2486" t="s">
        <v>1741</v>
      </c>
    </row>
    <row r="7" spans="1:6" s="2479" customFormat="1" ht="24.75" customHeight="1" x14ac:dyDescent="0.3">
      <c r="A7" s="2480"/>
      <c r="B7" s="2481" t="s">
        <v>1748</v>
      </c>
      <c r="C7" s="2481" t="s">
        <v>1749</v>
      </c>
      <c r="D7" s="2481" t="s">
        <v>1796</v>
      </c>
      <c r="E7" s="2481"/>
    </row>
    <row r="8" spans="1:6" s="2479" customFormat="1" ht="24.75" customHeight="1" thickBot="1" x14ac:dyDescent="0.35">
      <c r="A8" s="2482"/>
      <c r="B8" s="2483" t="s">
        <v>1750</v>
      </c>
      <c r="C8" s="2483" t="s">
        <v>1750</v>
      </c>
      <c r="D8" s="2483"/>
      <c r="E8" s="2483"/>
    </row>
    <row r="9" spans="1:6" ht="27" customHeight="1" x14ac:dyDescent="0.3">
      <c r="A9" s="2509" t="s">
        <v>489</v>
      </c>
      <c r="B9" s="2487"/>
      <c r="C9" s="2487"/>
      <c r="D9" s="2488"/>
      <c r="E9" s="2488"/>
    </row>
    <row r="10" spans="1:6" ht="24.75" customHeight="1" x14ac:dyDescent="0.25">
      <c r="A10" s="2489" t="s">
        <v>1751</v>
      </c>
      <c r="B10" s="2490">
        <v>90</v>
      </c>
      <c r="C10" s="2490">
        <v>90</v>
      </c>
      <c r="D10" s="2490">
        <v>51</v>
      </c>
      <c r="E10" s="2491">
        <f>D10-C10</f>
        <v>-39</v>
      </c>
    </row>
    <row r="11" spans="1:6" ht="45" customHeight="1" thickBot="1" x14ac:dyDescent="0.3">
      <c r="A11" s="2492" t="s">
        <v>1752</v>
      </c>
      <c r="B11" s="2493"/>
      <c r="C11" s="2493">
        <v>17558</v>
      </c>
      <c r="D11" s="2493">
        <f>SUM(B11:C11)</f>
        <v>17558</v>
      </c>
      <c r="E11" s="2490">
        <f>D11-C11</f>
        <v>0</v>
      </c>
    </row>
    <row r="12" spans="1:6" s="2464" customFormat="1" ht="26.25" customHeight="1" thickBot="1" x14ac:dyDescent="0.35">
      <c r="A12" s="2510" t="s">
        <v>1753</v>
      </c>
      <c r="B12" s="2520">
        <f>SUM(B10:B11)</f>
        <v>90</v>
      </c>
      <c r="C12" s="2520">
        <f>SUM(C10:C11)</f>
        <v>17648</v>
      </c>
      <c r="D12" s="2520">
        <f t="shared" ref="D12:E12" si="0">SUM(D10:D11)</f>
        <v>17609</v>
      </c>
      <c r="E12" s="2520">
        <f t="shared" si="0"/>
        <v>-39</v>
      </c>
      <c r="F12" s="2463"/>
    </row>
    <row r="13" spans="1:6" ht="49.5" customHeight="1" x14ac:dyDescent="0.3">
      <c r="A13" s="2511" t="s">
        <v>1754</v>
      </c>
      <c r="B13" s="2494"/>
      <c r="C13" s="2494"/>
      <c r="D13" s="2494"/>
      <c r="E13" s="2494"/>
    </row>
    <row r="14" spans="1:6" ht="39" x14ac:dyDescent="0.3">
      <c r="A14" s="2495" t="s">
        <v>1755</v>
      </c>
      <c r="B14" s="2496"/>
      <c r="C14" s="2496"/>
      <c r="D14" s="2496"/>
      <c r="E14" s="2496"/>
    </row>
    <row r="15" spans="1:6" ht="24.75" customHeight="1" x14ac:dyDescent="0.25">
      <c r="A15" s="2497" t="s">
        <v>1756</v>
      </c>
      <c r="B15" s="2498">
        <v>966393</v>
      </c>
      <c r="C15" s="2498">
        <v>1008507</v>
      </c>
      <c r="D15" s="2498">
        <f>982422+27105</f>
        <v>1009527</v>
      </c>
      <c r="E15" s="2498">
        <f>D15-C15</f>
        <v>1020</v>
      </c>
    </row>
    <row r="16" spans="1:6" ht="37.5" x14ac:dyDescent="0.25">
      <c r="A16" s="2497" t="s">
        <v>1757</v>
      </c>
      <c r="B16" s="2498">
        <v>341467</v>
      </c>
      <c r="C16" s="2498">
        <v>336386</v>
      </c>
      <c r="D16" s="2498">
        <v>337108</v>
      </c>
      <c r="E16" s="2498">
        <f t="shared" ref="E16:E19" si="1">D16-C16</f>
        <v>722</v>
      </c>
    </row>
    <row r="17" spans="1:6" ht="21.75" customHeight="1" x14ac:dyDescent="0.3">
      <c r="A17" s="2499" t="s">
        <v>1758</v>
      </c>
      <c r="B17" s="2498">
        <v>236292</v>
      </c>
      <c r="C17" s="2498">
        <v>238987</v>
      </c>
      <c r="D17" s="2498">
        <v>239312</v>
      </c>
      <c r="E17" s="2498">
        <f t="shared" si="1"/>
        <v>325</v>
      </c>
    </row>
    <row r="18" spans="1:6" ht="41.25" customHeight="1" x14ac:dyDescent="0.3">
      <c r="A18" s="2500" t="s">
        <v>1759</v>
      </c>
      <c r="B18" s="2498">
        <v>40516</v>
      </c>
      <c r="C18" s="2498">
        <v>44547</v>
      </c>
      <c r="D18" s="2934">
        <v>44666</v>
      </c>
      <c r="E18" s="2498">
        <f t="shared" si="1"/>
        <v>119</v>
      </c>
    </row>
    <row r="19" spans="1:6" ht="24.75" customHeight="1" thickBot="1" x14ac:dyDescent="0.35">
      <c r="A19" s="2501" t="s">
        <v>1760</v>
      </c>
      <c r="B19" s="2498">
        <v>4504</v>
      </c>
      <c r="C19" s="2496">
        <v>5067</v>
      </c>
      <c r="D19" s="2498">
        <v>5067</v>
      </c>
      <c r="E19" s="2498">
        <f t="shared" si="1"/>
        <v>0</v>
      </c>
    </row>
    <row r="20" spans="1:6" s="2464" customFormat="1" ht="27" customHeight="1" thickBot="1" x14ac:dyDescent="0.35">
      <c r="A20" s="2512" t="s">
        <v>1761</v>
      </c>
      <c r="B20" s="2513">
        <f>SUM(B15:B19)</f>
        <v>1589172</v>
      </c>
      <c r="C20" s="2513">
        <f t="shared" ref="C20:E20" si="2">SUM(C15:C19)</f>
        <v>1633494</v>
      </c>
      <c r="D20" s="2513">
        <f t="shared" si="2"/>
        <v>1635680</v>
      </c>
      <c r="E20" s="2513">
        <f t="shared" si="2"/>
        <v>2186</v>
      </c>
      <c r="F20" s="2463"/>
    </row>
    <row r="21" spans="1:6" s="2464" customFormat="1" ht="50.25" customHeight="1" x14ac:dyDescent="0.3">
      <c r="A21" s="2514" t="s">
        <v>1762</v>
      </c>
      <c r="B21" s="2515"/>
      <c r="C21" s="2515"/>
      <c r="D21" s="2515"/>
      <c r="E21" s="2515"/>
    </row>
    <row r="22" spans="1:6" s="2464" customFormat="1" ht="24.75" customHeight="1" x14ac:dyDescent="0.3">
      <c r="A22" s="2516" t="s">
        <v>1763</v>
      </c>
      <c r="B22" s="2517"/>
      <c r="C22" s="2517">
        <v>135440</v>
      </c>
      <c r="D22" s="2517">
        <f>SUM(B22:C22)</f>
        <v>135440</v>
      </c>
      <c r="E22" s="2517">
        <f t="shared" ref="E22" si="3">D22-C22</f>
        <v>0</v>
      </c>
    </row>
    <row r="23" spans="1:6" s="2464" customFormat="1" ht="24.75" customHeight="1" x14ac:dyDescent="0.3">
      <c r="A23" s="2518" t="s">
        <v>1764</v>
      </c>
      <c r="B23" s="2519"/>
      <c r="C23" s="2519"/>
      <c r="D23" s="2519"/>
      <c r="E23" s="2519"/>
    </row>
    <row r="24" spans="1:6" s="2460" customFormat="1" ht="24.75" customHeight="1" x14ac:dyDescent="0.25">
      <c r="A24" s="2503" t="s">
        <v>1765</v>
      </c>
      <c r="B24" s="2498">
        <v>53380</v>
      </c>
      <c r="C24" s="2498">
        <v>59346</v>
      </c>
      <c r="D24" s="2498">
        <v>59346</v>
      </c>
      <c r="E24" s="2498">
        <f t="shared" ref="E24:E32" si="4">D24-C24</f>
        <v>0</v>
      </c>
    </row>
    <row r="25" spans="1:6" s="2460" customFormat="1" ht="24.75" customHeight="1" x14ac:dyDescent="0.25">
      <c r="A25" s="2497" t="s">
        <v>1766</v>
      </c>
      <c r="B25" s="2498">
        <v>63360</v>
      </c>
      <c r="C25" s="2498">
        <v>63360</v>
      </c>
      <c r="D25" s="2498">
        <v>63360</v>
      </c>
      <c r="E25" s="2498">
        <f t="shared" si="4"/>
        <v>0</v>
      </c>
    </row>
    <row r="26" spans="1:6" s="2460" customFormat="1" ht="24.75" customHeight="1" x14ac:dyDescent="0.25">
      <c r="A26" s="2497" t="s">
        <v>1767</v>
      </c>
      <c r="B26" s="2498">
        <v>38198</v>
      </c>
      <c r="C26" s="2498">
        <v>45596</v>
      </c>
      <c r="D26" s="2498">
        <f>39084+6900</f>
        <v>45984</v>
      </c>
      <c r="E26" s="2498">
        <f t="shared" si="4"/>
        <v>388</v>
      </c>
    </row>
    <row r="27" spans="1:6" s="2460" customFormat="1" ht="24.75" customHeight="1" x14ac:dyDescent="0.25">
      <c r="A27" s="2504" t="s">
        <v>1768</v>
      </c>
      <c r="B27" s="2498"/>
      <c r="C27" s="2498"/>
      <c r="D27" s="2498"/>
      <c r="E27" s="2498">
        <f t="shared" si="4"/>
        <v>0</v>
      </c>
    </row>
    <row r="28" spans="1:6" s="2460" customFormat="1" ht="24.75" customHeight="1" x14ac:dyDescent="0.25">
      <c r="A28" s="2504" t="s">
        <v>1769</v>
      </c>
      <c r="B28" s="2498">
        <v>475</v>
      </c>
      <c r="C28" s="2498">
        <v>400</v>
      </c>
      <c r="D28" s="2498">
        <v>350</v>
      </c>
      <c r="E28" s="2498">
        <f t="shared" si="4"/>
        <v>-50</v>
      </c>
    </row>
    <row r="29" spans="1:6" s="2460" customFormat="1" ht="24.75" customHeight="1" x14ac:dyDescent="0.25">
      <c r="A29" s="2504" t="s">
        <v>1770</v>
      </c>
      <c r="B29" s="2498">
        <v>34320</v>
      </c>
      <c r="C29" s="2498">
        <v>34980</v>
      </c>
      <c r="D29" s="2498">
        <v>34980</v>
      </c>
      <c r="E29" s="2498">
        <f t="shared" si="4"/>
        <v>0</v>
      </c>
    </row>
    <row r="30" spans="1:6" s="2460" customFormat="1" ht="24.75" customHeight="1" x14ac:dyDescent="0.25">
      <c r="A30" s="2504" t="s">
        <v>1771</v>
      </c>
      <c r="B30" s="2498">
        <v>16023</v>
      </c>
      <c r="C30" s="2498">
        <v>27930</v>
      </c>
      <c r="D30" s="2498">
        <f>15696+11907-1</f>
        <v>27602</v>
      </c>
      <c r="E30" s="2498">
        <f t="shared" si="4"/>
        <v>-328</v>
      </c>
    </row>
    <row r="31" spans="1:6" s="2460" customFormat="1" ht="24.75" customHeight="1" x14ac:dyDescent="0.25">
      <c r="A31" s="2504" t="s">
        <v>1772</v>
      </c>
      <c r="B31" s="2498">
        <v>5500</v>
      </c>
      <c r="C31" s="2498">
        <v>8079</v>
      </c>
      <c r="D31" s="2498">
        <f>6000+2079</f>
        <v>8079</v>
      </c>
      <c r="E31" s="2498">
        <f t="shared" si="4"/>
        <v>0</v>
      </c>
    </row>
    <row r="32" spans="1:6" s="2460" customFormat="1" ht="24.75" customHeight="1" x14ac:dyDescent="0.25">
      <c r="A32" s="2505" t="s">
        <v>1773</v>
      </c>
      <c r="B32" s="2498">
        <v>71911</v>
      </c>
      <c r="C32" s="2498">
        <v>71911</v>
      </c>
      <c r="D32" s="2498">
        <v>71911</v>
      </c>
      <c r="E32" s="2498">
        <f t="shared" si="4"/>
        <v>0</v>
      </c>
    </row>
    <row r="33" spans="1:14" s="2460" customFormat="1" ht="27" customHeight="1" x14ac:dyDescent="0.3">
      <c r="A33" s="2521" t="s">
        <v>1774</v>
      </c>
      <c r="B33" s="2522">
        <f>SUM(B24:B32)</f>
        <v>283167</v>
      </c>
      <c r="C33" s="2522">
        <f>SUM(C24:C32)</f>
        <v>311602</v>
      </c>
      <c r="D33" s="2522">
        <f>SUM(D24:D32)</f>
        <v>311612</v>
      </c>
      <c r="E33" s="2522">
        <f>SUM(E24:E32)</f>
        <v>10</v>
      </c>
    </row>
    <row r="34" spans="1:14" s="2460" customFormat="1" ht="70.5" customHeight="1" x14ac:dyDescent="0.3">
      <c r="A34" s="2523" t="s">
        <v>1775</v>
      </c>
      <c r="B34" s="2524"/>
      <c r="C34" s="2524"/>
      <c r="D34" s="2524"/>
      <c r="E34" s="2524"/>
    </row>
    <row r="35" spans="1:14" s="2460" customFormat="1" ht="43.5" customHeight="1" x14ac:dyDescent="0.25">
      <c r="A35" s="2497" t="s">
        <v>1776</v>
      </c>
      <c r="B35" s="2498">
        <v>42720</v>
      </c>
      <c r="C35" s="2498">
        <v>47307</v>
      </c>
      <c r="D35" s="2498">
        <v>47307</v>
      </c>
      <c r="E35" s="2498">
        <f t="shared" ref="E35:E36" si="5">D35-C35</f>
        <v>0</v>
      </c>
    </row>
    <row r="36" spans="1:14" s="2460" customFormat="1" ht="41.25" customHeight="1" x14ac:dyDescent="0.25">
      <c r="A36" s="2504" t="s">
        <v>1777</v>
      </c>
      <c r="B36" s="2506">
        <v>10999</v>
      </c>
      <c r="C36" s="2506">
        <v>11030</v>
      </c>
      <c r="D36" s="2498">
        <v>11030</v>
      </c>
      <c r="E36" s="2498">
        <f t="shared" si="5"/>
        <v>0</v>
      </c>
    </row>
    <row r="37" spans="1:14" s="2460" customFormat="1" ht="27" customHeight="1" x14ac:dyDescent="0.3">
      <c r="A37" s="2525" t="s">
        <v>1778</v>
      </c>
      <c r="B37" s="2522">
        <f>B35+B36</f>
        <v>53719</v>
      </c>
      <c r="C37" s="2522">
        <f>C35+C36</f>
        <v>58337</v>
      </c>
      <c r="D37" s="2522">
        <f>D35+D36</f>
        <v>58337</v>
      </c>
      <c r="E37" s="2522">
        <f>E35+E36</f>
        <v>0</v>
      </c>
    </row>
    <row r="38" spans="1:14" s="2460" customFormat="1" ht="36" customHeight="1" x14ac:dyDescent="0.3">
      <c r="A38" s="2526" t="s">
        <v>1779</v>
      </c>
      <c r="B38" s="2496"/>
      <c r="C38" s="2496"/>
      <c r="D38" s="2496"/>
      <c r="E38" s="2496"/>
      <c r="N38" s="2465"/>
    </row>
    <row r="39" spans="1:14" s="2460" customFormat="1" ht="43.5" customHeight="1" x14ac:dyDescent="0.25">
      <c r="A39" s="2497" t="s">
        <v>1780</v>
      </c>
      <c r="B39" s="2498">
        <v>202331</v>
      </c>
      <c r="C39" s="2498">
        <v>212532</v>
      </c>
      <c r="D39" s="2498">
        <v>215098</v>
      </c>
      <c r="E39" s="2498">
        <f t="shared" ref="E39:E41" si="6">D39-C39</f>
        <v>2566</v>
      </c>
      <c r="N39" s="2466"/>
    </row>
    <row r="40" spans="1:14" s="2460" customFormat="1" ht="24.75" customHeight="1" x14ac:dyDescent="0.25">
      <c r="A40" s="2504" t="s">
        <v>1781</v>
      </c>
      <c r="B40" s="2506">
        <v>264393</v>
      </c>
      <c r="C40" s="2506">
        <v>303208</v>
      </c>
      <c r="D40" s="2498">
        <v>303208</v>
      </c>
      <c r="E40" s="2498">
        <f t="shared" si="6"/>
        <v>0</v>
      </c>
      <c r="N40" s="2466"/>
    </row>
    <row r="41" spans="1:14" s="2460" customFormat="1" ht="44.25" customHeight="1" x14ac:dyDescent="0.25">
      <c r="A41" s="2497" t="s">
        <v>1782</v>
      </c>
      <c r="B41" s="2498">
        <v>1996</v>
      </c>
      <c r="C41" s="2498">
        <v>2052</v>
      </c>
      <c r="D41" s="2498">
        <v>1727</v>
      </c>
      <c r="E41" s="2498">
        <f t="shared" si="6"/>
        <v>-325</v>
      </c>
    </row>
    <row r="42" spans="1:14" s="2460" customFormat="1" ht="27" customHeight="1" thickBot="1" x14ac:dyDescent="0.35">
      <c r="A42" s="2525" t="s">
        <v>1783</v>
      </c>
      <c r="B42" s="2517">
        <f>B40+B41+B39</f>
        <v>468720</v>
      </c>
      <c r="C42" s="2517">
        <f>C40+C41+C39</f>
        <v>517792</v>
      </c>
      <c r="D42" s="2517">
        <f>SUM(D39:D41)</f>
        <v>520033</v>
      </c>
      <c r="E42" s="2517">
        <f>SUM(E39:E41)</f>
        <v>2241</v>
      </c>
      <c r="F42" s="2467"/>
      <c r="G42" s="2467"/>
      <c r="H42" s="2467"/>
      <c r="I42" s="2467"/>
      <c r="J42" s="2467"/>
      <c r="K42" s="2467"/>
      <c r="L42" s="2467"/>
      <c r="M42" s="2467"/>
      <c r="N42" s="2467"/>
    </row>
    <row r="43" spans="1:14" s="2460" customFormat="1" ht="27" customHeight="1" x14ac:dyDescent="0.3">
      <c r="A43" s="2527" t="s">
        <v>1784</v>
      </c>
      <c r="B43" s="2515"/>
      <c r="C43" s="2515"/>
      <c r="D43" s="2515"/>
      <c r="E43" s="2515"/>
      <c r="N43" s="2468"/>
    </row>
    <row r="44" spans="1:14" s="2460" customFormat="1" ht="44.25" customHeight="1" x14ac:dyDescent="0.3">
      <c r="A44" s="2507" t="s">
        <v>1791</v>
      </c>
      <c r="B44" s="2502"/>
      <c r="C44" s="2502"/>
      <c r="D44" s="2502"/>
      <c r="E44" s="2502"/>
    </row>
    <row r="45" spans="1:14" s="2460" customFormat="1" ht="24.75" customHeight="1" x14ac:dyDescent="0.3">
      <c r="A45" s="2551" t="s">
        <v>1792</v>
      </c>
      <c r="B45" s="2543">
        <v>197971</v>
      </c>
      <c r="C45" s="2543">
        <v>189133</v>
      </c>
      <c r="D45" s="2543">
        <v>187806</v>
      </c>
      <c r="E45" s="2543">
        <f t="shared" ref="E45:E48" si="7">D45-C45</f>
        <v>-1327</v>
      </c>
    </row>
    <row r="46" spans="1:14" s="2460" customFormat="1" ht="44.25" customHeight="1" x14ac:dyDescent="0.3">
      <c r="A46" s="2507" t="s">
        <v>1793</v>
      </c>
      <c r="B46" s="2544"/>
      <c r="C46" s="2544"/>
      <c r="D46" s="2544"/>
      <c r="E46" s="2544"/>
    </row>
    <row r="47" spans="1:14" s="2460" customFormat="1" ht="24.75" customHeight="1" x14ac:dyDescent="0.3">
      <c r="A47" s="2508" t="s">
        <v>1794</v>
      </c>
      <c r="B47" s="2544">
        <v>140970</v>
      </c>
      <c r="C47" s="2544">
        <v>141269</v>
      </c>
      <c r="D47" s="2543">
        <v>160125</v>
      </c>
      <c r="E47" s="2543">
        <f t="shared" si="7"/>
        <v>18856</v>
      </c>
    </row>
    <row r="48" spans="1:14" s="2542" customFormat="1" ht="27" customHeight="1" x14ac:dyDescent="0.3">
      <c r="A48" s="2539" t="s">
        <v>1795</v>
      </c>
      <c r="B48" s="2540">
        <v>155371</v>
      </c>
      <c r="C48" s="2540">
        <v>147952</v>
      </c>
      <c r="D48" s="2541">
        <v>147952</v>
      </c>
      <c r="E48" s="2541">
        <f t="shared" si="7"/>
        <v>0</v>
      </c>
    </row>
    <row r="49" spans="1:16" s="2531" customFormat="1" ht="27" customHeight="1" thickBot="1" x14ac:dyDescent="0.35">
      <c r="A49" s="2528" t="s">
        <v>1785</v>
      </c>
      <c r="B49" s="2529">
        <f>SUM(B45:B48)</f>
        <v>494312</v>
      </c>
      <c r="C49" s="2529">
        <f>SUM(C45:C48)</f>
        <v>478354</v>
      </c>
      <c r="D49" s="2530">
        <f>SUM(D45:D48)</f>
        <v>495883</v>
      </c>
      <c r="E49" s="2530">
        <f>SUM(E45:E48)</f>
        <v>17529</v>
      </c>
    </row>
    <row r="50" spans="1:16" s="2479" customFormat="1" ht="27" customHeight="1" thickBot="1" x14ac:dyDescent="0.35">
      <c r="A50" s="2532" t="s">
        <v>1786</v>
      </c>
      <c r="B50" s="2533">
        <f>B33+B37+B42+B49+B22</f>
        <v>1299918</v>
      </c>
      <c r="C50" s="2533">
        <f>C33+C37+C42+C49+C22</f>
        <v>1501525</v>
      </c>
      <c r="D50" s="2533">
        <f>D33+D37+D42+D49+D22</f>
        <v>1521305</v>
      </c>
      <c r="E50" s="2533">
        <f>E33+E37+E42+E49+E22</f>
        <v>19780</v>
      </c>
      <c r="F50" s="2534"/>
      <c r="P50" s="2534"/>
    </row>
    <row r="51" spans="1:16" s="2479" customFormat="1" ht="30" customHeight="1" thickBot="1" x14ac:dyDescent="0.35">
      <c r="A51" s="2535" t="s">
        <v>1787</v>
      </c>
      <c r="B51" s="2533">
        <f>B12+B20+B50</f>
        <v>2889180</v>
      </c>
      <c r="C51" s="2533">
        <f>C12+C20+C50</f>
        <v>3152667</v>
      </c>
      <c r="D51" s="2533">
        <f t="shared" ref="D51:E51" si="8">D12+D20+D50</f>
        <v>3174594</v>
      </c>
      <c r="E51" s="2533">
        <f t="shared" si="8"/>
        <v>21927</v>
      </c>
      <c r="F51" s="2534"/>
      <c r="P51" s="2534"/>
    </row>
    <row r="52" spans="1:16" s="2479" customFormat="1" ht="50.25" customHeight="1" thickBot="1" x14ac:dyDescent="0.35">
      <c r="A52" s="2535" t="s">
        <v>1788</v>
      </c>
      <c r="B52" s="2533">
        <v>997053</v>
      </c>
      <c r="C52" s="2533">
        <v>1078445</v>
      </c>
      <c r="D52" s="2533">
        <v>1078445</v>
      </c>
      <c r="E52" s="2533">
        <f t="shared" ref="E52" si="9">D52-C52</f>
        <v>0</v>
      </c>
      <c r="F52" s="2534"/>
    </row>
    <row r="53" spans="1:16" s="2538" customFormat="1" ht="33" customHeight="1" thickBot="1" x14ac:dyDescent="0.35">
      <c r="A53" s="2536" t="s">
        <v>824</v>
      </c>
      <c r="B53" s="2537">
        <f>B12+B20+B50+B52</f>
        <v>3886233</v>
      </c>
      <c r="C53" s="2537">
        <f>C12+C20+C50+C52</f>
        <v>4231112</v>
      </c>
      <c r="D53" s="2537">
        <f>D12+D20+D50+D52</f>
        <v>4253039</v>
      </c>
      <c r="E53" s="2537">
        <f>E12+E20+E50+E52</f>
        <v>21927</v>
      </c>
      <c r="F53" s="2534"/>
    </row>
    <row r="55" spans="1:16" ht="36.75" customHeight="1" x14ac:dyDescent="0.2">
      <c r="A55" s="2469"/>
      <c r="B55" s="2470"/>
      <c r="C55" s="2471"/>
      <c r="D55" s="2463"/>
      <c r="E55" s="2463"/>
    </row>
    <row r="56" spans="1:16" ht="28.5" customHeight="1" x14ac:dyDescent="0.2">
      <c r="A56" s="2469"/>
      <c r="B56" s="2470"/>
      <c r="C56" s="2471"/>
      <c r="D56" s="2463"/>
      <c r="E56" s="2463"/>
    </row>
    <row r="57" spans="1:16" ht="30" customHeight="1" x14ac:dyDescent="0.2">
      <c r="A57" s="2469"/>
      <c r="B57" s="2470"/>
      <c r="C57" s="2471"/>
      <c r="D57" s="2463"/>
      <c r="E57" s="2463"/>
      <c r="F57" s="2463"/>
    </row>
    <row r="58" spans="1:16" ht="28.5" customHeight="1" x14ac:dyDescent="0.2">
      <c r="A58" s="2469"/>
      <c r="B58" s="2470"/>
      <c r="C58" s="2471"/>
      <c r="D58" s="2463"/>
      <c r="E58" s="2463"/>
    </row>
    <row r="59" spans="1:16" ht="9.75" hidden="1" customHeight="1" x14ac:dyDescent="0.2">
      <c r="A59" s="2677"/>
      <c r="B59" s="2470"/>
      <c r="C59" s="2471"/>
      <c r="D59" s="2463"/>
      <c r="E59" s="2463"/>
    </row>
    <row r="60" spans="1:16" ht="34.5" customHeight="1" x14ac:dyDescent="0.2">
      <c r="A60" s="2678"/>
      <c r="B60" s="2470"/>
      <c r="C60" s="2471"/>
      <c r="D60" s="2463"/>
      <c r="E60" s="2463"/>
    </row>
    <row r="61" spans="1:16" ht="12.95" customHeight="1" x14ac:dyDescent="0.2">
      <c r="B61" s="2470"/>
      <c r="C61" s="2471"/>
      <c r="D61" s="2463"/>
      <c r="E61" s="2463"/>
    </row>
    <row r="62" spans="1:16" ht="12.95" customHeight="1" x14ac:dyDescent="0.2">
      <c r="B62" s="2470"/>
      <c r="C62" s="2471"/>
      <c r="D62" s="2463"/>
      <c r="E62" s="2463"/>
    </row>
    <row r="63" spans="1:16" ht="12.95" customHeight="1" x14ac:dyDescent="0.2">
      <c r="B63" s="2470"/>
      <c r="C63" s="2471"/>
      <c r="D63" s="2463"/>
      <c r="E63" s="2463"/>
    </row>
    <row r="64" spans="1:16" ht="12.95" customHeight="1" x14ac:dyDescent="0.2">
      <c r="B64" s="2470"/>
      <c r="C64" s="2470"/>
      <c r="D64" s="2463"/>
      <c r="E64" s="2463"/>
    </row>
    <row r="65" spans="1:6" ht="12.95" customHeight="1" x14ac:dyDescent="0.2">
      <c r="B65" s="2470"/>
      <c r="C65" s="2470"/>
      <c r="D65" s="2463"/>
      <c r="E65" s="2463"/>
    </row>
    <row r="66" spans="1:6" ht="12.95" customHeight="1" x14ac:dyDescent="0.2">
      <c r="B66" s="2470"/>
      <c r="C66" s="2470"/>
      <c r="D66" s="2463"/>
      <c r="E66" s="2463"/>
    </row>
    <row r="67" spans="1:6" ht="36" customHeight="1" x14ac:dyDescent="0.2">
      <c r="A67" s="2469"/>
      <c r="B67" s="2470"/>
      <c r="C67" s="2471"/>
      <c r="D67" s="2463"/>
      <c r="E67" s="2463"/>
    </row>
    <row r="68" spans="1:6" ht="17.25" customHeight="1" x14ac:dyDescent="0.2">
      <c r="B68" s="2470"/>
      <c r="C68" s="2470"/>
      <c r="D68" s="2463"/>
      <c r="E68" s="2463"/>
    </row>
    <row r="69" spans="1:6" ht="12.75" customHeight="1" x14ac:dyDescent="0.2">
      <c r="B69" s="2470"/>
      <c r="C69" s="2470"/>
      <c r="D69" s="2463"/>
      <c r="E69" s="2463"/>
    </row>
    <row r="70" spans="1:6" ht="12.95" customHeight="1" x14ac:dyDescent="0.2">
      <c r="B70" s="2470"/>
      <c r="C70" s="2470"/>
      <c r="D70" s="2463"/>
      <c r="E70" s="2463"/>
    </row>
    <row r="71" spans="1:6" ht="12.95" customHeight="1" x14ac:dyDescent="0.2">
      <c r="B71" s="2470"/>
      <c r="C71" s="2471"/>
      <c r="D71" s="2463"/>
      <c r="E71" s="2463"/>
    </row>
    <row r="72" spans="1:6" ht="12.95" customHeight="1" x14ac:dyDescent="0.2">
      <c r="D72" s="2463"/>
      <c r="E72" s="2463"/>
    </row>
    <row r="73" spans="1:6" ht="12.95" customHeight="1" x14ac:dyDescent="0.2">
      <c r="C73" s="2472"/>
      <c r="D73" s="2463"/>
      <c r="E73" s="2463"/>
    </row>
    <row r="74" spans="1:6" ht="12.95" customHeight="1" x14ac:dyDescent="0.2">
      <c r="D74" s="2463"/>
      <c r="E74" s="2463"/>
    </row>
    <row r="75" spans="1:6" ht="12.95" customHeight="1" x14ac:dyDescent="0.2">
      <c r="A75" s="2473"/>
      <c r="B75" s="2474"/>
      <c r="C75" s="2475"/>
      <c r="D75" s="2463"/>
      <c r="E75" s="2463"/>
    </row>
    <row r="79" spans="1:6" ht="12.95" customHeight="1" x14ac:dyDescent="0.2">
      <c r="B79" s="2466"/>
      <c r="C79" s="2466"/>
      <c r="D79" s="2466"/>
      <c r="E79" s="2466"/>
      <c r="F79" s="2463"/>
    </row>
    <row r="80" spans="1:6" ht="12.95" customHeight="1" x14ac:dyDescent="0.2">
      <c r="B80" s="2466"/>
      <c r="C80" s="2466"/>
      <c r="D80" s="2466"/>
      <c r="E80" s="2466"/>
      <c r="F80" s="2463"/>
    </row>
    <row r="81" spans="1:6" ht="12.95" customHeight="1" x14ac:dyDescent="0.2">
      <c r="B81" s="2466"/>
      <c r="C81" s="2466"/>
      <c r="D81" s="2466"/>
      <c r="E81" s="2466"/>
      <c r="F81" s="2463"/>
    </row>
    <row r="82" spans="1:6" ht="12.95" customHeight="1" x14ac:dyDescent="0.2">
      <c r="B82" s="2466"/>
      <c r="C82" s="2466"/>
      <c r="D82" s="2466"/>
      <c r="E82" s="2466"/>
      <c r="F82" s="2463"/>
    </row>
    <row r="83" spans="1:6" ht="12.95" customHeight="1" x14ac:dyDescent="0.25">
      <c r="A83" s="2476"/>
      <c r="B83" s="2468"/>
      <c r="C83" s="2468"/>
      <c r="D83" s="2466"/>
      <c r="E83" s="2466"/>
      <c r="F83" s="2463"/>
    </row>
    <row r="84" spans="1:6" ht="12.95" customHeight="1" x14ac:dyDescent="0.2">
      <c r="B84" s="2466"/>
      <c r="C84" s="2466"/>
      <c r="D84" s="2466"/>
      <c r="E84" s="2466"/>
      <c r="F84" s="2463"/>
    </row>
    <row r="85" spans="1:6" ht="12.95" customHeight="1" x14ac:dyDescent="0.2">
      <c r="C85" s="2466"/>
      <c r="D85" s="2466"/>
      <c r="E85" s="2466"/>
      <c r="F85" s="2463"/>
    </row>
    <row r="86" spans="1:6" ht="12.95" customHeight="1" x14ac:dyDescent="0.25">
      <c r="A86" s="2477"/>
      <c r="B86" s="2478"/>
      <c r="C86" s="2478"/>
      <c r="D86" s="2466"/>
      <c r="E86" s="2466"/>
      <c r="F86" s="2463"/>
    </row>
  </sheetData>
  <mergeCells count="3">
    <mergeCell ref="A59:A60"/>
    <mergeCell ref="A1:E1"/>
    <mergeCell ref="A2:E2"/>
  </mergeCells>
  <printOptions horizontalCentered="1" verticalCentered="1"/>
  <pageMargins left="0.59055118110236227" right="0" top="0" bottom="0" header="0.39370078740157483" footer="0"/>
  <pageSetup paperSize="9" scale="50" orientation="portrait" r:id="rId1"/>
  <headerFooter alignWithMargins="0">
    <oddHeader>&amp;R&amp;"Times New Roman CE,Félkövér"&amp;16 5. melléklet a .../2020.(.....) önkormányzati rendelethez</oddHeader>
  </headerFooter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59"/>
  <sheetViews>
    <sheetView zoomScale="50" zoomScaleNormal="50" zoomScaleSheetLayoutView="50" workbookViewId="0">
      <pane xSplit="1" ySplit="8" topLeftCell="B9" activePane="bottomRight" state="frozen"/>
      <selection activeCell="J20" sqref="J20"/>
      <selection pane="topRight" activeCell="J20" sqref="J20"/>
      <selection pane="bottomLeft" activeCell="J20" sqref="J20"/>
      <selection pane="bottomRight" activeCell="J20" sqref="J20"/>
    </sheetView>
  </sheetViews>
  <sheetFormatPr defaultRowHeight="26.45" customHeight="1" x14ac:dyDescent="0.3"/>
  <cols>
    <col min="1" max="1" width="176.6640625" style="2192" customWidth="1"/>
    <col min="2" max="13" width="55" style="2193" customWidth="1"/>
    <col min="14" max="14" width="176.6640625" style="2192" customWidth="1"/>
    <col min="15" max="22" width="53" style="2193" customWidth="1"/>
    <col min="23" max="25" width="55" style="2193" customWidth="1"/>
    <col min="26" max="26" width="53" style="2193" customWidth="1"/>
    <col min="27" max="27" width="176.5" style="2194" customWidth="1"/>
    <col min="28" max="31" width="53" style="2192" customWidth="1"/>
    <col min="32" max="35" width="53" style="2195" customWidth="1"/>
    <col min="36" max="39" width="53" style="2192" customWidth="1"/>
    <col min="40" max="40" width="176.5" style="2194" customWidth="1"/>
    <col min="41" max="44" width="63" style="2192" customWidth="1"/>
    <col min="45" max="48" width="63" style="2195" customWidth="1"/>
    <col min="49" max="50" width="45.1640625" style="2195" customWidth="1"/>
    <col min="51" max="51" width="36.83203125" style="2195" customWidth="1"/>
    <col min="52" max="256" width="9.33203125" style="2196"/>
    <col min="257" max="257" width="176.6640625" style="2196" customWidth="1"/>
    <col min="258" max="269" width="55" style="2196" customWidth="1"/>
    <col min="270" max="270" width="176.6640625" style="2196" customWidth="1"/>
    <col min="271" max="282" width="53" style="2196" customWidth="1"/>
    <col min="283" max="283" width="176.5" style="2196" customWidth="1"/>
    <col min="284" max="295" width="53" style="2196" customWidth="1"/>
    <col min="296" max="296" width="176.5" style="2196" customWidth="1"/>
    <col min="297" max="304" width="63" style="2196" customWidth="1"/>
    <col min="305" max="306" width="45.1640625" style="2196" customWidth="1"/>
    <col min="307" max="307" width="36.83203125" style="2196" customWidth="1"/>
    <col min="308" max="512" width="9.33203125" style="2196"/>
    <col min="513" max="513" width="176.6640625" style="2196" customWidth="1"/>
    <col min="514" max="525" width="55" style="2196" customWidth="1"/>
    <col min="526" max="526" width="176.6640625" style="2196" customWidth="1"/>
    <col min="527" max="538" width="53" style="2196" customWidth="1"/>
    <col min="539" max="539" width="176.5" style="2196" customWidth="1"/>
    <col min="540" max="551" width="53" style="2196" customWidth="1"/>
    <col min="552" max="552" width="176.5" style="2196" customWidth="1"/>
    <col min="553" max="560" width="63" style="2196" customWidth="1"/>
    <col min="561" max="562" width="45.1640625" style="2196" customWidth="1"/>
    <col min="563" max="563" width="36.83203125" style="2196" customWidth="1"/>
    <col min="564" max="768" width="9.33203125" style="2196"/>
    <col min="769" max="769" width="176.6640625" style="2196" customWidth="1"/>
    <col min="770" max="781" width="55" style="2196" customWidth="1"/>
    <col min="782" max="782" width="176.6640625" style="2196" customWidth="1"/>
    <col min="783" max="794" width="53" style="2196" customWidth="1"/>
    <col min="795" max="795" width="176.5" style="2196" customWidth="1"/>
    <col min="796" max="807" width="53" style="2196" customWidth="1"/>
    <col min="808" max="808" width="176.5" style="2196" customWidth="1"/>
    <col min="809" max="816" width="63" style="2196" customWidth="1"/>
    <col min="817" max="818" width="45.1640625" style="2196" customWidth="1"/>
    <col min="819" max="819" width="36.83203125" style="2196" customWidth="1"/>
    <col min="820" max="1024" width="9.33203125" style="2196"/>
    <col min="1025" max="1025" width="176.6640625" style="2196" customWidth="1"/>
    <col min="1026" max="1037" width="55" style="2196" customWidth="1"/>
    <col min="1038" max="1038" width="176.6640625" style="2196" customWidth="1"/>
    <col min="1039" max="1050" width="53" style="2196" customWidth="1"/>
    <col min="1051" max="1051" width="176.5" style="2196" customWidth="1"/>
    <col min="1052" max="1063" width="53" style="2196" customWidth="1"/>
    <col min="1064" max="1064" width="176.5" style="2196" customWidth="1"/>
    <col min="1065" max="1072" width="63" style="2196" customWidth="1"/>
    <col min="1073" max="1074" width="45.1640625" style="2196" customWidth="1"/>
    <col min="1075" max="1075" width="36.83203125" style="2196" customWidth="1"/>
    <col min="1076" max="1280" width="9.33203125" style="2196"/>
    <col min="1281" max="1281" width="176.6640625" style="2196" customWidth="1"/>
    <col min="1282" max="1293" width="55" style="2196" customWidth="1"/>
    <col min="1294" max="1294" width="176.6640625" style="2196" customWidth="1"/>
    <col min="1295" max="1306" width="53" style="2196" customWidth="1"/>
    <col min="1307" max="1307" width="176.5" style="2196" customWidth="1"/>
    <col min="1308" max="1319" width="53" style="2196" customWidth="1"/>
    <col min="1320" max="1320" width="176.5" style="2196" customWidth="1"/>
    <col min="1321" max="1328" width="63" style="2196" customWidth="1"/>
    <col min="1329" max="1330" width="45.1640625" style="2196" customWidth="1"/>
    <col min="1331" max="1331" width="36.83203125" style="2196" customWidth="1"/>
    <col min="1332" max="1536" width="9.33203125" style="2196"/>
    <col min="1537" max="1537" width="176.6640625" style="2196" customWidth="1"/>
    <col min="1538" max="1549" width="55" style="2196" customWidth="1"/>
    <col min="1550" max="1550" width="176.6640625" style="2196" customWidth="1"/>
    <col min="1551" max="1562" width="53" style="2196" customWidth="1"/>
    <col min="1563" max="1563" width="176.5" style="2196" customWidth="1"/>
    <col min="1564" max="1575" width="53" style="2196" customWidth="1"/>
    <col min="1576" max="1576" width="176.5" style="2196" customWidth="1"/>
    <col min="1577" max="1584" width="63" style="2196" customWidth="1"/>
    <col min="1585" max="1586" width="45.1640625" style="2196" customWidth="1"/>
    <col min="1587" max="1587" width="36.83203125" style="2196" customWidth="1"/>
    <col min="1588" max="1792" width="9.33203125" style="2196"/>
    <col min="1793" max="1793" width="176.6640625" style="2196" customWidth="1"/>
    <col min="1794" max="1805" width="55" style="2196" customWidth="1"/>
    <col min="1806" max="1806" width="176.6640625" style="2196" customWidth="1"/>
    <col min="1807" max="1818" width="53" style="2196" customWidth="1"/>
    <col min="1819" max="1819" width="176.5" style="2196" customWidth="1"/>
    <col min="1820" max="1831" width="53" style="2196" customWidth="1"/>
    <col min="1832" max="1832" width="176.5" style="2196" customWidth="1"/>
    <col min="1833" max="1840" width="63" style="2196" customWidth="1"/>
    <col min="1841" max="1842" width="45.1640625" style="2196" customWidth="1"/>
    <col min="1843" max="1843" width="36.83203125" style="2196" customWidth="1"/>
    <col min="1844" max="2048" width="9.33203125" style="2196"/>
    <col min="2049" max="2049" width="176.6640625" style="2196" customWidth="1"/>
    <col min="2050" max="2061" width="55" style="2196" customWidth="1"/>
    <col min="2062" max="2062" width="176.6640625" style="2196" customWidth="1"/>
    <col min="2063" max="2074" width="53" style="2196" customWidth="1"/>
    <col min="2075" max="2075" width="176.5" style="2196" customWidth="1"/>
    <col min="2076" max="2087" width="53" style="2196" customWidth="1"/>
    <col min="2088" max="2088" width="176.5" style="2196" customWidth="1"/>
    <col min="2089" max="2096" width="63" style="2196" customWidth="1"/>
    <col min="2097" max="2098" width="45.1640625" style="2196" customWidth="1"/>
    <col min="2099" max="2099" width="36.83203125" style="2196" customWidth="1"/>
    <col min="2100" max="2304" width="9.33203125" style="2196"/>
    <col min="2305" max="2305" width="176.6640625" style="2196" customWidth="1"/>
    <col min="2306" max="2317" width="55" style="2196" customWidth="1"/>
    <col min="2318" max="2318" width="176.6640625" style="2196" customWidth="1"/>
    <col min="2319" max="2330" width="53" style="2196" customWidth="1"/>
    <col min="2331" max="2331" width="176.5" style="2196" customWidth="1"/>
    <col min="2332" max="2343" width="53" style="2196" customWidth="1"/>
    <col min="2344" max="2344" width="176.5" style="2196" customWidth="1"/>
    <col min="2345" max="2352" width="63" style="2196" customWidth="1"/>
    <col min="2353" max="2354" width="45.1640625" style="2196" customWidth="1"/>
    <col min="2355" max="2355" width="36.83203125" style="2196" customWidth="1"/>
    <col min="2356" max="2560" width="9.33203125" style="2196"/>
    <col min="2561" max="2561" width="176.6640625" style="2196" customWidth="1"/>
    <col min="2562" max="2573" width="55" style="2196" customWidth="1"/>
    <col min="2574" max="2574" width="176.6640625" style="2196" customWidth="1"/>
    <col min="2575" max="2586" width="53" style="2196" customWidth="1"/>
    <col min="2587" max="2587" width="176.5" style="2196" customWidth="1"/>
    <col min="2588" max="2599" width="53" style="2196" customWidth="1"/>
    <col min="2600" max="2600" width="176.5" style="2196" customWidth="1"/>
    <col min="2601" max="2608" width="63" style="2196" customWidth="1"/>
    <col min="2609" max="2610" width="45.1640625" style="2196" customWidth="1"/>
    <col min="2611" max="2611" width="36.83203125" style="2196" customWidth="1"/>
    <col min="2612" max="2816" width="9.33203125" style="2196"/>
    <col min="2817" max="2817" width="176.6640625" style="2196" customWidth="1"/>
    <col min="2818" max="2829" width="55" style="2196" customWidth="1"/>
    <col min="2830" max="2830" width="176.6640625" style="2196" customWidth="1"/>
    <col min="2831" max="2842" width="53" style="2196" customWidth="1"/>
    <col min="2843" max="2843" width="176.5" style="2196" customWidth="1"/>
    <col min="2844" max="2855" width="53" style="2196" customWidth="1"/>
    <col min="2856" max="2856" width="176.5" style="2196" customWidth="1"/>
    <col min="2857" max="2864" width="63" style="2196" customWidth="1"/>
    <col min="2865" max="2866" width="45.1640625" style="2196" customWidth="1"/>
    <col min="2867" max="2867" width="36.83203125" style="2196" customWidth="1"/>
    <col min="2868" max="3072" width="9.33203125" style="2196"/>
    <col min="3073" max="3073" width="176.6640625" style="2196" customWidth="1"/>
    <col min="3074" max="3085" width="55" style="2196" customWidth="1"/>
    <col min="3086" max="3086" width="176.6640625" style="2196" customWidth="1"/>
    <col min="3087" max="3098" width="53" style="2196" customWidth="1"/>
    <col min="3099" max="3099" width="176.5" style="2196" customWidth="1"/>
    <col min="3100" max="3111" width="53" style="2196" customWidth="1"/>
    <col min="3112" max="3112" width="176.5" style="2196" customWidth="1"/>
    <col min="3113" max="3120" width="63" style="2196" customWidth="1"/>
    <col min="3121" max="3122" width="45.1640625" style="2196" customWidth="1"/>
    <col min="3123" max="3123" width="36.83203125" style="2196" customWidth="1"/>
    <col min="3124" max="3328" width="9.33203125" style="2196"/>
    <col min="3329" max="3329" width="176.6640625" style="2196" customWidth="1"/>
    <col min="3330" max="3341" width="55" style="2196" customWidth="1"/>
    <col min="3342" max="3342" width="176.6640625" style="2196" customWidth="1"/>
    <col min="3343" max="3354" width="53" style="2196" customWidth="1"/>
    <col min="3355" max="3355" width="176.5" style="2196" customWidth="1"/>
    <col min="3356" max="3367" width="53" style="2196" customWidth="1"/>
    <col min="3368" max="3368" width="176.5" style="2196" customWidth="1"/>
    <col min="3369" max="3376" width="63" style="2196" customWidth="1"/>
    <col min="3377" max="3378" width="45.1640625" style="2196" customWidth="1"/>
    <col min="3379" max="3379" width="36.83203125" style="2196" customWidth="1"/>
    <col min="3380" max="3584" width="9.33203125" style="2196"/>
    <col min="3585" max="3585" width="176.6640625" style="2196" customWidth="1"/>
    <col min="3586" max="3597" width="55" style="2196" customWidth="1"/>
    <col min="3598" max="3598" width="176.6640625" style="2196" customWidth="1"/>
    <col min="3599" max="3610" width="53" style="2196" customWidth="1"/>
    <col min="3611" max="3611" width="176.5" style="2196" customWidth="1"/>
    <col min="3612" max="3623" width="53" style="2196" customWidth="1"/>
    <col min="3624" max="3624" width="176.5" style="2196" customWidth="1"/>
    <col min="3625" max="3632" width="63" style="2196" customWidth="1"/>
    <col min="3633" max="3634" width="45.1640625" style="2196" customWidth="1"/>
    <col min="3635" max="3635" width="36.83203125" style="2196" customWidth="1"/>
    <col min="3636" max="3840" width="9.33203125" style="2196"/>
    <col min="3841" max="3841" width="176.6640625" style="2196" customWidth="1"/>
    <col min="3842" max="3853" width="55" style="2196" customWidth="1"/>
    <col min="3854" max="3854" width="176.6640625" style="2196" customWidth="1"/>
    <col min="3855" max="3866" width="53" style="2196" customWidth="1"/>
    <col min="3867" max="3867" width="176.5" style="2196" customWidth="1"/>
    <col min="3868" max="3879" width="53" style="2196" customWidth="1"/>
    <col min="3880" max="3880" width="176.5" style="2196" customWidth="1"/>
    <col min="3881" max="3888" width="63" style="2196" customWidth="1"/>
    <col min="3889" max="3890" width="45.1640625" style="2196" customWidth="1"/>
    <col min="3891" max="3891" width="36.83203125" style="2196" customWidth="1"/>
    <col min="3892" max="4096" width="9.33203125" style="2196"/>
    <col min="4097" max="4097" width="176.6640625" style="2196" customWidth="1"/>
    <col min="4098" max="4109" width="55" style="2196" customWidth="1"/>
    <col min="4110" max="4110" width="176.6640625" style="2196" customWidth="1"/>
    <col min="4111" max="4122" width="53" style="2196" customWidth="1"/>
    <col min="4123" max="4123" width="176.5" style="2196" customWidth="1"/>
    <col min="4124" max="4135" width="53" style="2196" customWidth="1"/>
    <col min="4136" max="4136" width="176.5" style="2196" customWidth="1"/>
    <col min="4137" max="4144" width="63" style="2196" customWidth="1"/>
    <col min="4145" max="4146" width="45.1640625" style="2196" customWidth="1"/>
    <col min="4147" max="4147" width="36.83203125" style="2196" customWidth="1"/>
    <col min="4148" max="4352" width="9.33203125" style="2196"/>
    <col min="4353" max="4353" width="176.6640625" style="2196" customWidth="1"/>
    <col min="4354" max="4365" width="55" style="2196" customWidth="1"/>
    <col min="4366" max="4366" width="176.6640625" style="2196" customWidth="1"/>
    <col min="4367" max="4378" width="53" style="2196" customWidth="1"/>
    <col min="4379" max="4379" width="176.5" style="2196" customWidth="1"/>
    <col min="4380" max="4391" width="53" style="2196" customWidth="1"/>
    <col min="4392" max="4392" width="176.5" style="2196" customWidth="1"/>
    <col min="4393" max="4400" width="63" style="2196" customWidth="1"/>
    <col min="4401" max="4402" width="45.1640625" style="2196" customWidth="1"/>
    <col min="4403" max="4403" width="36.83203125" style="2196" customWidth="1"/>
    <col min="4404" max="4608" width="9.33203125" style="2196"/>
    <col min="4609" max="4609" width="176.6640625" style="2196" customWidth="1"/>
    <col min="4610" max="4621" width="55" style="2196" customWidth="1"/>
    <col min="4622" max="4622" width="176.6640625" style="2196" customWidth="1"/>
    <col min="4623" max="4634" width="53" style="2196" customWidth="1"/>
    <col min="4635" max="4635" width="176.5" style="2196" customWidth="1"/>
    <col min="4636" max="4647" width="53" style="2196" customWidth="1"/>
    <col min="4648" max="4648" width="176.5" style="2196" customWidth="1"/>
    <col min="4649" max="4656" width="63" style="2196" customWidth="1"/>
    <col min="4657" max="4658" width="45.1640625" style="2196" customWidth="1"/>
    <col min="4659" max="4659" width="36.83203125" style="2196" customWidth="1"/>
    <col min="4660" max="4864" width="9.33203125" style="2196"/>
    <col min="4865" max="4865" width="176.6640625" style="2196" customWidth="1"/>
    <col min="4866" max="4877" width="55" style="2196" customWidth="1"/>
    <col min="4878" max="4878" width="176.6640625" style="2196" customWidth="1"/>
    <col min="4879" max="4890" width="53" style="2196" customWidth="1"/>
    <col min="4891" max="4891" width="176.5" style="2196" customWidth="1"/>
    <col min="4892" max="4903" width="53" style="2196" customWidth="1"/>
    <col min="4904" max="4904" width="176.5" style="2196" customWidth="1"/>
    <col min="4905" max="4912" width="63" style="2196" customWidth="1"/>
    <col min="4913" max="4914" width="45.1640625" style="2196" customWidth="1"/>
    <col min="4915" max="4915" width="36.83203125" style="2196" customWidth="1"/>
    <col min="4916" max="5120" width="9.33203125" style="2196"/>
    <col min="5121" max="5121" width="176.6640625" style="2196" customWidth="1"/>
    <col min="5122" max="5133" width="55" style="2196" customWidth="1"/>
    <col min="5134" max="5134" width="176.6640625" style="2196" customWidth="1"/>
    <col min="5135" max="5146" width="53" style="2196" customWidth="1"/>
    <col min="5147" max="5147" width="176.5" style="2196" customWidth="1"/>
    <col min="5148" max="5159" width="53" style="2196" customWidth="1"/>
    <col min="5160" max="5160" width="176.5" style="2196" customWidth="1"/>
    <col min="5161" max="5168" width="63" style="2196" customWidth="1"/>
    <col min="5169" max="5170" width="45.1640625" style="2196" customWidth="1"/>
    <col min="5171" max="5171" width="36.83203125" style="2196" customWidth="1"/>
    <col min="5172" max="5376" width="9.33203125" style="2196"/>
    <col min="5377" max="5377" width="176.6640625" style="2196" customWidth="1"/>
    <col min="5378" max="5389" width="55" style="2196" customWidth="1"/>
    <col min="5390" max="5390" width="176.6640625" style="2196" customWidth="1"/>
    <col min="5391" max="5402" width="53" style="2196" customWidth="1"/>
    <col min="5403" max="5403" width="176.5" style="2196" customWidth="1"/>
    <col min="5404" max="5415" width="53" style="2196" customWidth="1"/>
    <col min="5416" max="5416" width="176.5" style="2196" customWidth="1"/>
    <col min="5417" max="5424" width="63" style="2196" customWidth="1"/>
    <col min="5425" max="5426" width="45.1640625" style="2196" customWidth="1"/>
    <col min="5427" max="5427" width="36.83203125" style="2196" customWidth="1"/>
    <col min="5428" max="5632" width="9.33203125" style="2196"/>
    <col min="5633" max="5633" width="176.6640625" style="2196" customWidth="1"/>
    <col min="5634" max="5645" width="55" style="2196" customWidth="1"/>
    <col min="5646" max="5646" width="176.6640625" style="2196" customWidth="1"/>
    <col min="5647" max="5658" width="53" style="2196" customWidth="1"/>
    <col min="5659" max="5659" width="176.5" style="2196" customWidth="1"/>
    <col min="5660" max="5671" width="53" style="2196" customWidth="1"/>
    <col min="5672" max="5672" width="176.5" style="2196" customWidth="1"/>
    <col min="5673" max="5680" width="63" style="2196" customWidth="1"/>
    <col min="5681" max="5682" width="45.1640625" style="2196" customWidth="1"/>
    <col min="5683" max="5683" width="36.83203125" style="2196" customWidth="1"/>
    <col min="5684" max="5888" width="9.33203125" style="2196"/>
    <col min="5889" max="5889" width="176.6640625" style="2196" customWidth="1"/>
    <col min="5890" max="5901" width="55" style="2196" customWidth="1"/>
    <col min="5902" max="5902" width="176.6640625" style="2196" customWidth="1"/>
    <col min="5903" max="5914" width="53" style="2196" customWidth="1"/>
    <col min="5915" max="5915" width="176.5" style="2196" customWidth="1"/>
    <col min="5916" max="5927" width="53" style="2196" customWidth="1"/>
    <col min="5928" max="5928" width="176.5" style="2196" customWidth="1"/>
    <col min="5929" max="5936" width="63" style="2196" customWidth="1"/>
    <col min="5937" max="5938" width="45.1640625" style="2196" customWidth="1"/>
    <col min="5939" max="5939" width="36.83203125" style="2196" customWidth="1"/>
    <col min="5940" max="6144" width="9.33203125" style="2196"/>
    <col min="6145" max="6145" width="176.6640625" style="2196" customWidth="1"/>
    <col min="6146" max="6157" width="55" style="2196" customWidth="1"/>
    <col min="6158" max="6158" width="176.6640625" style="2196" customWidth="1"/>
    <col min="6159" max="6170" width="53" style="2196" customWidth="1"/>
    <col min="6171" max="6171" width="176.5" style="2196" customWidth="1"/>
    <col min="6172" max="6183" width="53" style="2196" customWidth="1"/>
    <col min="6184" max="6184" width="176.5" style="2196" customWidth="1"/>
    <col min="6185" max="6192" width="63" style="2196" customWidth="1"/>
    <col min="6193" max="6194" width="45.1640625" style="2196" customWidth="1"/>
    <col min="6195" max="6195" width="36.83203125" style="2196" customWidth="1"/>
    <col min="6196" max="6400" width="9.33203125" style="2196"/>
    <col min="6401" max="6401" width="176.6640625" style="2196" customWidth="1"/>
    <col min="6402" max="6413" width="55" style="2196" customWidth="1"/>
    <col min="6414" max="6414" width="176.6640625" style="2196" customWidth="1"/>
    <col min="6415" max="6426" width="53" style="2196" customWidth="1"/>
    <col min="6427" max="6427" width="176.5" style="2196" customWidth="1"/>
    <col min="6428" max="6439" width="53" style="2196" customWidth="1"/>
    <col min="6440" max="6440" width="176.5" style="2196" customWidth="1"/>
    <col min="6441" max="6448" width="63" style="2196" customWidth="1"/>
    <col min="6449" max="6450" width="45.1640625" style="2196" customWidth="1"/>
    <col min="6451" max="6451" width="36.83203125" style="2196" customWidth="1"/>
    <col min="6452" max="6656" width="9.33203125" style="2196"/>
    <col min="6657" max="6657" width="176.6640625" style="2196" customWidth="1"/>
    <col min="6658" max="6669" width="55" style="2196" customWidth="1"/>
    <col min="6670" max="6670" width="176.6640625" style="2196" customWidth="1"/>
    <col min="6671" max="6682" width="53" style="2196" customWidth="1"/>
    <col min="6683" max="6683" width="176.5" style="2196" customWidth="1"/>
    <col min="6684" max="6695" width="53" style="2196" customWidth="1"/>
    <col min="6696" max="6696" width="176.5" style="2196" customWidth="1"/>
    <col min="6697" max="6704" width="63" style="2196" customWidth="1"/>
    <col min="6705" max="6706" width="45.1640625" style="2196" customWidth="1"/>
    <col min="6707" max="6707" width="36.83203125" style="2196" customWidth="1"/>
    <col min="6708" max="6912" width="9.33203125" style="2196"/>
    <col min="6913" max="6913" width="176.6640625" style="2196" customWidth="1"/>
    <col min="6914" max="6925" width="55" style="2196" customWidth="1"/>
    <col min="6926" max="6926" width="176.6640625" style="2196" customWidth="1"/>
    <col min="6927" max="6938" width="53" style="2196" customWidth="1"/>
    <col min="6939" max="6939" width="176.5" style="2196" customWidth="1"/>
    <col min="6940" max="6951" width="53" style="2196" customWidth="1"/>
    <col min="6952" max="6952" width="176.5" style="2196" customWidth="1"/>
    <col min="6953" max="6960" width="63" style="2196" customWidth="1"/>
    <col min="6961" max="6962" width="45.1640625" style="2196" customWidth="1"/>
    <col min="6963" max="6963" width="36.83203125" style="2196" customWidth="1"/>
    <col min="6964" max="7168" width="9.33203125" style="2196"/>
    <col min="7169" max="7169" width="176.6640625" style="2196" customWidth="1"/>
    <col min="7170" max="7181" width="55" style="2196" customWidth="1"/>
    <col min="7182" max="7182" width="176.6640625" style="2196" customWidth="1"/>
    <col min="7183" max="7194" width="53" style="2196" customWidth="1"/>
    <col min="7195" max="7195" width="176.5" style="2196" customWidth="1"/>
    <col min="7196" max="7207" width="53" style="2196" customWidth="1"/>
    <col min="7208" max="7208" width="176.5" style="2196" customWidth="1"/>
    <col min="7209" max="7216" width="63" style="2196" customWidth="1"/>
    <col min="7217" max="7218" width="45.1640625" style="2196" customWidth="1"/>
    <col min="7219" max="7219" width="36.83203125" style="2196" customWidth="1"/>
    <col min="7220" max="7424" width="9.33203125" style="2196"/>
    <col min="7425" max="7425" width="176.6640625" style="2196" customWidth="1"/>
    <col min="7426" max="7437" width="55" style="2196" customWidth="1"/>
    <col min="7438" max="7438" width="176.6640625" style="2196" customWidth="1"/>
    <col min="7439" max="7450" width="53" style="2196" customWidth="1"/>
    <col min="7451" max="7451" width="176.5" style="2196" customWidth="1"/>
    <col min="7452" max="7463" width="53" style="2196" customWidth="1"/>
    <col min="7464" max="7464" width="176.5" style="2196" customWidth="1"/>
    <col min="7465" max="7472" width="63" style="2196" customWidth="1"/>
    <col min="7473" max="7474" width="45.1640625" style="2196" customWidth="1"/>
    <col min="7475" max="7475" width="36.83203125" style="2196" customWidth="1"/>
    <col min="7476" max="7680" width="9.33203125" style="2196"/>
    <col min="7681" max="7681" width="176.6640625" style="2196" customWidth="1"/>
    <col min="7682" max="7693" width="55" style="2196" customWidth="1"/>
    <col min="7694" max="7694" width="176.6640625" style="2196" customWidth="1"/>
    <col min="7695" max="7706" width="53" style="2196" customWidth="1"/>
    <col min="7707" max="7707" width="176.5" style="2196" customWidth="1"/>
    <col min="7708" max="7719" width="53" style="2196" customWidth="1"/>
    <col min="7720" max="7720" width="176.5" style="2196" customWidth="1"/>
    <col min="7721" max="7728" width="63" style="2196" customWidth="1"/>
    <col min="7729" max="7730" width="45.1640625" style="2196" customWidth="1"/>
    <col min="7731" max="7731" width="36.83203125" style="2196" customWidth="1"/>
    <col min="7732" max="7936" width="9.33203125" style="2196"/>
    <col min="7937" max="7937" width="176.6640625" style="2196" customWidth="1"/>
    <col min="7938" max="7949" width="55" style="2196" customWidth="1"/>
    <col min="7950" max="7950" width="176.6640625" style="2196" customWidth="1"/>
    <col min="7951" max="7962" width="53" style="2196" customWidth="1"/>
    <col min="7963" max="7963" width="176.5" style="2196" customWidth="1"/>
    <col min="7964" max="7975" width="53" style="2196" customWidth="1"/>
    <col min="7976" max="7976" width="176.5" style="2196" customWidth="1"/>
    <col min="7977" max="7984" width="63" style="2196" customWidth="1"/>
    <col min="7985" max="7986" width="45.1640625" style="2196" customWidth="1"/>
    <col min="7987" max="7987" width="36.83203125" style="2196" customWidth="1"/>
    <col min="7988" max="8192" width="9.33203125" style="2196"/>
    <col min="8193" max="8193" width="176.6640625" style="2196" customWidth="1"/>
    <col min="8194" max="8205" width="55" style="2196" customWidth="1"/>
    <col min="8206" max="8206" width="176.6640625" style="2196" customWidth="1"/>
    <col min="8207" max="8218" width="53" style="2196" customWidth="1"/>
    <col min="8219" max="8219" width="176.5" style="2196" customWidth="1"/>
    <col min="8220" max="8231" width="53" style="2196" customWidth="1"/>
    <col min="8232" max="8232" width="176.5" style="2196" customWidth="1"/>
    <col min="8233" max="8240" width="63" style="2196" customWidth="1"/>
    <col min="8241" max="8242" width="45.1640625" style="2196" customWidth="1"/>
    <col min="8243" max="8243" width="36.83203125" style="2196" customWidth="1"/>
    <col min="8244" max="8448" width="9.33203125" style="2196"/>
    <col min="8449" max="8449" width="176.6640625" style="2196" customWidth="1"/>
    <col min="8450" max="8461" width="55" style="2196" customWidth="1"/>
    <col min="8462" max="8462" width="176.6640625" style="2196" customWidth="1"/>
    <col min="8463" max="8474" width="53" style="2196" customWidth="1"/>
    <col min="8475" max="8475" width="176.5" style="2196" customWidth="1"/>
    <col min="8476" max="8487" width="53" style="2196" customWidth="1"/>
    <col min="8488" max="8488" width="176.5" style="2196" customWidth="1"/>
    <col min="8489" max="8496" width="63" style="2196" customWidth="1"/>
    <col min="8497" max="8498" width="45.1640625" style="2196" customWidth="1"/>
    <col min="8499" max="8499" width="36.83203125" style="2196" customWidth="1"/>
    <col min="8500" max="8704" width="9.33203125" style="2196"/>
    <col min="8705" max="8705" width="176.6640625" style="2196" customWidth="1"/>
    <col min="8706" max="8717" width="55" style="2196" customWidth="1"/>
    <col min="8718" max="8718" width="176.6640625" style="2196" customWidth="1"/>
    <col min="8719" max="8730" width="53" style="2196" customWidth="1"/>
    <col min="8731" max="8731" width="176.5" style="2196" customWidth="1"/>
    <col min="8732" max="8743" width="53" style="2196" customWidth="1"/>
    <col min="8744" max="8744" width="176.5" style="2196" customWidth="1"/>
    <col min="8745" max="8752" width="63" style="2196" customWidth="1"/>
    <col min="8753" max="8754" width="45.1640625" style="2196" customWidth="1"/>
    <col min="8755" max="8755" width="36.83203125" style="2196" customWidth="1"/>
    <col min="8756" max="8960" width="9.33203125" style="2196"/>
    <col min="8961" max="8961" width="176.6640625" style="2196" customWidth="1"/>
    <col min="8962" max="8973" width="55" style="2196" customWidth="1"/>
    <col min="8974" max="8974" width="176.6640625" style="2196" customWidth="1"/>
    <col min="8975" max="8986" width="53" style="2196" customWidth="1"/>
    <col min="8987" max="8987" width="176.5" style="2196" customWidth="1"/>
    <col min="8988" max="8999" width="53" style="2196" customWidth="1"/>
    <col min="9000" max="9000" width="176.5" style="2196" customWidth="1"/>
    <col min="9001" max="9008" width="63" style="2196" customWidth="1"/>
    <col min="9009" max="9010" width="45.1640625" style="2196" customWidth="1"/>
    <col min="9011" max="9011" width="36.83203125" style="2196" customWidth="1"/>
    <col min="9012" max="9216" width="9.33203125" style="2196"/>
    <col min="9217" max="9217" width="176.6640625" style="2196" customWidth="1"/>
    <col min="9218" max="9229" width="55" style="2196" customWidth="1"/>
    <col min="9230" max="9230" width="176.6640625" style="2196" customWidth="1"/>
    <col min="9231" max="9242" width="53" style="2196" customWidth="1"/>
    <col min="9243" max="9243" width="176.5" style="2196" customWidth="1"/>
    <col min="9244" max="9255" width="53" style="2196" customWidth="1"/>
    <col min="9256" max="9256" width="176.5" style="2196" customWidth="1"/>
    <col min="9257" max="9264" width="63" style="2196" customWidth="1"/>
    <col min="9265" max="9266" width="45.1640625" style="2196" customWidth="1"/>
    <col min="9267" max="9267" width="36.83203125" style="2196" customWidth="1"/>
    <col min="9268" max="9472" width="9.33203125" style="2196"/>
    <col min="9473" max="9473" width="176.6640625" style="2196" customWidth="1"/>
    <col min="9474" max="9485" width="55" style="2196" customWidth="1"/>
    <col min="9486" max="9486" width="176.6640625" style="2196" customWidth="1"/>
    <col min="9487" max="9498" width="53" style="2196" customWidth="1"/>
    <col min="9499" max="9499" width="176.5" style="2196" customWidth="1"/>
    <col min="9500" max="9511" width="53" style="2196" customWidth="1"/>
    <col min="9512" max="9512" width="176.5" style="2196" customWidth="1"/>
    <col min="9513" max="9520" width="63" style="2196" customWidth="1"/>
    <col min="9521" max="9522" width="45.1640625" style="2196" customWidth="1"/>
    <col min="9523" max="9523" width="36.83203125" style="2196" customWidth="1"/>
    <col min="9524" max="9728" width="9.33203125" style="2196"/>
    <col min="9729" max="9729" width="176.6640625" style="2196" customWidth="1"/>
    <col min="9730" max="9741" width="55" style="2196" customWidth="1"/>
    <col min="9742" max="9742" width="176.6640625" style="2196" customWidth="1"/>
    <col min="9743" max="9754" width="53" style="2196" customWidth="1"/>
    <col min="9755" max="9755" width="176.5" style="2196" customWidth="1"/>
    <col min="9756" max="9767" width="53" style="2196" customWidth="1"/>
    <col min="9768" max="9768" width="176.5" style="2196" customWidth="1"/>
    <col min="9769" max="9776" width="63" style="2196" customWidth="1"/>
    <col min="9777" max="9778" width="45.1640625" style="2196" customWidth="1"/>
    <col min="9779" max="9779" width="36.83203125" style="2196" customWidth="1"/>
    <col min="9780" max="9984" width="9.33203125" style="2196"/>
    <col min="9985" max="9985" width="176.6640625" style="2196" customWidth="1"/>
    <col min="9986" max="9997" width="55" style="2196" customWidth="1"/>
    <col min="9998" max="9998" width="176.6640625" style="2196" customWidth="1"/>
    <col min="9999" max="10010" width="53" style="2196" customWidth="1"/>
    <col min="10011" max="10011" width="176.5" style="2196" customWidth="1"/>
    <col min="10012" max="10023" width="53" style="2196" customWidth="1"/>
    <col min="10024" max="10024" width="176.5" style="2196" customWidth="1"/>
    <col min="10025" max="10032" width="63" style="2196" customWidth="1"/>
    <col min="10033" max="10034" width="45.1640625" style="2196" customWidth="1"/>
    <col min="10035" max="10035" width="36.83203125" style="2196" customWidth="1"/>
    <col min="10036" max="10240" width="9.33203125" style="2196"/>
    <col min="10241" max="10241" width="176.6640625" style="2196" customWidth="1"/>
    <col min="10242" max="10253" width="55" style="2196" customWidth="1"/>
    <col min="10254" max="10254" width="176.6640625" style="2196" customWidth="1"/>
    <col min="10255" max="10266" width="53" style="2196" customWidth="1"/>
    <col min="10267" max="10267" width="176.5" style="2196" customWidth="1"/>
    <col min="10268" max="10279" width="53" style="2196" customWidth="1"/>
    <col min="10280" max="10280" width="176.5" style="2196" customWidth="1"/>
    <col min="10281" max="10288" width="63" style="2196" customWidth="1"/>
    <col min="10289" max="10290" width="45.1640625" style="2196" customWidth="1"/>
    <col min="10291" max="10291" width="36.83203125" style="2196" customWidth="1"/>
    <col min="10292" max="10496" width="9.33203125" style="2196"/>
    <col min="10497" max="10497" width="176.6640625" style="2196" customWidth="1"/>
    <col min="10498" max="10509" width="55" style="2196" customWidth="1"/>
    <col min="10510" max="10510" width="176.6640625" style="2196" customWidth="1"/>
    <col min="10511" max="10522" width="53" style="2196" customWidth="1"/>
    <col min="10523" max="10523" width="176.5" style="2196" customWidth="1"/>
    <col min="10524" max="10535" width="53" style="2196" customWidth="1"/>
    <col min="10536" max="10536" width="176.5" style="2196" customWidth="1"/>
    <col min="10537" max="10544" width="63" style="2196" customWidth="1"/>
    <col min="10545" max="10546" width="45.1640625" style="2196" customWidth="1"/>
    <col min="10547" max="10547" width="36.83203125" style="2196" customWidth="1"/>
    <col min="10548" max="10752" width="9.33203125" style="2196"/>
    <col min="10753" max="10753" width="176.6640625" style="2196" customWidth="1"/>
    <col min="10754" max="10765" width="55" style="2196" customWidth="1"/>
    <col min="10766" max="10766" width="176.6640625" style="2196" customWidth="1"/>
    <col min="10767" max="10778" width="53" style="2196" customWidth="1"/>
    <col min="10779" max="10779" width="176.5" style="2196" customWidth="1"/>
    <col min="10780" max="10791" width="53" style="2196" customWidth="1"/>
    <col min="10792" max="10792" width="176.5" style="2196" customWidth="1"/>
    <col min="10793" max="10800" width="63" style="2196" customWidth="1"/>
    <col min="10801" max="10802" width="45.1640625" style="2196" customWidth="1"/>
    <col min="10803" max="10803" width="36.83203125" style="2196" customWidth="1"/>
    <col min="10804" max="11008" width="9.33203125" style="2196"/>
    <col min="11009" max="11009" width="176.6640625" style="2196" customWidth="1"/>
    <col min="11010" max="11021" width="55" style="2196" customWidth="1"/>
    <col min="11022" max="11022" width="176.6640625" style="2196" customWidth="1"/>
    <col min="11023" max="11034" width="53" style="2196" customWidth="1"/>
    <col min="11035" max="11035" width="176.5" style="2196" customWidth="1"/>
    <col min="11036" max="11047" width="53" style="2196" customWidth="1"/>
    <col min="11048" max="11048" width="176.5" style="2196" customWidth="1"/>
    <col min="11049" max="11056" width="63" style="2196" customWidth="1"/>
    <col min="11057" max="11058" width="45.1640625" style="2196" customWidth="1"/>
    <col min="11059" max="11059" width="36.83203125" style="2196" customWidth="1"/>
    <col min="11060" max="11264" width="9.33203125" style="2196"/>
    <col min="11265" max="11265" width="176.6640625" style="2196" customWidth="1"/>
    <col min="11266" max="11277" width="55" style="2196" customWidth="1"/>
    <col min="11278" max="11278" width="176.6640625" style="2196" customWidth="1"/>
    <col min="11279" max="11290" width="53" style="2196" customWidth="1"/>
    <col min="11291" max="11291" width="176.5" style="2196" customWidth="1"/>
    <col min="11292" max="11303" width="53" style="2196" customWidth="1"/>
    <col min="11304" max="11304" width="176.5" style="2196" customWidth="1"/>
    <col min="11305" max="11312" width="63" style="2196" customWidth="1"/>
    <col min="11313" max="11314" width="45.1640625" style="2196" customWidth="1"/>
    <col min="11315" max="11315" width="36.83203125" style="2196" customWidth="1"/>
    <col min="11316" max="11520" width="9.33203125" style="2196"/>
    <col min="11521" max="11521" width="176.6640625" style="2196" customWidth="1"/>
    <col min="11522" max="11533" width="55" style="2196" customWidth="1"/>
    <col min="11534" max="11534" width="176.6640625" style="2196" customWidth="1"/>
    <col min="11535" max="11546" width="53" style="2196" customWidth="1"/>
    <col min="11547" max="11547" width="176.5" style="2196" customWidth="1"/>
    <col min="11548" max="11559" width="53" style="2196" customWidth="1"/>
    <col min="11560" max="11560" width="176.5" style="2196" customWidth="1"/>
    <col min="11561" max="11568" width="63" style="2196" customWidth="1"/>
    <col min="11569" max="11570" width="45.1640625" style="2196" customWidth="1"/>
    <col min="11571" max="11571" width="36.83203125" style="2196" customWidth="1"/>
    <col min="11572" max="11776" width="9.33203125" style="2196"/>
    <col min="11777" max="11777" width="176.6640625" style="2196" customWidth="1"/>
    <col min="11778" max="11789" width="55" style="2196" customWidth="1"/>
    <col min="11790" max="11790" width="176.6640625" style="2196" customWidth="1"/>
    <col min="11791" max="11802" width="53" style="2196" customWidth="1"/>
    <col min="11803" max="11803" width="176.5" style="2196" customWidth="1"/>
    <col min="11804" max="11815" width="53" style="2196" customWidth="1"/>
    <col min="11816" max="11816" width="176.5" style="2196" customWidth="1"/>
    <col min="11817" max="11824" width="63" style="2196" customWidth="1"/>
    <col min="11825" max="11826" width="45.1640625" style="2196" customWidth="1"/>
    <col min="11827" max="11827" width="36.83203125" style="2196" customWidth="1"/>
    <col min="11828" max="12032" width="9.33203125" style="2196"/>
    <col min="12033" max="12033" width="176.6640625" style="2196" customWidth="1"/>
    <col min="12034" max="12045" width="55" style="2196" customWidth="1"/>
    <col min="12046" max="12046" width="176.6640625" style="2196" customWidth="1"/>
    <col min="12047" max="12058" width="53" style="2196" customWidth="1"/>
    <col min="12059" max="12059" width="176.5" style="2196" customWidth="1"/>
    <col min="12060" max="12071" width="53" style="2196" customWidth="1"/>
    <col min="12072" max="12072" width="176.5" style="2196" customWidth="1"/>
    <col min="12073" max="12080" width="63" style="2196" customWidth="1"/>
    <col min="12081" max="12082" width="45.1640625" style="2196" customWidth="1"/>
    <col min="12083" max="12083" width="36.83203125" style="2196" customWidth="1"/>
    <col min="12084" max="12288" width="9.33203125" style="2196"/>
    <col min="12289" max="12289" width="176.6640625" style="2196" customWidth="1"/>
    <col min="12290" max="12301" width="55" style="2196" customWidth="1"/>
    <col min="12302" max="12302" width="176.6640625" style="2196" customWidth="1"/>
    <col min="12303" max="12314" width="53" style="2196" customWidth="1"/>
    <col min="12315" max="12315" width="176.5" style="2196" customWidth="1"/>
    <col min="12316" max="12327" width="53" style="2196" customWidth="1"/>
    <col min="12328" max="12328" width="176.5" style="2196" customWidth="1"/>
    <col min="12329" max="12336" width="63" style="2196" customWidth="1"/>
    <col min="12337" max="12338" width="45.1640625" style="2196" customWidth="1"/>
    <col min="12339" max="12339" width="36.83203125" style="2196" customWidth="1"/>
    <col min="12340" max="12544" width="9.33203125" style="2196"/>
    <col min="12545" max="12545" width="176.6640625" style="2196" customWidth="1"/>
    <col min="12546" max="12557" width="55" style="2196" customWidth="1"/>
    <col min="12558" max="12558" width="176.6640625" style="2196" customWidth="1"/>
    <col min="12559" max="12570" width="53" style="2196" customWidth="1"/>
    <col min="12571" max="12571" width="176.5" style="2196" customWidth="1"/>
    <col min="12572" max="12583" width="53" style="2196" customWidth="1"/>
    <col min="12584" max="12584" width="176.5" style="2196" customWidth="1"/>
    <col min="12585" max="12592" width="63" style="2196" customWidth="1"/>
    <col min="12593" max="12594" width="45.1640625" style="2196" customWidth="1"/>
    <col min="12595" max="12595" width="36.83203125" style="2196" customWidth="1"/>
    <col min="12596" max="12800" width="9.33203125" style="2196"/>
    <col min="12801" max="12801" width="176.6640625" style="2196" customWidth="1"/>
    <col min="12802" max="12813" width="55" style="2196" customWidth="1"/>
    <col min="12814" max="12814" width="176.6640625" style="2196" customWidth="1"/>
    <col min="12815" max="12826" width="53" style="2196" customWidth="1"/>
    <col min="12827" max="12827" width="176.5" style="2196" customWidth="1"/>
    <col min="12828" max="12839" width="53" style="2196" customWidth="1"/>
    <col min="12840" max="12840" width="176.5" style="2196" customWidth="1"/>
    <col min="12841" max="12848" width="63" style="2196" customWidth="1"/>
    <col min="12849" max="12850" width="45.1640625" style="2196" customWidth="1"/>
    <col min="12851" max="12851" width="36.83203125" style="2196" customWidth="1"/>
    <col min="12852" max="13056" width="9.33203125" style="2196"/>
    <col min="13057" max="13057" width="176.6640625" style="2196" customWidth="1"/>
    <col min="13058" max="13069" width="55" style="2196" customWidth="1"/>
    <col min="13070" max="13070" width="176.6640625" style="2196" customWidth="1"/>
    <col min="13071" max="13082" width="53" style="2196" customWidth="1"/>
    <col min="13083" max="13083" width="176.5" style="2196" customWidth="1"/>
    <col min="13084" max="13095" width="53" style="2196" customWidth="1"/>
    <col min="13096" max="13096" width="176.5" style="2196" customWidth="1"/>
    <col min="13097" max="13104" width="63" style="2196" customWidth="1"/>
    <col min="13105" max="13106" width="45.1640625" style="2196" customWidth="1"/>
    <col min="13107" max="13107" width="36.83203125" style="2196" customWidth="1"/>
    <col min="13108" max="13312" width="9.33203125" style="2196"/>
    <col min="13313" max="13313" width="176.6640625" style="2196" customWidth="1"/>
    <col min="13314" max="13325" width="55" style="2196" customWidth="1"/>
    <col min="13326" max="13326" width="176.6640625" style="2196" customWidth="1"/>
    <col min="13327" max="13338" width="53" style="2196" customWidth="1"/>
    <col min="13339" max="13339" width="176.5" style="2196" customWidth="1"/>
    <col min="13340" max="13351" width="53" style="2196" customWidth="1"/>
    <col min="13352" max="13352" width="176.5" style="2196" customWidth="1"/>
    <col min="13353" max="13360" width="63" style="2196" customWidth="1"/>
    <col min="13361" max="13362" width="45.1640625" style="2196" customWidth="1"/>
    <col min="13363" max="13363" width="36.83203125" style="2196" customWidth="1"/>
    <col min="13364" max="13568" width="9.33203125" style="2196"/>
    <col min="13569" max="13569" width="176.6640625" style="2196" customWidth="1"/>
    <col min="13570" max="13581" width="55" style="2196" customWidth="1"/>
    <col min="13582" max="13582" width="176.6640625" style="2196" customWidth="1"/>
    <col min="13583" max="13594" width="53" style="2196" customWidth="1"/>
    <col min="13595" max="13595" width="176.5" style="2196" customWidth="1"/>
    <col min="13596" max="13607" width="53" style="2196" customWidth="1"/>
    <col min="13608" max="13608" width="176.5" style="2196" customWidth="1"/>
    <col min="13609" max="13616" width="63" style="2196" customWidth="1"/>
    <col min="13617" max="13618" width="45.1640625" style="2196" customWidth="1"/>
    <col min="13619" max="13619" width="36.83203125" style="2196" customWidth="1"/>
    <col min="13620" max="13824" width="9.33203125" style="2196"/>
    <col min="13825" max="13825" width="176.6640625" style="2196" customWidth="1"/>
    <col min="13826" max="13837" width="55" style="2196" customWidth="1"/>
    <col min="13838" max="13838" width="176.6640625" style="2196" customWidth="1"/>
    <col min="13839" max="13850" width="53" style="2196" customWidth="1"/>
    <col min="13851" max="13851" width="176.5" style="2196" customWidth="1"/>
    <col min="13852" max="13863" width="53" style="2196" customWidth="1"/>
    <col min="13864" max="13864" width="176.5" style="2196" customWidth="1"/>
    <col min="13865" max="13872" width="63" style="2196" customWidth="1"/>
    <col min="13873" max="13874" width="45.1640625" style="2196" customWidth="1"/>
    <col min="13875" max="13875" width="36.83203125" style="2196" customWidth="1"/>
    <col min="13876" max="14080" width="9.33203125" style="2196"/>
    <col min="14081" max="14081" width="176.6640625" style="2196" customWidth="1"/>
    <col min="14082" max="14093" width="55" style="2196" customWidth="1"/>
    <col min="14094" max="14094" width="176.6640625" style="2196" customWidth="1"/>
    <col min="14095" max="14106" width="53" style="2196" customWidth="1"/>
    <col min="14107" max="14107" width="176.5" style="2196" customWidth="1"/>
    <col min="14108" max="14119" width="53" style="2196" customWidth="1"/>
    <col min="14120" max="14120" width="176.5" style="2196" customWidth="1"/>
    <col min="14121" max="14128" width="63" style="2196" customWidth="1"/>
    <col min="14129" max="14130" width="45.1640625" style="2196" customWidth="1"/>
    <col min="14131" max="14131" width="36.83203125" style="2196" customWidth="1"/>
    <col min="14132" max="14336" width="9.33203125" style="2196"/>
    <col min="14337" max="14337" width="176.6640625" style="2196" customWidth="1"/>
    <col min="14338" max="14349" width="55" style="2196" customWidth="1"/>
    <col min="14350" max="14350" width="176.6640625" style="2196" customWidth="1"/>
    <col min="14351" max="14362" width="53" style="2196" customWidth="1"/>
    <col min="14363" max="14363" width="176.5" style="2196" customWidth="1"/>
    <col min="14364" max="14375" width="53" style="2196" customWidth="1"/>
    <col min="14376" max="14376" width="176.5" style="2196" customWidth="1"/>
    <col min="14377" max="14384" width="63" style="2196" customWidth="1"/>
    <col min="14385" max="14386" width="45.1640625" style="2196" customWidth="1"/>
    <col min="14387" max="14387" width="36.83203125" style="2196" customWidth="1"/>
    <col min="14388" max="14592" width="9.33203125" style="2196"/>
    <col min="14593" max="14593" width="176.6640625" style="2196" customWidth="1"/>
    <col min="14594" max="14605" width="55" style="2196" customWidth="1"/>
    <col min="14606" max="14606" width="176.6640625" style="2196" customWidth="1"/>
    <col min="14607" max="14618" width="53" style="2196" customWidth="1"/>
    <col min="14619" max="14619" width="176.5" style="2196" customWidth="1"/>
    <col min="14620" max="14631" width="53" style="2196" customWidth="1"/>
    <col min="14632" max="14632" width="176.5" style="2196" customWidth="1"/>
    <col min="14633" max="14640" width="63" style="2196" customWidth="1"/>
    <col min="14641" max="14642" width="45.1640625" style="2196" customWidth="1"/>
    <col min="14643" max="14643" width="36.83203125" style="2196" customWidth="1"/>
    <col min="14644" max="14848" width="9.33203125" style="2196"/>
    <col min="14849" max="14849" width="176.6640625" style="2196" customWidth="1"/>
    <col min="14850" max="14861" width="55" style="2196" customWidth="1"/>
    <col min="14862" max="14862" width="176.6640625" style="2196" customWidth="1"/>
    <col min="14863" max="14874" width="53" style="2196" customWidth="1"/>
    <col min="14875" max="14875" width="176.5" style="2196" customWidth="1"/>
    <col min="14876" max="14887" width="53" style="2196" customWidth="1"/>
    <col min="14888" max="14888" width="176.5" style="2196" customWidth="1"/>
    <col min="14889" max="14896" width="63" style="2196" customWidth="1"/>
    <col min="14897" max="14898" width="45.1640625" style="2196" customWidth="1"/>
    <col min="14899" max="14899" width="36.83203125" style="2196" customWidth="1"/>
    <col min="14900" max="15104" width="9.33203125" style="2196"/>
    <col min="15105" max="15105" width="176.6640625" style="2196" customWidth="1"/>
    <col min="15106" max="15117" width="55" style="2196" customWidth="1"/>
    <col min="15118" max="15118" width="176.6640625" style="2196" customWidth="1"/>
    <col min="15119" max="15130" width="53" style="2196" customWidth="1"/>
    <col min="15131" max="15131" width="176.5" style="2196" customWidth="1"/>
    <col min="15132" max="15143" width="53" style="2196" customWidth="1"/>
    <col min="15144" max="15144" width="176.5" style="2196" customWidth="1"/>
    <col min="15145" max="15152" width="63" style="2196" customWidth="1"/>
    <col min="15153" max="15154" width="45.1640625" style="2196" customWidth="1"/>
    <col min="15155" max="15155" width="36.83203125" style="2196" customWidth="1"/>
    <col min="15156" max="15360" width="9.33203125" style="2196"/>
    <col min="15361" max="15361" width="176.6640625" style="2196" customWidth="1"/>
    <col min="15362" max="15373" width="55" style="2196" customWidth="1"/>
    <col min="15374" max="15374" width="176.6640625" style="2196" customWidth="1"/>
    <col min="15375" max="15386" width="53" style="2196" customWidth="1"/>
    <col min="15387" max="15387" width="176.5" style="2196" customWidth="1"/>
    <col min="15388" max="15399" width="53" style="2196" customWidth="1"/>
    <col min="15400" max="15400" width="176.5" style="2196" customWidth="1"/>
    <col min="15401" max="15408" width="63" style="2196" customWidth="1"/>
    <col min="15409" max="15410" width="45.1640625" style="2196" customWidth="1"/>
    <col min="15411" max="15411" width="36.83203125" style="2196" customWidth="1"/>
    <col min="15412" max="15616" width="9.33203125" style="2196"/>
    <col min="15617" max="15617" width="176.6640625" style="2196" customWidth="1"/>
    <col min="15618" max="15629" width="55" style="2196" customWidth="1"/>
    <col min="15630" max="15630" width="176.6640625" style="2196" customWidth="1"/>
    <col min="15631" max="15642" width="53" style="2196" customWidth="1"/>
    <col min="15643" max="15643" width="176.5" style="2196" customWidth="1"/>
    <col min="15644" max="15655" width="53" style="2196" customWidth="1"/>
    <col min="15656" max="15656" width="176.5" style="2196" customWidth="1"/>
    <col min="15657" max="15664" width="63" style="2196" customWidth="1"/>
    <col min="15665" max="15666" width="45.1640625" style="2196" customWidth="1"/>
    <col min="15667" max="15667" width="36.83203125" style="2196" customWidth="1"/>
    <col min="15668" max="15872" width="9.33203125" style="2196"/>
    <col min="15873" max="15873" width="176.6640625" style="2196" customWidth="1"/>
    <col min="15874" max="15885" width="55" style="2196" customWidth="1"/>
    <col min="15886" max="15886" width="176.6640625" style="2196" customWidth="1"/>
    <col min="15887" max="15898" width="53" style="2196" customWidth="1"/>
    <col min="15899" max="15899" width="176.5" style="2196" customWidth="1"/>
    <col min="15900" max="15911" width="53" style="2196" customWidth="1"/>
    <col min="15912" max="15912" width="176.5" style="2196" customWidth="1"/>
    <col min="15913" max="15920" width="63" style="2196" customWidth="1"/>
    <col min="15921" max="15922" width="45.1640625" style="2196" customWidth="1"/>
    <col min="15923" max="15923" width="36.83203125" style="2196" customWidth="1"/>
    <col min="15924" max="16128" width="9.33203125" style="2196"/>
    <col min="16129" max="16129" width="176.6640625" style="2196" customWidth="1"/>
    <col min="16130" max="16141" width="55" style="2196" customWidth="1"/>
    <col min="16142" max="16142" width="176.6640625" style="2196" customWidth="1"/>
    <col min="16143" max="16154" width="53" style="2196" customWidth="1"/>
    <col min="16155" max="16155" width="176.5" style="2196" customWidth="1"/>
    <col min="16156" max="16167" width="53" style="2196" customWidth="1"/>
    <col min="16168" max="16168" width="176.5" style="2196" customWidth="1"/>
    <col min="16169" max="16176" width="63" style="2196" customWidth="1"/>
    <col min="16177" max="16178" width="45.1640625" style="2196" customWidth="1"/>
    <col min="16179" max="16179" width="36.83203125" style="2196" customWidth="1"/>
    <col min="16180" max="16384" width="9.33203125" style="2196"/>
  </cols>
  <sheetData>
    <row r="1" spans="1:51" ht="38.25" customHeight="1" x14ac:dyDescent="0.3"/>
    <row r="2" spans="1:51" s="2553" customFormat="1" ht="54" customHeight="1" x14ac:dyDescent="0.65">
      <c r="A2" s="2689" t="s">
        <v>820</v>
      </c>
      <c r="B2" s="2689"/>
      <c r="C2" s="2689"/>
      <c r="D2" s="2689"/>
      <c r="E2" s="2689"/>
      <c r="F2" s="2689"/>
      <c r="G2" s="2689"/>
      <c r="H2" s="2689"/>
      <c r="I2" s="2689"/>
      <c r="J2" s="2689"/>
      <c r="K2" s="2689"/>
      <c r="L2" s="2689"/>
      <c r="M2" s="2689"/>
      <c r="N2" s="2689" t="s">
        <v>820</v>
      </c>
      <c r="O2" s="2689"/>
      <c r="P2" s="2689"/>
      <c r="Q2" s="2689"/>
      <c r="R2" s="2689"/>
      <c r="S2" s="2689"/>
      <c r="T2" s="2689"/>
      <c r="U2" s="2689"/>
      <c r="V2" s="2689"/>
      <c r="W2" s="2689"/>
      <c r="X2" s="2689"/>
      <c r="Y2" s="2689"/>
      <c r="Z2" s="2689"/>
      <c r="AA2" s="2689" t="s">
        <v>820</v>
      </c>
      <c r="AB2" s="2689"/>
      <c r="AC2" s="2689"/>
      <c r="AD2" s="2689"/>
      <c r="AE2" s="2689"/>
      <c r="AF2" s="2689"/>
      <c r="AG2" s="2689"/>
      <c r="AH2" s="2689"/>
      <c r="AI2" s="2689"/>
      <c r="AJ2" s="2689"/>
      <c r="AK2" s="2689"/>
      <c r="AL2" s="2689"/>
      <c r="AM2" s="2689"/>
      <c r="AN2" s="2689" t="s">
        <v>820</v>
      </c>
      <c r="AO2" s="2689"/>
      <c r="AP2" s="2689"/>
      <c r="AQ2" s="2689"/>
      <c r="AR2" s="2689"/>
      <c r="AS2" s="2689"/>
      <c r="AT2" s="2689"/>
      <c r="AU2" s="2689"/>
      <c r="AV2" s="2689"/>
      <c r="AW2" s="2552"/>
      <c r="AX2" s="2552"/>
      <c r="AY2" s="2552"/>
    </row>
    <row r="3" spans="1:51" s="2553" customFormat="1" ht="54" customHeight="1" x14ac:dyDescent="0.65">
      <c r="A3" s="2689" t="s">
        <v>1476</v>
      </c>
      <c r="B3" s="2689"/>
      <c r="C3" s="2689"/>
      <c r="D3" s="2689"/>
      <c r="E3" s="2689"/>
      <c r="F3" s="2689"/>
      <c r="G3" s="2689"/>
      <c r="H3" s="2689"/>
      <c r="I3" s="2689"/>
      <c r="J3" s="2689"/>
      <c r="K3" s="2689"/>
      <c r="L3" s="2689"/>
      <c r="M3" s="2689"/>
      <c r="N3" s="2689" t="s">
        <v>1476</v>
      </c>
      <c r="O3" s="2689"/>
      <c r="P3" s="2689"/>
      <c r="Q3" s="2689"/>
      <c r="R3" s="2689"/>
      <c r="S3" s="2689"/>
      <c r="T3" s="2689"/>
      <c r="U3" s="2689"/>
      <c r="V3" s="2689"/>
      <c r="W3" s="2689"/>
      <c r="X3" s="2689"/>
      <c r="Y3" s="2689"/>
      <c r="Z3" s="2689"/>
      <c r="AA3" s="2689" t="s">
        <v>1476</v>
      </c>
      <c r="AB3" s="2689"/>
      <c r="AC3" s="2689"/>
      <c r="AD3" s="2689"/>
      <c r="AE3" s="2689"/>
      <c r="AF3" s="2689"/>
      <c r="AG3" s="2689"/>
      <c r="AH3" s="2689"/>
      <c r="AI3" s="2689"/>
      <c r="AJ3" s="2689"/>
      <c r="AK3" s="2689"/>
      <c r="AL3" s="2689"/>
      <c r="AM3" s="2689"/>
      <c r="AN3" s="2689" t="s">
        <v>1476</v>
      </c>
      <c r="AO3" s="2689"/>
      <c r="AP3" s="2689"/>
      <c r="AQ3" s="2689"/>
      <c r="AR3" s="2689"/>
      <c r="AS3" s="2689"/>
      <c r="AT3" s="2689"/>
      <c r="AU3" s="2689"/>
      <c r="AV3" s="2689"/>
      <c r="AW3" s="2552"/>
      <c r="AX3" s="2552"/>
      <c r="AY3" s="2552"/>
    </row>
    <row r="4" spans="1:51" ht="62.25" customHeight="1" thickBot="1" x14ac:dyDescent="0.35"/>
    <row r="5" spans="1:51" s="2200" customFormat="1" ht="55.5" customHeight="1" x14ac:dyDescent="0.5">
      <c r="A5" s="2197"/>
      <c r="B5" s="2680" t="s">
        <v>837</v>
      </c>
      <c r="C5" s="2681"/>
      <c r="D5" s="2681"/>
      <c r="E5" s="2682"/>
      <c r="F5" s="2690" t="s">
        <v>840</v>
      </c>
      <c r="G5" s="2691"/>
      <c r="H5" s="2691"/>
      <c r="I5" s="2692"/>
      <c r="J5" s="2680" t="s">
        <v>1477</v>
      </c>
      <c r="K5" s="2681"/>
      <c r="L5" s="2681"/>
      <c r="M5" s="2682"/>
      <c r="N5" s="2197"/>
      <c r="O5" s="2680" t="s">
        <v>847</v>
      </c>
      <c r="P5" s="2681"/>
      <c r="Q5" s="2681"/>
      <c r="R5" s="2682"/>
      <c r="S5" s="2680" t="s">
        <v>849</v>
      </c>
      <c r="T5" s="2681"/>
      <c r="U5" s="2681"/>
      <c r="V5" s="2682"/>
      <c r="W5" s="2680" t="s">
        <v>851</v>
      </c>
      <c r="X5" s="2681"/>
      <c r="Y5" s="2681"/>
      <c r="Z5" s="2682"/>
      <c r="AA5" s="2198"/>
      <c r="AB5" s="2680" t="s">
        <v>251</v>
      </c>
      <c r="AC5" s="2681"/>
      <c r="AD5" s="2681"/>
      <c r="AE5" s="2682"/>
      <c r="AF5" s="2680" t="s">
        <v>857</v>
      </c>
      <c r="AG5" s="2681"/>
      <c r="AH5" s="2681"/>
      <c r="AI5" s="2682"/>
      <c r="AJ5" s="2680" t="s">
        <v>861</v>
      </c>
      <c r="AK5" s="2681"/>
      <c r="AL5" s="2681"/>
      <c r="AM5" s="2682"/>
      <c r="AN5" s="2198"/>
      <c r="AO5" s="2680" t="s">
        <v>863</v>
      </c>
      <c r="AP5" s="2681"/>
      <c r="AQ5" s="2681"/>
      <c r="AR5" s="2682"/>
      <c r="AS5" s="2680" t="s">
        <v>1478</v>
      </c>
      <c r="AT5" s="2681"/>
      <c r="AU5" s="2681"/>
      <c r="AV5" s="2682"/>
      <c r="AW5" s="2199"/>
      <c r="AX5" s="2199"/>
      <c r="AY5" s="2199"/>
    </row>
    <row r="6" spans="1:51" s="2200" customFormat="1" ht="54" customHeight="1" x14ac:dyDescent="0.5">
      <c r="A6" s="2201"/>
      <c r="B6" s="2683"/>
      <c r="C6" s="2684"/>
      <c r="D6" s="2684"/>
      <c r="E6" s="2685"/>
      <c r="F6" s="2693"/>
      <c r="G6" s="2694"/>
      <c r="H6" s="2694"/>
      <c r="I6" s="2695"/>
      <c r="J6" s="2683"/>
      <c r="K6" s="2684"/>
      <c r="L6" s="2684"/>
      <c r="M6" s="2685"/>
      <c r="N6" s="2201"/>
      <c r="O6" s="2683"/>
      <c r="P6" s="2684"/>
      <c r="Q6" s="2684"/>
      <c r="R6" s="2685"/>
      <c r="S6" s="2683"/>
      <c r="T6" s="2684"/>
      <c r="U6" s="2684"/>
      <c r="V6" s="2685"/>
      <c r="W6" s="2683"/>
      <c r="X6" s="2684"/>
      <c r="Y6" s="2684"/>
      <c r="Z6" s="2685"/>
      <c r="AA6" s="2202"/>
      <c r="AB6" s="2683"/>
      <c r="AC6" s="2684"/>
      <c r="AD6" s="2684"/>
      <c r="AE6" s="2685"/>
      <c r="AF6" s="2683"/>
      <c r="AG6" s="2684"/>
      <c r="AH6" s="2684"/>
      <c r="AI6" s="2685"/>
      <c r="AJ6" s="2683"/>
      <c r="AK6" s="2684"/>
      <c r="AL6" s="2684"/>
      <c r="AM6" s="2685"/>
      <c r="AN6" s="2202"/>
      <c r="AO6" s="2683"/>
      <c r="AP6" s="2684"/>
      <c r="AQ6" s="2684"/>
      <c r="AR6" s="2685"/>
      <c r="AS6" s="2683"/>
      <c r="AT6" s="2684"/>
      <c r="AU6" s="2684"/>
      <c r="AV6" s="2685"/>
      <c r="AW6" s="2203"/>
      <c r="AX6" s="2203"/>
      <c r="AY6" s="2203"/>
    </row>
    <row r="7" spans="1:51" s="2205" customFormat="1" ht="106.5" customHeight="1" thickBot="1" x14ac:dyDescent="0.3">
      <c r="A7" s="2204" t="s">
        <v>1295</v>
      </c>
      <c r="B7" s="2686"/>
      <c r="C7" s="2687"/>
      <c r="D7" s="2687"/>
      <c r="E7" s="2688"/>
      <c r="F7" s="2696"/>
      <c r="G7" s="2697"/>
      <c r="H7" s="2697"/>
      <c r="I7" s="2698"/>
      <c r="J7" s="2686"/>
      <c r="K7" s="2687"/>
      <c r="L7" s="2687"/>
      <c r="M7" s="2688"/>
      <c r="N7" s="2204" t="s">
        <v>1295</v>
      </c>
      <c r="O7" s="2686"/>
      <c r="P7" s="2687"/>
      <c r="Q7" s="2687"/>
      <c r="R7" s="2688"/>
      <c r="S7" s="2686"/>
      <c r="T7" s="2687"/>
      <c r="U7" s="2687"/>
      <c r="V7" s="2688"/>
      <c r="W7" s="2686"/>
      <c r="X7" s="2687"/>
      <c r="Y7" s="2687"/>
      <c r="Z7" s="2688"/>
      <c r="AA7" s="2204" t="s">
        <v>1295</v>
      </c>
      <c r="AB7" s="2686"/>
      <c r="AC7" s="2687"/>
      <c r="AD7" s="2687"/>
      <c r="AE7" s="2688"/>
      <c r="AF7" s="2686"/>
      <c r="AG7" s="2687"/>
      <c r="AH7" s="2687"/>
      <c r="AI7" s="2688"/>
      <c r="AJ7" s="2686"/>
      <c r="AK7" s="2687"/>
      <c r="AL7" s="2687"/>
      <c r="AM7" s="2688"/>
      <c r="AN7" s="2204" t="s">
        <v>1295</v>
      </c>
      <c r="AO7" s="2686"/>
      <c r="AP7" s="2687"/>
      <c r="AQ7" s="2687"/>
      <c r="AR7" s="2688"/>
      <c r="AS7" s="2686"/>
      <c r="AT7" s="2687"/>
      <c r="AU7" s="2687"/>
      <c r="AV7" s="2688"/>
      <c r="AW7" s="2203"/>
      <c r="AX7" s="2203"/>
      <c r="AY7" s="2203"/>
    </row>
    <row r="8" spans="1:51" s="2209" customFormat="1" ht="94.5" customHeight="1" thickBot="1" x14ac:dyDescent="0.55000000000000004">
      <c r="A8" s="2206">
        <v>2019</v>
      </c>
      <c r="B8" s="2207" t="s">
        <v>1463</v>
      </c>
      <c r="C8" s="2207" t="s">
        <v>1479</v>
      </c>
      <c r="D8" s="2207" t="s">
        <v>139</v>
      </c>
      <c r="E8" s="2207" t="s">
        <v>1480</v>
      </c>
      <c r="F8" s="2207" t="s">
        <v>1463</v>
      </c>
      <c r="G8" s="2207" t="s">
        <v>1479</v>
      </c>
      <c r="H8" s="2207" t="s">
        <v>139</v>
      </c>
      <c r="I8" s="2207" t="s">
        <v>1480</v>
      </c>
      <c r="J8" s="2207" t="s">
        <v>1463</v>
      </c>
      <c r="K8" s="2207" t="s">
        <v>1479</v>
      </c>
      <c r="L8" s="2207" t="s">
        <v>139</v>
      </c>
      <c r="M8" s="2207" t="s">
        <v>1480</v>
      </c>
      <c r="N8" s="2206">
        <v>2019</v>
      </c>
      <c r="O8" s="2207" t="s">
        <v>1463</v>
      </c>
      <c r="P8" s="2207" t="s">
        <v>1479</v>
      </c>
      <c r="Q8" s="2207" t="s">
        <v>139</v>
      </c>
      <c r="R8" s="2207" t="s">
        <v>1480</v>
      </c>
      <c r="S8" s="2207" t="s">
        <v>1463</v>
      </c>
      <c r="T8" s="2207" t="s">
        <v>1479</v>
      </c>
      <c r="U8" s="2207" t="s">
        <v>139</v>
      </c>
      <c r="V8" s="2207" t="s">
        <v>1480</v>
      </c>
      <c r="W8" s="2207" t="s">
        <v>1463</v>
      </c>
      <c r="X8" s="2207" t="s">
        <v>1479</v>
      </c>
      <c r="Y8" s="2207" t="s">
        <v>139</v>
      </c>
      <c r="Z8" s="2207" t="s">
        <v>1480</v>
      </c>
      <c r="AA8" s="2206">
        <v>2019</v>
      </c>
      <c r="AB8" s="2207" t="s">
        <v>1463</v>
      </c>
      <c r="AC8" s="2207" t="s">
        <v>1479</v>
      </c>
      <c r="AD8" s="2207" t="s">
        <v>139</v>
      </c>
      <c r="AE8" s="2207" t="s">
        <v>1480</v>
      </c>
      <c r="AF8" s="2207" t="s">
        <v>1463</v>
      </c>
      <c r="AG8" s="2207" t="s">
        <v>1479</v>
      </c>
      <c r="AH8" s="2207" t="s">
        <v>139</v>
      </c>
      <c r="AI8" s="2207" t="s">
        <v>1480</v>
      </c>
      <c r="AJ8" s="2207" t="s">
        <v>1463</v>
      </c>
      <c r="AK8" s="2207" t="s">
        <v>1479</v>
      </c>
      <c r="AL8" s="2207" t="s">
        <v>139</v>
      </c>
      <c r="AM8" s="2207" t="s">
        <v>1480</v>
      </c>
      <c r="AN8" s="2206">
        <v>2019</v>
      </c>
      <c r="AO8" s="2207" t="s">
        <v>1463</v>
      </c>
      <c r="AP8" s="2207" t="s">
        <v>1479</v>
      </c>
      <c r="AQ8" s="2207" t="s">
        <v>139</v>
      </c>
      <c r="AR8" s="2207" t="s">
        <v>1480</v>
      </c>
      <c r="AS8" s="2207" t="s">
        <v>1463</v>
      </c>
      <c r="AT8" s="2207" t="s">
        <v>1479</v>
      </c>
      <c r="AU8" s="2207" t="s">
        <v>139</v>
      </c>
      <c r="AV8" s="2207" t="s">
        <v>1480</v>
      </c>
      <c r="AW8" s="2208" t="s">
        <v>1481</v>
      </c>
      <c r="AX8" s="2208" t="s">
        <v>1482</v>
      </c>
      <c r="AY8" s="2208" t="s">
        <v>139</v>
      </c>
    </row>
    <row r="9" spans="1:51" s="2212" customFormat="1" ht="45.75" customHeight="1" x14ac:dyDescent="0.5">
      <c r="A9" s="2210" t="s">
        <v>1298</v>
      </c>
      <c r="B9" s="2211"/>
      <c r="C9" s="2211"/>
      <c r="D9" s="2211"/>
      <c r="E9" s="2211"/>
      <c r="F9" s="2211"/>
      <c r="G9" s="2211"/>
      <c r="H9" s="2211"/>
      <c r="I9" s="2211"/>
      <c r="J9" s="2211"/>
      <c r="K9" s="2211"/>
      <c r="L9" s="2211"/>
      <c r="M9" s="2211"/>
      <c r="N9" s="2210" t="s">
        <v>1298</v>
      </c>
      <c r="O9" s="2211"/>
      <c r="P9" s="2211"/>
      <c r="Q9" s="2211"/>
      <c r="R9" s="2211"/>
      <c r="S9" s="2211"/>
      <c r="T9" s="2211"/>
      <c r="U9" s="2211"/>
      <c r="V9" s="2211"/>
      <c r="W9" s="2211"/>
      <c r="X9" s="2211"/>
      <c r="Y9" s="2211"/>
      <c r="Z9" s="2211"/>
      <c r="AA9" s="2210" t="s">
        <v>1298</v>
      </c>
      <c r="AB9" s="2210"/>
      <c r="AC9" s="2210"/>
      <c r="AD9" s="2210"/>
      <c r="AE9" s="2210"/>
      <c r="AF9" s="2210"/>
      <c r="AG9" s="2210"/>
      <c r="AH9" s="2210"/>
      <c r="AI9" s="2210"/>
      <c r="AJ9" s="2211"/>
      <c r="AK9" s="2211"/>
      <c r="AL9" s="2211"/>
      <c r="AM9" s="2211"/>
      <c r="AN9" s="2210" t="s">
        <v>1298</v>
      </c>
      <c r="AO9" s="2210"/>
      <c r="AP9" s="2210"/>
      <c r="AQ9" s="2210"/>
      <c r="AR9" s="2210"/>
      <c r="AS9" s="2210"/>
      <c r="AT9" s="2210"/>
      <c r="AU9" s="2210"/>
      <c r="AV9" s="2210"/>
      <c r="AW9" s="2210"/>
      <c r="AX9" s="2210"/>
      <c r="AY9" s="2210"/>
    </row>
    <row r="10" spans="1:51" s="2212" customFormat="1" ht="49.5" customHeight="1" x14ac:dyDescent="0.5">
      <c r="A10" s="2213" t="s">
        <v>1299</v>
      </c>
      <c r="B10" s="2214">
        <f>[4]int.kiadások2019!B9</f>
        <v>123452</v>
      </c>
      <c r="C10" s="2214">
        <f>'[5]int.kiadások RM IV'!D10</f>
        <v>125835</v>
      </c>
      <c r="D10" s="2214">
        <v>114276</v>
      </c>
      <c r="E10" s="2215">
        <f t="shared" ref="E10:E30" si="0">D10/C10</f>
        <v>0.90814161401835736</v>
      </c>
      <c r="F10" s="2214">
        <f>[4]int.kiadások2019!C9</f>
        <v>26390</v>
      </c>
      <c r="G10" s="2214">
        <f>'[5]int.kiadások RM IV'!G10</f>
        <v>25941</v>
      </c>
      <c r="H10" s="2214">
        <v>23593</v>
      </c>
      <c r="I10" s="2215">
        <f t="shared" ref="I10:I30" si="1">H10/G10</f>
        <v>0.90948691260938286</v>
      </c>
      <c r="J10" s="2214">
        <f>[4]int.kiadások2019!D9</f>
        <v>3864</v>
      </c>
      <c r="K10" s="2214">
        <f>'[5]int.kiadások RM IV'!J10</f>
        <v>5634</v>
      </c>
      <c r="L10" s="2214">
        <v>4237</v>
      </c>
      <c r="M10" s="2215">
        <f t="shared" ref="M10:M30" si="2">L10/K10</f>
        <v>0.75204117855875041</v>
      </c>
      <c r="N10" s="2213" t="s">
        <v>1299</v>
      </c>
      <c r="O10" s="2214">
        <f>[4]int.kiadások2019!E9</f>
        <v>0</v>
      </c>
      <c r="P10" s="2214">
        <f>'[5]int.kiadások RM IV'!N10</f>
        <v>0</v>
      </c>
      <c r="Q10" s="2214"/>
      <c r="R10" s="2215"/>
      <c r="S10" s="2214">
        <f>[4]int.kiadások2019!F9</f>
        <v>0</v>
      </c>
      <c r="T10" s="2214">
        <f>'[5]int.kiadások RM IV'!Q10</f>
        <v>0</v>
      </c>
      <c r="U10" s="2214"/>
      <c r="V10" s="2215"/>
      <c r="W10" s="2214">
        <f t="shared" ref="W10:Y27" si="3">B10+F10+J10+O10+S10</f>
        <v>153706</v>
      </c>
      <c r="X10" s="2214">
        <f t="shared" si="3"/>
        <v>157410</v>
      </c>
      <c r="Y10" s="2214">
        <f t="shared" si="3"/>
        <v>142106</v>
      </c>
      <c r="Z10" s="2215">
        <f t="shared" ref="Z10:Z30" si="4">Y10/X10</f>
        <v>0.90277618956864236</v>
      </c>
      <c r="AA10" s="2213" t="s">
        <v>1299</v>
      </c>
      <c r="AB10" s="2214">
        <f>[4]int.kiadások2019!I9</f>
        <v>0</v>
      </c>
      <c r="AC10" s="2214">
        <f>'[5]int.kiadások RM IV'!X10</f>
        <v>11699</v>
      </c>
      <c r="AD10" s="2214">
        <v>786</v>
      </c>
      <c r="AE10" s="2215">
        <f t="shared" ref="AE10:AE30" si="5">AD10/AC10</f>
        <v>6.7185229506795452E-2</v>
      </c>
      <c r="AF10" s="2214">
        <f>[4]int.kiadások2019!J9</f>
        <v>0</v>
      </c>
      <c r="AG10" s="2214">
        <f>'[5]int.kiadások RM IV'!AA10</f>
        <v>0</v>
      </c>
      <c r="AH10" s="2214"/>
      <c r="AI10" s="2215"/>
      <c r="AJ10" s="2214">
        <f>[4]int.kiadások2019!K9</f>
        <v>0</v>
      </c>
      <c r="AK10" s="2214">
        <f>'[5]int.kiadások RM IV'!AD10</f>
        <v>0</v>
      </c>
      <c r="AL10" s="2214"/>
      <c r="AM10" s="2215"/>
      <c r="AN10" s="2213" t="s">
        <v>1299</v>
      </c>
      <c r="AO10" s="2214">
        <f t="shared" ref="AO10:AQ27" si="6">AB10+AF10+AJ10</f>
        <v>0</v>
      </c>
      <c r="AP10" s="2214">
        <f t="shared" si="6"/>
        <v>11699</v>
      </c>
      <c r="AQ10" s="2214">
        <f t="shared" si="6"/>
        <v>786</v>
      </c>
      <c r="AR10" s="2215">
        <f t="shared" ref="AR10:AR30" si="7">AQ10/AP10</f>
        <v>6.7185229506795452E-2</v>
      </c>
      <c r="AS10" s="2214">
        <f t="shared" ref="AS10:AU27" si="8">W10+AO10</f>
        <v>153706</v>
      </c>
      <c r="AT10" s="2214">
        <f t="shared" si="8"/>
        <v>169109</v>
      </c>
      <c r="AU10" s="2214">
        <f t="shared" si="8"/>
        <v>142892</v>
      </c>
      <c r="AV10" s="2215">
        <f t="shared" ref="AV10:AV30" si="9">AU10/AT10</f>
        <v>0.84496981236953683</v>
      </c>
      <c r="AW10" s="2214">
        <f>AS10-'[6]éves besz.bevételei2019'!BD10</f>
        <v>0</v>
      </c>
      <c r="AX10" s="2214">
        <f>AT10-'[6]éves besz.bevételei2019'!BE10</f>
        <v>0</v>
      </c>
      <c r="AY10" s="2214">
        <f>AU10-'[6]éves besz.bevételei2019'!BF10</f>
        <v>-2985</v>
      </c>
    </row>
    <row r="11" spans="1:51" s="2212" customFormat="1" ht="49.5" customHeight="1" x14ac:dyDescent="0.5">
      <c r="A11" s="2213" t="s">
        <v>1434</v>
      </c>
      <c r="B11" s="2214">
        <f>[4]int.kiadások2019!B10</f>
        <v>85521</v>
      </c>
      <c r="C11" s="2214">
        <f>'[5]int.kiadások RM IV'!D11</f>
        <v>85659</v>
      </c>
      <c r="D11" s="2214">
        <v>83816</v>
      </c>
      <c r="E11" s="2215">
        <f t="shared" si="0"/>
        <v>0.97848445580732901</v>
      </c>
      <c r="F11" s="2214">
        <f>[4]int.kiadások2019!C10</f>
        <v>16895</v>
      </c>
      <c r="G11" s="2214">
        <f>'[5]int.kiadások RM IV'!G11</f>
        <v>16298</v>
      </c>
      <c r="H11" s="2214">
        <v>15668</v>
      </c>
      <c r="I11" s="2215">
        <f t="shared" si="1"/>
        <v>0.96134495030065037</v>
      </c>
      <c r="J11" s="2214">
        <f>[4]int.kiadások2019!D10</f>
        <v>3082</v>
      </c>
      <c r="K11" s="2214">
        <f>'[5]int.kiadások RM IV'!J11</f>
        <v>4881</v>
      </c>
      <c r="L11" s="2214">
        <v>3717</v>
      </c>
      <c r="M11" s="2215">
        <f t="shared" si="2"/>
        <v>0.76152427781192378</v>
      </c>
      <c r="N11" s="2213" t="s">
        <v>1434</v>
      </c>
      <c r="O11" s="2214">
        <f>[4]int.kiadások2019!E10</f>
        <v>0</v>
      </c>
      <c r="P11" s="2214">
        <f>'[5]int.kiadások RM IV'!N11</f>
        <v>0</v>
      </c>
      <c r="Q11" s="2214"/>
      <c r="R11" s="2215"/>
      <c r="S11" s="2214">
        <f>[4]int.kiadások2019!F10</f>
        <v>0</v>
      </c>
      <c r="T11" s="2214">
        <f>'[5]int.kiadások RM IV'!Q11</f>
        <v>0</v>
      </c>
      <c r="U11" s="2214"/>
      <c r="V11" s="2215"/>
      <c r="W11" s="2214">
        <f t="shared" si="3"/>
        <v>105498</v>
      </c>
      <c r="X11" s="2214">
        <f t="shared" si="3"/>
        <v>106838</v>
      </c>
      <c r="Y11" s="2214">
        <f t="shared" si="3"/>
        <v>103201</v>
      </c>
      <c r="Z11" s="2215">
        <f t="shared" si="4"/>
        <v>0.96595780527527664</v>
      </c>
      <c r="AA11" s="2213" t="s">
        <v>1434</v>
      </c>
      <c r="AB11" s="2214">
        <f>[4]int.kiadások2019!I10</f>
        <v>0</v>
      </c>
      <c r="AC11" s="2214">
        <f>'[5]int.kiadások RM IV'!X11</f>
        <v>1729</v>
      </c>
      <c r="AD11" s="2214">
        <v>1259</v>
      </c>
      <c r="AE11" s="2215">
        <f t="shared" si="5"/>
        <v>0.7281665702718334</v>
      </c>
      <c r="AF11" s="2214">
        <f>[4]int.kiadások2019!J10</f>
        <v>0</v>
      </c>
      <c r="AG11" s="2214">
        <f>'[5]int.kiadások RM IV'!AA11</f>
        <v>3529</v>
      </c>
      <c r="AH11" s="2214">
        <v>3528</v>
      </c>
      <c r="AI11" s="2215">
        <f t="shared" ref="AI11:AI25" si="10">AH11/AG11</f>
        <v>0.99971663360725416</v>
      </c>
      <c r="AJ11" s="2214">
        <f>[4]int.kiadások2019!K10</f>
        <v>0</v>
      </c>
      <c r="AK11" s="2214">
        <f>'[5]int.kiadások RM IV'!AD11</f>
        <v>0</v>
      </c>
      <c r="AL11" s="2214"/>
      <c r="AM11" s="2215"/>
      <c r="AN11" s="2213" t="s">
        <v>1434</v>
      </c>
      <c r="AO11" s="2214">
        <f t="shared" si="6"/>
        <v>0</v>
      </c>
      <c r="AP11" s="2214">
        <f t="shared" si="6"/>
        <v>5258</v>
      </c>
      <c r="AQ11" s="2214">
        <f t="shared" si="6"/>
        <v>4787</v>
      </c>
      <c r="AR11" s="2215">
        <f t="shared" si="7"/>
        <v>0.91042221376949406</v>
      </c>
      <c r="AS11" s="2214">
        <f t="shared" si="8"/>
        <v>105498</v>
      </c>
      <c r="AT11" s="2214">
        <f t="shared" si="8"/>
        <v>112096</v>
      </c>
      <c r="AU11" s="2214">
        <f t="shared" si="8"/>
        <v>107988</v>
      </c>
      <c r="AV11" s="2215">
        <f t="shared" si="9"/>
        <v>0.96335284042249503</v>
      </c>
      <c r="AW11" s="2214">
        <f>AS11-'[6]éves besz.bevételei2019'!BD11</f>
        <v>0</v>
      </c>
      <c r="AX11" s="2214">
        <f>AT11-'[6]éves besz.bevételei2019'!BE11</f>
        <v>0</v>
      </c>
      <c r="AY11" s="2214">
        <f>AU11-'[6]éves besz.bevételei2019'!BF11</f>
        <v>-290</v>
      </c>
    </row>
    <row r="12" spans="1:51" s="2212" customFormat="1" ht="49.5" customHeight="1" x14ac:dyDescent="0.5">
      <c r="A12" s="2213" t="s">
        <v>1435</v>
      </c>
      <c r="B12" s="2214">
        <f>[4]int.kiadások2019!B11</f>
        <v>78786</v>
      </c>
      <c r="C12" s="2214">
        <f>'[5]int.kiadások RM IV'!D12</f>
        <v>77765</v>
      </c>
      <c r="D12" s="2214">
        <v>74734</v>
      </c>
      <c r="E12" s="2215">
        <f t="shared" si="0"/>
        <v>0.96102359673374915</v>
      </c>
      <c r="F12" s="2214">
        <f>[4]int.kiadások2019!C11</f>
        <v>15372</v>
      </c>
      <c r="G12" s="2214">
        <f>'[5]int.kiadások RM IV'!G12</f>
        <v>15293</v>
      </c>
      <c r="H12" s="2214">
        <v>14831</v>
      </c>
      <c r="I12" s="2215">
        <f t="shared" si="1"/>
        <v>0.9697901000457726</v>
      </c>
      <c r="J12" s="2214">
        <f>[4]int.kiadások2019!D11</f>
        <v>3422</v>
      </c>
      <c r="K12" s="2214">
        <f>'[5]int.kiadások RM IV'!J12</f>
        <v>6624</v>
      </c>
      <c r="L12" s="2214">
        <v>5296</v>
      </c>
      <c r="M12" s="2215">
        <f t="shared" si="2"/>
        <v>0.79951690821256038</v>
      </c>
      <c r="N12" s="2213" t="s">
        <v>1435</v>
      </c>
      <c r="O12" s="2214">
        <f>[4]int.kiadások2019!E11</f>
        <v>0</v>
      </c>
      <c r="P12" s="2214">
        <f>'[5]int.kiadások RM IV'!N12</f>
        <v>0</v>
      </c>
      <c r="Q12" s="2214"/>
      <c r="R12" s="2215"/>
      <c r="S12" s="2214">
        <f>[4]int.kiadások2019!F11</f>
        <v>0</v>
      </c>
      <c r="T12" s="2214">
        <f>'[5]int.kiadások RM IV'!Q12</f>
        <v>0</v>
      </c>
      <c r="U12" s="2214"/>
      <c r="V12" s="2215"/>
      <c r="W12" s="2214">
        <f t="shared" si="3"/>
        <v>97580</v>
      </c>
      <c r="X12" s="2214">
        <f t="shared" si="3"/>
        <v>99682</v>
      </c>
      <c r="Y12" s="2214">
        <f t="shared" si="3"/>
        <v>94861</v>
      </c>
      <c r="Z12" s="2215">
        <f t="shared" si="4"/>
        <v>0.95163620312594044</v>
      </c>
      <c r="AA12" s="2213" t="s">
        <v>1435</v>
      </c>
      <c r="AB12" s="2214">
        <f>[4]int.kiadások2019!I11</f>
        <v>0</v>
      </c>
      <c r="AC12" s="2214">
        <f>'[5]int.kiadások RM IV'!X12</f>
        <v>2121</v>
      </c>
      <c r="AD12" s="2214">
        <v>2120</v>
      </c>
      <c r="AE12" s="2215">
        <f t="shared" si="5"/>
        <v>0.99952852428099948</v>
      </c>
      <c r="AF12" s="2214">
        <f>[4]int.kiadások2019!J11</f>
        <v>0</v>
      </c>
      <c r="AG12" s="2214">
        <f>'[5]int.kiadások RM IV'!AA12</f>
        <v>2970</v>
      </c>
      <c r="AH12" s="2214">
        <v>2969</v>
      </c>
      <c r="AI12" s="2215">
        <f t="shared" si="10"/>
        <v>0.9996632996632997</v>
      </c>
      <c r="AJ12" s="2214">
        <f>[4]int.kiadások2019!K11</f>
        <v>0</v>
      </c>
      <c r="AK12" s="2214">
        <f>'[5]int.kiadások RM IV'!AD12</f>
        <v>0</v>
      </c>
      <c r="AL12" s="2214"/>
      <c r="AM12" s="2215"/>
      <c r="AN12" s="2213" t="s">
        <v>1435</v>
      </c>
      <c r="AO12" s="2214">
        <f t="shared" si="6"/>
        <v>0</v>
      </c>
      <c r="AP12" s="2214">
        <f t="shared" si="6"/>
        <v>5091</v>
      </c>
      <c r="AQ12" s="2214">
        <f t="shared" si="6"/>
        <v>5089</v>
      </c>
      <c r="AR12" s="2215">
        <f t="shared" si="7"/>
        <v>0.99960714987232369</v>
      </c>
      <c r="AS12" s="2214">
        <f t="shared" si="8"/>
        <v>97580</v>
      </c>
      <c r="AT12" s="2214">
        <f t="shared" si="8"/>
        <v>104773</v>
      </c>
      <c r="AU12" s="2214">
        <f t="shared" si="8"/>
        <v>99950</v>
      </c>
      <c r="AV12" s="2215">
        <f t="shared" si="9"/>
        <v>0.95396714802477733</v>
      </c>
      <c r="AW12" s="2214">
        <f>AS12-'[6]éves besz.bevételei2019'!BD12</f>
        <v>0</v>
      </c>
      <c r="AX12" s="2214">
        <f>AT12-'[6]éves besz.bevételei2019'!BE12</f>
        <v>0</v>
      </c>
      <c r="AY12" s="2214">
        <f>AU12-'[6]éves besz.bevételei2019'!BF12</f>
        <v>-1050</v>
      </c>
    </row>
    <row r="13" spans="1:51" s="2212" customFormat="1" ht="49.5" customHeight="1" x14ac:dyDescent="0.5">
      <c r="A13" s="2213" t="s">
        <v>1436</v>
      </c>
      <c r="B13" s="2214">
        <f>[4]int.kiadások2019!B12</f>
        <v>109538</v>
      </c>
      <c r="C13" s="2214">
        <f>'[5]int.kiadások RM IV'!D13</f>
        <v>108121</v>
      </c>
      <c r="D13" s="2214">
        <v>103533</v>
      </c>
      <c r="E13" s="2215">
        <f t="shared" si="0"/>
        <v>0.9575660602473155</v>
      </c>
      <c r="F13" s="2214">
        <f>[4]int.kiadások2019!C12</f>
        <v>23597</v>
      </c>
      <c r="G13" s="2214">
        <f>'[5]int.kiadások RM IV'!G13</f>
        <v>22560</v>
      </c>
      <c r="H13" s="2214">
        <v>20051</v>
      </c>
      <c r="I13" s="2215">
        <f t="shared" si="1"/>
        <v>0.88878546099290778</v>
      </c>
      <c r="J13" s="2214">
        <f>[4]int.kiadások2019!D12</f>
        <v>3763</v>
      </c>
      <c r="K13" s="2214">
        <f>'[5]int.kiadások RM IV'!J13</f>
        <v>10599</v>
      </c>
      <c r="L13" s="2214">
        <v>9553</v>
      </c>
      <c r="M13" s="2215">
        <f t="shared" si="2"/>
        <v>0.90131144447589395</v>
      </c>
      <c r="N13" s="2213" t="s">
        <v>1436</v>
      </c>
      <c r="O13" s="2214">
        <f>[4]int.kiadások2019!E12</f>
        <v>0</v>
      </c>
      <c r="P13" s="2214">
        <f>'[5]int.kiadások RM IV'!N13</f>
        <v>0</v>
      </c>
      <c r="Q13" s="2214"/>
      <c r="R13" s="2215"/>
      <c r="S13" s="2214">
        <f>[4]int.kiadások2019!F12</f>
        <v>0</v>
      </c>
      <c r="T13" s="2214">
        <f>'[5]int.kiadások RM IV'!Q13</f>
        <v>0</v>
      </c>
      <c r="U13" s="2214"/>
      <c r="V13" s="2215"/>
      <c r="W13" s="2214">
        <f t="shared" si="3"/>
        <v>136898</v>
      </c>
      <c r="X13" s="2214">
        <f t="shared" si="3"/>
        <v>141280</v>
      </c>
      <c r="Y13" s="2214">
        <f t="shared" si="3"/>
        <v>133137</v>
      </c>
      <c r="Z13" s="2215">
        <f t="shared" si="4"/>
        <v>0.94236268403171009</v>
      </c>
      <c r="AA13" s="2213" t="s">
        <v>1436</v>
      </c>
      <c r="AB13" s="2214">
        <f>[4]int.kiadások2019!I12</f>
        <v>0</v>
      </c>
      <c r="AC13" s="2214">
        <f>'[5]int.kiadások RM IV'!X13</f>
        <v>2171</v>
      </c>
      <c r="AD13" s="2216">
        <v>1185</v>
      </c>
      <c r="AE13" s="2215">
        <f t="shared" si="5"/>
        <v>0.54583141409488711</v>
      </c>
      <c r="AF13" s="2214">
        <f>[4]int.kiadások2019!J12</f>
        <v>0</v>
      </c>
      <c r="AG13" s="2214">
        <f>'[5]int.kiadások RM IV'!AA13</f>
        <v>3979</v>
      </c>
      <c r="AH13" s="2214">
        <v>2989</v>
      </c>
      <c r="AI13" s="2215">
        <f t="shared" si="10"/>
        <v>0.75119376727821063</v>
      </c>
      <c r="AJ13" s="2214">
        <f>[4]int.kiadások2019!K12</f>
        <v>0</v>
      </c>
      <c r="AK13" s="2214">
        <f>'[5]int.kiadások RM IV'!AD13</f>
        <v>0</v>
      </c>
      <c r="AL13" s="2214"/>
      <c r="AM13" s="2215"/>
      <c r="AN13" s="2213" t="s">
        <v>1436</v>
      </c>
      <c r="AO13" s="2214">
        <f t="shared" si="6"/>
        <v>0</v>
      </c>
      <c r="AP13" s="2214">
        <f t="shared" si="6"/>
        <v>6150</v>
      </c>
      <c r="AQ13" s="2214">
        <f t="shared" si="6"/>
        <v>4174</v>
      </c>
      <c r="AR13" s="2215">
        <f t="shared" si="7"/>
        <v>0.67869918699186993</v>
      </c>
      <c r="AS13" s="2214">
        <f t="shared" si="8"/>
        <v>136898</v>
      </c>
      <c r="AT13" s="2214">
        <f t="shared" si="8"/>
        <v>147430</v>
      </c>
      <c r="AU13" s="2214">
        <f>Y13+AQ13</f>
        <v>137311</v>
      </c>
      <c r="AV13" s="2215">
        <f t="shared" si="9"/>
        <v>0.93136403717018246</v>
      </c>
      <c r="AW13" s="2214">
        <f>AS13-'[6]éves besz.bevételei2019'!BD13</f>
        <v>0</v>
      </c>
      <c r="AX13" s="2214">
        <f>AT13-'[6]éves besz.bevételei2019'!BE13</f>
        <v>0</v>
      </c>
      <c r="AY13" s="2214">
        <f>AU13-'[6]éves besz.bevételei2019'!BF13</f>
        <v>-1032</v>
      </c>
    </row>
    <row r="14" spans="1:51" s="2212" customFormat="1" ht="49.5" customHeight="1" x14ac:dyDescent="0.5">
      <c r="A14" s="2213" t="s">
        <v>1437</v>
      </c>
      <c r="B14" s="2214">
        <f>[4]int.kiadások2019!B13</f>
        <v>90146</v>
      </c>
      <c r="C14" s="2214">
        <f>'[5]int.kiadások RM IV'!D14</f>
        <v>91425</v>
      </c>
      <c r="D14" s="2214">
        <v>88502</v>
      </c>
      <c r="E14" s="2215">
        <f t="shared" si="0"/>
        <v>0.96802843861088328</v>
      </c>
      <c r="F14" s="2214">
        <f>[4]int.kiadások2019!C13</f>
        <v>19493</v>
      </c>
      <c r="G14" s="2214">
        <f>'[5]int.kiadások RM IV'!G14</f>
        <v>19013</v>
      </c>
      <c r="H14" s="2214">
        <v>18293</v>
      </c>
      <c r="I14" s="2215">
        <f t="shared" si="1"/>
        <v>0.96213117340766841</v>
      </c>
      <c r="J14" s="2214">
        <f>[4]int.kiadások2019!D13</f>
        <v>3545</v>
      </c>
      <c r="K14" s="2214">
        <f>'[5]int.kiadások RM IV'!J14</f>
        <v>8088</v>
      </c>
      <c r="L14" s="2214">
        <v>6674</v>
      </c>
      <c r="M14" s="2215">
        <f t="shared" si="2"/>
        <v>0.8251730959446093</v>
      </c>
      <c r="N14" s="2213" t="s">
        <v>1437</v>
      </c>
      <c r="O14" s="2214">
        <f>[4]int.kiadások2019!E13</f>
        <v>0</v>
      </c>
      <c r="P14" s="2214">
        <f>'[5]int.kiadások RM IV'!N14</f>
        <v>0</v>
      </c>
      <c r="Q14" s="2214"/>
      <c r="R14" s="2215"/>
      <c r="S14" s="2214">
        <f>[4]int.kiadások2019!F13</f>
        <v>0</v>
      </c>
      <c r="T14" s="2214">
        <f>'[5]int.kiadások RM IV'!Q14</f>
        <v>0</v>
      </c>
      <c r="U14" s="2214"/>
      <c r="V14" s="2215"/>
      <c r="W14" s="2214">
        <f t="shared" si="3"/>
        <v>113184</v>
      </c>
      <c r="X14" s="2214">
        <f t="shared" si="3"/>
        <v>118526</v>
      </c>
      <c r="Y14" s="2214">
        <f t="shared" si="3"/>
        <v>113469</v>
      </c>
      <c r="Z14" s="2215">
        <f t="shared" si="4"/>
        <v>0.95733425577510423</v>
      </c>
      <c r="AA14" s="2213" t="s">
        <v>1437</v>
      </c>
      <c r="AB14" s="2214">
        <f>[4]int.kiadások2019!I13</f>
        <v>0</v>
      </c>
      <c r="AC14" s="2214">
        <f>'[5]int.kiadások RM IV'!X14</f>
        <v>4501</v>
      </c>
      <c r="AD14" s="2214">
        <v>4499</v>
      </c>
      <c r="AE14" s="2215">
        <f t="shared" si="5"/>
        <v>0.99955565429904469</v>
      </c>
      <c r="AF14" s="2214">
        <f>[4]int.kiadások2019!J13</f>
        <v>0</v>
      </c>
      <c r="AG14" s="2214">
        <f>'[5]int.kiadások RM IV'!AA14</f>
        <v>1587</v>
      </c>
      <c r="AH14" s="2214">
        <v>1586</v>
      </c>
      <c r="AI14" s="2215">
        <f t="shared" si="10"/>
        <v>0.99936988027725271</v>
      </c>
      <c r="AJ14" s="2214">
        <f>[4]int.kiadások2019!K13</f>
        <v>0</v>
      </c>
      <c r="AK14" s="2214">
        <f>'[5]int.kiadások RM IV'!AD14</f>
        <v>0</v>
      </c>
      <c r="AL14" s="2214"/>
      <c r="AM14" s="2215"/>
      <c r="AN14" s="2213" t="s">
        <v>1437</v>
      </c>
      <c r="AO14" s="2214">
        <f t="shared" si="6"/>
        <v>0</v>
      </c>
      <c r="AP14" s="2214">
        <f t="shared" si="6"/>
        <v>6088</v>
      </c>
      <c r="AQ14" s="2214">
        <f t="shared" si="6"/>
        <v>6085</v>
      </c>
      <c r="AR14" s="2215">
        <f t="shared" si="7"/>
        <v>0.99950722733245734</v>
      </c>
      <c r="AS14" s="2214">
        <f t="shared" si="8"/>
        <v>113184</v>
      </c>
      <c r="AT14" s="2214">
        <f t="shared" si="8"/>
        <v>124614</v>
      </c>
      <c r="AU14" s="2214">
        <f t="shared" si="8"/>
        <v>119554</v>
      </c>
      <c r="AV14" s="2215">
        <f t="shared" si="9"/>
        <v>0.95939461055740127</v>
      </c>
      <c r="AW14" s="2214">
        <f>AS14-'[6]éves besz.bevételei2019'!BD14</f>
        <v>0</v>
      </c>
      <c r="AX14" s="2214">
        <f>AT14-'[6]éves besz.bevételei2019'!BE14</f>
        <v>0</v>
      </c>
      <c r="AY14" s="2214">
        <f>AU14-'[6]éves besz.bevételei2019'!BF14</f>
        <v>-450</v>
      </c>
    </row>
    <row r="15" spans="1:51" s="2212" customFormat="1" ht="49.5" customHeight="1" x14ac:dyDescent="0.5">
      <c r="A15" s="2213" t="s">
        <v>1438</v>
      </c>
      <c r="B15" s="2214">
        <f>[4]int.kiadások2019!B14</f>
        <v>76766</v>
      </c>
      <c r="C15" s="2214">
        <f>'[5]int.kiadások RM IV'!D15</f>
        <v>79898</v>
      </c>
      <c r="D15" s="2214">
        <v>77905</v>
      </c>
      <c r="E15" s="2215">
        <f t="shared" si="0"/>
        <v>0.97505569601241582</v>
      </c>
      <c r="F15" s="2214">
        <f>[4]int.kiadások2019!C14</f>
        <v>15578</v>
      </c>
      <c r="G15" s="2214">
        <f>'[5]int.kiadások RM IV'!G15</f>
        <v>15618</v>
      </c>
      <c r="H15" s="2214">
        <v>14601</v>
      </c>
      <c r="I15" s="2215">
        <f t="shared" si="1"/>
        <v>0.93488282750672302</v>
      </c>
      <c r="J15" s="2214">
        <f>[4]int.kiadások2019!D14</f>
        <v>3082</v>
      </c>
      <c r="K15" s="2214">
        <f>'[5]int.kiadások RM IV'!J15</f>
        <v>6721</v>
      </c>
      <c r="L15" s="2214">
        <v>4687</v>
      </c>
      <c r="M15" s="2215">
        <f t="shared" si="2"/>
        <v>0.69736646332391017</v>
      </c>
      <c r="N15" s="2213" t="s">
        <v>1438</v>
      </c>
      <c r="O15" s="2214">
        <f>[4]int.kiadások2019!E14</f>
        <v>0</v>
      </c>
      <c r="P15" s="2214">
        <f>'[5]int.kiadások RM IV'!N15</f>
        <v>0</v>
      </c>
      <c r="Q15" s="2214"/>
      <c r="R15" s="2215"/>
      <c r="S15" s="2214">
        <f>[4]int.kiadások2019!F14</f>
        <v>0</v>
      </c>
      <c r="T15" s="2214">
        <f>'[5]int.kiadások RM IV'!Q15</f>
        <v>0</v>
      </c>
      <c r="U15" s="2214"/>
      <c r="V15" s="2215"/>
      <c r="W15" s="2214">
        <f t="shared" si="3"/>
        <v>95426</v>
      </c>
      <c r="X15" s="2214">
        <f t="shared" si="3"/>
        <v>102237</v>
      </c>
      <c r="Y15" s="2214">
        <f t="shared" si="3"/>
        <v>97193</v>
      </c>
      <c r="Z15" s="2215">
        <f t="shared" si="4"/>
        <v>0.95066365405870668</v>
      </c>
      <c r="AA15" s="2213" t="s">
        <v>1438</v>
      </c>
      <c r="AB15" s="2214">
        <f>[4]int.kiadások2019!I14</f>
        <v>0</v>
      </c>
      <c r="AC15" s="2214">
        <f>'[5]int.kiadások RM IV'!X15</f>
        <v>625</v>
      </c>
      <c r="AD15" s="2214">
        <v>624</v>
      </c>
      <c r="AE15" s="2215">
        <f t="shared" si="5"/>
        <v>0.99839999999999995</v>
      </c>
      <c r="AF15" s="2214">
        <f>[4]int.kiadások2019!J14</f>
        <v>0</v>
      </c>
      <c r="AG15" s="2214">
        <f>'[5]int.kiadások RM IV'!AA15</f>
        <v>8953</v>
      </c>
      <c r="AH15" s="2214">
        <v>8953</v>
      </c>
      <c r="AI15" s="2215">
        <f t="shared" si="10"/>
        <v>1</v>
      </c>
      <c r="AJ15" s="2214">
        <f>[4]int.kiadások2019!K14</f>
        <v>0</v>
      </c>
      <c r="AK15" s="2214">
        <f>'[5]int.kiadások RM IV'!AD15</f>
        <v>0</v>
      </c>
      <c r="AL15" s="2214"/>
      <c r="AM15" s="2215"/>
      <c r="AN15" s="2213" t="s">
        <v>1438</v>
      </c>
      <c r="AO15" s="2214">
        <f t="shared" si="6"/>
        <v>0</v>
      </c>
      <c r="AP15" s="2214">
        <f t="shared" si="6"/>
        <v>9578</v>
      </c>
      <c r="AQ15" s="2214">
        <f t="shared" si="6"/>
        <v>9577</v>
      </c>
      <c r="AR15" s="2215">
        <f t="shared" si="7"/>
        <v>0.99989559406974315</v>
      </c>
      <c r="AS15" s="2214">
        <f t="shared" si="8"/>
        <v>95426</v>
      </c>
      <c r="AT15" s="2214">
        <f t="shared" si="8"/>
        <v>111815</v>
      </c>
      <c r="AU15" s="2214">
        <f t="shared" si="8"/>
        <v>106770</v>
      </c>
      <c r="AV15" s="2215">
        <f t="shared" si="9"/>
        <v>0.95488082994231538</v>
      </c>
      <c r="AW15" s="2214">
        <f>AS15-'[6]éves besz.bevételei2019'!BD15</f>
        <v>0</v>
      </c>
      <c r="AX15" s="2214">
        <f>AT15-'[6]éves besz.bevételei2019'!BE15</f>
        <v>0</v>
      </c>
      <c r="AY15" s="2214">
        <f>AU15-'[6]éves besz.bevételei2019'!BF15</f>
        <v>-921</v>
      </c>
    </row>
    <row r="16" spans="1:51" s="2212" customFormat="1" ht="49.5" customHeight="1" x14ac:dyDescent="0.5">
      <c r="A16" s="2213" t="s">
        <v>1439</v>
      </c>
      <c r="B16" s="2214">
        <f>[4]int.kiadások2019!B15</f>
        <v>64409</v>
      </c>
      <c r="C16" s="2214">
        <f>'[5]int.kiadások RM IV'!D16</f>
        <v>65940</v>
      </c>
      <c r="D16" s="2214">
        <v>63610</v>
      </c>
      <c r="E16" s="2215">
        <f t="shared" si="0"/>
        <v>0.96466484683045195</v>
      </c>
      <c r="F16" s="2214">
        <f>[4]int.kiadások2019!C15</f>
        <v>12688</v>
      </c>
      <c r="G16" s="2214">
        <f>'[5]int.kiadások RM IV'!G16</f>
        <v>12594</v>
      </c>
      <c r="H16" s="2214">
        <v>12085</v>
      </c>
      <c r="I16" s="2215">
        <f t="shared" si="1"/>
        <v>0.95958392885501032</v>
      </c>
      <c r="J16" s="2214">
        <f>[4]int.kiadások2019!D15</f>
        <v>2876</v>
      </c>
      <c r="K16" s="2214">
        <f>'[5]int.kiadások RM IV'!J16</f>
        <v>3961</v>
      </c>
      <c r="L16" s="2214">
        <v>3765</v>
      </c>
      <c r="M16" s="2215">
        <f t="shared" si="2"/>
        <v>0.95051754607422367</v>
      </c>
      <c r="N16" s="2213" t="s">
        <v>1439</v>
      </c>
      <c r="O16" s="2214">
        <f>[4]int.kiadások2019!E15</f>
        <v>0</v>
      </c>
      <c r="P16" s="2214">
        <f>'[5]int.kiadások RM IV'!N16</f>
        <v>0</v>
      </c>
      <c r="Q16" s="2214"/>
      <c r="R16" s="2215"/>
      <c r="S16" s="2214">
        <f>[4]int.kiadások2019!F15</f>
        <v>0</v>
      </c>
      <c r="T16" s="2214">
        <f>'[5]int.kiadások RM IV'!Q16</f>
        <v>0</v>
      </c>
      <c r="U16" s="2214"/>
      <c r="V16" s="2215"/>
      <c r="W16" s="2214">
        <f t="shared" si="3"/>
        <v>79973</v>
      </c>
      <c r="X16" s="2214">
        <f t="shared" si="3"/>
        <v>82495</v>
      </c>
      <c r="Y16" s="2214">
        <f t="shared" si="3"/>
        <v>79460</v>
      </c>
      <c r="Z16" s="2215">
        <f t="shared" si="4"/>
        <v>0.96320989150857628</v>
      </c>
      <c r="AA16" s="2213" t="s">
        <v>1439</v>
      </c>
      <c r="AB16" s="2214">
        <f>[4]int.kiadások2019!I15</f>
        <v>0</v>
      </c>
      <c r="AC16" s="2214">
        <f>'[5]int.kiadások RM IV'!X16</f>
        <v>2894</v>
      </c>
      <c r="AD16" s="2216">
        <v>2894</v>
      </c>
      <c r="AE16" s="2215">
        <f t="shared" si="5"/>
        <v>1</v>
      </c>
      <c r="AF16" s="2214">
        <f>[4]int.kiadások2019!J15</f>
        <v>0</v>
      </c>
      <c r="AG16" s="2214">
        <f>'[5]int.kiadások RM IV'!AA16</f>
        <v>687</v>
      </c>
      <c r="AH16" s="2216">
        <v>687</v>
      </c>
      <c r="AI16" s="2215">
        <f t="shared" si="10"/>
        <v>1</v>
      </c>
      <c r="AJ16" s="2214">
        <f>[4]int.kiadások2019!K15</f>
        <v>0</v>
      </c>
      <c r="AK16" s="2214">
        <f>'[5]int.kiadások RM IV'!AD16</f>
        <v>0</v>
      </c>
      <c r="AL16" s="2214"/>
      <c r="AM16" s="2215"/>
      <c r="AN16" s="2213" t="s">
        <v>1439</v>
      </c>
      <c r="AO16" s="2214">
        <f t="shared" si="6"/>
        <v>0</v>
      </c>
      <c r="AP16" s="2214">
        <f t="shared" si="6"/>
        <v>3581</v>
      </c>
      <c r="AQ16" s="2214">
        <f t="shared" si="6"/>
        <v>3581</v>
      </c>
      <c r="AR16" s="2215">
        <f t="shared" si="7"/>
        <v>1</v>
      </c>
      <c r="AS16" s="2214">
        <f t="shared" si="8"/>
        <v>79973</v>
      </c>
      <c r="AT16" s="2214">
        <f t="shared" si="8"/>
        <v>86076</v>
      </c>
      <c r="AU16" s="2216">
        <f>Y16+AQ16-1</f>
        <v>83040</v>
      </c>
      <c r="AV16" s="2215">
        <f t="shared" si="9"/>
        <v>0.96472884427715044</v>
      </c>
      <c r="AW16" s="2214">
        <f>AS16-'[6]éves besz.bevételei2019'!BD16</f>
        <v>0</v>
      </c>
      <c r="AX16" s="2214">
        <f>AT16-'[6]éves besz.bevételei2019'!BE16</f>
        <v>0</v>
      </c>
      <c r="AY16" s="2214">
        <f>AU16-'[6]éves besz.bevételei2019'!BF16</f>
        <v>-397</v>
      </c>
    </row>
    <row r="17" spans="1:51" s="2212" customFormat="1" ht="49.5" customHeight="1" x14ac:dyDescent="0.5">
      <c r="A17" s="2213" t="s">
        <v>1440</v>
      </c>
      <c r="B17" s="2214">
        <f>[4]int.kiadások2019!B16</f>
        <v>68362</v>
      </c>
      <c r="C17" s="2214">
        <f>'[5]int.kiadások RM IV'!D17</f>
        <v>68878</v>
      </c>
      <c r="D17" s="2214">
        <v>67025</v>
      </c>
      <c r="E17" s="2215">
        <f t="shared" si="0"/>
        <v>0.97309736055053864</v>
      </c>
      <c r="F17" s="2214">
        <f>[4]int.kiadások2019!C16</f>
        <v>13549</v>
      </c>
      <c r="G17" s="2214">
        <f>'[5]int.kiadások RM IV'!G17</f>
        <v>13258</v>
      </c>
      <c r="H17" s="2214">
        <v>12688</v>
      </c>
      <c r="I17" s="2215">
        <f t="shared" si="1"/>
        <v>0.95700709005883244</v>
      </c>
      <c r="J17" s="2214">
        <f>[4]int.kiadások2019!D16</f>
        <v>2740</v>
      </c>
      <c r="K17" s="2214">
        <f>'[5]int.kiadások RM IV'!J17</f>
        <v>6449</v>
      </c>
      <c r="L17" s="2214">
        <v>5382</v>
      </c>
      <c r="M17" s="2215">
        <f t="shared" si="2"/>
        <v>0.83454799193673435</v>
      </c>
      <c r="N17" s="2213" t="s">
        <v>1440</v>
      </c>
      <c r="O17" s="2214">
        <f>[4]int.kiadások2019!E16</f>
        <v>0</v>
      </c>
      <c r="P17" s="2214">
        <f>'[5]int.kiadások RM IV'!N17</f>
        <v>0</v>
      </c>
      <c r="Q17" s="2214"/>
      <c r="R17" s="2215"/>
      <c r="S17" s="2214">
        <f>[4]int.kiadások2019!F16</f>
        <v>0</v>
      </c>
      <c r="T17" s="2214">
        <f>'[5]int.kiadások RM IV'!Q17</f>
        <v>0</v>
      </c>
      <c r="U17" s="2214"/>
      <c r="V17" s="2215"/>
      <c r="W17" s="2214">
        <f t="shared" si="3"/>
        <v>84651</v>
      </c>
      <c r="X17" s="2214">
        <f t="shared" si="3"/>
        <v>88585</v>
      </c>
      <c r="Y17" s="2214">
        <f t="shared" si="3"/>
        <v>85095</v>
      </c>
      <c r="Z17" s="2215">
        <f t="shared" si="4"/>
        <v>0.9606028108596264</v>
      </c>
      <c r="AA17" s="2213" t="s">
        <v>1440</v>
      </c>
      <c r="AB17" s="2214">
        <f>[4]int.kiadások2019!I16</f>
        <v>0</v>
      </c>
      <c r="AC17" s="2214">
        <f>'[5]int.kiadások RM IV'!X17</f>
        <v>7150</v>
      </c>
      <c r="AD17" s="2214">
        <v>799</v>
      </c>
      <c r="AE17" s="2215">
        <f t="shared" si="5"/>
        <v>0.11174825174825175</v>
      </c>
      <c r="AF17" s="2214">
        <f>[4]int.kiadások2019!J16</f>
        <v>0</v>
      </c>
      <c r="AG17" s="2214">
        <f>'[5]int.kiadások RM IV'!AA17</f>
        <v>8948</v>
      </c>
      <c r="AH17" s="2214">
        <v>8947</v>
      </c>
      <c r="AI17" s="2215">
        <f t="shared" si="10"/>
        <v>0.9998882431828342</v>
      </c>
      <c r="AJ17" s="2214">
        <f>[4]int.kiadások2019!K16</f>
        <v>0</v>
      </c>
      <c r="AK17" s="2214">
        <f>'[5]int.kiadások RM IV'!AD17</f>
        <v>0</v>
      </c>
      <c r="AL17" s="2214"/>
      <c r="AM17" s="2215"/>
      <c r="AN17" s="2213" t="s">
        <v>1440</v>
      </c>
      <c r="AO17" s="2214">
        <f t="shared" si="6"/>
        <v>0</v>
      </c>
      <c r="AP17" s="2214">
        <f t="shared" si="6"/>
        <v>16098</v>
      </c>
      <c r="AQ17" s="2214">
        <f t="shared" si="6"/>
        <v>9746</v>
      </c>
      <c r="AR17" s="2215">
        <f t="shared" si="7"/>
        <v>0.60541682196546154</v>
      </c>
      <c r="AS17" s="2214">
        <f t="shared" si="8"/>
        <v>84651</v>
      </c>
      <c r="AT17" s="2214">
        <f t="shared" si="8"/>
        <v>104683</v>
      </c>
      <c r="AU17" s="2214">
        <f t="shared" si="8"/>
        <v>94841</v>
      </c>
      <c r="AV17" s="2215">
        <f t="shared" si="9"/>
        <v>0.90598282433632971</v>
      </c>
      <c r="AW17" s="2214">
        <f>AS17-'[6]éves besz.bevételei2019'!BD17</f>
        <v>0</v>
      </c>
      <c r="AX17" s="2214">
        <f>AT17-'[6]éves besz.bevételei2019'!BE17</f>
        <v>0</v>
      </c>
      <c r="AY17" s="2214">
        <f>AU17-'[6]éves besz.bevételei2019'!BF17</f>
        <v>-339</v>
      </c>
    </row>
    <row r="18" spans="1:51" s="2212" customFormat="1" ht="49.5" customHeight="1" x14ac:dyDescent="0.5">
      <c r="A18" s="2213" t="s">
        <v>1307</v>
      </c>
      <c r="B18" s="2214">
        <f>[4]int.kiadások2019!B17</f>
        <v>97032</v>
      </c>
      <c r="C18" s="2214">
        <f>'[5]int.kiadások RM IV'!D18</f>
        <v>99130</v>
      </c>
      <c r="D18" s="2933">
        <v>95335</v>
      </c>
      <c r="E18" s="2215">
        <f t="shared" si="0"/>
        <v>0.96171693735498842</v>
      </c>
      <c r="F18" s="2214">
        <f>[4]int.kiadások2019!C17</f>
        <v>20830</v>
      </c>
      <c r="G18" s="2214">
        <f>'[5]int.kiadások RM IV'!G18</f>
        <v>20556</v>
      </c>
      <c r="H18" s="2214">
        <v>19513</v>
      </c>
      <c r="I18" s="2215">
        <f t="shared" si="1"/>
        <v>0.94926055652850749</v>
      </c>
      <c r="J18" s="2214">
        <f>[4]int.kiadások2019!D17</f>
        <v>3783</v>
      </c>
      <c r="K18" s="2214">
        <f>'[5]int.kiadások RM IV'!J18</f>
        <v>7593</v>
      </c>
      <c r="L18" s="2214">
        <v>6618</v>
      </c>
      <c r="M18" s="2215">
        <f t="shared" si="2"/>
        <v>0.87159225602528645</v>
      </c>
      <c r="N18" s="2213" t="s">
        <v>1307</v>
      </c>
      <c r="O18" s="2214">
        <f>[4]int.kiadások2019!E17</f>
        <v>0</v>
      </c>
      <c r="P18" s="2214">
        <f>'[5]int.kiadások RM IV'!N18</f>
        <v>0</v>
      </c>
      <c r="Q18" s="2214"/>
      <c r="R18" s="2215"/>
      <c r="S18" s="2214">
        <f>[4]int.kiadások2019!F17</f>
        <v>0</v>
      </c>
      <c r="T18" s="2214">
        <f>'[5]int.kiadások RM IV'!Q18</f>
        <v>0</v>
      </c>
      <c r="U18" s="2214"/>
      <c r="V18" s="2215"/>
      <c r="W18" s="2214">
        <f t="shared" si="3"/>
        <v>121645</v>
      </c>
      <c r="X18" s="2214">
        <f t="shared" si="3"/>
        <v>127279</v>
      </c>
      <c r="Y18" s="2214">
        <f t="shared" si="3"/>
        <v>121466</v>
      </c>
      <c r="Z18" s="2215">
        <f t="shared" si="4"/>
        <v>0.95432867951508105</v>
      </c>
      <c r="AA18" s="2213" t="s">
        <v>1307</v>
      </c>
      <c r="AB18" s="2214">
        <f>[4]int.kiadások2019!I17</f>
        <v>0</v>
      </c>
      <c r="AC18" s="2214">
        <f>'[5]int.kiadások RM IV'!X18</f>
        <v>1224</v>
      </c>
      <c r="AD18" s="2214">
        <v>1224</v>
      </c>
      <c r="AE18" s="2215">
        <f t="shared" si="5"/>
        <v>1</v>
      </c>
      <c r="AF18" s="2214">
        <f>[4]int.kiadások2019!J17</f>
        <v>0</v>
      </c>
      <c r="AG18" s="2214">
        <f>'[5]int.kiadások RM IV'!AA18</f>
        <v>3975</v>
      </c>
      <c r="AH18" s="2214">
        <v>3974</v>
      </c>
      <c r="AI18" s="2215">
        <f t="shared" si="10"/>
        <v>0.99974842767295602</v>
      </c>
      <c r="AJ18" s="2214">
        <f>[4]int.kiadások2019!K17</f>
        <v>0</v>
      </c>
      <c r="AK18" s="2214">
        <f>'[5]int.kiadások RM IV'!AD18</f>
        <v>0</v>
      </c>
      <c r="AL18" s="2214"/>
      <c r="AM18" s="2215"/>
      <c r="AN18" s="2213" t="s">
        <v>1307</v>
      </c>
      <c r="AO18" s="2214">
        <f t="shared" si="6"/>
        <v>0</v>
      </c>
      <c r="AP18" s="2214">
        <f t="shared" si="6"/>
        <v>5199</v>
      </c>
      <c r="AQ18" s="2214">
        <f t="shared" si="6"/>
        <v>5198</v>
      </c>
      <c r="AR18" s="2215">
        <f t="shared" si="7"/>
        <v>0.99980765531833049</v>
      </c>
      <c r="AS18" s="2214">
        <f t="shared" si="8"/>
        <v>121645</v>
      </c>
      <c r="AT18" s="2214">
        <f t="shared" si="8"/>
        <v>132478</v>
      </c>
      <c r="AU18" s="2214">
        <f t="shared" si="8"/>
        <v>126664</v>
      </c>
      <c r="AV18" s="2215">
        <f t="shared" si="9"/>
        <v>0.95611346789655638</v>
      </c>
      <c r="AW18" s="2214">
        <f>AS18-'[6]éves besz.bevételei2019'!BD18</f>
        <v>0</v>
      </c>
      <c r="AX18" s="2214">
        <f>AT18-'[6]éves besz.bevételei2019'!BE18</f>
        <v>0</v>
      </c>
      <c r="AY18" s="2214">
        <f>AU18-'[6]éves besz.bevételei2019'!BF18</f>
        <v>-614</v>
      </c>
    </row>
    <row r="19" spans="1:51" s="2212" customFormat="1" ht="49.5" customHeight="1" x14ac:dyDescent="0.5">
      <c r="A19" s="2213" t="s">
        <v>1441</v>
      </c>
      <c r="B19" s="2214">
        <f>[4]int.kiadások2019!B18</f>
        <v>107931</v>
      </c>
      <c r="C19" s="2214">
        <f>'[5]int.kiadások RM IV'!D19</f>
        <v>108950</v>
      </c>
      <c r="D19" s="2214">
        <v>106798</v>
      </c>
      <c r="E19" s="2215">
        <f t="shared" si="0"/>
        <v>0.98024782010096378</v>
      </c>
      <c r="F19" s="2214">
        <f>[4]int.kiadások2019!C18</f>
        <v>23183</v>
      </c>
      <c r="G19" s="2214">
        <f>'[5]int.kiadások RM IV'!G19</f>
        <v>22753</v>
      </c>
      <c r="H19" s="2214">
        <v>22448</v>
      </c>
      <c r="I19" s="2215">
        <f t="shared" si="1"/>
        <v>0.98659517426273458</v>
      </c>
      <c r="J19" s="2214">
        <f>[4]int.kiadások2019!D18</f>
        <v>4425</v>
      </c>
      <c r="K19" s="2214">
        <f>'[5]int.kiadások RM IV'!J19</f>
        <v>6516</v>
      </c>
      <c r="L19" s="2214">
        <v>4977</v>
      </c>
      <c r="M19" s="2215">
        <f t="shared" si="2"/>
        <v>0.76381215469613262</v>
      </c>
      <c r="N19" s="2213" t="s">
        <v>1441</v>
      </c>
      <c r="O19" s="2214">
        <f>[4]int.kiadások2019!E18</f>
        <v>0</v>
      </c>
      <c r="P19" s="2214">
        <f>'[5]int.kiadások RM IV'!N19</f>
        <v>0</v>
      </c>
      <c r="Q19" s="2214"/>
      <c r="R19" s="2215"/>
      <c r="S19" s="2214">
        <f>[4]int.kiadások2019!F18</f>
        <v>0</v>
      </c>
      <c r="T19" s="2214">
        <f>'[5]int.kiadások RM IV'!Q19</f>
        <v>0</v>
      </c>
      <c r="U19" s="2214"/>
      <c r="V19" s="2215"/>
      <c r="W19" s="2214">
        <f t="shared" si="3"/>
        <v>135539</v>
      </c>
      <c r="X19" s="2214">
        <f t="shared" si="3"/>
        <v>138219</v>
      </c>
      <c r="Y19" s="2214">
        <f t="shared" si="3"/>
        <v>134223</v>
      </c>
      <c r="Z19" s="2215">
        <f t="shared" si="4"/>
        <v>0.97108935819243369</v>
      </c>
      <c r="AA19" s="2213" t="s">
        <v>1441</v>
      </c>
      <c r="AB19" s="2214">
        <f>[4]int.kiadások2019!I18</f>
        <v>0</v>
      </c>
      <c r="AC19" s="2214">
        <f>'[5]int.kiadások RM IV'!X19</f>
        <v>1143</v>
      </c>
      <c r="AD19" s="2214">
        <v>1141</v>
      </c>
      <c r="AE19" s="2215">
        <f t="shared" si="5"/>
        <v>0.99825021872265962</v>
      </c>
      <c r="AF19" s="2214">
        <f>[4]int.kiadások2019!J18</f>
        <v>0</v>
      </c>
      <c r="AG19" s="2214">
        <f>'[5]int.kiadások RM IV'!AA19</f>
        <v>21791</v>
      </c>
      <c r="AH19" s="2214"/>
      <c r="AI19" s="2215">
        <f t="shared" si="10"/>
        <v>0</v>
      </c>
      <c r="AJ19" s="2214">
        <f>[4]int.kiadások2019!K18</f>
        <v>0</v>
      </c>
      <c r="AK19" s="2214">
        <f>'[5]int.kiadások RM IV'!AD19</f>
        <v>0</v>
      </c>
      <c r="AL19" s="2214"/>
      <c r="AM19" s="2215"/>
      <c r="AN19" s="2213" t="s">
        <v>1441</v>
      </c>
      <c r="AO19" s="2214">
        <f t="shared" si="6"/>
        <v>0</v>
      </c>
      <c r="AP19" s="2214">
        <f t="shared" si="6"/>
        <v>22934</v>
      </c>
      <c r="AQ19" s="2214">
        <f t="shared" si="6"/>
        <v>1141</v>
      </c>
      <c r="AR19" s="2215">
        <f t="shared" si="7"/>
        <v>4.9751460713351355E-2</v>
      </c>
      <c r="AS19" s="2214">
        <f t="shared" si="8"/>
        <v>135539</v>
      </c>
      <c r="AT19" s="2214">
        <f t="shared" si="8"/>
        <v>161153</v>
      </c>
      <c r="AU19" s="2216">
        <f>Y19+AQ19+1</f>
        <v>135365</v>
      </c>
      <c r="AV19" s="2215">
        <f t="shared" si="9"/>
        <v>0.83997815740321313</v>
      </c>
      <c r="AW19" s="2214">
        <f>AS19-'[6]éves besz.bevételei2019'!BD19</f>
        <v>0</v>
      </c>
      <c r="AX19" s="2214">
        <f>AT19-'[6]éves besz.bevételei2019'!BE19</f>
        <v>0</v>
      </c>
      <c r="AY19" s="2214">
        <f>AU19-'[6]éves besz.bevételei2019'!BF19</f>
        <v>-525</v>
      </c>
    </row>
    <row r="20" spans="1:51" s="2212" customFormat="1" ht="49.5" customHeight="1" x14ac:dyDescent="0.5">
      <c r="A20" s="2213" t="s">
        <v>1442</v>
      </c>
      <c r="B20" s="2214">
        <f>[4]int.kiadások2019!B19</f>
        <v>58215</v>
      </c>
      <c r="C20" s="2214">
        <f>'[5]int.kiadások RM IV'!D20</f>
        <v>59171</v>
      </c>
      <c r="D20" s="2214">
        <v>57650</v>
      </c>
      <c r="E20" s="2215">
        <f t="shared" si="0"/>
        <v>0.97429484037788783</v>
      </c>
      <c r="F20" s="2214">
        <f>[4]int.kiadások2019!C19</f>
        <v>11290</v>
      </c>
      <c r="G20" s="2214">
        <f>'[5]int.kiadások RM IV'!G20</f>
        <v>11211</v>
      </c>
      <c r="H20" s="2214">
        <v>10978</v>
      </c>
      <c r="I20" s="2215">
        <f t="shared" si="1"/>
        <v>0.9792168406029792</v>
      </c>
      <c r="J20" s="2214">
        <f>[4]int.kiadások2019!D19</f>
        <v>2296</v>
      </c>
      <c r="K20" s="2214">
        <f>'[5]int.kiadások RM IV'!J20</f>
        <v>3131</v>
      </c>
      <c r="L20" s="2214">
        <v>2613</v>
      </c>
      <c r="M20" s="2215">
        <f t="shared" si="2"/>
        <v>0.83455764931331844</v>
      </c>
      <c r="N20" s="2213" t="s">
        <v>1442</v>
      </c>
      <c r="O20" s="2214">
        <f>[4]int.kiadások2019!E19</f>
        <v>0</v>
      </c>
      <c r="P20" s="2214">
        <f>'[5]int.kiadások RM IV'!N20</f>
        <v>0</v>
      </c>
      <c r="Q20" s="2214"/>
      <c r="R20" s="2215"/>
      <c r="S20" s="2214">
        <f>[4]int.kiadások2019!F19</f>
        <v>0</v>
      </c>
      <c r="T20" s="2214">
        <f>'[5]int.kiadások RM IV'!Q20</f>
        <v>0</v>
      </c>
      <c r="U20" s="2214"/>
      <c r="V20" s="2215"/>
      <c r="W20" s="2214">
        <f t="shared" si="3"/>
        <v>71801</v>
      </c>
      <c r="X20" s="2214">
        <f t="shared" si="3"/>
        <v>73513</v>
      </c>
      <c r="Y20" s="2214">
        <f t="shared" si="3"/>
        <v>71241</v>
      </c>
      <c r="Z20" s="2215">
        <f t="shared" si="4"/>
        <v>0.96909390175887256</v>
      </c>
      <c r="AA20" s="2213" t="s">
        <v>1442</v>
      </c>
      <c r="AB20" s="2214">
        <f>[4]int.kiadások2019!I19</f>
        <v>0</v>
      </c>
      <c r="AC20" s="2214">
        <f>'[5]int.kiadások RM IV'!X20</f>
        <v>1167</v>
      </c>
      <c r="AD20" s="2216">
        <v>292</v>
      </c>
      <c r="AE20" s="2215">
        <f t="shared" si="5"/>
        <v>0.25021422450728364</v>
      </c>
      <c r="AF20" s="2214">
        <f>[4]int.kiadások2019!J19</f>
        <v>0</v>
      </c>
      <c r="AG20" s="2214">
        <f>'[5]int.kiadások RM IV'!AA20</f>
        <v>0</v>
      </c>
      <c r="AH20" s="2214"/>
      <c r="AI20" s="2215"/>
      <c r="AJ20" s="2214">
        <f>[4]int.kiadások2019!K19</f>
        <v>0</v>
      </c>
      <c r="AK20" s="2214">
        <f>'[5]int.kiadások RM IV'!AD20</f>
        <v>0</v>
      </c>
      <c r="AL20" s="2214"/>
      <c r="AM20" s="2215"/>
      <c r="AN20" s="2213" t="s">
        <v>1442</v>
      </c>
      <c r="AO20" s="2214">
        <f t="shared" si="6"/>
        <v>0</v>
      </c>
      <c r="AP20" s="2214">
        <f t="shared" si="6"/>
        <v>1167</v>
      </c>
      <c r="AQ20" s="2214">
        <f t="shared" si="6"/>
        <v>292</v>
      </c>
      <c r="AR20" s="2215">
        <f t="shared" si="7"/>
        <v>0.25021422450728364</v>
      </c>
      <c r="AS20" s="2214">
        <f t="shared" si="8"/>
        <v>71801</v>
      </c>
      <c r="AT20" s="2214">
        <f t="shared" si="8"/>
        <v>74680</v>
      </c>
      <c r="AU20" s="2214">
        <f t="shared" si="8"/>
        <v>71533</v>
      </c>
      <c r="AV20" s="2215">
        <f t="shared" si="9"/>
        <v>0.95786020353508305</v>
      </c>
      <c r="AW20" s="2214">
        <f>AS20-'[6]éves besz.bevételei2019'!BD20</f>
        <v>0</v>
      </c>
      <c r="AX20" s="2214">
        <f>AT20-'[6]éves besz.bevételei2019'!BE20</f>
        <v>0</v>
      </c>
      <c r="AY20" s="2214">
        <f>AU20-'[6]éves besz.bevételei2019'!BF20</f>
        <v>-336</v>
      </c>
    </row>
    <row r="21" spans="1:51" s="2212" customFormat="1" ht="49.5" customHeight="1" x14ac:dyDescent="0.5">
      <c r="A21" s="2213" t="s">
        <v>1310</v>
      </c>
      <c r="B21" s="2214">
        <f>[4]int.kiadások2019!B20</f>
        <v>42539</v>
      </c>
      <c r="C21" s="2214">
        <f>'[5]int.kiadások RM IV'!D21</f>
        <v>41615</v>
      </c>
      <c r="D21" s="2214">
        <v>39928</v>
      </c>
      <c r="E21" s="2215">
        <f t="shared" si="0"/>
        <v>0.95946173254835998</v>
      </c>
      <c r="F21" s="2214">
        <f>[4]int.kiadások2019!C20</f>
        <v>8351</v>
      </c>
      <c r="G21" s="2214">
        <f>'[5]int.kiadások RM IV'!G21</f>
        <v>8120</v>
      </c>
      <c r="H21" s="2214">
        <v>7842</v>
      </c>
      <c r="I21" s="2215">
        <f t="shared" si="1"/>
        <v>0.96576354679802956</v>
      </c>
      <c r="J21" s="2214">
        <f>[4]int.kiadások2019!D20</f>
        <v>2135</v>
      </c>
      <c r="K21" s="2214">
        <f>'[5]int.kiadások RM IV'!J21</f>
        <v>9904</v>
      </c>
      <c r="L21" s="2214">
        <v>8306</v>
      </c>
      <c r="M21" s="2215">
        <f t="shared" si="2"/>
        <v>0.83865105008077545</v>
      </c>
      <c r="N21" s="2213" t="s">
        <v>1310</v>
      </c>
      <c r="O21" s="2214">
        <f>[4]int.kiadások2019!E20</f>
        <v>0</v>
      </c>
      <c r="P21" s="2214">
        <f>'[5]int.kiadások RM IV'!N21</f>
        <v>0</v>
      </c>
      <c r="Q21" s="2214"/>
      <c r="R21" s="2215"/>
      <c r="S21" s="2214">
        <f>[4]int.kiadások2019!F20</f>
        <v>0</v>
      </c>
      <c r="T21" s="2214">
        <f>'[5]int.kiadások RM IV'!Q21</f>
        <v>0</v>
      </c>
      <c r="U21" s="2214"/>
      <c r="V21" s="2215"/>
      <c r="W21" s="2214">
        <f t="shared" si="3"/>
        <v>53025</v>
      </c>
      <c r="X21" s="2214">
        <f t="shared" si="3"/>
        <v>59639</v>
      </c>
      <c r="Y21" s="2214">
        <f t="shared" si="3"/>
        <v>56076</v>
      </c>
      <c r="Z21" s="2215">
        <f t="shared" si="4"/>
        <v>0.94025721423900466</v>
      </c>
      <c r="AA21" s="2213" t="s">
        <v>1310</v>
      </c>
      <c r="AB21" s="2214">
        <f>[4]int.kiadások2019!I20</f>
        <v>0</v>
      </c>
      <c r="AC21" s="2214">
        <f>'[5]int.kiadások RM IV'!X21</f>
        <v>7239</v>
      </c>
      <c r="AD21" s="2214">
        <v>5358</v>
      </c>
      <c r="AE21" s="2215">
        <f t="shared" si="5"/>
        <v>0.74015748031496065</v>
      </c>
      <c r="AF21" s="2214">
        <f>[4]int.kiadások2019!J20</f>
        <v>0</v>
      </c>
      <c r="AG21" s="2214">
        <f>'[5]int.kiadások RM IV'!AA21</f>
        <v>5940</v>
      </c>
      <c r="AH21" s="2214">
        <v>4306</v>
      </c>
      <c r="AI21" s="2215">
        <f t="shared" si="10"/>
        <v>0.72491582491582496</v>
      </c>
      <c r="AJ21" s="2214">
        <f>[4]int.kiadások2019!K20</f>
        <v>0</v>
      </c>
      <c r="AK21" s="2214">
        <f>'[5]int.kiadások RM IV'!AD21</f>
        <v>0</v>
      </c>
      <c r="AL21" s="2214"/>
      <c r="AM21" s="2215"/>
      <c r="AN21" s="2213" t="s">
        <v>1310</v>
      </c>
      <c r="AO21" s="2214">
        <f t="shared" si="6"/>
        <v>0</v>
      </c>
      <c r="AP21" s="2214">
        <f t="shared" si="6"/>
        <v>13179</v>
      </c>
      <c r="AQ21" s="2214">
        <f t="shared" si="6"/>
        <v>9664</v>
      </c>
      <c r="AR21" s="2215">
        <f t="shared" si="7"/>
        <v>0.7332878063586008</v>
      </c>
      <c r="AS21" s="2214">
        <f t="shared" si="8"/>
        <v>53025</v>
      </c>
      <c r="AT21" s="2214">
        <f t="shared" si="8"/>
        <v>72818</v>
      </c>
      <c r="AU21" s="2214">
        <f t="shared" si="8"/>
        <v>65740</v>
      </c>
      <c r="AV21" s="2215">
        <f t="shared" si="9"/>
        <v>0.9027987585487105</v>
      </c>
      <c r="AW21" s="2214">
        <f>AS21-'[6]éves besz.bevételei2019'!BD21</f>
        <v>0</v>
      </c>
      <c r="AX21" s="2214">
        <f>AT21-'[6]éves besz.bevételei2019'!BE21</f>
        <v>0</v>
      </c>
      <c r="AY21" s="2214">
        <f>AU21-'[6]éves besz.bevételei2019'!BF21</f>
        <v>-1175</v>
      </c>
    </row>
    <row r="22" spans="1:51" s="2212" customFormat="1" ht="49.5" customHeight="1" x14ac:dyDescent="0.5">
      <c r="A22" s="2213" t="s">
        <v>1443</v>
      </c>
      <c r="B22" s="2214">
        <f>[4]int.kiadások2019!B21</f>
        <v>58503</v>
      </c>
      <c r="C22" s="2214">
        <f>'[5]int.kiadások RM IV'!D22</f>
        <v>61533</v>
      </c>
      <c r="D22" s="2214">
        <v>58081</v>
      </c>
      <c r="E22" s="2215">
        <f t="shared" si="0"/>
        <v>0.94390002112687499</v>
      </c>
      <c r="F22" s="2214">
        <f>[4]int.kiadások2019!C21</f>
        <v>11701</v>
      </c>
      <c r="G22" s="2214">
        <f>'[5]int.kiadások RM IV'!G22</f>
        <v>12413</v>
      </c>
      <c r="H22" s="2216">
        <v>10850</v>
      </c>
      <c r="I22" s="2215">
        <f t="shared" si="1"/>
        <v>0.87408362200918388</v>
      </c>
      <c r="J22" s="2214">
        <f>[4]int.kiadások2019!D21</f>
        <v>2355</v>
      </c>
      <c r="K22" s="2214">
        <f>'[5]int.kiadások RM IV'!J22</f>
        <v>6087</v>
      </c>
      <c r="L22" s="2216">
        <v>3660</v>
      </c>
      <c r="M22" s="2215">
        <f t="shared" si="2"/>
        <v>0.60128141941843272</v>
      </c>
      <c r="N22" s="2213" t="s">
        <v>1443</v>
      </c>
      <c r="O22" s="2214">
        <f>[4]int.kiadások2019!E21</f>
        <v>0</v>
      </c>
      <c r="P22" s="2214">
        <f>'[5]int.kiadások RM IV'!N22</f>
        <v>0</v>
      </c>
      <c r="Q22" s="2214"/>
      <c r="R22" s="2215"/>
      <c r="S22" s="2214">
        <f>[4]int.kiadások2019!F21</f>
        <v>0</v>
      </c>
      <c r="T22" s="2214">
        <f>'[5]int.kiadások RM IV'!Q22</f>
        <v>0</v>
      </c>
      <c r="U22" s="2214"/>
      <c r="V22" s="2215"/>
      <c r="W22" s="2214">
        <f t="shared" si="3"/>
        <v>72559</v>
      </c>
      <c r="X22" s="2214">
        <f t="shared" si="3"/>
        <v>80033</v>
      </c>
      <c r="Y22" s="2214">
        <f t="shared" si="3"/>
        <v>72591</v>
      </c>
      <c r="Z22" s="2215">
        <f t="shared" si="4"/>
        <v>0.90701335699024155</v>
      </c>
      <c r="AA22" s="2213" t="s">
        <v>1443</v>
      </c>
      <c r="AB22" s="2214">
        <f>[4]int.kiadások2019!I21</f>
        <v>0</v>
      </c>
      <c r="AC22" s="2214">
        <f>'[5]int.kiadások RM IV'!X22</f>
        <v>4195</v>
      </c>
      <c r="AD22" s="2214">
        <v>4195</v>
      </c>
      <c r="AE22" s="2215">
        <f t="shared" si="5"/>
        <v>1</v>
      </c>
      <c r="AF22" s="2214">
        <f>[4]int.kiadások2019!J21</f>
        <v>0</v>
      </c>
      <c r="AG22" s="2214">
        <f>'[5]int.kiadások RM IV'!AA22</f>
        <v>15243</v>
      </c>
      <c r="AH22" s="2214">
        <v>15243</v>
      </c>
      <c r="AI22" s="2215">
        <f t="shared" si="10"/>
        <v>1</v>
      </c>
      <c r="AJ22" s="2214">
        <f>[4]int.kiadások2019!K21</f>
        <v>0</v>
      </c>
      <c r="AK22" s="2214">
        <f>'[5]int.kiadások RM IV'!AD22</f>
        <v>0</v>
      </c>
      <c r="AL22" s="2214"/>
      <c r="AM22" s="2215"/>
      <c r="AN22" s="2213" t="s">
        <v>1443</v>
      </c>
      <c r="AO22" s="2214">
        <f t="shared" si="6"/>
        <v>0</v>
      </c>
      <c r="AP22" s="2214">
        <f t="shared" si="6"/>
        <v>19438</v>
      </c>
      <c r="AQ22" s="2214">
        <f t="shared" si="6"/>
        <v>19438</v>
      </c>
      <c r="AR22" s="2215">
        <f t="shared" si="7"/>
        <v>1</v>
      </c>
      <c r="AS22" s="2214">
        <f t="shared" si="8"/>
        <v>72559</v>
      </c>
      <c r="AT22" s="2214">
        <f t="shared" si="8"/>
        <v>99471</v>
      </c>
      <c r="AU22" s="2214">
        <f t="shared" si="8"/>
        <v>92029</v>
      </c>
      <c r="AV22" s="2215">
        <f t="shared" si="9"/>
        <v>0.9251842245478582</v>
      </c>
      <c r="AW22" s="2214">
        <f>AS22-'[6]éves besz.bevételei2019'!BD22</f>
        <v>0</v>
      </c>
      <c r="AX22" s="2214">
        <f>AT22-'[6]éves besz.bevételei2019'!BE22</f>
        <v>0</v>
      </c>
      <c r="AY22" s="2214">
        <f>AU22-'[6]éves besz.bevételei2019'!BF22</f>
        <v>-2284</v>
      </c>
    </row>
    <row r="23" spans="1:51" s="2212" customFormat="1" ht="49.5" customHeight="1" x14ac:dyDescent="0.5">
      <c r="A23" s="2213" t="s">
        <v>1444</v>
      </c>
      <c r="B23" s="2214">
        <f>[4]int.kiadások2019!B22</f>
        <v>78873</v>
      </c>
      <c r="C23" s="2214">
        <f>'[5]int.kiadások RM IV'!D23</f>
        <v>80913</v>
      </c>
      <c r="D23" s="2214">
        <v>77059</v>
      </c>
      <c r="E23" s="2215">
        <f t="shared" si="0"/>
        <v>0.95236859342750857</v>
      </c>
      <c r="F23" s="2214">
        <f>[4]int.kiadások2019!C22</f>
        <v>15495</v>
      </c>
      <c r="G23" s="2214">
        <f>'[5]int.kiadások RM IV'!G23</f>
        <v>15312</v>
      </c>
      <c r="H23" s="2214">
        <v>14499</v>
      </c>
      <c r="I23" s="2215">
        <f t="shared" si="1"/>
        <v>0.94690438871473359</v>
      </c>
      <c r="J23" s="2214">
        <f>[4]int.kiadások2019!D22</f>
        <v>2657</v>
      </c>
      <c r="K23" s="2214">
        <f>'[5]int.kiadások RM IV'!J23</f>
        <v>5103</v>
      </c>
      <c r="L23" s="2214">
        <v>4566</v>
      </c>
      <c r="M23" s="2215">
        <f t="shared" si="2"/>
        <v>0.89476778365667253</v>
      </c>
      <c r="N23" s="2213" t="s">
        <v>1444</v>
      </c>
      <c r="O23" s="2214">
        <f>[4]int.kiadások2019!E22</f>
        <v>0</v>
      </c>
      <c r="P23" s="2214">
        <f>'[5]int.kiadások RM IV'!N23</f>
        <v>0</v>
      </c>
      <c r="Q23" s="2214"/>
      <c r="R23" s="2215"/>
      <c r="S23" s="2214">
        <f>[4]int.kiadások2019!F22</f>
        <v>0</v>
      </c>
      <c r="T23" s="2214">
        <f>'[5]int.kiadások RM IV'!Q23</f>
        <v>0</v>
      </c>
      <c r="U23" s="2214"/>
      <c r="V23" s="2215"/>
      <c r="W23" s="2214">
        <f t="shared" si="3"/>
        <v>97025</v>
      </c>
      <c r="X23" s="2214">
        <f t="shared" si="3"/>
        <v>101328</v>
      </c>
      <c r="Y23" s="2214">
        <f t="shared" si="3"/>
        <v>96124</v>
      </c>
      <c r="Z23" s="2215">
        <f t="shared" si="4"/>
        <v>0.94864203379125223</v>
      </c>
      <c r="AA23" s="2213" t="s">
        <v>1444</v>
      </c>
      <c r="AB23" s="2214">
        <f>[4]int.kiadások2019!I22</f>
        <v>0</v>
      </c>
      <c r="AC23" s="2214">
        <f>'[5]int.kiadások RM IV'!X23</f>
        <v>762</v>
      </c>
      <c r="AD23" s="2214">
        <v>761</v>
      </c>
      <c r="AE23" s="2215">
        <f t="shared" si="5"/>
        <v>0.99868766404199472</v>
      </c>
      <c r="AF23" s="2214">
        <f>[4]int.kiadások2019!J22</f>
        <v>0</v>
      </c>
      <c r="AG23" s="2214">
        <f>'[5]int.kiadások RM IV'!AA23</f>
        <v>0</v>
      </c>
      <c r="AH23" s="2214"/>
      <c r="AI23" s="2215"/>
      <c r="AJ23" s="2214">
        <f>[4]int.kiadások2019!K22</f>
        <v>0</v>
      </c>
      <c r="AK23" s="2214">
        <f>'[5]int.kiadások RM IV'!AD23</f>
        <v>0</v>
      </c>
      <c r="AL23" s="2214"/>
      <c r="AM23" s="2215"/>
      <c r="AN23" s="2213" t="s">
        <v>1444</v>
      </c>
      <c r="AO23" s="2214">
        <f t="shared" si="6"/>
        <v>0</v>
      </c>
      <c r="AP23" s="2214">
        <f t="shared" si="6"/>
        <v>762</v>
      </c>
      <c r="AQ23" s="2214">
        <f t="shared" si="6"/>
        <v>761</v>
      </c>
      <c r="AR23" s="2215">
        <f t="shared" si="7"/>
        <v>0.99868766404199472</v>
      </c>
      <c r="AS23" s="2214">
        <f t="shared" si="8"/>
        <v>97025</v>
      </c>
      <c r="AT23" s="2214">
        <f t="shared" si="8"/>
        <v>102090</v>
      </c>
      <c r="AU23" s="2214">
        <f t="shared" si="8"/>
        <v>96885</v>
      </c>
      <c r="AV23" s="2215">
        <f t="shared" si="9"/>
        <v>0.94901557449309437</v>
      </c>
      <c r="AW23" s="2214">
        <f>AS23-'[6]éves besz.bevételei2019'!BD23</f>
        <v>0</v>
      </c>
      <c r="AX23" s="2214">
        <f>AT23-'[6]éves besz.bevételei2019'!BE23</f>
        <v>0</v>
      </c>
      <c r="AY23" s="2214">
        <f>AU23-'[6]éves besz.bevételei2019'!BF23</f>
        <v>-765</v>
      </c>
    </row>
    <row r="24" spans="1:51" s="2212" customFormat="1" ht="49.5" customHeight="1" x14ac:dyDescent="0.5">
      <c r="A24" s="2213" t="s">
        <v>1314</v>
      </c>
      <c r="B24" s="2214">
        <f>[4]int.kiadások2019!B23</f>
        <v>96031</v>
      </c>
      <c r="C24" s="2214">
        <f>'[5]int.kiadások RM IV'!D24</f>
        <v>98301</v>
      </c>
      <c r="D24" s="2214">
        <v>95507</v>
      </c>
      <c r="E24" s="2215">
        <f t="shared" si="0"/>
        <v>0.97157709484135457</v>
      </c>
      <c r="F24" s="2214">
        <f>[4]int.kiadások2019!C23</f>
        <v>20898</v>
      </c>
      <c r="G24" s="2214">
        <f>'[5]int.kiadások RM IV'!G24</f>
        <v>20605</v>
      </c>
      <c r="H24" s="2214">
        <v>20011</v>
      </c>
      <c r="I24" s="2215">
        <f t="shared" si="1"/>
        <v>0.97117204561999515</v>
      </c>
      <c r="J24" s="2214">
        <f>[4]int.kiadások2019!D23</f>
        <v>4527</v>
      </c>
      <c r="K24" s="2214">
        <f>'[5]int.kiadások RM IV'!J24</f>
        <v>6170</v>
      </c>
      <c r="L24" s="2214">
        <v>4768</v>
      </c>
      <c r="M24" s="2215">
        <f t="shared" si="2"/>
        <v>0.77277147487844411</v>
      </c>
      <c r="N24" s="2213" t="s">
        <v>1314</v>
      </c>
      <c r="O24" s="2214">
        <f>[4]int.kiadások2019!E23</f>
        <v>0</v>
      </c>
      <c r="P24" s="2214">
        <f>'[5]int.kiadások RM IV'!N24</f>
        <v>0</v>
      </c>
      <c r="Q24" s="2214"/>
      <c r="R24" s="2215"/>
      <c r="S24" s="2214">
        <f>[4]int.kiadások2019!F23</f>
        <v>0</v>
      </c>
      <c r="T24" s="2214">
        <f>'[5]int.kiadások RM IV'!Q24</f>
        <v>0</v>
      </c>
      <c r="U24" s="2214"/>
      <c r="V24" s="2215"/>
      <c r="W24" s="2214">
        <f t="shared" si="3"/>
        <v>121456</v>
      </c>
      <c r="X24" s="2214">
        <f t="shared" si="3"/>
        <v>125076</v>
      </c>
      <c r="Y24" s="2214">
        <f t="shared" si="3"/>
        <v>120286</v>
      </c>
      <c r="Z24" s="2215">
        <f t="shared" si="4"/>
        <v>0.96170328440308295</v>
      </c>
      <c r="AA24" s="2213" t="s">
        <v>1314</v>
      </c>
      <c r="AB24" s="2214">
        <f>[4]int.kiadások2019!I23</f>
        <v>0</v>
      </c>
      <c r="AC24" s="2214">
        <f>'[5]int.kiadások RM IV'!X24</f>
        <v>1480</v>
      </c>
      <c r="AD24" s="2214">
        <v>1479</v>
      </c>
      <c r="AE24" s="2215">
        <f t="shared" si="5"/>
        <v>0.99932432432432428</v>
      </c>
      <c r="AF24" s="2214">
        <f>[4]int.kiadások2019!J23</f>
        <v>0</v>
      </c>
      <c r="AG24" s="2214">
        <f>'[5]int.kiadások RM IV'!AA24</f>
        <v>0</v>
      </c>
      <c r="AH24" s="2214"/>
      <c r="AI24" s="2215"/>
      <c r="AJ24" s="2214">
        <f>[4]int.kiadások2019!K23</f>
        <v>0</v>
      </c>
      <c r="AK24" s="2214">
        <f>'[5]int.kiadások RM IV'!AD24</f>
        <v>0</v>
      </c>
      <c r="AL24" s="2214"/>
      <c r="AM24" s="2215"/>
      <c r="AN24" s="2213" t="s">
        <v>1314</v>
      </c>
      <c r="AO24" s="2214">
        <f t="shared" si="6"/>
        <v>0</v>
      </c>
      <c r="AP24" s="2214">
        <f t="shared" si="6"/>
        <v>1480</v>
      </c>
      <c r="AQ24" s="2214">
        <f t="shared" si="6"/>
        <v>1479</v>
      </c>
      <c r="AR24" s="2215">
        <f t="shared" si="7"/>
        <v>0.99932432432432428</v>
      </c>
      <c r="AS24" s="2214">
        <f t="shared" si="8"/>
        <v>121456</v>
      </c>
      <c r="AT24" s="2214">
        <f t="shared" si="8"/>
        <v>126556</v>
      </c>
      <c r="AU24" s="2214">
        <f t="shared" si="8"/>
        <v>121765</v>
      </c>
      <c r="AV24" s="2215">
        <f t="shared" si="9"/>
        <v>0.96214324093681847</v>
      </c>
      <c r="AW24" s="2214">
        <f>AS24-'[6]éves besz.bevételei2019'!BD24</f>
        <v>0</v>
      </c>
      <c r="AX24" s="2214">
        <f>AT24-'[6]éves besz.bevételei2019'!BE24</f>
        <v>0</v>
      </c>
      <c r="AY24" s="2214">
        <f>AU24-'[6]éves besz.bevételei2019'!BF24</f>
        <v>-860</v>
      </c>
    </row>
    <row r="25" spans="1:51" s="2212" customFormat="1" ht="49.5" customHeight="1" x14ac:dyDescent="0.5">
      <c r="A25" s="2213" t="s">
        <v>1445</v>
      </c>
      <c r="B25" s="2214">
        <f>[4]int.kiadások2019!B24</f>
        <v>91952</v>
      </c>
      <c r="C25" s="2214">
        <f>'[5]int.kiadások RM IV'!D25</f>
        <v>94096</v>
      </c>
      <c r="D25" s="2214">
        <v>85266</v>
      </c>
      <c r="E25" s="2215">
        <f t="shared" si="0"/>
        <v>0.90615966672334636</v>
      </c>
      <c r="F25" s="2214">
        <f>[4]int.kiadások2019!C24</f>
        <v>18048</v>
      </c>
      <c r="G25" s="2214">
        <f>'[5]int.kiadások RM IV'!G25</f>
        <v>17860</v>
      </c>
      <c r="H25" s="2214">
        <v>16023</v>
      </c>
      <c r="I25" s="2215">
        <f t="shared" si="1"/>
        <v>0.89714445688689815</v>
      </c>
      <c r="J25" s="2214">
        <f>[4]int.kiadások2019!D24</f>
        <v>3101</v>
      </c>
      <c r="K25" s="2214">
        <f>'[5]int.kiadások RM IV'!J25</f>
        <v>7372</v>
      </c>
      <c r="L25" s="2216">
        <v>5298</v>
      </c>
      <c r="M25" s="2215">
        <f t="shared" si="2"/>
        <v>0.71866521975040698</v>
      </c>
      <c r="N25" s="2213" t="s">
        <v>1445</v>
      </c>
      <c r="O25" s="2214">
        <f>[4]int.kiadások2019!E24</f>
        <v>0</v>
      </c>
      <c r="P25" s="2214">
        <f>'[5]int.kiadások RM IV'!N25</f>
        <v>0</v>
      </c>
      <c r="Q25" s="2214"/>
      <c r="R25" s="2215"/>
      <c r="S25" s="2214">
        <f>[4]int.kiadások2019!F24</f>
        <v>0</v>
      </c>
      <c r="T25" s="2214">
        <f>'[5]int.kiadások RM IV'!Q25</f>
        <v>0</v>
      </c>
      <c r="U25" s="2214"/>
      <c r="V25" s="2215"/>
      <c r="W25" s="2214">
        <f t="shared" si="3"/>
        <v>113101</v>
      </c>
      <c r="X25" s="2214">
        <f t="shared" si="3"/>
        <v>119328</v>
      </c>
      <c r="Y25" s="2214">
        <f t="shared" si="3"/>
        <v>106587</v>
      </c>
      <c r="Z25" s="2215">
        <f t="shared" si="4"/>
        <v>0.89322707160096537</v>
      </c>
      <c r="AA25" s="2213" t="s">
        <v>1445</v>
      </c>
      <c r="AB25" s="2214">
        <f>[4]int.kiadások2019!I24</f>
        <v>0</v>
      </c>
      <c r="AC25" s="2214">
        <f>'[5]int.kiadások RM IV'!X25</f>
        <v>2262</v>
      </c>
      <c r="AD25" s="2214">
        <v>1574</v>
      </c>
      <c r="AE25" s="2215">
        <f t="shared" si="5"/>
        <v>0.69584438549955796</v>
      </c>
      <c r="AF25" s="2214">
        <f>[4]int.kiadások2019!J24</f>
        <v>0</v>
      </c>
      <c r="AG25" s="2214">
        <f>'[5]int.kiadások RM IV'!AA25</f>
        <v>3386</v>
      </c>
      <c r="AH25" s="2214">
        <v>1004</v>
      </c>
      <c r="AI25" s="2215">
        <f t="shared" si="10"/>
        <v>0.29651506202008271</v>
      </c>
      <c r="AJ25" s="2214">
        <f>[4]int.kiadások2019!K24</f>
        <v>0</v>
      </c>
      <c r="AK25" s="2214">
        <f>'[5]int.kiadások RM IV'!AD25</f>
        <v>0</v>
      </c>
      <c r="AL25" s="2214"/>
      <c r="AM25" s="2215"/>
      <c r="AN25" s="2213" t="s">
        <v>1445</v>
      </c>
      <c r="AO25" s="2214">
        <f t="shared" si="6"/>
        <v>0</v>
      </c>
      <c r="AP25" s="2214">
        <f t="shared" si="6"/>
        <v>5648</v>
      </c>
      <c r="AQ25" s="2214">
        <f t="shared" si="6"/>
        <v>2578</v>
      </c>
      <c r="AR25" s="2215">
        <f t="shared" si="7"/>
        <v>0.45644475920679889</v>
      </c>
      <c r="AS25" s="2214">
        <f t="shared" si="8"/>
        <v>113101</v>
      </c>
      <c r="AT25" s="2214">
        <f t="shared" si="8"/>
        <v>124976</v>
      </c>
      <c r="AU25" s="2214">
        <f t="shared" si="8"/>
        <v>109165</v>
      </c>
      <c r="AV25" s="2215">
        <f t="shared" si="9"/>
        <v>0.87348770964025091</v>
      </c>
      <c r="AW25" s="2214">
        <f>AS25-'[6]éves besz.bevételei2019'!BD25</f>
        <v>0</v>
      </c>
      <c r="AX25" s="2214">
        <f>AT25-'[6]éves besz.bevételei2019'!BE25</f>
        <v>0</v>
      </c>
      <c r="AY25" s="2214">
        <f>AU25-'[6]éves besz.bevételei2019'!BF25</f>
        <v>-2177</v>
      </c>
    </row>
    <row r="26" spans="1:51" s="2212" customFormat="1" ht="49.5" customHeight="1" x14ac:dyDescent="0.5">
      <c r="A26" s="2213" t="s">
        <v>1350</v>
      </c>
      <c r="B26" s="2214">
        <f>[4]int.kiadások2019!B25</f>
        <v>61861</v>
      </c>
      <c r="C26" s="2214">
        <f>'[5]int.kiadások RM IV'!D26</f>
        <v>63362</v>
      </c>
      <c r="D26" s="2214">
        <v>59197</v>
      </c>
      <c r="E26" s="2215">
        <f t="shared" si="0"/>
        <v>0.93426659512010357</v>
      </c>
      <c r="F26" s="2214">
        <f>[4]int.kiadások2019!C25</f>
        <v>12139</v>
      </c>
      <c r="G26" s="2214">
        <f>'[5]int.kiadások RM IV'!G26</f>
        <v>11979</v>
      </c>
      <c r="H26" s="2214">
        <v>11081</v>
      </c>
      <c r="I26" s="2215">
        <f t="shared" si="1"/>
        <v>0.925035478754487</v>
      </c>
      <c r="J26" s="2214">
        <f>[4]int.kiadások2019!D25</f>
        <v>2555</v>
      </c>
      <c r="K26" s="2214">
        <f>'[5]int.kiadások RM IV'!J26</f>
        <v>5112</v>
      </c>
      <c r="L26" s="2214">
        <v>3831</v>
      </c>
      <c r="M26" s="2215">
        <f t="shared" si="2"/>
        <v>0.74941314553990612</v>
      </c>
      <c r="N26" s="2213" t="s">
        <v>1350</v>
      </c>
      <c r="O26" s="2214">
        <f>[4]int.kiadások2019!E25</f>
        <v>0</v>
      </c>
      <c r="P26" s="2214">
        <f>'[5]int.kiadások RM IV'!N26</f>
        <v>0</v>
      </c>
      <c r="Q26" s="2214"/>
      <c r="R26" s="2215"/>
      <c r="S26" s="2214">
        <f>[4]int.kiadások2019!F25</f>
        <v>0</v>
      </c>
      <c r="T26" s="2214">
        <f>'[5]int.kiadások RM IV'!Q26</f>
        <v>0</v>
      </c>
      <c r="U26" s="2214"/>
      <c r="V26" s="2215"/>
      <c r="W26" s="2214">
        <f t="shared" si="3"/>
        <v>76555</v>
      </c>
      <c r="X26" s="2214">
        <f t="shared" si="3"/>
        <v>80453</v>
      </c>
      <c r="Y26" s="2214">
        <f t="shared" si="3"/>
        <v>74109</v>
      </c>
      <c r="Z26" s="2215">
        <f t="shared" si="4"/>
        <v>0.92114650789902175</v>
      </c>
      <c r="AA26" s="2213" t="s">
        <v>1350</v>
      </c>
      <c r="AB26" s="2214">
        <f>[4]int.kiadások2019!I25</f>
        <v>0</v>
      </c>
      <c r="AC26" s="2214">
        <f>'[5]int.kiadások RM IV'!X26</f>
        <v>1996</v>
      </c>
      <c r="AD26" s="2214">
        <v>629</v>
      </c>
      <c r="AE26" s="2215">
        <f t="shared" si="5"/>
        <v>0.31513026052104209</v>
      </c>
      <c r="AF26" s="2214">
        <f>[4]int.kiadások2019!J25</f>
        <v>0</v>
      </c>
      <c r="AG26" s="2214">
        <f>'[5]int.kiadások RM IV'!AA26</f>
        <v>15101</v>
      </c>
      <c r="AH26" s="2214">
        <v>15100</v>
      </c>
      <c r="AI26" s="2215">
        <f>AH26/AG26</f>
        <v>0.99993377921991922</v>
      </c>
      <c r="AJ26" s="2214">
        <f>[4]int.kiadások2019!K25</f>
        <v>0</v>
      </c>
      <c r="AK26" s="2214">
        <f>'[5]int.kiadások RM IV'!AD26</f>
        <v>0</v>
      </c>
      <c r="AL26" s="2214"/>
      <c r="AM26" s="2215"/>
      <c r="AN26" s="2213" t="s">
        <v>1350</v>
      </c>
      <c r="AO26" s="2214">
        <f t="shared" si="6"/>
        <v>0</v>
      </c>
      <c r="AP26" s="2214">
        <f t="shared" si="6"/>
        <v>17097</v>
      </c>
      <c r="AQ26" s="2214">
        <f t="shared" si="6"/>
        <v>15729</v>
      </c>
      <c r="AR26" s="2215">
        <f t="shared" si="7"/>
        <v>0.91998596244955255</v>
      </c>
      <c r="AS26" s="2214">
        <f t="shared" si="8"/>
        <v>76555</v>
      </c>
      <c r="AT26" s="2214">
        <f t="shared" si="8"/>
        <v>97550</v>
      </c>
      <c r="AU26" s="2214">
        <f t="shared" si="8"/>
        <v>89838</v>
      </c>
      <c r="AV26" s="2215">
        <f t="shared" si="9"/>
        <v>0.92094310609943619</v>
      </c>
      <c r="AW26" s="2214">
        <f>AS26-'[6]éves besz.bevételei2019'!BD26</f>
        <v>0</v>
      </c>
      <c r="AX26" s="2214">
        <f>AT26-'[6]éves besz.bevételei2019'!BE26</f>
        <v>0</v>
      </c>
      <c r="AY26" s="2214">
        <f>AU26-'[6]éves besz.bevételei2019'!BF26</f>
        <v>-1214</v>
      </c>
    </row>
    <row r="27" spans="1:51" s="2212" customFormat="1" ht="49.5" customHeight="1" thickBot="1" x14ac:dyDescent="0.55000000000000004">
      <c r="A27" s="2217" t="s">
        <v>1446</v>
      </c>
      <c r="B27" s="2218">
        <f>[4]int.kiadások2019!B26</f>
        <v>44353</v>
      </c>
      <c r="C27" s="2214">
        <f>'[5]int.kiadások RM IV'!D27</f>
        <v>46501</v>
      </c>
      <c r="D27" s="2218">
        <v>44262</v>
      </c>
      <c r="E27" s="2219">
        <f t="shared" si="0"/>
        <v>0.95185049783875619</v>
      </c>
      <c r="F27" s="2218">
        <f>[4]int.kiadások2019!C26</f>
        <v>8578</v>
      </c>
      <c r="G27" s="2214">
        <f>'[5]int.kiadások RM IV'!G27</f>
        <v>8650</v>
      </c>
      <c r="H27" s="2218">
        <v>8208</v>
      </c>
      <c r="I27" s="2219">
        <f t="shared" si="1"/>
        <v>0.94890173410404621</v>
      </c>
      <c r="J27" s="2218">
        <f>[4]int.kiadások2019!D26</f>
        <v>1932</v>
      </c>
      <c r="K27" s="2214">
        <f>'[5]int.kiadások RM IV'!J27</f>
        <v>3735</v>
      </c>
      <c r="L27" s="2218">
        <v>3099</v>
      </c>
      <c r="M27" s="2219">
        <f t="shared" si="2"/>
        <v>0.82971887550200807</v>
      </c>
      <c r="N27" s="2217" t="s">
        <v>1446</v>
      </c>
      <c r="O27" s="2218">
        <f>[4]int.kiadások2019!E26</f>
        <v>0</v>
      </c>
      <c r="P27" s="2214">
        <f>'[5]int.kiadások RM IV'!N27</f>
        <v>0</v>
      </c>
      <c r="Q27" s="2218"/>
      <c r="R27" s="2219"/>
      <c r="S27" s="2218">
        <f>[4]int.kiadások2019!F26</f>
        <v>0</v>
      </c>
      <c r="T27" s="2218">
        <f>'[5]int.kiadások RM IV'!Q27</f>
        <v>0</v>
      </c>
      <c r="U27" s="2218"/>
      <c r="V27" s="2219"/>
      <c r="W27" s="2214">
        <f t="shared" si="3"/>
        <v>54863</v>
      </c>
      <c r="X27" s="2214">
        <f t="shared" si="3"/>
        <v>58886</v>
      </c>
      <c r="Y27" s="2214">
        <f t="shared" si="3"/>
        <v>55569</v>
      </c>
      <c r="Z27" s="2219">
        <f t="shared" si="4"/>
        <v>0.94367082158747406</v>
      </c>
      <c r="AA27" s="2217" t="s">
        <v>1446</v>
      </c>
      <c r="AB27" s="2218">
        <f>[4]int.kiadások2019!I26</f>
        <v>0</v>
      </c>
      <c r="AC27" s="2214">
        <f>'[5]int.kiadások RM IV'!X27</f>
        <v>2106</v>
      </c>
      <c r="AD27" s="2218">
        <v>2005</v>
      </c>
      <c r="AE27" s="2219">
        <f t="shared" si="5"/>
        <v>0.95204178537511874</v>
      </c>
      <c r="AF27" s="2218">
        <f>[4]int.kiadások2019!J26</f>
        <v>0</v>
      </c>
      <c r="AG27" s="2214">
        <f>'[5]int.kiadások RM IV'!AA27</f>
        <v>0</v>
      </c>
      <c r="AH27" s="2218"/>
      <c r="AI27" s="2219"/>
      <c r="AJ27" s="2218">
        <f>[4]int.kiadások2019!K26</f>
        <v>0</v>
      </c>
      <c r="AK27" s="2218">
        <f>'[5]int.kiadások RM IV'!AD27</f>
        <v>0</v>
      </c>
      <c r="AL27" s="2218"/>
      <c r="AM27" s="2219"/>
      <c r="AN27" s="2217" t="s">
        <v>1446</v>
      </c>
      <c r="AO27" s="2214">
        <f t="shared" si="6"/>
        <v>0</v>
      </c>
      <c r="AP27" s="2214">
        <f t="shared" si="6"/>
        <v>2106</v>
      </c>
      <c r="AQ27" s="2214">
        <f t="shared" si="6"/>
        <v>2005</v>
      </c>
      <c r="AR27" s="2219">
        <f t="shared" si="7"/>
        <v>0.95204178537511874</v>
      </c>
      <c r="AS27" s="2214">
        <f t="shared" si="8"/>
        <v>54863</v>
      </c>
      <c r="AT27" s="2214">
        <f t="shared" si="8"/>
        <v>60992</v>
      </c>
      <c r="AU27" s="2214">
        <f t="shared" si="8"/>
        <v>57574</v>
      </c>
      <c r="AV27" s="2219">
        <f t="shared" si="9"/>
        <v>0.94395986358866735</v>
      </c>
      <c r="AW27" s="2214">
        <f>AS27-'[6]éves besz.bevételei2019'!BD27</f>
        <v>0</v>
      </c>
      <c r="AX27" s="2214">
        <f>AT27-'[6]éves besz.bevételei2019'!BE27</f>
        <v>0</v>
      </c>
      <c r="AY27" s="2214">
        <f>AU27-'[6]éves besz.bevételei2019'!BF27</f>
        <v>-1229</v>
      </c>
    </row>
    <row r="28" spans="1:51" s="2212" customFormat="1" ht="49.5" customHeight="1" thickBot="1" x14ac:dyDescent="0.55000000000000004">
      <c r="A28" s="2220" t="s">
        <v>1318</v>
      </c>
      <c r="B28" s="2221">
        <f>SUM(B10:B27)</f>
        <v>1434270</v>
      </c>
      <c r="C28" s="2221">
        <f>SUM(C10:C27)</f>
        <v>1457093</v>
      </c>
      <c r="D28" s="2221">
        <f>SUM(D10:D27)</f>
        <v>1392484</v>
      </c>
      <c r="E28" s="2222">
        <f t="shared" si="0"/>
        <v>0.95565897303741076</v>
      </c>
      <c r="F28" s="2221">
        <f>SUM(F10:F27)</f>
        <v>294075</v>
      </c>
      <c r="G28" s="2221">
        <f>SUM(G10:G27)</f>
        <v>290034</v>
      </c>
      <c r="H28" s="2221">
        <f>SUM(H10:H27)</f>
        <v>273263</v>
      </c>
      <c r="I28" s="2222">
        <f t="shared" si="1"/>
        <v>0.94217574491266542</v>
      </c>
      <c r="J28" s="2221">
        <f>SUM(J10:J27)</f>
        <v>56140</v>
      </c>
      <c r="K28" s="2221">
        <f>SUM(K10:K27)</f>
        <v>113680</v>
      </c>
      <c r="L28" s="2221">
        <f>SUM(L10:L27)</f>
        <v>91047</v>
      </c>
      <c r="M28" s="2222">
        <f t="shared" si="2"/>
        <v>0.80090605207600285</v>
      </c>
      <c r="N28" s="2220" t="s">
        <v>1318</v>
      </c>
      <c r="O28" s="2221">
        <f>SUM(O10:O27)</f>
        <v>0</v>
      </c>
      <c r="P28" s="2221">
        <f>SUM(P10:P27)</f>
        <v>0</v>
      </c>
      <c r="Q28" s="2221">
        <f>SUM(Q10:Q27)</f>
        <v>0</v>
      </c>
      <c r="R28" s="2222"/>
      <c r="S28" s="2221">
        <f>SUM(S10:S27)</f>
        <v>0</v>
      </c>
      <c r="T28" s="2221">
        <f>SUM(T10:T27)</f>
        <v>0</v>
      </c>
      <c r="U28" s="2221">
        <f>SUM(U10:U27)</f>
        <v>0</v>
      </c>
      <c r="V28" s="2222"/>
      <c r="W28" s="2221">
        <f>SUM(W10:W27)</f>
        <v>1784485</v>
      </c>
      <c r="X28" s="2221">
        <f>SUM(X10:X27)</f>
        <v>1860807</v>
      </c>
      <c r="Y28" s="2221">
        <f>SUM(Y10:Y27)</f>
        <v>1756794</v>
      </c>
      <c r="Z28" s="2222">
        <f t="shared" si="4"/>
        <v>0.94410328422023349</v>
      </c>
      <c r="AA28" s="2220" t="s">
        <v>1318</v>
      </c>
      <c r="AB28" s="2221">
        <f>SUM(AB10:AB27)</f>
        <v>0</v>
      </c>
      <c r="AC28" s="2221">
        <f>SUM(AC10:AC27)</f>
        <v>56464</v>
      </c>
      <c r="AD28" s="2221">
        <f>SUM(AD10:AD27)</f>
        <v>32824</v>
      </c>
      <c r="AE28" s="2222">
        <f t="shared" si="5"/>
        <v>0.58132615471805049</v>
      </c>
      <c r="AF28" s="2221">
        <f>SUM(AF10:AF27)</f>
        <v>0</v>
      </c>
      <c r="AG28" s="2221">
        <f>SUM(AG10:AG27)</f>
        <v>96089</v>
      </c>
      <c r="AH28" s="2221">
        <f>SUM(AH10:AH27)</f>
        <v>69286</v>
      </c>
      <c r="AI28" s="2222">
        <f>AH28/AG28</f>
        <v>0.72106068332483431</v>
      </c>
      <c r="AJ28" s="2221">
        <f>SUM(AJ10:AJ27)</f>
        <v>0</v>
      </c>
      <c r="AK28" s="2221">
        <f>SUM(AK10:AK27)</f>
        <v>0</v>
      </c>
      <c r="AL28" s="2221">
        <f>SUM(AL10:AL27)</f>
        <v>0</v>
      </c>
      <c r="AM28" s="2222"/>
      <c r="AN28" s="2220" t="s">
        <v>1318</v>
      </c>
      <c r="AO28" s="2221">
        <f>SUM(AO10:AO27)</f>
        <v>0</v>
      </c>
      <c r="AP28" s="2221">
        <f>SUM(AP10:AP27)</f>
        <v>152553</v>
      </c>
      <c r="AQ28" s="2221">
        <f>SUM(AQ10:AQ27)</f>
        <v>102110</v>
      </c>
      <c r="AR28" s="2222">
        <f t="shared" si="7"/>
        <v>0.66934114701120262</v>
      </c>
      <c r="AS28" s="2221">
        <f>SUM(AS10:AS27)</f>
        <v>1784485</v>
      </c>
      <c r="AT28" s="2221">
        <f>SUM(AT10:AT27)</f>
        <v>2013360</v>
      </c>
      <c r="AU28" s="2221">
        <f>SUM(AU10:AU27)</f>
        <v>1858904</v>
      </c>
      <c r="AV28" s="2222">
        <f t="shared" si="9"/>
        <v>0.9232844598084794</v>
      </c>
      <c r="AW28" s="2214">
        <f>AS28-'[6]éves besz.bevételei2019'!BD28</f>
        <v>0</v>
      </c>
      <c r="AX28" s="2214">
        <f>AT28-'[6]éves besz.bevételei2019'!BE28</f>
        <v>0</v>
      </c>
      <c r="AY28" s="2214">
        <f>AU28-'[6]éves besz.bevételei2019'!BF28</f>
        <v>-18643</v>
      </c>
    </row>
    <row r="29" spans="1:51" s="2212" customFormat="1" ht="49.5" customHeight="1" thickBot="1" x14ac:dyDescent="0.55000000000000004">
      <c r="A29" s="2220" t="s">
        <v>181</v>
      </c>
      <c r="B29" s="2221">
        <f>[4]int.kiadások2019!B28</f>
        <v>207153</v>
      </c>
      <c r="C29" s="2214">
        <f>'[5]int.kiadások RM IV'!D29</f>
        <v>208366</v>
      </c>
      <c r="D29" s="2221">
        <v>186106</v>
      </c>
      <c r="E29" s="2222">
        <f t="shared" si="0"/>
        <v>0.8931687511398213</v>
      </c>
      <c r="F29" s="2221">
        <f>[4]int.kiadások2019!C28</f>
        <v>45161</v>
      </c>
      <c r="G29" s="2214">
        <f>'[5]int.kiadások RM IV'!G29</f>
        <v>43650</v>
      </c>
      <c r="H29" s="2221">
        <v>35285</v>
      </c>
      <c r="I29" s="2222">
        <f t="shared" si="1"/>
        <v>0.80836197021764034</v>
      </c>
      <c r="J29" s="2221">
        <f>[4]int.kiadások2019!D28</f>
        <v>1256809</v>
      </c>
      <c r="K29" s="2214">
        <f>'[5]int.kiadások RM IV'!J29</f>
        <v>1238012</v>
      </c>
      <c r="L29" s="2221">
        <v>1167932</v>
      </c>
      <c r="M29" s="2222">
        <f t="shared" si="2"/>
        <v>0.94339311735265896</v>
      </c>
      <c r="N29" s="2220" t="s">
        <v>181</v>
      </c>
      <c r="O29" s="2221">
        <f>[4]int.kiadások2019!E28</f>
        <v>0</v>
      </c>
      <c r="P29" s="2214">
        <f>'[5]int.kiadások RM IV'!N29</f>
        <v>0</v>
      </c>
      <c r="Q29" s="2221"/>
      <c r="R29" s="2222"/>
      <c r="S29" s="2221">
        <f>[4]int.kiadások2019!F28</f>
        <v>0</v>
      </c>
      <c r="T29" s="2221">
        <f>'[5]int.kiadások RM IV'!Q29</f>
        <v>0</v>
      </c>
      <c r="U29" s="2221"/>
      <c r="V29" s="2222"/>
      <c r="W29" s="2214">
        <f>B29+F29+J29+O29+S29</f>
        <v>1509123</v>
      </c>
      <c r="X29" s="2214">
        <f>C29+G29+K29+P29+T29</f>
        <v>1490028</v>
      </c>
      <c r="Y29" s="2214">
        <f>D29+H29+L29+Q29+U29</f>
        <v>1389323</v>
      </c>
      <c r="Z29" s="2222">
        <f t="shared" si="4"/>
        <v>0.93241402174992682</v>
      </c>
      <c r="AA29" s="2220" t="s">
        <v>181</v>
      </c>
      <c r="AB29" s="2221">
        <f>[4]int.kiadások2019!I28</f>
        <v>45000</v>
      </c>
      <c r="AC29" s="2214">
        <f>'[5]int.kiadások RM IV'!X29</f>
        <v>111578</v>
      </c>
      <c r="AD29" s="2221">
        <v>34772</v>
      </c>
      <c r="AE29" s="2222">
        <f t="shared" si="5"/>
        <v>0.31163849504382585</v>
      </c>
      <c r="AF29" s="2221">
        <f>[4]int.kiadások2019!J28</f>
        <v>0</v>
      </c>
      <c r="AG29" s="2214">
        <f>'[5]int.kiadások RM IV'!AA29</f>
        <v>17961</v>
      </c>
      <c r="AH29" s="2221">
        <v>5604</v>
      </c>
      <c r="AI29" s="2222">
        <f>AH29/AG29</f>
        <v>0.31200935359946552</v>
      </c>
      <c r="AJ29" s="2221">
        <f>[4]int.kiadások2019!K28</f>
        <v>0</v>
      </c>
      <c r="AK29" s="2221">
        <f>'[5]int.kiadások RM IV'!AD29</f>
        <v>0</v>
      </c>
      <c r="AL29" s="2221"/>
      <c r="AM29" s="2222"/>
      <c r="AN29" s="2220" t="s">
        <v>181</v>
      </c>
      <c r="AO29" s="2214">
        <f>AB29+AF29+AJ29</f>
        <v>45000</v>
      </c>
      <c r="AP29" s="2214">
        <f>AC29+AG29+AK29</f>
        <v>129539</v>
      </c>
      <c r="AQ29" s="2214">
        <f>AD29+AH29+AL29</f>
        <v>40376</v>
      </c>
      <c r="AR29" s="2222">
        <f t="shared" si="7"/>
        <v>0.31168991577825983</v>
      </c>
      <c r="AS29" s="2214">
        <f>W29+AO29</f>
        <v>1554123</v>
      </c>
      <c r="AT29" s="2214">
        <f>X29+AP29</f>
        <v>1619567</v>
      </c>
      <c r="AU29" s="2214">
        <f>Y29+AQ29</f>
        <v>1429699</v>
      </c>
      <c r="AV29" s="2222">
        <f t="shared" si="9"/>
        <v>0.88276619614995855</v>
      </c>
      <c r="AW29" s="2214">
        <f>AS29-'[6]éves besz.bevételei2019'!BD29</f>
        <v>0</v>
      </c>
      <c r="AX29" s="2214">
        <f>AT29-'[6]éves besz.bevételei2019'!BE29</f>
        <v>0</v>
      </c>
      <c r="AY29" s="2214">
        <f>AU29-'[6]éves besz.bevételei2019'!BF29</f>
        <v>-32255</v>
      </c>
    </row>
    <row r="30" spans="1:51" s="2212" customFormat="1" ht="49.5" customHeight="1" thickBot="1" x14ac:dyDescent="0.55000000000000004">
      <c r="A30" s="2220" t="s">
        <v>1319</v>
      </c>
      <c r="B30" s="2221">
        <f>SUM(B28:B29)</f>
        <v>1641423</v>
      </c>
      <c r="C30" s="2221">
        <f>SUM(C28:C29)</f>
        <v>1665459</v>
      </c>
      <c r="D30" s="2221">
        <f>SUM(D28:D29)</f>
        <v>1578590</v>
      </c>
      <c r="E30" s="2223">
        <f t="shared" si="0"/>
        <v>0.94784080544762739</v>
      </c>
      <c r="F30" s="2221">
        <f>SUM(F28:F29)</f>
        <v>339236</v>
      </c>
      <c r="G30" s="2221">
        <f>SUM(G28:G29)</f>
        <v>333684</v>
      </c>
      <c r="H30" s="2221">
        <f>SUM(H28:H29)</f>
        <v>308548</v>
      </c>
      <c r="I30" s="2223">
        <f t="shared" si="1"/>
        <v>0.92467124584936644</v>
      </c>
      <c r="J30" s="2221">
        <f>SUM(J28:J29)</f>
        <v>1312949</v>
      </c>
      <c r="K30" s="2221">
        <f>SUM(K28:K29)</f>
        <v>1351692</v>
      </c>
      <c r="L30" s="2221">
        <f>SUM(L28:L29)</f>
        <v>1258979</v>
      </c>
      <c r="M30" s="2223">
        <f t="shared" si="2"/>
        <v>0.93140967025032328</v>
      </c>
      <c r="N30" s="2220" t="s">
        <v>1319</v>
      </c>
      <c r="O30" s="2221">
        <f>SUM(O28:O29)</f>
        <v>0</v>
      </c>
      <c r="P30" s="2221">
        <f>SUM(P28:P29)</f>
        <v>0</v>
      </c>
      <c r="Q30" s="2221">
        <f>SUM(Q28:Q29)</f>
        <v>0</v>
      </c>
      <c r="R30" s="2223"/>
      <c r="S30" s="2221">
        <f>SUM(S28:S29)</f>
        <v>0</v>
      </c>
      <c r="T30" s="2221">
        <f>SUM(T28:T29)</f>
        <v>0</v>
      </c>
      <c r="U30" s="2221">
        <f>SUM(U28:U29)</f>
        <v>0</v>
      </c>
      <c r="V30" s="2223"/>
      <c r="W30" s="2221">
        <f>SUM(W28:W29)</f>
        <v>3293608</v>
      </c>
      <c r="X30" s="2221">
        <f>SUM(X28:X29)</f>
        <v>3350835</v>
      </c>
      <c r="Y30" s="2221">
        <f>SUM(Y28:Y29)</f>
        <v>3146117</v>
      </c>
      <c r="Z30" s="2223">
        <f t="shared" si="4"/>
        <v>0.93890537731640022</v>
      </c>
      <c r="AA30" s="2220" t="s">
        <v>1319</v>
      </c>
      <c r="AB30" s="2221">
        <f>SUM(AB28:AB29)</f>
        <v>45000</v>
      </c>
      <c r="AC30" s="2221">
        <f>SUM(AC28:AC29)</f>
        <v>168042</v>
      </c>
      <c r="AD30" s="2221">
        <f>SUM(AD28:AD29)</f>
        <v>67596</v>
      </c>
      <c r="AE30" s="2223">
        <f t="shared" si="5"/>
        <v>0.40225657871246473</v>
      </c>
      <c r="AF30" s="2221">
        <f>SUM(AF28:AF29)</f>
        <v>0</v>
      </c>
      <c r="AG30" s="2221">
        <f>SUM(AG28:AG29)</f>
        <v>114050</v>
      </c>
      <c r="AH30" s="2221">
        <f>SUM(AH28:AH29)</f>
        <v>74890</v>
      </c>
      <c r="AI30" s="2223">
        <f>AH30/AG30</f>
        <v>0.65664182376150815</v>
      </c>
      <c r="AJ30" s="2221">
        <f>SUM(AJ28:AJ29)</f>
        <v>0</v>
      </c>
      <c r="AK30" s="2221">
        <f>SUM(AK28:AK29)</f>
        <v>0</v>
      </c>
      <c r="AL30" s="2221">
        <f>SUM(AL28:AL29)</f>
        <v>0</v>
      </c>
      <c r="AM30" s="2223"/>
      <c r="AN30" s="2220" t="s">
        <v>1319</v>
      </c>
      <c r="AO30" s="2221">
        <f>SUM(AO28:AO29)</f>
        <v>45000</v>
      </c>
      <c r="AP30" s="2221">
        <f>SUM(AP28:AP29)</f>
        <v>282092</v>
      </c>
      <c r="AQ30" s="2221">
        <f>SUM(AQ28:AQ29)</f>
        <v>142486</v>
      </c>
      <c r="AR30" s="2223">
        <f t="shared" si="7"/>
        <v>0.50510471760985776</v>
      </c>
      <c r="AS30" s="2221">
        <f>SUM(AS28:AS29)</f>
        <v>3338608</v>
      </c>
      <c r="AT30" s="2221">
        <f>SUM(AT28:AT29)</f>
        <v>3632927</v>
      </c>
      <c r="AU30" s="2221">
        <f>SUM(AU28:AU29)</f>
        <v>3288603</v>
      </c>
      <c r="AV30" s="2223">
        <f t="shared" si="9"/>
        <v>0.90522132704565772</v>
      </c>
      <c r="AW30" s="2214">
        <f>AS30-'[6]éves besz.bevételei2019'!BD30</f>
        <v>0</v>
      </c>
      <c r="AX30" s="2214">
        <f>AT30-'[6]éves besz.bevételei2019'!BE30</f>
        <v>0</v>
      </c>
      <c r="AY30" s="2214">
        <f>AU30-'[6]éves besz.bevételei2019'!BF30</f>
        <v>-50898</v>
      </c>
    </row>
    <row r="31" spans="1:51" s="2212" customFormat="1" ht="49.5" customHeight="1" x14ac:dyDescent="0.5">
      <c r="A31" s="2224" t="s">
        <v>1449</v>
      </c>
      <c r="B31" s="2218"/>
      <c r="C31" s="2218"/>
      <c r="D31" s="2218"/>
      <c r="E31" s="2218"/>
      <c r="F31" s="2218"/>
      <c r="G31" s="2218"/>
      <c r="H31" s="2218"/>
      <c r="I31" s="2218"/>
      <c r="J31" s="2218"/>
      <c r="K31" s="2218"/>
      <c r="L31" s="2218"/>
      <c r="M31" s="2218"/>
      <c r="N31" s="2224" t="s">
        <v>1449</v>
      </c>
      <c r="O31" s="2218"/>
      <c r="P31" s="2218"/>
      <c r="Q31" s="2218"/>
      <c r="R31" s="2218"/>
      <c r="S31" s="2218"/>
      <c r="T31" s="2218"/>
      <c r="U31" s="2218"/>
      <c r="V31" s="2218"/>
      <c r="W31" s="2218"/>
      <c r="X31" s="2218"/>
      <c r="Y31" s="2218"/>
      <c r="Z31" s="2218"/>
      <c r="AA31" s="2224" t="s">
        <v>1449</v>
      </c>
      <c r="AB31" s="2218"/>
      <c r="AC31" s="2218"/>
      <c r="AD31" s="2218"/>
      <c r="AE31" s="2218"/>
      <c r="AF31" s="2218"/>
      <c r="AG31" s="2218"/>
      <c r="AH31" s="2218"/>
      <c r="AI31" s="2218"/>
      <c r="AJ31" s="2218"/>
      <c r="AK31" s="2218"/>
      <c r="AL31" s="2218"/>
      <c r="AM31" s="2218"/>
      <c r="AN31" s="2224" t="s">
        <v>1449</v>
      </c>
      <c r="AO31" s="2218"/>
      <c r="AP31" s="2218"/>
      <c r="AQ31" s="2218"/>
      <c r="AR31" s="2218"/>
      <c r="AS31" s="2218"/>
      <c r="AT31" s="2218"/>
      <c r="AU31" s="2218"/>
      <c r="AV31" s="2218"/>
      <c r="AW31" s="2214"/>
      <c r="AX31" s="2214"/>
      <c r="AY31" s="2214"/>
    </row>
    <row r="32" spans="1:51" s="2212" customFormat="1" ht="49.5" customHeight="1" x14ac:dyDescent="0.5">
      <c r="A32" s="2225" t="s">
        <v>1321</v>
      </c>
      <c r="B32" s="2218"/>
      <c r="C32" s="2218"/>
      <c r="D32" s="2218"/>
      <c r="E32" s="2218"/>
      <c r="F32" s="2218"/>
      <c r="G32" s="2218"/>
      <c r="H32" s="2218"/>
      <c r="I32" s="2218"/>
      <c r="J32" s="2218"/>
      <c r="K32" s="2218"/>
      <c r="L32" s="2218"/>
      <c r="M32" s="2218"/>
      <c r="N32" s="2225" t="s">
        <v>1321</v>
      </c>
      <c r="O32" s="2218"/>
      <c r="P32" s="2218"/>
      <c r="Q32" s="2218"/>
      <c r="R32" s="2218"/>
      <c r="S32" s="2218"/>
      <c r="T32" s="2218"/>
      <c r="U32" s="2218"/>
      <c r="V32" s="2218"/>
      <c r="W32" s="2218"/>
      <c r="X32" s="2218"/>
      <c r="Y32" s="2218"/>
      <c r="Z32" s="2218"/>
      <c r="AA32" s="2225" t="s">
        <v>1321</v>
      </c>
      <c r="AB32" s="2218"/>
      <c r="AC32" s="2218"/>
      <c r="AD32" s="2218"/>
      <c r="AE32" s="2218"/>
      <c r="AF32" s="2218"/>
      <c r="AG32" s="2218"/>
      <c r="AH32" s="2218"/>
      <c r="AI32" s="2218"/>
      <c r="AJ32" s="2218"/>
      <c r="AK32" s="2218"/>
      <c r="AL32" s="2218"/>
      <c r="AM32" s="2218"/>
      <c r="AN32" s="2225" t="s">
        <v>1321</v>
      </c>
      <c r="AO32" s="2218"/>
      <c r="AP32" s="2218"/>
      <c r="AQ32" s="2218"/>
      <c r="AR32" s="2218"/>
      <c r="AS32" s="2218"/>
      <c r="AT32" s="2218"/>
      <c r="AU32" s="2218"/>
      <c r="AV32" s="2218"/>
      <c r="AW32" s="2214"/>
      <c r="AX32" s="2214"/>
      <c r="AY32" s="2214"/>
    </row>
    <row r="33" spans="1:51" s="2212" customFormat="1" ht="49.5" customHeight="1" x14ac:dyDescent="0.5">
      <c r="A33" s="2226" t="s">
        <v>1322</v>
      </c>
      <c r="B33" s="2218">
        <f>[4]int.kiadások2019!B32</f>
        <v>112358</v>
      </c>
      <c r="C33" s="2214">
        <f>'[5]int.kiadások RM IV'!D33</f>
        <v>217395</v>
      </c>
      <c r="D33" s="2227">
        <v>140529</v>
      </c>
      <c r="E33" s="2215">
        <f t="shared" ref="E33:E38" si="11">D33/C33</f>
        <v>0.64642241081901608</v>
      </c>
      <c r="F33" s="2218">
        <f>[4]int.kiadások2019!C32</f>
        <v>24482</v>
      </c>
      <c r="G33" s="2214">
        <f>'[5]int.kiadások RM IV'!G33</f>
        <v>43719</v>
      </c>
      <c r="H33" s="2218">
        <v>27914</v>
      </c>
      <c r="I33" s="2215">
        <f t="shared" ref="I33:I38" si="12">H33/G33</f>
        <v>0.63848669914682399</v>
      </c>
      <c r="J33" s="2218">
        <f>[4]int.kiadások2019!D32</f>
        <v>250377</v>
      </c>
      <c r="K33" s="2214">
        <f>'[5]int.kiadások RM IV'!J33</f>
        <v>380819</v>
      </c>
      <c r="L33" s="2218">
        <v>347113</v>
      </c>
      <c r="M33" s="2215">
        <f t="shared" ref="M33:M38" si="13">L33/K33</f>
        <v>0.91149076070259094</v>
      </c>
      <c r="N33" s="2226" t="s">
        <v>1322</v>
      </c>
      <c r="O33" s="2218">
        <f>[4]int.kiadások2019!E32</f>
        <v>0</v>
      </c>
      <c r="P33" s="2214">
        <f>'[5]int.kiadások RM IV'!N33</f>
        <v>0</v>
      </c>
      <c r="Q33" s="2218"/>
      <c r="R33" s="2215"/>
      <c r="S33" s="2218">
        <f>[4]int.kiadások2019!F32</f>
        <v>0</v>
      </c>
      <c r="T33" s="2218">
        <f>'[5]int.kiadások RM IV'!Q33</f>
        <v>0</v>
      </c>
      <c r="U33" s="2218"/>
      <c r="V33" s="2215"/>
      <c r="W33" s="2214">
        <f t="shared" ref="W33:Y37" si="14">B33+F33+J33+O33+S33</f>
        <v>387217</v>
      </c>
      <c r="X33" s="2214">
        <f t="shared" si="14"/>
        <v>641933</v>
      </c>
      <c r="Y33" s="2214">
        <f t="shared" si="14"/>
        <v>515556</v>
      </c>
      <c r="Z33" s="2215">
        <f t="shared" ref="Z33:Z38" si="15">Y33/X33</f>
        <v>0.80313054477647983</v>
      </c>
      <c r="AA33" s="2226" t="s">
        <v>1322</v>
      </c>
      <c r="AB33" s="2218">
        <f>[4]int.kiadások2019!I32</f>
        <v>0</v>
      </c>
      <c r="AC33" s="2214">
        <f>'[5]int.kiadások RM IV'!X33</f>
        <v>21558</v>
      </c>
      <c r="AD33" s="2218">
        <v>19594</v>
      </c>
      <c r="AE33" s="2215">
        <f t="shared" ref="AE33:AE38" si="16">AD33/AC33</f>
        <v>0.90889692921421283</v>
      </c>
      <c r="AF33" s="2218">
        <f>[4]int.kiadások2019!J32</f>
        <v>0</v>
      </c>
      <c r="AG33" s="2214">
        <f>'[5]int.kiadások RM IV'!AA33</f>
        <v>0</v>
      </c>
      <c r="AH33" s="2218"/>
      <c r="AI33" s="2215"/>
      <c r="AJ33" s="2218">
        <f>[4]int.kiadások2019!K32</f>
        <v>0</v>
      </c>
      <c r="AK33" s="2218">
        <f>'[5]int.kiadások RM IV'!AD33</f>
        <v>0</v>
      </c>
      <c r="AL33" s="2218"/>
      <c r="AM33" s="2215"/>
      <c r="AN33" s="2226" t="s">
        <v>1322</v>
      </c>
      <c r="AO33" s="2214">
        <f t="shared" ref="AO33:AQ37" si="17">AB33+AF33+AJ33</f>
        <v>0</v>
      </c>
      <c r="AP33" s="2214">
        <f t="shared" si="17"/>
        <v>21558</v>
      </c>
      <c r="AQ33" s="2214">
        <f t="shared" si="17"/>
        <v>19594</v>
      </c>
      <c r="AR33" s="2215">
        <f t="shared" ref="AR33:AR38" si="18">AQ33/AP33</f>
        <v>0.90889692921421283</v>
      </c>
      <c r="AS33" s="2214">
        <f t="shared" ref="AS33:AU37" si="19">W33+AO33</f>
        <v>387217</v>
      </c>
      <c r="AT33" s="2214">
        <f t="shared" si="19"/>
        <v>663491</v>
      </c>
      <c r="AU33" s="2214">
        <f>Y33+AQ33</f>
        <v>535150</v>
      </c>
      <c r="AV33" s="2215">
        <f t="shared" ref="AV33:AV38" si="20">AU33/AT33</f>
        <v>0.80656708229651952</v>
      </c>
      <c r="AW33" s="2214">
        <f>AS33-'[6]éves besz.bevételei2019'!BD33</f>
        <v>0</v>
      </c>
      <c r="AX33" s="2214">
        <f>AT33-'[6]éves besz.bevételei2019'!BE33</f>
        <v>0</v>
      </c>
      <c r="AY33" s="2214">
        <f>AU33-'[6]éves besz.bevételei2019'!BF33</f>
        <v>-117835</v>
      </c>
    </row>
    <row r="34" spans="1:51" s="2212" customFormat="1" ht="49.5" customHeight="1" x14ac:dyDescent="0.5">
      <c r="A34" s="2228" t="s">
        <v>304</v>
      </c>
      <c r="B34" s="2229">
        <f>[4]int.kiadások2019!B33</f>
        <v>75938</v>
      </c>
      <c r="C34" s="2214">
        <f>'[5]int.kiadások RM IV'!D34</f>
        <v>89740</v>
      </c>
      <c r="D34" s="2229">
        <v>88312</v>
      </c>
      <c r="E34" s="2215">
        <f t="shared" si="11"/>
        <v>0.98408736349453974</v>
      </c>
      <c r="F34" s="2229">
        <f>[4]int.kiadások2019!C33</f>
        <v>14268</v>
      </c>
      <c r="G34" s="2214">
        <f>'[5]int.kiadások RM IV'!G34</f>
        <v>17153</v>
      </c>
      <c r="H34" s="2229">
        <v>16848</v>
      </c>
      <c r="I34" s="2215">
        <f t="shared" si="12"/>
        <v>0.98221885384480845</v>
      </c>
      <c r="J34" s="2229">
        <f>[4]int.kiadások2019!D33</f>
        <v>37596</v>
      </c>
      <c r="K34" s="2214">
        <f>'[5]int.kiadások RM IV'!J34</f>
        <v>71690</v>
      </c>
      <c r="L34" s="2229">
        <v>56271</v>
      </c>
      <c r="M34" s="2215">
        <f t="shared" si="13"/>
        <v>0.78492118845027203</v>
      </c>
      <c r="N34" s="2228" t="s">
        <v>304</v>
      </c>
      <c r="O34" s="2229">
        <f>[4]int.kiadások2019!E33</f>
        <v>0</v>
      </c>
      <c r="P34" s="2214">
        <f>'[5]int.kiadások RM IV'!N34</f>
        <v>0</v>
      </c>
      <c r="Q34" s="2229"/>
      <c r="R34" s="2215"/>
      <c r="S34" s="2229">
        <f>[4]int.kiadások2019!F33</f>
        <v>0</v>
      </c>
      <c r="T34" s="2229">
        <f>'[5]int.kiadások RM IV'!Q34</f>
        <v>0</v>
      </c>
      <c r="U34" s="2229"/>
      <c r="V34" s="2215"/>
      <c r="W34" s="2214">
        <f t="shared" si="14"/>
        <v>127802</v>
      </c>
      <c r="X34" s="2214">
        <f t="shared" si="14"/>
        <v>178583</v>
      </c>
      <c r="Y34" s="2214">
        <f t="shared" si="14"/>
        <v>161431</v>
      </c>
      <c r="Z34" s="2215">
        <f t="shared" si="15"/>
        <v>0.90395502371446335</v>
      </c>
      <c r="AA34" s="2228" t="s">
        <v>304</v>
      </c>
      <c r="AB34" s="2229">
        <f>[4]int.kiadások2019!I33</f>
        <v>0</v>
      </c>
      <c r="AC34" s="2214">
        <f>'[5]int.kiadások RM IV'!X34</f>
        <v>3305</v>
      </c>
      <c r="AD34" s="2229">
        <v>3125</v>
      </c>
      <c r="AE34" s="2215">
        <f t="shared" si="16"/>
        <v>0.9455370650529501</v>
      </c>
      <c r="AF34" s="2229">
        <f>[4]int.kiadások2019!J33</f>
        <v>0</v>
      </c>
      <c r="AG34" s="2214">
        <f>'[5]int.kiadások RM IV'!AA34</f>
        <v>0</v>
      </c>
      <c r="AH34" s="2229"/>
      <c r="AI34" s="2215"/>
      <c r="AJ34" s="2229">
        <f>[4]int.kiadások2019!K33</f>
        <v>0</v>
      </c>
      <c r="AK34" s="2229">
        <f>'[5]int.kiadások RM IV'!AD34</f>
        <v>0</v>
      </c>
      <c r="AL34" s="2229"/>
      <c r="AM34" s="2215"/>
      <c r="AN34" s="2228" t="s">
        <v>304</v>
      </c>
      <c r="AO34" s="2214">
        <f t="shared" si="17"/>
        <v>0</v>
      </c>
      <c r="AP34" s="2214">
        <f t="shared" si="17"/>
        <v>3305</v>
      </c>
      <c r="AQ34" s="2214">
        <f t="shared" si="17"/>
        <v>3125</v>
      </c>
      <c r="AR34" s="2215">
        <f t="shared" si="18"/>
        <v>0.9455370650529501</v>
      </c>
      <c r="AS34" s="2214">
        <f t="shared" si="19"/>
        <v>127802</v>
      </c>
      <c r="AT34" s="2214">
        <f t="shared" si="19"/>
        <v>181888</v>
      </c>
      <c r="AU34" s="2214">
        <f>Y34+AQ34</f>
        <v>164556</v>
      </c>
      <c r="AV34" s="2215">
        <f t="shared" si="20"/>
        <v>0.90471059113300489</v>
      </c>
      <c r="AW34" s="2214">
        <f>AS34-'[6]éves besz.bevételei2019'!BD34</f>
        <v>0</v>
      </c>
      <c r="AX34" s="2214">
        <f>AT34-'[6]éves besz.bevételei2019'!BE34</f>
        <v>0</v>
      </c>
      <c r="AY34" s="2214">
        <f>AU34-'[6]éves besz.bevételei2019'!BF34</f>
        <v>-4615</v>
      </c>
    </row>
    <row r="35" spans="1:51" s="2212" customFormat="1" ht="49.5" customHeight="1" x14ac:dyDescent="0.5">
      <c r="A35" s="2228" t="s">
        <v>1323</v>
      </c>
      <c r="B35" s="2229">
        <f>[4]int.kiadások2019!B34</f>
        <v>297232</v>
      </c>
      <c r="C35" s="2214">
        <f>'[5]int.kiadások RM IV'!D35</f>
        <v>369308</v>
      </c>
      <c r="D35" s="2229">
        <v>321383</v>
      </c>
      <c r="E35" s="2215">
        <f t="shared" si="11"/>
        <v>0.87023026850217167</v>
      </c>
      <c r="F35" s="2229">
        <f>[4]int.kiadások2019!C34</f>
        <v>55537</v>
      </c>
      <c r="G35" s="2214">
        <f>'[5]int.kiadások RM IV'!G35</f>
        <v>66715</v>
      </c>
      <c r="H35" s="2229">
        <v>63579</v>
      </c>
      <c r="I35" s="2215">
        <f t="shared" si="12"/>
        <v>0.9529940792925129</v>
      </c>
      <c r="J35" s="2229">
        <f>[4]int.kiadások2019!D34</f>
        <v>109338</v>
      </c>
      <c r="K35" s="2214">
        <f>'[5]int.kiadások RM IV'!J35</f>
        <v>201887</v>
      </c>
      <c r="L35" s="2229">
        <v>160308</v>
      </c>
      <c r="M35" s="2215">
        <f t="shared" si="13"/>
        <v>0.79404815565142872</v>
      </c>
      <c r="N35" s="2228" t="s">
        <v>1323</v>
      </c>
      <c r="O35" s="2229">
        <f>[4]int.kiadások2019!E34</f>
        <v>0</v>
      </c>
      <c r="P35" s="2214">
        <f>'[5]int.kiadások RM IV'!N35</f>
        <v>0</v>
      </c>
      <c r="Q35" s="2229"/>
      <c r="R35" s="2215"/>
      <c r="S35" s="2229">
        <f>[4]int.kiadások2019!F34</f>
        <v>0</v>
      </c>
      <c r="T35" s="2229">
        <f>'[5]int.kiadások RM IV'!Q35</f>
        <v>0</v>
      </c>
      <c r="U35" s="2229"/>
      <c r="V35" s="2215"/>
      <c r="W35" s="2214">
        <f t="shared" si="14"/>
        <v>462107</v>
      </c>
      <c r="X35" s="2214">
        <f t="shared" si="14"/>
        <v>637910</v>
      </c>
      <c r="Y35" s="2214">
        <f t="shared" si="14"/>
        <v>545270</v>
      </c>
      <c r="Z35" s="2215">
        <f t="shared" si="15"/>
        <v>0.8547757520653384</v>
      </c>
      <c r="AA35" s="2228" t="s">
        <v>1323</v>
      </c>
      <c r="AB35" s="2229">
        <f>[4]int.kiadások2019!I34</f>
        <v>0</v>
      </c>
      <c r="AC35" s="2214">
        <f>'[5]int.kiadások RM IV'!X35</f>
        <v>66891</v>
      </c>
      <c r="AD35" s="2229">
        <v>30158</v>
      </c>
      <c r="AE35" s="2215">
        <f t="shared" si="16"/>
        <v>0.4508528800586028</v>
      </c>
      <c r="AF35" s="2229">
        <f>[4]int.kiadások2019!J34</f>
        <v>0</v>
      </c>
      <c r="AG35" s="2214">
        <f>'[5]int.kiadások RM IV'!AA35</f>
        <v>0</v>
      </c>
      <c r="AH35" s="2229"/>
      <c r="AI35" s="2215"/>
      <c r="AJ35" s="2229">
        <f>[4]int.kiadások2019!K34</f>
        <v>0</v>
      </c>
      <c r="AK35" s="2229">
        <f>'[5]int.kiadások RM IV'!AD35</f>
        <v>0</v>
      </c>
      <c r="AL35" s="2229"/>
      <c r="AM35" s="2215"/>
      <c r="AN35" s="2228" t="s">
        <v>1323</v>
      </c>
      <c r="AO35" s="2214">
        <f t="shared" si="17"/>
        <v>0</v>
      </c>
      <c r="AP35" s="2214">
        <f t="shared" si="17"/>
        <v>66891</v>
      </c>
      <c r="AQ35" s="2214">
        <f t="shared" si="17"/>
        <v>30158</v>
      </c>
      <c r="AR35" s="2215">
        <f t="shared" si="18"/>
        <v>0.4508528800586028</v>
      </c>
      <c r="AS35" s="2214">
        <f t="shared" si="19"/>
        <v>462107</v>
      </c>
      <c r="AT35" s="2214">
        <f t="shared" si="19"/>
        <v>704801</v>
      </c>
      <c r="AU35" s="2214">
        <f t="shared" si="19"/>
        <v>575428</v>
      </c>
      <c r="AV35" s="2215">
        <f t="shared" si="20"/>
        <v>0.81644038530024787</v>
      </c>
      <c r="AW35" s="2214">
        <f>AS35-'[6]éves besz.bevételei2019'!BD35</f>
        <v>0</v>
      </c>
      <c r="AX35" s="2214">
        <f>AT35-'[6]éves besz.bevételei2019'!BE35</f>
        <v>0</v>
      </c>
      <c r="AY35" s="2214">
        <f>AU35-'[6]éves besz.bevételei2019'!BF35</f>
        <v>-59115</v>
      </c>
    </row>
    <row r="36" spans="1:51" s="2212" customFormat="1" ht="49.5" customHeight="1" x14ac:dyDescent="0.5">
      <c r="A36" s="2228" t="s">
        <v>1324</v>
      </c>
      <c r="B36" s="2229">
        <f>[4]int.kiadások2019!B35</f>
        <v>143226</v>
      </c>
      <c r="C36" s="2214">
        <f>'[5]int.kiadások RM IV'!D36</f>
        <v>209019</v>
      </c>
      <c r="D36" s="2229">
        <v>174983</v>
      </c>
      <c r="E36" s="2215">
        <f t="shared" si="11"/>
        <v>0.83716312871078702</v>
      </c>
      <c r="F36" s="2229">
        <f>[4]int.kiadások2019!C35</f>
        <v>28610</v>
      </c>
      <c r="G36" s="2214">
        <f>'[5]int.kiadások RM IV'!G36</f>
        <v>38132</v>
      </c>
      <c r="H36" s="2229">
        <v>33052</v>
      </c>
      <c r="I36" s="2215">
        <f t="shared" si="12"/>
        <v>0.86677855869086329</v>
      </c>
      <c r="J36" s="2229">
        <f>[4]int.kiadások2019!D35</f>
        <v>74529</v>
      </c>
      <c r="K36" s="2214">
        <f>'[5]int.kiadások RM IV'!J36</f>
        <v>199509</v>
      </c>
      <c r="L36" s="2229">
        <v>176702</v>
      </c>
      <c r="M36" s="2215">
        <f t="shared" si="13"/>
        <v>0.88568435509175025</v>
      </c>
      <c r="N36" s="2228" t="s">
        <v>1324</v>
      </c>
      <c r="O36" s="2229">
        <f>[4]int.kiadások2019!E35</f>
        <v>0</v>
      </c>
      <c r="P36" s="2214">
        <f>'[5]int.kiadások RM IV'!N36</f>
        <v>0</v>
      </c>
      <c r="Q36" s="2229"/>
      <c r="R36" s="2215"/>
      <c r="S36" s="2229">
        <f>[4]int.kiadások2019!F35</f>
        <v>0</v>
      </c>
      <c r="T36" s="2229">
        <f>'[5]int.kiadások RM IV'!Q36</f>
        <v>0</v>
      </c>
      <c r="U36" s="2229"/>
      <c r="V36" s="2215"/>
      <c r="W36" s="2214">
        <f t="shared" si="14"/>
        <v>246365</v>
      </c>
      <c r="X36" s="2214">
        <f t="shared" si="14"/>
        <v>446660</v>
      </c>
      <c r="Y36" s="2214">
        <f t="shared" si="14"/>
        <v>384737</v>
      </c>
      <c r="Z36" s="2215">
        <f t="shared" si="15"/>
        <v>0.86136434872162271</v>
      </c>
      <c r="AA36" s="2228" t="s">
        <v>1324</v>
      </c>
      <c r="AB36" s="2229">
        <f>[4]int.kiadások2019!I35</f>
        <v>0</v>
      </c>
      <c r="AC36" s="2214">
        <f>'[5]int.kiadások RM IV'!X36</f>
        <v>35283</v>
      </c>
      <c r="AD36" s="2229">
        <v>9703</v>
      </c>
      <c r="AE36" s="2215">
        <f t="shared" si="16"/>
        <v>0.27500495989570045</v>
      </c>
      <c r="AF36" s="2229">
        <f>[4]int.kiadások2019!J35</f>
        <v>0</v>
      </c>
      <c r="AG36" s="2214">
        <f>'[5]int.kiadások RM IV'!AA36</f>
        <v>0</v>
      </c>
      <c r="AH36" s="2229"/>
      <c r="AI36" s="2215"/>
      <c r="AJ36" s="2229">
        <f>[4]int.kiadások2019!K35</f>
        <v>0</v>
      </c>
      <c r="AK36" s="2229">
        <f>'[5]int.kiadások RM IV'!AD36</f>
        <v>0</v>
      </c>
      <c r="AL36" s="2229"/>
      <c r="AM36" s="2215"/>
      <c r="AN36" s="2228" t="s">
        <v>1324</v>
      </c>
      <c r="AO36" s="2214">
        <f t="shared" si="17"/>
        <v>0</v>
      </c>
      <c r="AP36" s="2214">
        <f t="shared" si="17"/>
        <v>35283</v>
      </c>
      <c r="AQ36" s="2214">
        <f t="shared" si="17"/>
        <v>9703</v>
      </c>
      <c r="AR36" s="2215">
        <f t="shared" si="18"/>
        <v>0.27500495989570045</v>
      </c>
      <c r="AS36" s="2214">
        <f t="shared" si="19"/>
        <v>246365</v>
      </c>
      <c r="AT36" s="2214">
        <f t="shared" si="19"/>
        <v>481943</v>
      </c>
      <c r="AU36" s="2214">
        <f>Y36+AQ36</f>
        <v>394440</v>
      </c>
      <c r="AV36" s="2215">
        <f t="shared" si="20"/>
        <v>0.81843703508506194</v>
      </c>
      <c r="AW36" s="2214">
        <f>AS36-'[6]éves besz.bevételei2019'!BD36</f>
        <v>0</v>
      </c>
      <c r="AX36" s="2214">
        <f>AT36-'[6]éves besz.bevételei2019'!BE36</f>
        <v>0</v>
      </c>
      <c r="AY36" s="2214">
        <f>AU36-'[6]éves besz.bevételei2019'!BF36</f>
        <v>-51627</v>
      </c>
    </row>
    <row r="37" spans="1:51" s="2212" customFormat="1" ht="49.5" customHeight="1" thickBot="1" x14ac:dyDescent="0.55000000000000004">
      <c r="A37" s="2230" t="s">
        <v>1326</v>
      </c>
      <c r="B37" s="2229">
        <f>[4]int.kiadások2019!B36</f>
        <v>303423</v>
      </c>
      <c r="C37" s="2214">
        <f>'[5]int.kiadások RM IV'!D37</f>
        <v>366694</v>
      </c>
      <c r="D37" s="2229">
        <v>311771</v>
      </c>
      <c r="E37" s="2219">
        <f t="shared" si="11"/>
        <v>0.85022116533131165</v>
      </c>
      <c r="F37" s="2229">
        <f>[4]int.kiadások2019!C36</f>
        <v>58270</v>
      </c>
      <c r="G37" s="2214">
        <f>'[5]int.kiadások RM IV'!G37</f>
        <v>63680</v>
      </c>
      <c r="H37" s="2229">
        <v>58760</v>
      </c>
      <c r="I37" s="2219">
        <f t="shared" si="12"/>
        <v>0.92273869346733672</v>
      </c>
      <c r="J37" s="2229">
        <f>[4]int.kiadások2019!D36</f>
        <v>148990</v>
      </c>
      <c r="K37" s="2214">
        <f>'[5]int.kiadások RM IV'!J37</f>
        <v>228672</v>
      </c>
      <c r="L37" s="2229">
        <v>198474</v>
      </c>
      <c r="M37" s="2219">
        <f t="shared" si="13"/>
        <v>0.8679418555835432</v>
      </c>
      <c r="N37" s="2230" t="s">
        <v>1326</v>
      </c>
      <c r="O37" s="2229">
        <f>[4]int.kiadások2019!E36</f>
        <v>0</v>
      </c>
      <c r="P37" s="2214">
        <f>'[5]int.kiadások RM IV'!N37</f>
        <v>0</v>
      </c>
      <c r="Q37" s="2229"/>
      <c r="R37" s="2219"/>
      <c r="S37" s="2229">
        <f>[4]int.kiadások2019!F36</f>
        <v>0</v>
      </c>
      <c r="T37" s="2229">
        <f>'[5]int.kiadások RM IV'!Q37</f>
        <v>0</v>
      </c>
      <c r="U37" s="2229"/>
      <c r="V37" s="2219"/>
      <c r="W37" s="2214">
        <f t="shared" si="14"/>
        <v>510683</v>
      </c>
      <c r="X37" s="2214">
        <f t="shared" si="14"/>
        <v>659046</v>
      </c>
      <c r="Y37" s="2214">
        <f t="shared" si="14"/>
        <v>569005</v>
      </c>
      <c r="Z37" s="2219">
        <f t="shared" si="15"/>
        <v>0.86337675974059469</v>
      </c>
      <c r="AA37" s="2230" t="s">
        <v>1326</v>
      </c>
      <c r="AB37" s="2229">
        <f>[4]int.kiadások2019!I36</f>
        <v>0</v>
      </c>
      <c r="AC37" s="2214">
        <f>'[5]int.kiadások RM IV'!X37</f>
        <v>25385</v>
      </c>
      <c r="AD37" s="2229">
        <v>20007</v>
      </c>
      <c r="AE37" s="2219">
        <f t="shared" si="16"/>
        <v>0.78814260389994095</v>
      </c>
      <c r="AF37" s="2229">
        <f>[4]int.kiadások2019!J36</f>
        <v>0</v>
      </c>
      <c r="AG37" s="2214">
        <f>'[5]int.kiadások RM IV'!AA37</f>
        <v>0</v>
      </c>
      <c r="AH37" s="2229"/>
      <c r="AI37" s="2219"/>
      <c r="AJ37" s="2229">
        <f>[4]int.kiadások2019!K36</f>
        <v>0</v>
      </c>
      <c r="AK37" s="2229">
        <f>'[5]int.kiadások RM IV'!AD37</f>
        <v>0</v>
      </c>
      <c r="AL37" s="2229"/>
      <c r="AM37" s="2219"/>
      <c r="AN37" s="2230" t="s">
        <v>1326</v>
      </c>
      <c r="AO37" s="2214">
        <f t="shared" si="17"/>
        <v>0</v>
      </c>
      <c r="AP37" s="2214">
        <f t="shared" si="17"/>
        <v>25385</v>
      </c>
      <c r="AQ37" s="2214">
        <f t="shared" si="17"/>
        <v>20007</v>
      </c>
      <c r="AR37" s="2219">
        <f t="shared" si="18"/>
        <v>0.78814260389994095</v>
      </c>
      <c r="AS37" s="2214">
        <f t="shared" si="19"/>
        <v>510683</v>
      </c>
      <c r="AT37" s="2214">
        <f t="shared" si="19"/>
        <v>684431</v>
      </c>
      <c r="AU37" s="2214">
        <f t="shared" si="19"/>
        <v>589012</v>
      </c>
      <c r="AV37" s="2219">
        <f t="shared" si="20"/>
        <v>0.86058638489489814</v>
      </c>
      <c r="AW37" s="2214">
        <f>AS37-'[6]éves besz.bevételei2019'!BD37</f>
        <v>0</v>
      </c>
      <c r="AX37" s="2214">
        <f>AT37-'[6]éves besz.bevételei2019'!BE37</f>
        <v>0</v>
      </c>
      <c r="AY37" s="2214">
        <f>AU37-'[6]éves besz.bevételei2019'!BF37</f>
        <v>-51488</v>
      </c>
    </row>
    <row r="38" spans="1:51" s="2212" customFormat="1" ht="49.5" customHeight="1" thickBot="1" x14ac:dyDescent="0.55000000000000004">
      <c r="A38" s="2231" t="s">
        <v>1473</v>
      </c>
      <c r="B38" s="2221">
        <f>SUM(B33:B37)</f>
        <v>932177</v>
      </c>
      <c r="C38" s="2221">
        <f>SUM(C33:C37)</f>
        <v>1252156</v>
      </c>
      <c r="D38" s="2221">
        <f>SUM(D33:D37)</f>
        <v>1036978</v>
      </c>
      <c r="E38" s="2222">
        <f t="shared" si="11"/>
        <v>0.82815399998083306</v>
      </c>
      <c r="F38" s="2221">
        <f>SUM(F33:F37)</f>
        <v>181167</v>
      </c>
      <c r="G38" s="2221">
        <f>SUM(G33:G37)</f>
        <v>229399</v>
      </c>
      <c r="H38" s="2221">
        <f>SUM(H33:H37)</f>
        <v>200153</v>
      </c>
      <c r="I38" s="2222">
        <f t="shared" si="12"/>
        <v>0.87251034224211965</v>
      </c>
      <c r="J38" s="2221">
        <f>SUM(J33:J37)</f>
        <v>620830</v>
      </c>
      <c r="K38" s="2221">
        <f>SUM(K33:K37)</f>
        <v>1082577</v>
      </c>
      <c r="L38" s="2221">
        <f>SUM(L33:L37)</f>
        <v>938868</v>
      </c>
      <c r="M38" s="2222">
        <f t="shared" si="13"/>
        <v>0.86725286053555539</v>
      </c>
      <c r="N38" s="2231" t="s">
        <v>1473</v>
      </c>
      <c r="O38" s="2221">
        <f>SUM(O33:O37)</f>
        <v>0</v>
      </c>
      <c r="P38" s="2221">
        <f>SUM(P33:P37)</f>
        <v>0</v>
      </c>
      <c r="Q38" s="2221">
        <f>SUM(Q33:Q37)</f>
        <v>0</v>
      </c>
      <c r="R38" s="2222"/>
      <c r="S38" s="2221">
        <f>SUM(S33:S37)</f>
        <v>0</v>
      </c>
      <c r="T38" s="2221">
        <f>SUM(T33:T37)</f>
        <v>0</v>
      </c>
      <c r="U38" s="2221">
        <f>SUM(U33:U37)</f>
        <v>0</v>
      </c>
      <c r="V38" s="2222"/>
      <c r="W38" s="2221">
        <f>SUM(W33:W37)</f>
        <v>1734174</v>
      </c>
      <c r="X38" s="2221">
        <f>SUM(X33:X37)</f>
        <v>2564132</v>
      </c>
      <c r="Y38" s="2221">
        <f>SUM(Y33:Y37)</f>
        <v>2175999</v>
      </c>
      <c r="Z38" s="2222">
        <f t="shared" si="15"/>
        <v>0.84862986772911841</v>
      </c>
      <c r="AA38" s="2231" t="s">
        <v>1473</v>
      </c>
      <c r="AB38" s="2221">
        <f>SUM(AB33:AB37)</f>
        <v>0</v>
      </c>
      <c r="AC38" s="2221">
        <f>SUM(AC33:AC37)</f>
        <v>152422</v>
      </c>
      <c r="AD38" s="2221">
        <f>SUM(AD33:AD37)</f>
        <v>82587</v>
      </c>
      <c r="AE38" s="2222">
        <f t="shared" si="16"/>
        <v>0.54183123171195757</v>
      </c>
      <c r="AF38" s="2221">
        <f>SUM(AF33:AF37)</f>
        <v>0</v>
      </c>
      <c r="AG38" s="2221">
        <f>SUM(AG33:AG37)</f>
        <v>0</v>
      </c>
      <c r="AH38" s="2221">
        <f>SUM(AH33:AH37)</f>
        <v>0</v>
      </c>
      <c r="AI38" s="2222"/>
      <c r="AJ38" s="2221">
        <f>SUM(AJ33:AJ37)</f>
        <v>0</v>
      </c>
      <c r="AK38" s="2221">
        <f>SUM(AK33:AK37)</f>
        <v>0</v>
      </c>
      <c r="AL38" s="2221">
        <f>SUM(AL33:AL37)</f>
        <v>0</v>
      </c>
      <c r="AM38" s="2222"/>
      <c r="AN38" s="2231" t="s">
        <v>1473</v>
      </c>
      <c r="AO38" s="2221">
        <f>SUM(AO33:AO37)</f>
        <v>0</v>
      </c>
      <c r="AP38" s="2221">
        <f>SUM(AP33:AP37)</f>
        <v>152422</v>
      </c>
      <c r="AQ38" s="2221">
        <f>SUM(AQ33:AQ37)</f>
        <v>82587</v>
      </c>
      <c r="AR38" s="2222">
        <f t="shared" si="18"/>
        <v>0.54183123171195757</v>
      </c>
      <c r="AS38" s="2221">
        <f>SUM(AS33:AS37)</f>
        <v>1734174</v>
      </c>
      <c r="AT38" s="2221">
        <f>SUM(AT33:AT37)</f>
        <v>2716554</v>
      </c>
      <c r="AU38" s="2221">
        <f>SUM(AU33:AU37)</f>
        <v>2258586</v>
      </c>
      <c r="AV38" s="2222">
        <f t="shared" si="20"/>
        <v>0.83141583049701939</v>
      </c>
      <c r="AW38" s="2214">
        <f>AS38-'[6]éves besz.bevételei2019'!BD38</f>
        <v>0</v>
      </c>
      <c r="AX38" s="2214">
        <f>AT38-'[6]éves besz.bevételei2019'!BE38</f>
        <v>0</v>
      </c>
      <c r="AY38" s="2214">
        <f>AU38-'[6]éves besz.bevételei2019'!BF38</f>
        <v>-284680</v>
      </c>
    </row>
    <row r="39" spans="1:51" s="2212" customFormat="1" ht="49.5" customHeight="1" x14ac:dyDescent="0.5">
      <c r="A39" s="2232" t="s">
        <v>1327</v>
      </c>
      <c r="B39" s="2211"/>
      <c r="C39" s="2211"/>
      <c r="D39" s="2211"/>
      <c r="E39" s="2211"/>
      <c r="F39" s="2211"/>
      <c r="G39" s="2211"/>
      <c r="H39" s="2211"/>
      <c r="I39" s="2211"/>
      <c r="J39" s="2211"/>
      <c r="K39" s="2211"/>
      <c r="L39" s="2211"/>
      <c r="M39" s="2211"/>
      <c r="N39" s="2232" t="s">
        <v>1327</v>
      </c>
      <c r="O39" s="2211"/>
      <c r="P39" s="2211"/>
      <c r="Q39" s="2211"/>
      <c r="R39" s="2211"/>
      <c r="S39" s="2211"/>
      <c r="T39" s="2211"/>
      <c r="U39" s="2211"/>
      <c r="V39" s="2211"/>
      <c r="W39" s="2211"/>
      <c r="X39" s="2211"/>
      <c r="Y39" s="2211"/>
      <c r="Z39" s="2211"/>
      <c r="AA39" s="2232" t="s">
        <v>1327</v>
      </c>
      <c r="AB39" s="2211"/>
      <c r="AC39" s="2211"/>
      <c r="AD39" s="2211"/>
      <c r="AE39" s="2211"/>
      <c r="AF39" s="2211"/>
      <c r="AG39" s="2211"/>
      <c r="AH39" s="2211"/>
      <c r="AI39" s="2211"/>
      <c r="AJ39" s="2211"/>
      <c r="AK39" s="2211"/>
      <c r="AL39" s="2211"/>
      <c r="AM39" s="2211"/>
      <c r="AN39" s="2232" t="s">
        <v>1327</v>
      </c>
      <c r="AO39" s="2211"/>
      <c r="AP39" s="2211"/>
      <c r="AQ39" s="2211"/>
      <c r="AR39" s="2211"/>
      <c r="AS39" s="2211"/>
      <c r="AT39" s="2211"/>
      <c r="AU39" s="2211"/>
      <c r="AV39" s="2211"/>
      <c r="AW39" s="2214"/>
      <c r="AX39" s="2214"/>
      <c r="AY39" s="2214"/>
    </row>
    <row r="40" spans="1:51" s="2205" customFormat="1" ht="99" customHeight="1" thickBot="1" x14ac:dyDescent="0.55000000000000004">
      <c r="A40" s="2233" t="s">
        <v>1328</v>
      </c>
      <c r="B40" s="2214">
        <f>[4]int.kiadások2019!B39</f>
        <v>484073</v>
      </c>
      <c r="C40" s="2214">
        <f>'[5]int.kiadások RM IV'!D40</f>
        <v>572361</v>
      </c>
      <c r="D40" s="2214">
        <v>565807</v>
      </c>
      <c r="E40" s="2223">
        <f>D40/C40</f>
        <v>0.98854918486759236</v>
      </c>
      <c r="F40" s="2214">
        <f>[4]int.kiadások2019!C39</f>
        <v>107350</v>
      </c>
      <c r="G40" s="2214">
        <f>'[5]int.kiadások RM IV'!G40</f>
        <v>118100</v>
      </c>
      <c r="H40" s="2214">
        <v>115131</v>
      </c>
      <c r="I40" s="2223">
        <f>H40/G40</f>
        <v>0.97486028789161727</v>
      </c>
      <c r="J40" s="2214">
        <f>[4]int.kiadások2019!D39</f>
        <v>232349</v>
      </c>
      <c r="K40" s="2214">
        <f>'[5]int.kiadások RM IV'!J40</f>
        <v>264639</v>
      </c>
      <c r="L40" s="2214">
        <v>258974</v>
      </c>
      <c r="M40" s="2223">
        <f>L40/K40</f>
        <v>0.97859348017487979</v>
      </c>
      <c r="N40" s="2233" t="s">
        <v>1328</v>
      </c>
      <c r="O40" s="2214">
        <f>[4]int.kiadások2019!E39</f>
        <v>0</v>
      </c>
      <c r="P40" s="2214">
        <f>'[5]int.kiadások RM IV'!N40</f>
        <v>0</v>
      </c>
      <c r="Q40" s="2214"/>
      <c r="R40" s="2223"/>
      <c r="S40" s="2214">
        <f>[4]int.kiadások2019!F39</f>
        <v>0</v>
      </c>
      <c r="T40" s="2214">
        <f>'[5]int.kiadások RM IV'!Q40</f>
        <v>0</v>
      </c>
      <c r="U40" s="2214"/>
      <c r="V40" s="2223"/>
      <c r="W40" s="2214">
        <f>B40+F40+J40+O40+S40</f>
        <v>823772</v>
      </c>
      <c r="X40" s="2214">
        <f>C40+G40+K40+P40+T40</f>
        <v>955100</v>
      </c>
      <c r="Y40" s="2214">
        <f>D40+H40+L40+Q40+U40</f>
        <v>939912</v>
      </c>
      <c r="Z40" s="2223">
        <f>Y40/X40</f>
        <v>0.98409800020940219</v>
      </c>
      <c r="AA40" s="2233" t="s">
        <v>1328</v>
      </c>
      <c r="AB40" s="2214">
        <f>[4]int.kiadások2019!I39</f>
        <v>0</v>
      </c>
      <c r="AC40" s="2214">
        <f>'[5]int.kiadások RM IV'!X40</f>
        <v>21301</v>
      </c>
      <c r="AD40" s="2214">
        <v>17442</v>
      </c>
      <c r="AE40" s="2223">
        <f>AD40/AC40</f>
        <v>0.81883479648842772</v>
      </c>
      <c r="AF40" s="2214">
        <f>[4]int.kiadások2019!J39</f>
        <v>0</v>
      </c>
      <c r="AG40" s="2214">
        <f>'[5]int.kiadások RM IV'!AA40</f>
        <v>53640</v>
      </c>
      <c r="AH40" s="2214">
        <v>11082</v>
      </c>
      <c r="AI40" s="2223">
        <f>AH40/AG40</f>
        <v>0.20659955257270693</v>
      </c>
      <c r="AJ40" s="2214">
        <f>[4]int.kiadások2019!K39</f>
        <v>0</v>
      </c>
      <c r="AK40" s="2214">
        <f>'[5]int.kiadások RM IV'!AD40</f>
        <v>0</v>
      </c>
      <c r="AL40" s="2214"/>
      <c r="AM40" s="2223"/>
      <c r="AN40" s="2233" t="s">
        <v>1328</v>
      </c>
      <c r="AO40" s="2214">
        <f>AB40+AF40+AJ40</f>
        <v>0</v>
      </c>
      <c r="AP40" s="2214">
        <f>AC40+AG40+AK40</f>
        <v>74941</v>
      </c>
      <c r="AQ40" s="2214">
        <f>AD40+AH40+AL40</f>
        <v>28524</v>
      </c>
      <c r="AR40" s="2223">
        <f>AQ40/AP40</f>
        <v>0.38061942061088055</v>
      </c>
      <c r="AS40" s="2214">
        <f>W40+AO40</f>
        <v>823772</v>
      </c>
      <c r="AT40" s="2214">
        <f>X40+AP40</f>
        <v>1030041</v>
      </c>
      <c r="AU40" s="2214">
        <f>Y40+AQ40</f>
        <v>968436</v>
      </c>
      <c r="AV40" s="2223">
        <f>AU40/AT40</f>
        <v>0.94019170110704331</v>
      </c>
      <c r="AW40" s="2214">
        <f>AS40-'[6]éves besz.bevételei2019'!BD40</f>
        <v>0</v>
      </c>
      <c r="AX40" s="2214">
        <f>AT40-'[6]éves besz.bevételei2019'!BE40</f>
        <v>0</v>
      </c>
      <c r="AY40" s="2214">
        <f>AU40-'[6]éves besz.bevételei2019'!BF40</f>
        <v>-5577</v>
      </c>
    </row>
    <row r="41" spans="1:51" s="2212" customFormat="1" ht="49.5" customHeight="1" x14ac:dyDescent="0.5">
      <c r="A41" s="2232" t="s">
        <v>1329</v>
      </c>
      <c r="B41" s="2211"/>
      <c r="C41" s="2211"/>
      <c r="D41" s="2211"/>
      <c r="E41" s="2219"/>
      <c r="F41" s="2211"/>
      <c r="G41" s="2211"/>
      <c r="H41" s="2211"/>
      <c r="I41" s="2219"/>
      <c r="J41" s="2211"/>
      <c r="K41" s="2211"/>
      <c r="L41" s="2211"/>
      <c r="M41" s="2219"/>
      <c r="N41" s="2232" t="s">
        <v>1329</v>
      </c>
      <c r="O41" s="2211"/>
      <c r="P41" s="2211"/>
      <c r="Q41" s="2211"/>
      <c r="R41" s="2219"/>
      <c r="S41" s="2211"/>
      <c r="T41" s="2211"/>
      <c r="U41" s="2211"/>
      <c r="V41" s="2219"/>
      <c r="W41" s="2211"/>
      <c r="X41" s="2211"/>
      <c r="Y41" s="2211"/>
      <c r="Z41" s="2219"/>
      <c r="AA41" s="2232" t="s">
        <v>1329</v>
      </c>
      <c r="AB41" s="2211"/>
      <c r="AC41" s="2211"/>
      <c r="AD41" s="2211"/>
      <c r="AE41" s="2219"/>
      <c r="AF41" s="2211"/>
      <c r="AG41" s="2211"/>
      <c r="AH41" s="2211"/>
      <c r="AI41" s="2219"/>
      <c r="AJ41" s="2211"/>
      <c r="AK41" s="2211"/>
      <c r="AL41" s="2211"/>
      <c r="AM41" s="2219"/>
      <c r="AN41" s="2232" t="s">
        <v>1329</v>
      </c>
      <c r="AO41" s="2211"/>
      <c r="AP41" s="2211"/>
      <c r="AQ41" s="2211"/>
      <c r="AR41" s="2219"/>
      <c r="AS41" s="2211"/>
      <c r="AT41" s="2211"/>
      <c r="AU41" s="2211"/>
      <c r="AV41" s="2219"/>
      <c r="AW41" s="2214">
        <f>AS41-'[6]éves besz.bevételei2019'!BD41</f>
        <v>0</v>
      </c>
      <c r="AX41" s="2214"/>
      <c r="AY41" s="2214">
        <f>AU41-'[6]éves besz.bevételei2019'!BF41</f>
        <v>0</v>
      </c>
    </row>
    <row r="42" spans="1:51" s="2212" customFormat="1" ht="49.5" customHeight="1" thickBot="1" x14ac:dyDescent="0.55000000000000004">
      <c r="A42" s="2226" t="s">
        <v>1451</v>
      </c>
      <c r="B42" s="2234">
        <f>[4]int.kiadások2019!B41</f>
        <v>377695</v>
      </c>
      <c r="C42" s="2214">
        <f>'[5]int.kiadások RM IV'!D42</f>
        <v>408071</v>
      </c>
      <c r="D42" s="2234">
        <v>407820</v>
      </c>
      <c r="E42" s="2215">
        <f>D42/C42</f>
        <v>0.9993849109591223</v>
      </c>
      <c r="F42" s="2234">
        <f>[4]int.kiadások2019!C41</f>
        <v>77455</v>
      </c>
      <c r="G42" s="2214">
        <f>'[5]int.kiadások RM IV'!G42</f>
        <v>79846</v>
      </c>
      <c r="H42" s="2234">
        <v>79528</v>
      </c>
      <c r="I42" s="2215">
        <f>H42/G42</f>
        <v>0.99601733336673093</v>
      </c>
      <c r="J42" s="2234">
        <f>[4]int.kiadások2019!D41</f>
        <v>191820</v>
      </c>
      <c r="K42" s="2214">
        <f>'[5]int.kiadások RM IV'!J42</f>
        <v>242005</v>
      </c>
      <c r="L42" s="2235">
        <v>200042</v>
      </c>
      <c r="M42" s="2215">
        <f>L42/K42</f>
        <v>0.826602756141402</v>
      </c>
      <c r="N42" s="2226" t="s">
        <v>1451</v>
      </c>
      <c r="O42" s="2234">
        <f>[4]int.kiadások2019!E41</f>
        <v>0</v>
      </c>
      <c r="P42" s="2214">
        <f>'[5]int.kiadások RM IV'!N42</f>
        <v>0</v>
      </c>
      <c r="Q42" s="2234"/>
      <c r="R42" s="2215"/>
      <c r="S42" s="2234">
        <f>[4]int.kiadások2019!F41</f>
        <v>0</v>
      </c>
      <c r="T42" s="2234">
        <f>'[5]int.kiadások RM IV'!Q42</f>
        <v>0</v>
      </c>
      <c r="U42" s="2234"/>
      <c r="V42" s="2215"/>
      <c r="W42" s="2214">
        <f>B42+F42+J42+O42+S42</f>
        <v>646970</v>
      </c>
      <c r="X42" s="2214">
        <f>C42+G42+K42+P42+T42</f>
        <v>729922</v>
      </c>
      <c r="Y42" s="2214">
        <f>D42+H42+L42+Q42+U42</f>
        <v>687390</v>
      </c>
      <c r="Z42" s="2215">
        <f>Y42/X42</f>
        <v>0.9417307602730155</v>
      </c>
      <c r="AA42" s="2226" t="s">
        <v>1451</v>
      </c>
      <c r="AB42" s="2234">
        <f>[4]int.kiadások2019!I41</f>
        <v>13226</v>
      </c>
      <c r="AC42" s="2214">
        <f>'[5]int.kiadások RM IV'!X42</f>
        <v>42906</v>
      </c>
      <c r="AD42" s="2234">
        <v>17331</v>
      </c>
      <c r="AE42" s="2215">
        <f>AD42/AC42</f>
        <v>0.40392952034680463</v>
      </c>
      <c r="AF42" s="2234">
        <f>[4]int.kiadások2019!J41</f>
        <v>1500</v>
      </c>
      <c r="AG42" s="2214">
        <f>'[5]int.kiadások RM IV'!AA42</f>
        <v>11047</v>
      </c>
      <c r="AH42" s="2234">
        <v>7516</v>
      </c>
      <c r="AI42" s="2215">
        <f>AH42/AG42</f>
        <v>0.68036571014755132</v>
      </c>
      <c r="AJ42" s="2234">
        <f>[4]int.kiadások2019!K41</f>
        <v>0</v>
      </c>
      <c r="AK42" s="2234">
        <f>'[5]int.kiadások RM IV'!AD42</f>
        <v>0</v>
      </c>
      <c r="AL42" s="2234"/>
      <c r="AM42" s="2215"/>
      <c r="AN42" s="2226" t="s">
        <v>1451</v>
      </c>
      <c r="AO42" s="2214">
        <f>AB42+AF42+AJ42</f>
        <v>14726</v>
      </c>
      <c r="AP42" s="2214">
        <f>AC42+AG42+AK42</f>
        <v>53953</v>
      </c>
      <c r="AQ42" s="2214">
        <f>AD42+AH42+AL42</f>
        <v>24847</v>
      </c>
      <c r="AR42" s="2215">
        <f>AQ42/AP42</f>
        <v>0.46053046169814466</v>
      </c>
      <c r="AS42" s="2214">
        <f>W42+AO42</f>
        <v>661696</v>
      </c>
      <c r="AT42" s="2214">
        <f>X42+AP42</f>
        <v>783875</v>
      </c>
      <c r="AU42" s="2214">
        <f>Y42+AQ42</f>
        <v>712237</v>
      </c>
      <c r="AV42" s="2215">
        <f>AU42/AT42</f>
        <v>0.90861042895869881</v>
      </c>
      <c r="AW42" s="2214">
        <f>AS42-'[6]éves besz.bevételei2019'!BD42</f>
        <v>0</v>
      </c>
      <c r="AX42" s="2214">
        <f>AT42-'[6]éves besz.bevételei2019'!BE42</f>
        <v>0</v>
      </c>
      <c r="AY42" s="2214">
        <f>AU42-'[6]éves besz.bevételei2019'!BF42</f>
        <v>-22053</v>
      </c>
    </row>
    <row r="43" spans="1:51" s="2212" customFormat="1" ht="49.5" customHeight="1" x14ac:dyDescent="0.5">
      <c r="A43" s="2232" t="s">
        <v>1332</v>
      </c>
      <c r="B43" s="2211"/>
      <c r="C43" s="2211"/>
      <c r="D43" s="2211"/>
      <c r="E43" s="2211"/>
      <c r="F43" s="2211"/>
      <c r="G43" s="2211"/>
      <c r="H43" s="2211"/>
      <c r="I43" s="2211"/>
      <c r="J43" s="2211"/>
      <c r="K43" s="2211"/>
      <c r="L43" s="2211"/>
      <c r="M43" s="2211"/>
      <c r="N43" s="2232" t="s">
        <v>1332</v>
      </c>
      <c r="O43" s="2211"/>
      <c r="P43" s="2211"/>
      <c r="Q43" s="2211"/>
      <c r="R43" s="2211"/>
      <c r="S43" s="2211"/>
      <c r="T43" s="2211"/>
      <c r="U43" s="2211"/>
      <c r="V43" s="2211"/>
      <c r="W43" s="2211"/>
      <c r="X43" s="2211"/>
      <c r="Y43" s="2211"/>
      <c r="Z43" s="2211"/>
      <c r="AA43" s="2232" t="s">
        <v>1332</v>
      </c>
      <c r="AB43" s="2211"/>
      <c r="AC43" s="2211"/>
      <c r="AD43" s="2211"/>
      <c r="AE43" s="2211"/>
      <c r="AF43" s="2211"/>
      <c r="AG43" s="2211"/>
      <c r="AH43" s="2211"/>
      <c r="AI43" s="2211"/>
      <c r="AJ43" s="2211"/>
      <c r="AK43" s="2211"/>
      <c r="AL43" s="2211"/>
      <c r="AM43" s="2211"/>
      <c r="AN43" s="2232" t="s">
        <v>1332</v>
      </c>
      <c r="AO43" s="2211"/>
      <c r="AP43" s="2211"/>
      <c r="AQ43" s="2211"/>
      <c r="AR43" s="2211"/>
      <c r="AS43" s="2211"/>
      <c r="AT43" s="2211"/>
      <c r="AU43" s="2211"/>
      <c r="AV43" s="2211"/>
      <c r="AW43" s="2214"/>
      <c r="AX43" s="2214"/>
      <c r="AY43" s="2214"/>
    </row>
    <row r="44" spans="1:51" s="2212" customFormat="1" ht="38.25" thickBot="1" x14ac:dyDescent="0.55000000000000004">
      <c r="A44" s="2236" t="s">
        <v>1474</v>
      </c>
      <c r="B44" s="2218">
        <f>[4]int.kiadások2019!B43</f>
        <v>517955</v>
      </c>
      <c r="C44" s="2214">
        <f>'[5]int.kiadások RM IV'!D44</f>
        <v>546401</v>
      </c>
      <c r="D44" s="2218">
        <v>539980</v>
      </c>
      <c r="E44" s="2215">
        <f>D44/C44</f>
        <v>0.98824855737818929</v>
      </c>
      <c r="F44" s="2218">
        <f>[4]int.kiadások2019!C43</f>
        <v>115935</v>
      </c>
      <c r="G44" s="2214">
        <f>'[5]int.kiadások RM IV'!G44</f>
        <v>117332</v>
      </c>
      <c r="H44" s="2218">
        <v>113323</v>
      </c>
      <c r="I44" s="2215">
        <f>H44/G44</f>
        <v>0.96583199809088738</v>
      </c>
      <c r="J44" s="2218">
        <f>[4]int.kiadások2019!D43</f>
        <v>152967</v>
      </c>
      <c r="K44" s="2214">
        <f>'[5]int.kiadások RM IV'!J44</f>
        <v>155045</v>
      </c>
      <c r="L44" s="2218">
        <v>141909</v>
      </c>
      <c r="M44" s="2215">
        <f>L44/K44</f>
        <v>0.91527621013254212</v>
      </c>
      <c r="N44" s="2236" t="s">
        <v>1474</v>
      </c>
      <c r="O44" s="2218">
        <f>[4]int.kiadások2019!E43</f>
        <v>0</v>
      </c>
      <c r="P44" s="2214">
        <f>'[5]int.kiadások RM IV'!N44</f>
        <v>0</v>
      </c>
      <c r="Q44" s="2218"/>
      <c r="R44" s="2215"/>
      <c r="S44" s="2218">
        <f>[4]int.kiadások2019!F43</f>
        <v>0</v>
      </c>
      <c r="T44" s="2218">
        <f>'[5]int.kiadások RM IV'!Q44</f>
        <v>0</v>
      </c>
      <c r="U44" s="2218"/>
      <c r="V44" s="2215"/>
      <c r="W44" s="2214">
        <f>B44+F44+J44+O44+S44</f>
        <v>786857</v>
      </c>
      <c r="X44" s="2214">
        <f>C44+G44+K44+P44+T44</f>
        <v>818778</v>
      </c>
      <c r="Y44" s="2214">
        <f>D44+H44+L44+Q44+U44</f>
        <v>795212</v>
      </c>
      <c r="Z44" s="2215">
        <f>Y44/X44</f>
        <v>0.97121808353424244</v>
      </c>
      <c r="AA44" s="2236" t="s">
        <v>1474</v>
      </c>
      <c r="AB44" s="2218">
        <f>[4]int.kiadások2019!I43</f>
        <v>22470</v>
      </c>
      <c r="AC44" s="2214">
        <f>'[5]int.kiadások RM IV'!X44</f>
        <v>39107</v>
      </c>
      <c r="AD44" s="2218">
        <v>25650</v>
      </c>
      <c r="AE44" s="2215">
        <f>AD44/AC44</f>
        <v>0.65589280691436314</v>
      </c>
      <c r="AF44" s="2218">
        <f>[4]int.kiadások2019!J43</f>
        <v>0</v>
      </c>
      <c r="AG44" s="2214">
        <f>'[5]int.kiadások RM IV'!AA44</f>
        <v>3629</v>
      </c>
      <c r="AH44" s="2218">
        <v>3628</v>
      </c>
      <c r="AI44" s="2215">
        <f>AH44/AG44</f>
        <v>0.99972444199503996</v>
      </c>
      <c r="AJ44" s="2218">
        <f>[4]int.kiadások2019!K43</f>
        <v>0</v>
      </c>
      <c r="AK44" s="2218">
        <f>'[5]int.kiadások RM IV'!AD44</f>
        <v>0</v>
      </c>
      <c r="AL44" s="2218"/>
      <c r="AM44" s="2215"/>
      <c r="AN44" s="2236" t="s">
        <v>1474</v>
      </c>
      <c r="AO44" s="2214">
        <f>AB44+AF44+AJ44</f>
        <v>22470</v>
      </c>
      <c r="AP44" s="2214">
        <f>AC44+AG44+AK44</f>
        <v>42736</v>
      </c>
      <c r="AQ44" s="2214">
        <f>AD44+AH44+AL44</f>
        <v>29278</v>
      </c>
      <c r="AR44" s="2215">
        <f>AQ44/AP44</f>
        <v>0.68508985398727074</v>
      </c>
      <c r="AS44" s="2214">
        <f>W44+AO44</f>
        <v>809327</v>
      </c>
      <c r="AT44" s="2214">
        <f>X44+AP44</f>
        <v>861514</v>
      </c>
      <c r="AU44" s="2214">
        <f>Y44+AQ44</f>
        <v>824490</v>
      </c>
      <c r="AV44" s="2215">
        <f>AU44/AT44</f>
        <v>0.95702449408831425</v>
      </c>
      <c r="AW44" s="2214">
        <f>AS44-'[6]éves besz.bevételei2019'!BD44</f>
        <v>0</v>
      </c>
      <c r="AX44" s="2214">
        <f>AT44-'[6]éves besz.bevételei2019'!BE44</f>
        <v>0</v>
      </c>
      <c r="AY44" s="2214">
        <f>AU44-'[6]éves besz.bevételei2019'!BF44</f>
        <v>-720</v>
      </c>
    </row>
    <row r="45" spans="1:51" s="2212" customFormat="1" ht="49.5" customHeight="1" x14ac:dyDescent="0.5">
      <c r="A45" s="2232" t="s">
        <v>1452</v>
      </c>
      <c r="B45" s="2211"/>
      <c r="C45" s="2211"/>
      <c r="D45" s="2211"/>
      <c r="E45" s="2211"/>
      <c r="F45" s="2211"/>
      <c r="G45" s="2211"/>
      <c r="H45" s="2211"/>
      <c r="I45" s="2211"/>
      <c r="J45" s="2211"/>
      <c r="K45" s="2211"/>
      <c r="L45" s="2211"/>
      <c r="M45" s="2211"/>
      <c r="N45" s="2232" t="s">
        <v>1452</v>
      </c>
      <c r="O45" s="2211"/>
      <c r="P45" s="2211"/>
      <c r="Q45" s="2211"/>
      <c r="R45" s="2211"/>
      <c r="S45" s="2211"/>
      <c r="T45" s="2211"/>
      <c r="U45" s="2211"/>
      <c r="V45" s="2211"/>
      <c r="W45" s="2211"/>
      <c r="X45" s="2211"/>
      <c r="Y45" s="2211"/>
      <c r="Z45" s="2211"/>
      <c r="AA45" s="2232" t="s">
        <v>1452</v>
      </c>
      <c r="AB45" s="2211"/>
      <c r="AC45" s="2211"/>
      <c r="AD45" s="2211"/>
      <c r="AE45" s="2211"/>
      <c r="AF45" s="2211"/>
      <c r="AG45" s="2211"/>
      <c r="AH45" s="2211"/>
      <c r="AI45" s="2211"/>
      <c r="AJ45" s="2211"/>
      <c r="AK45" s="2211"/>
      <c r="AL45" s="2211"/>
      <c r="AM45" s="2211"/>
      <c r="AN45" s="2232" t="s">
        <v>1452</v>
      </c>
      <c r="AO45" s="2211"/>
      <c r="AP45" s="2211"/>
      <c r="AQ45" s="2211"/>
      <c r="AR45" s="2211"/>
      <c r="AS45" s="2211"/>
      <c r="AT45" s="2211"/>
      <c r="AU45" s="2211"/>
      <c r="AV45" s="2211"/>
      <c r="AW45" s="2214"/>
      <c r="AX45" s="2214"/>
      <c r="AY45" s="2214"/>
    </row>
    <row r="46" spans="1:51" s="2212" customFormat="1" ht="49.5" customHeight="1" x14ac:dyDescent="0.5">
      <c r="A46" s="2237" t="s">
        <v>1343</v>
      </c>
      <c r="B46" s="2214">
        <f>[4]int.kiadások2019!B45</f>
        <v>50143</v>
      </c>
      <c r="C46" s="2214">
        <f>'[5]int.kiadások RM IV'!D46</f>
        <v>51016</v>
      </c>
      <c r="D46" s="2214">
        <v>45753</v>
      </c>
      <c r="E46" s="2215">
        <f t="shared" ref="E46:E51" si="21">D46/C46</f>
        <v>0.89683628665516701</v>
      </c>
      <c r="F46" s="2214">
        <f>[4]int.kiadások2019!C45</f>
        <v>9858</v>
      </c>
      <c r="G46" s="2214">
        <f>'[5]int.kiadások RM IV'!G46</f>
        <v>9763</v>
      </c>
      <c r="H46" s="2214">
        <v>8705</v>
      </c>
      <c r="I46" s="2215">
        <f t="shared" ref="I46:I51" si="22">H46/G46</f>
        <v>0.89163167059305537</v>
      </c>
      <c r="J46" s="2214">
        <f>[4]int.kiadások2019!D45</f>
        <v>48919</v>
      </c>
      <c r="K46" s="2214">
        <f>'[5]int.kiadások RM IV'!J46</f>
        <v>52586</v>
      </c>
      <c r="L46" s="2214">
        <v>46556</v>
      </c>
      <c r="M46" s="2215">
        <f t="shared" ref="M46:M51" si="23">L46/K46</f>
        <v>0.88533069638306772</v>
      </c>
      <c r="N46" s="2237" t="s">
        <v>1343</v>
      </c>
      <c r="O46" s="2214">
        <f>[4]int.kiadások2019!E45</f>
        <v>0</v>
      </c>
      <c r="P46" s="2214">
        <f>'[5]int.kiadások RM IV'!N46</f>
        <v>0</v>
      </c>
      <c r="Q46" s="2214"/>
      <c r="R46" s="2215"/>
      <c r="S46" s="2214">
        <f>[4]int.kiadások2019!F45</f>
        <v>30000</v>
      </c>
      <c r="T46" s="2214">
        <f>'[5]int.kiadások RM IV'!Q46</f>
        <v>30000</v>
      </c>
      <c r="U46" s="2214">
        <v>30000</v>
      </c>
      <c r="V46" s="2215">
        <f>U46/T46</f>
        <v>1</v>
      </c>
      <c r="W46" s="2214">
        <f t="shared" ref="W46:Y48" si="24">B46+F46+J46+O46+S46</f>
        <v>138920</v>
      </c>
      <c r="X46" s="2214">
        <f t="shared" si="24"/>
        <v>143365</v>
      </c>
      <c r="Y46" s="2214">
        <f t="shared" si="24"/>
        <v>131014</v>
      </c>
      <c r="Z46" s="2215">
        <f t="shared" ref="Z46:Z51" si="25">Y46/X46</f>
        <v>0.91384926585986814</v>
      </c>
      <c r="AA46" s="2237" t="s">
        <v>1343</v>
      </c>
      <c r="AB46" s="2214">
        <f>[4]int.kiadások2019!I45</f>
        <v>614</v>
      </c>
      <c r="AC46" s="2214">
        <f>'[5]int.kiadások RM IV'!X46</f>
        <v>14784</v>
      </c>
      <c r="AD46" s="2214">
        <v>8024</v>
      </c>
      <c r="AE46" s="2215">
        <f t="shared" ref="AE46:AE51" si="26">AD46/AC46</f>
        <v>0.54274891774891776</v>
      </c>
      <c r="AF46" s="2214">
        <f>[4]int.kiadások2019!J45</f>
        <v>0</v>
      </c>
      <c r="AG46" s="2214">
        <f>'[5]int.kiadások RM IV'!AA46</f>
        <v>826</v>
      </c>
      <c r="AH46" s="2214"/>
      <c r="AI46" s="2215">
        <f>AH46/AG46</f>
        <v>0</v>
      </c>
      <c r="AJ46" s="2214">
        <f>[4]int.kiadások2019!K45</f>
        <v>0</v>
      </c>
      <c r="AK46" s="2214">
        <f>'[5]int.kiadások RM IV'!AD46</f>
        <v>0</v>
      </c>
      <c r="AL46" s="2214"/>
      <c r="AM46" s="2215"/>
      <c r="AN46" s="2237" t="s">
        <v>1343</v>
      </c>
      <c r="AO46" s="2214">
        <f t="shared" ref="AO46:AQ48" si="27">AB46+AF46+AJ46</f>
        <v>614</v>
      </c>
      <c r="AP46" s="2214">
        <f t="shared" si="27"/>
        <v>15610</v>
      </c>
      <c r="AQ46" s="2214">
        <f t="shared" si="27"/>
        <v>8024</v>
      </c>
      <c r="AR46" s="2215">
        <f t="shared" ref="AR46:AR51" si="28">AQ46/AP46</f>
        <v>0.51402946828955798</v>
      </c>
      <c r="AS46" s="2214">
        <f t="shared" ref="AS46:AU48" si="29">W46+AO46</f>
        <v>139534</v>
      </c>
      <c r="AT46" s="2214">
        <f t="shared" si="29"/>
        <v>158975</v>
      </c>
      <c r="AU46" s="2214">
        <f t="shared" si="29"/>
        <v>139038</v>
      </c>
      <c r="AV46" s="2215">
        <f t="shared" ref="AV46:AV51" si="30">AU46/AT46</f>
        <v>0.87459034439377259</v>
      </c>
      <c r="AW46" s="2214">
        <f>AS46-'[6]éves besz.bevételei2019'!BD46</f>
        <v>0</v>
      </c>
      <c r="AX46" s="2214">
        <f>AT46-'[6]éves besz.bevételei2019'!BE46</f>
        <v>0</v>
      </c>
      <c r="AY46" s="2214">
        <f>AU46-'[6]éves besz.bevételei2019'!BF46</f>
        <v>-18349</v>
      </c>
    </row>
    <row r="47" spans="1:51" s="2212" customFormat="1" ht="49.5" customHeight="1" x14ac:dyDescent="0.5">
      <c r="A47" s="2238" t="s">
        <v>58</v>
      </c>
      <c r="B47" s="2239">
        <f>[4]int.kiadások2019!B46</f>
        <v>1165575</v>
      </c>
      <c r="C47" s="2239">
        <f>'[5]int.kiadások RM IV'!D47</f>
        <v>1402578</v>
      </c>
      <c r="D47" s="2239">
        <v>1267641</v>
      </c>
      <c r="E47" s="2240">
        <f t="shared" si="21"/>
        <v>0.90379358581127034</v>
      </c>
      <c r="F47" s="2239">
        <f>[4]int.kiadások2019!C46</f>
        <v>250750</v>
      </c>
      <c r="G47" s="2239">
        <f>'[5]int.kiadások RM IV'!G47</f>
        <v>289633</v>
      </c>
      <c r="H47" s="2239">
        <v>253756</v>
      </c>
      <c r="I47" s="2240">
        <f t="shared" si="22"/>
        <v>0.87612944657549385</v>
      </c>
      <c r="J47" s="2239">
        <f>[4]int.kiadások2019!D46</f>
        <v>340110</v>
      </c>
      <c r="K47" s="2239">
        <f>'[5]int.kiadások RM IV'!J47</f>
        <v>381319</v>
      </c>
      <c r="L47" s="2239">
        <v>296727</v>
      </c>
      <c r="M47" s="2240">
        <f t="shared" si="23"/>
        <v>0.7781594937571954</v>
      </c>
      <c r="N47" s="2238" t="s">
        <v>58</v>
      </c>
      <c r="O47" s="2239">
        <f>[4]int.kiadások2019!E46</f>
        <v>0</v>
      </c>
      <c r="P47" s="2239">
        <f>'[5]int.kiadások RM IV'!N47</f>
        <v>0</v>
      </c>
      <c r="Q47" s="2238"/>
      <c r="R47" s="2240"/>
      <c r="S47" s="2239">
        <f>[4]int.kiadások2019!F46</f>
        <v>2750</v>
      </c>
      <c r="T47" s="2239">
        <f>'[5]int.kiadások RM IV'!Q47</f>
        <v>10509</v>
      </c>
      <c r="U47" s="2239">
        <f>10508+1</f>
        <v>10509</v>
      </c>
      <c r="V47" s="2240">
        <f>U47/T47</f>
        <v>1</v>
      </c>
      <c r="W47" s="2239">
        <f t="shared" si="24"/>
        <v>1759185</v>
      </c>
      <c r="X47" s="2239">
        <f t="shared" si="24"/>
        <v>2084039</v>
      </c>
      <c r="Y47" s="2239">
        <f t="shared" si="24"/>
        <v>1828633</v>
      </c>
      <c r="Z47" s="2240">
        <f t="shared" si="25"/>
        <v>0.8774466312770538</v>
      </c>
      <c r="AA47" s="2238" t="s">
        <v>58</v>
      </c>
      <c r="AB47" s="2239">
        <f>[4]int.kiadások2019!I46</f>
        <v>26500</v>
      </c>
      <c r="AC47" s="2239">
        <f>'[5]int.kiadások RM IV'!X47</f>
        <v>66777</v>
      </c>
      <c r="AD47" s="2239">
        <v>46496</v>
      </c>
      <c r="AE47" s="2240">
        <f t="shared" si="26"/>
        <v>0.69628764394926401</v>
      </c>
      <c r="AF47" s="2239">
        <f>[4]int.kiadások2019!J46</f>
        <v>6000</v>
      </c>
      <c r="AG47" s="2239">
        <f>'[5]int.kiadások RM IV'!AA47</f>
        <v>5619</v>
      </c>
      <c r="AH47" s="2239">
        <v>5619</v>
      </c>
      <c r="AI47" s="2240">
        <f>AH47/AG47</f>
        <v>1</v>
      </c>
      <c r="AJ47" s="2239">
        <f>[4]int.kiadások2019!K46</f>
        <v>0</v>
      </c>
      <c r="AK47" s="2239">
        <f>'[5]int.kiadások RM IV'!AD47</f>
        <v>0</v>
      </c>
      <c r="AL47" s="2238"/>
      <c r="AM47" s="2238"/>
      <c r="AN47" s="2238" t="s">
        <v>58</v>
      </c>
      <c r="AO47" s="2239">
        <f t="shared" si="27"/>
        <v>32500</v>
      </c>
      <c r="AP47" s="2239">
        <f t="shared" si="27"/>
        <v>72396</v>
      </c>
      <c r="AQ47" s="2239">
        <f t="shared" si="27"/>
        <v>52115</v>
      </c>
      <c r="AR47" s="2240">
        <f t="shared" si="28"/>
        <v>0.71986021327145144</v>
      </c>
      <c r="AS47" s="2239">
        <f t="shared" si="29"/>
        <v>1791685</v>
      </c>
      <c r="AT47" s="2239">
        <f t="shared" si="29"/>
        <v>2156435</v>
      </c>
      <c r="AU47" s="2239">
        <f t="shared" si="29"/>
        <v>1880748</v>
      </c>
      <c r="AV47" s="2240">
        <f t="shared" si="30"/>
        <v>0.87215612805394083</v>
      </c>
      <c r="AW47" s="2239">
        <f>AS47-'[6]éves besz.bevételei2019'!BD47</f>
        <v>0</v>
      </c>
      <c r="AX47" s="2239">
        <f>AT47-'[6]éves besz.bevételei2019'!BE47</f>
        <v>0</v>
      </c>
      <c r="AY47" s="2239">
        <f>AU47-'[6]éves besz.bevételei2019'!BF47</f>
        <v>-3965</v>
      </c>
    </row>
    <row r="48" spans="1:51" s="2212" customFormat="1" ht="49.5" customHeight="1" thickBot="1" x14ac:dyDescent="0.55000000000000004">
      <c r="A48" s="2241" t="s">
        <v>1453</v>
      </c>
      <c r="B48" s="2242">
        <f>[4]int.kiadások2019!B47</f>
        <v>139467</v>
      </c>
      <c r="C48" s="2242">
        <f>'[5]int.kiadások RM IV'!D48</f>
        <v>141814</v>
      </c>
      <c r="D48" s="2242">
        <v>138662</v>
      </c>
      <c r="E48" s="2243">
        <f t="shared" si="21"/>
        <v>0.97777370358356719</v>
      </c>
      <c r="F48" s="2242">
        <f>[4]int.kiadások2019!C47</f>
        <v>28800</v>
      </c>
      <c r="G48" s="2242">
        <f>'[5]int.kiadások RM IV'!G48</f>
        <v>29394</v>
      </c>
      <c r="H48" s="2242">
        <v>27585</v>
      </c>
      <c r="I48" s="2243">
        <f t="shared" si="22"/>
        <v>0.93845682792406615</v>
      </c>
      <c r="J48" s="2242">
        <f>[4]int.kiadások2019!D47</f>
        <v>30020</v>
      </c>
      <c r="K48" s="2242">
        <f>'[5]int.kiadások RM IV'!J48</f>
        <v>31246</v>
      </c>
      <c r="L48" s="2242">
        <v>30864</v>
      </c>
      <c r="M48" s="2243">
        <f t="shared" si="23"/>
        <v>0.98777443512769636</v>
      </c>
      <c r="N48" s="2241" t="s">
        <v>1453</v>
      </c>
      <c r="O48" s="2242">
        <f>[4]int.kiadások2019!E47</f>
        <v>0</v>
      </c>
      <c r="P48" s="2242">
        <f>'[5]int.kiadások RM IV'!N48</f>
        <v>0</v>
      </c>
      <c r="Q48" s="2241"/>
      <c r="R48" s="2243"/>
      <c r="S48" s="2242">
        <f>[4]int.kiadások2019!F47</f>
        <v>0</v>
      </c>
      <c r="T48" s="2242">
        <f>'[5]int.kiadások RM IV'!Q48</f>
        <v>0</v>
      </c>
      <c r="U48" s="2242">
        <v>198</v>
      </c>
      <c r="V48" s="2454"/>
      <c r="W48" s="2242">
        <f t="shared" si="24"/>
        <v>198287</v>
      </c>
      <c r="X48" s="2242">
        <f t="shared" si="24"/>
        <v>202454</v>
      </c>
      <c r="Y48" s="2242">
        <f t="shared" si="24"/>
        <v>197309</v>
      </c>
      <c r="Z48" s="2243">
        <f t="shared" si="25"/>
        <v>0.97458681972201089</v>
      </c>
      <c r="AA48" s="2241" t="s">
        <v>1453</v>
      </c>
      <c r="AB48" s="2242">
        <f>[4]int.kiadások2019!I47</f>
        <v>526</v>
      </c>
      <c r="AC48" s="2242">
        <f>'[5]int.kiadások RM IV'!X48</f>
        <v>1282</v>
      </c>
      <c r="AD48" s="2242">
        <v>1282</v>
      </c>
      <c r="AE48" s="2243">
        <f t="shared" si="26"/>
        <v>1</v>
      </c>
      <c r="AF48" s="2242">
        <f>[4]int.kiadások2019!J47</f>
        <v>0</v>
      </c>
      <c r="AG48" s="2242">
        <f>'[5]int.kiadások RM IV'!AA48</f>
        <v>0</v>
      </c>
      <c r="AH48" s="2242"/>
      <c r="AI48" s="2243"/>
      <c r="AJ48" s="2242">
        <f>[4]int.kiadások2019!K47</f>
        <v>0</v>
      </c>
      <c r="AK48" s="2242">
        <f>'[5]int.kiadások RM IV'!AD48</f>
        <v>0</v>
      </c>
      <c r="AL48" s="2241"/>
      <c r="AM48" s="2241"/>
      <c r="AN48" s="2241" t="s">
        <v>1453</v>
      </c>
      <c r="AO48" s="2242">
        <f t="shared" si="27"/>
        <v>526</v>
      </c>
      <c r="AP48" s="2242">
        <f t="shared" si="27"/>
        <v>1282</v>
      </c>
      <c r="AQ48" s="2242">
        <f t="shared" si="27"/>
        <v>1282</v>
      </c>
      <c r="AR48" s="2243">
        <f t="shared" si="28"/>
        <v>1</v>
      </c>
      <c r="AS48" s="2242">
        <f t="shared" si="29"/>
        <v>198813</v>
      </c>
      <c r="AT48" s="2242">
        <f t="shared" si="29"/>
        <v>203736</v>
      </c>
      <c r="AU48" s="2242">
        <f t="shared" si="29"/>
        <v>198591</v>
      </c>
      <c r="AV48" s="2243">
        <f t="shared" si="30"/>
        <v>0.97474673106372955</v>
      </c>
      <c r="AW48" s="2244">
        <f>AS48-'[6]éves besz.bevételei2019'!BD48</f>
        <v>0</v>
      </c>
      <c r="AX48" s="2244">
        <f>AT48-'[6]éves besz.bevételei2019'!BE48</f>
        <v>0</v>
      </c>
      <c r="AY48" s="2244">
        <f>AU48-'[6]éves besz.bevételei2019'!BF48</f>
        <v>-1</v>
      </c>
    </row>
    <row r="49" spans="1:51" s="2212" customFormat="1" ht="49.5" customHeight="1" thickBot="1" x14ac:dyDescent="0.55000000000000004">
      <c r="A49" s="2245" t="s">
        <v>1475</v>
      </c>
      <c r="B49" s="2246">
        <f>SUM(B46:B48)</f>
        <v>1355185</v>
      </c>
      <c r="C49" s="2246">
        <f>SUM(C46:C48)</f>
        <v>1595408</v>
      </c>
      <c r="D49" s="2246">
        <f>SUM(D46:D48)</f>
        <v>1452056</v>
      </c>
      <c r="E49" s="2223">
        <f t="shared" si="21"/>
        <v>0.91014712224083116</v>
      </c>
      <c r="F49" s="2246">
        <f>SUM(F46:F48)</f>
        <v>289408</v>
      </c>
      <c r="G49" s="2246">
        <f>SUM(G46:G48)</f>
        <v>328790</v>
      </c>
      <c r="H49" s="2246">
        <f>SUM(H46:H48)</f>
        <v>290046</v>
      </c>
      <c r="I49" s="2223">
        <f t="shared" si="22"/>
        <v>0.8821618662368077</v>
      </c>
      <c r="J49" s="2246">
        <f>SUM(J46:J48)</f>
        <v>419049</v>
      </c>
      <c r="K49" s="2246">
        <f>SUM(K46:K48)</f>
        <v>465151</v>
      </c>
      <c r="L49" s="2246">
        <f>SUM(L46:L48)</f>
        <v>374147</v>
      </c>
      <c r="M49" s="2223">
        <f t="shared" si="23"/>
        <v>0.80435600482423986</v>
      </c>
      <c r="N49" s="2245" t="s">
        <v>1475</v>
      </c>
      <c r="O49" s="2246">
        <f>SUM(O46:O48)</f>
        <v>0</v>
      </c>
      <c r="P49" s="2246">
        <f>SUM(P46:P48)</f>
        <v>0</v>
      </c>
      <c r="Q49" s="2246">
        <f>SUM(Q46:Q48)</f>
        <v>0</v>
      </c>
      <c r="R49" s="2223"/>
      <c r="S49" s="2246">
        <f>SUM(S46:S48)</f>
        <v>32750</v>
      </c>
      <c r="T49" s="2246">
        <f>SUM(T46:T48)</f>
        <v>40509</v>
      </c>
      <c r="U49" s="2246">
        <f>SUM(U46:U48)</f>
        <v>40707</v>
      </c>
      <c r="V49" s="2222">
        <f>U49/T49</f>
        <v>1.0048878027105088</v>
      </c>
      <c r="W49" s="2246">
        <f>SUM(W46:W48)</f>
        <v>2096392</v>
      </c>
      <c r="X49" s="2246">
        <f>SUM(X46:X48)</f>
        <v>2429858</v>
      </c>
      <c r="Y49" s="2246">
        <f>SUM(Y46:Y48)</f>
        <v>2156956</v>
      </c>
      <c r="Z49" s="2223">
        <f t="shared" si="25"/>
        <v>0.88768808712278657</v>
      </c>
      <c r="AA49" s="2245" t="s">
        <v>1475</v>
      </c>
      <c r="AB49" s="2246">
        <f>SUM(AB46:AB48)</f>
        <v>27640</v>
      </c>
      <c r="AC49" s="2246">
        <f>SUM(AC46:AC48)</f>
        <v>82843</v>
      </c>
      <c r="AD49" s="2246">
        <f>SUM(AD46:AD48)</f>
        <v>55802</v>
      </c>
      <c r="AE49" s="2223">
        <f t="shared" si="26"/>
        <v>0.67358738819212249</v>
      </c>
      <c r="AF49" s="2246">
        <f>SUM(AF46:AF48)</f>
        <v>6000</v>
      </c>
      <c r="AG49" s="2246">
        <f>SUM(AG46:AG48)</f>
        <v>6445</v>
      </c>
      <c r="AH49" s="2246">
        <f>SUM(AH46:AH48)</f>
        <v>5619</v>
      </c>
      <c r="AI49" s="2222">
        <f>AH49/AG49</f>
        <v>0.87183863460046551</v>
      </c>
      <c r="AJ49" s="2246">
        <f>SUM(AJ46:AJ48)</f>
        <v>0</v>
      </c>
      <c r="AK49" s="2246">
        <f>SUM(AK46:AK48)</f>
        <v>0</v>
      </c>
      <c r="AL49" s="2246">
        <f>SUM(AL46:AL48)</f>
        <v>0</v>
      </c>
      <c r="AM49" s="2223"/>
      <c r="AN49" s="2245" t="s">
        <v>1475</v>
      </c>
      <c r="AO49" s="2246">
        <f>SUM(AO46:AO48)</f>
        <v>33640</v>
      </c>
      <c r="AP49" s="2246">
        <f>SUM(AP46:AP48)</f>
        <v>89288</v>
      </c>
      <c r="AQ49" s="2246">
        <f>SUM(AQ46:AQ48)</f>
        <v>61421</v>
      </c>
      <c r="AR49" s="2223">
        <f t="shared" si="28"/>
        <v>0.68789758982170057</v>
      </c>
      <c r="AS49" s="2246">
        <f>SUM(AS46:AS48)</f>
        <v>2130032</v>
      </c>
      <c r="AT49" s="2246">
        <f>SUM(AT46:AT48)</f>
        <v>2519146</v>
      </c>
      <c r="AU49" s="2246">
        <f>SUM(AU46:AU48)</f>
        <v>2218377</v>
      </c>
      <c r="AV49" s="2223">
        <f t="shared" si="30"/>
        <v>0.88060676118017778</v>
      </c>
      <c r="AW49" s="2214">
        <f>AS49-'[6]éves besz.bevételei2019'!BD49</f>
        <v>0</v>
      </c>
      <c r="AX49" s="2214">
        <f>AT49-'[6]éves besz.bevételei2019'!BE49</f>
        <v>0</v>
      </c>
      <c r="AY49" s="2214">
        <f>AU49-'[6]éves besz.bevételei2019'!BF49</f>
        <v>-22315</v>
      </c>
    </row>
    <row r="50" spans="1:51" s="2212" customFormat="1" ht="49.5" customHeight="1" thickBot="1" x14ac:dyDescent="0.55000000000000004">
      <c r="A50" s="2245" t="s">
        <v>1347</v>
      </c>
      <c r="B50" s="2247">
        <f>B38+B40+B42+B44+B49</f>
        <v>3667085</v>
      </c>
      <c r="C50" s="2247">
        <f>C38+C40+C42+C44+C49</f>
        <v>4374397</v>
      </c>
      <c r="D50" s="2247">
        <f>D38+D40+D42+D44+D49</f>
        <v>4002641</v>
      </c>
      <c r="E50" s="2222">
        <f t="shared" si="21"/>
        <v>0.91501548670593913</v>
      </c>
      <c r="F50" s="2247">
        <f>F38+F40+F42+F44+F49</f>
        <v>771315</v>
      </c>
      <c r="G50" s="2247">
        <f>G38+G40+G42+G44+G49</f>
        <v>873467</v>
      </c>
      <c r="H50" s="2247">
        <f>H38+H40+H42+H44+H49</f>
        <v>798181</v>
      </c>
      <c r="I50" s="2222">
        <f t="shared" si="22"/>
        <v>0.91380784849341756</v>
      </c>
      <c r="J50" s="2247">
        <f>J38+J40+J42+J44+J49</f>
        <v>1617015</v>
      </c>
      <c r="K50" s="2247">
        <f>K38+K40+K42+K44+K49</f>
        <v>2209417</v>
      </c>
      <c r="L50" s="2247">
        <f>L38+L40+L42+L44+L49</f>
        <v>1913940</v>
      </c>
      <c r="M50" s="2222">
        <f t="shared" si="23"/>
        <v>0.86626472051224368</v>
      </c>
      <c r="N50" s="2245" t="s">
        <v>1347</v>
      </c>
      <c r="O50" s="2247">
        <f>O38+O40+O42+O44+O49</f>
        <v>0</v>
      </c>
      <c r="P50" s="2247">
        <f>P38+P40+P42+P44+P49</f>
        <v>0</v>
      </c>
      <c r="Q50" s="2247">
        <f>Q38+Q40+Q42+Q44+Q49</f>
        <v>0</v>
      </c>
      <c r="R50" s="2222"/>
      <c r="S50" s="2247">
        <f>S38+S40+S42+S44+S49</f>
        <v>32750</v>
      </c>
      <c r="T50" s="2247">
        <f>T38+T40+T42+T44+T49</f>
        <v>40509</v>
      </c>
      <c r="U50" s="2247">
        <f>U38+U40+U42+U44+U49</f>
        <v>40707</v>
      </c>
      <c r="V50" s="2222">
        <f>U50/T50</f>
        <v>1.0048878027105088</v>
      </c>
      <c r="W50" s="2247">
        <f>W38+W40+W42+W44+W49</f>
        <v>6088165</v>
      </c>
      <c r="X50" s="2247">
        <f>X38+X40+X42+X44+X49</f>
        <v>7497790</v>
      </c>
      <c r="Y50" s="2247">
        <f>Y38+Y40+Y42+Y44+Y49</f>
        <v>6755469</v>
      </c>
      <c r="Z50" s="2222">
        <f t="shared" si="25"/>
        <v>0.90099469310290103</v>
      </c>
      <c r="AA50" s="2245" t="s">
        <v>1347</v>
      </c>
      <c r="AB50" s="2247">
        <f>AB38+AB40+AB42+AB44+AB49</f>
        <v>63336</v>
      </c>
      <c r="AC50" s="2247">
        <f>AC38+AC40+AC42+AC44+AC49</f>
        <v>338579</v>
      </c>
      <c r="AD50" s="2247">
        <f>AD38+AD40+AD42+AD44+AD49</f>
        <v>198812</v>
      </c>
      <c r="AE50" s="2222">
        <f t="shared" si="26"/>
        <v>0.58719530744671111</v>
      </c>
      <c r="AF50" s="2247">
        <f>AF38+AF40+AF42+AF44+AF49</f>
        <v>7500</v>
      </c>
      <c r="AG50" s="2247">
        <f>AG38+AG40+AG42+AG44+AG49</f>
        <v>74761</v>
      </c>
      <c r="AH50" s="2247">
        <f>AH38+AH40+AH42+AH44+AH49</f>
        <v>27845</v>
      </c>
      <c r="AI50" s="2222">
        <f>AH50/AG50</f>
        <v>0.37245355198566099</v>
      </c>
      <c r="AJ50" s="2247">
        <f>AJ38+AJ40+AJ42+AJ44+AJ49</f>
        <v>0</v>
      </c>
      <c r="AK50" s="2247">
        <f>AK38+AK40+AK42+AK44+AK49</f>
        <v>0</v>
      </c>
      <c r="AL50" s="2247">
        <f>AL38+AL40+AL42+AL44+AL49</f>
        <v>0</v>
      </c>
      <c r="AM50" s="2222"/>
      <c r="AN50" s="2245" t="s">
        <v>1347</v>
      </c>
      <c r="AO50" s="2247">
        <f>AO38+AO40+AO42+AO44+AO49</f>
        <v>70836</v>
      </c>
      <c r="AP50" s="2247">
        <f>AP38+AP40+AP42+AP44+AP49</f>
        <v>413340</v>
      </c>
      <c r="AQ50" s="2247">
        <f>AQ38+AQ40+AQ42+AQ44+AQ49</f>
        <v>226657</v>
      </c>
      <c r="AR50" s="2222">
        <f t="shared" si="28"/>
        <v>0.54835486524410892</v>
      </c>
      <c r="AS50" s="2247">
        <f>AS38+AS40+AS42+AS44+AS49</f>
        <v>6159001</v>
      </c>
      <c r="AT50" s="2247">
        <f>AT38+AT40+AT42+AT44+AT49</f>
        <v>7911130</v>
      </c>
      <c r="AU50" s="2247">
        <f>AU38+AU40+AU42+AU44+AU49</f>
        <v>6982126</v>
      </c>
      <c r="AV50" s="2222">
        <f t="shared" si="30"/>
        <v>0.88256999948174286</v>
      </c>
      <c r="AW50" s="2214">
        <f>AS50-'[6]éves besz.bevételei2019'!BD50</f>
        <v>0</v>
      </c>
      <c r="AX50" s="2214">
        <f>AT50-'[6]éves besz.bevételei2019'!BE50</f>
        <v>0</v>
      </c>
      <c r="AY50" s="2214">
        <f>AU50-'[6]éves besz.bevételei2019'!BF50</f>
        <v>-335345</v>
      </c>
    </row>
    <row r="51" spans="1:51" s="2212" customFormat="1" ht="49.5" customHeight="1" thickBot="1" x14ac:dyDescent="0.55000000000000004">
      <c r="A51" s="2248" t="s">
        <v>1348</v>
      </c>
      <c r="B51" s="2221">
        <f>B30+B50</f>
        <v>5308508</v>
      </c>
      <c r="C51" s="2221">
        <f>C30+C50</f>
        <v>6039856</v>
      </c>
      <c r="D51" s="2221">
        <f>D30+D50</f>
        <v>5581231</v>
      </c>
      <c r="E51" s="2222">
        <f t="shared" si="21"/>
        <v>0.92406689828366773</v>
      </c>
      <c r="F51" s="2221">
        <f>F30+F50</f>
        <v>1110551</v>
      </c>
      <c r="G51" s="2221">
        <f>G30+G50</f>
        <v>1207151</v>
      </c>
      <c r="H51" s="2221">
        <f>H30+H50</f>
        <v>1106729</v>
      </c>
      <c r="I51" s="2222">
        <f t="shared" si="22"/>
        <v>0.91681073867312379</v>
      </c>
      <c r="J51" s="2221">
        <f>J30+J50</f>
        <v>2929964</v>
      </c>
      <c r="K51" s="2221">
        <f>K30+K50</f>
        <v>3561109</v>
      </c>
      <c r="L51" s="2221">
        <f>L30+L50</f>
        <v>3172919</v>
      </c>
      <c r="M51" s="2222">
        <f t="shared" si="23"/>
        <v>0.89099182305287483</v>
      </c>
      <c r="N51" s="2248" t="s">
        <v>1348</v>
      </c>
      <c r="O51" s="2221">
        <f>O30+O50</f>
        <v>0</v>
      </c>
      <c r="P51" s="2221">
        <f>P30+P50</f>
        <v>0</v>
      </c>
      <c r="Q51" s="2221">
        <f>Q30+Q50</f>
        <v>0</v>
      </c>
      <c r="R51" s="2222"/>
      <c r="S51" s="2221">
        <f>S30+S50</f>
        <v>32750</v>
      </c>
      <c r="T51" s="2221">
        <f>T30+T50</f>
        <v>40509</v>
      </c>
      <c r="U51" s="2221">
        <f>U30+U50</f>
        <v>40707</v>
      </c>
      <c r="V51" s="2222">
        <f>U51/T51</f>
        <v>1.0048878027105088</v>
      </c>
      <c r="W51" s="2221">
        <f>W30+W50</f>
        <v>9381773</v>
      </c>
      <c r="X51" s="2221">
        <f>X30+X50</f>
        <v>10848625</v>
      </c>
      <c r="Y51" s="2221">
        <f>Y30+Y50</f>
        <v>9901586</v>
      </c>
      <c r="Z51" s="2222">
        <f t="shared" si="25"/>
        <v>0.91270423671202572</v>
      </c>
      <c r="AA51" s="2248" t="s">
        <v>1348</v>
      </c>
      <c r="AB51" s="2221">
        <f>AB30+AB50</f>
        <v>108336</v>
      </c>
      <c r="AC51" s="2221">
        <f>AC30+AC50</f>
        <v>506621</v>
      </c>
      <c r="AD51" s="2221">
        <f>AD30+AD50</f>
        <v>266408</v>
      </c>
      <c r="AE51" s="2222">
        <f t="shared" si="26"/>
        <v>0.52585265908835199</v>
      </c>
      <c r="AF51" s="2221">
        <f>AF30+AF50</f>
        <v>7500</v>
      </c>
      <c r="AG51" s="2221">
        <f>AG30+AG50</f>
        <v>188811</v>
      </c>
      <c r="AH51" s="2221">
        <f>AH30+AH50</f>
        <v>102735</v>
      </c>
      <c r="AI51" s="2222">
        <f>AH51/AG51</f>
        <v>0.54411554411554408</v>
      </c>
      <c r="AJ51" s="2221">
        <f>AJ30+AJ50</f>
        <v>0</v>
      </c>
      <c r="AK51" s="2221">
        <f>AK30+AK50</f>
        <v>0</v>
      </c>
      <c r="AL51" s="2221">
        <f>AL30+AL50</f>
        <v>0</v>
      </c>
      <c r="AM51" s="2222"/>
      <c r="AN51" s="2248" t="s">
        <v>1348</v>
      </c>
      <c r="AO51" s="2221">
        <f>AO30+AO50</f>
        <v>115836</v>
      </c>
      <c r="AP51" s="2221">
        <f>AP30+AP50</f>
        <v>695432</v>
      </c>
      <c r="AQ51" s="2221">
        <f>AQ30+AQ50</f>
        <v>369143</v>
      </c>
      <c r="AR51" s="2222">
        <f t="shared" si="28"/>
        <v>0.53081106420181989</v>
      </c>
      <c r="AS51" s="2221">
        <f>AS30+AS50</f>
        <v>9497609</v>
      </c>
      <c r="AT51" s="2221">
        <f>AT30+AT50</f>
        <v>11544057</v>
      </c>
      <c r="AU51" s="2221">
        <f>AU30+AU50</f>
        <v>10270729</v>
      </c>
      <c r="AV51" s="2222">
        <f t="shared" si="30"/>
        <v>0.88969839632635217</v>
      </c>
      <c r="AW51" s="2214">
        <f>AS51-'[6]éves besz.bevételei2019'!BD51</f>
        <v>0</v>
      </c>
      <c r="AX51" s="2214">
        <f>AT51-'[6]éves besz.bevételei2019'!BE51</f>
        <v>0</v>
      </c>
      <c r="AY51" s="2214">
        <f>AU51-'[6]éves besz.bevételei2019'!BF51</f>
        <v>-386243</v>
      </c>
    </row>
    <row r="52" spans="1:51" s="2255" customFormat="1" ht="49.5" customHeight="1" thickBot="1" x14ac:dyDescent="0.45">
      <c r="A52" s="2249"/>
      <c r="B52" s="2250"/>
      <c r="C52" s="2250"/>
      <c r="D52" s="2251"/>
      <c r="E52" s="2250"/>
      <c r="F52" s="2250"/>
      <c r="G52" s="2250"/>
      <c r="H52" s="2250"/>
      <c r="I52" s="2250"/>
      <c r="J52" s="2250"/>
      <c r="K52" s="2250"/>
      <c r="L52" s="2251"/>
      <c r="M52" s="2250"/>
      <c r="N52" s="2249"/>
      <c r="O52" s="2250"/>
      <c r="P52" s="2250"/>
      <c r="Q52" s="2250"/>
      <c r="R52" s="2250"/>
      <c r="S52" s="2250"/>
      <c r="T52" s="2250"/>
      <c r="U52" s="2250"/>
      <c r="V52" s="2250"/>
      <c r="W52" s="2250"/>
      <c r="X52" s="2250"/>
      <c r="Y52" s="2250"/>
      <c r="Z52" s="2250"/>
      <c r="AA52" s="2252"/>
      <c r="AB52" s="2249"/>
      <c r="AC52" s="2249"/>
      <c r="AD52" s="2253"/>
      <c r="AE52" s="2249"/>
      <c r="AF52" s="2249"/>
      <c r="AG52" s="2249"/>
      <c r="AH52" s="2249"/>
      <c r="AI52" s="2249"/>
      <c r="AJ52" s="2249"/>
      <c r="AK52" s="2249"/>
      <c r="AL52" s="2249"/>
      <c r="AM52" s="2249"/>
      <c r="AN52" s="2252"/>
      <c r="AO52" s="2249"/>
      <c r="AP52" s="2249"/>
      <c r="AQ52" s="2249"/>
      <c r="AR52" s="2249"/>
      <c r="AS52" s="2249"/>
      <c r="AT52" s="2249"/>
      <c r="AU52" s="2249"/>
      <c r="AV52" s="2249"/>
      <c r="AW52" s="2254"/>
      <c r="AX52" s="2254"/>
      <c r="AY52" s="2254"/>
    </row>
    <row r="53" spans="1:51" s="2261" customFormat="1" ht="49.5" customHeight="1" thickBot="1" x14ac:dyDescent="0.45">
      <c r="A53" s="2256"/>
      <c r="B53" s="2257">
        <f>[4]int.kiadások2019!B50</f>
        <v>5308508</v>
      </c>
      <c r="C53" s="2257">
        <f>'[5]int.kiadások RM IV'!$D$54</f>
        <v>6039856</v>
      </c>
      <c r="D53" s="2257"/>
      <c r="E53" s="2257"/>
      <c r="F53" s="2257">
        <f>[4]int.kiadások2019!$C$50</f>
        <v>1110551</v>
      </c>
      <c r="G53" s="2257">
        <f>'[5]int.kiadások RM IV'!$G$54</f>
        <v>1207151</v>
      </c>
      <c r="H53" s="2257"/>
      <c r="I53" s="2257"/>
      <c r="J53" s="2257">
        <f>[4]int.kiadások2019!$D$50</f>
        <v>2929964</v>
      </c>
      <c r="K53" s="2257">
        <f>'[5]int.kiadások RM IV'!$J$54</f>
        <v>3561109</v>
      </c>
      <c r="L53" s="2257"/>
      <c r="M53" s="2257"/>
      <c r="N53" s="2256"/>
      <c r="O53" s="2257">
        <f>[4]int.kiadások2019!$E$50</f>
        <v>0</v>
      </c>
      <c r="P53" s="2257">
        <f>'[5]int.kiadások RM IV'!$N$54</f>
        <v>0</v>
      </c>
      <c r="Q53" s="2257"/>
      <c r="R53" s="2257"/>
      <c r="S53" s="2257">
        <f>[4]int.kiadások2019!$F$50</f>
        <v>32750</v>
      </c>
      <c r="T53" s="2257">
        <f>'[5]int.kiadások RM IV'!$Q$54</f>
        <v>40509</v>
      </c>
      <c r="U53" s="2257"/>
      <c r="V53" s="2257"/>
      <c r="W53" s="2257">
        <f>[4]int.kiadások2019!$G$50</f>
        <v>9381773</v>
      </c>
      <c r="X53" s="2257">
        <f>'[5]int.kiadások RM IV'!$T$54</f>
        <v>10848625</v>
      </c>
      <c r="Y53" s="2257"/>
      <c r="Z53" s="2257"/>
      <c r="AA53" s="2258"/>
      <c r="AB53" s="2259">
        <f>[4]int.kiadások2019!$I$50</f>
        <v>108336</v>
      </c>
      <c r="AC53" s="2259">
        <f>'[5]int.kiadások RM IV'!$X$54</f>
        <v>506621</v>
      </c>
      <c r="AD53" s="2256"/>
      <c r="AE53" s="2256"/>
      <c r="AF53" s="2259">
        <f>[4]int.kiadások2019!$J$50</f>
        <v>7500</v>
      </c>
      <c r="AG53" s="2259">
        <f>'[5]int.kiadások RM IV'!$AA$54</f>
        <v>188811</v>
      </c>
      <c r="AH53" s="2256"/>
      <c r="AI53" s="2256"/>
      <c r="AJ53" s="2259">
        <f>[4]int.kiadások2019!$K$50</f>
        <v>0</v>
      </c>
      <c r="AK53" s="2259">
        <f>'[5]int.kiadások RM IV'!$AD$54</f>
        <v>0</v>
      </c>
      <c r="AL53" s="2256"/>
      <c r="AM53" s="2256"/>
      <c r="AN53" s="2258"/>
      <c r="AO53" s="2259">
        <f>[4]int.kiadások2019!$L$50</f>
        <v>115836</v>
      </c>
      <c r="AP53" s="2259">
        <f>'[5]int.kiadások RM IV'!$AG$54</f>
        <v>695432</v>
      </c>
      <c r="AQ53" s="2259">
        <f>AD53+AH53+AL53</f>
        <v>0</v>
      </c>
      <c r="AR53" s="2256"/>
      <c r="AS53" s="2259">
        <f>[4]int.kiadások2019!$M$50</f>
        <v>9497609</v>
      </c>
      <c r="AT53" s="2259">
        <f>'[5]int.kiadások RM IV'!$AJ$54</f>
        <v>11544057</v>
      </c>
      <c r="AU53" s="2260">
        <f>Y53+AQ53</f>
        <v>0</v>
      </c>
      <c r="AV53" s="2256"/>
      <c r="AW53" s="2259"/>
      <c r="AX53" s="2259"/>
      <c r="AY53" s="2259"/>
    </row>
    <row r="54" spans="1:51" s="2261" customFormat="1" ht="49.5" customHeight="1" x14ac:dyDescent="0.4">
      <c r="A54" s="2262"/>
      <c r="B54" s="2257">
        <f>B51-B53</f>
        <v>0</v>
      </c>
      <c r="C54" s="2257">
        <f t="shared" ref="C54:AU54" si="31">C51-C53</f>
        <v>0</v>
      </c>
      <c r="D54" s="2257">
        <f t="shared" si="31"/>
        <v>5581231</v>
      </c>
      <c r="E54" s="2257"/>
      <c r="F54" s="2257">
        <f t="shared" si="31"/>
        <v>0</v>
      </c>
      <c r="G54" s="2257">
        <f t="shared" si="31"/>
        <v>0</v>
      </c>
      <c r="H54" s="2257">
        <f t="shared" si="31"/>
        <v>1106729</v>
      </c>
      <c r="I54" s="2257"/>
      <c r="J54" s="2257">
        <f t="shared" si="31"/>
        <v>0</v>
      </c>
      <c r="K54" s="2257">
        <f t="shared" si="31"/>
        <v>0</v>
      </c>
      <c r="L54" s="2257">
        <f t="shared" si="31"/>
        <v>3172919</v>
      </c>
      <c r="M54" s="2257"/>
      <c r="N54" s="2257"/>
      <c r="O54" s="2257">
        <f t="shared" si="31"/>
        <v>0</v>
      </c>
      <c r="P54" s="2257">
        <f t="shared" si="31"/>
        <v>0</v>
      </c>
      <c r="Q54" s="2257">
        <f t="shared" si="31"/>
        <v>0</v>
      </c>
      <c r="R54" s="2257"/>
      <c r="S54" s="2257">
        <f t="shared" si="31"/>
        <v>0</v>
      </c>
      <c r="T54" s="2257">
        <f t="shared" si="31"/>
        <v>0</v>
      </c>
      <c r="U54" s="2257">
        <f t="shared" si="31"/>
        <v>40707</v>
      </c>
      <c r="V54" s="2257"/>
      <c r="W54" s="2257">
        <f t="shared" si="31"/>
        <v>0</v>
      </c>
      <c r="X54" s="2257">
        <f t="shared" si="31"/>
        <v>0</v>
      </c>
      <c r="Y54" s="2257">
        <f t="shared" si="31"/>
        <v>9901586</v>
      </c>
      <c r="Z54" s="2257"/>
      <c r="AA54" s="2257"/>
      <c r="AB54" s="2257">
        <f t="shared" si="31"/>
        <v>0</v>
      </c>
      <c r="AC54" s="2257">
        <f t="shared" si="31"/>
        <v>0</v>
      </c>
      <c r="AD54" s="2257">
        <f t="shared" si="31"/>
        <v>266408</v>
      </c>
      <c r="AE54" s="2257"/>
      <c r="AF54" s="2257">
        <f t="shared" si="31"/>
        <v>0</v>
      </c>
      <c r="AG54" s="2257">
        <f t="shared" si="31"/>
        <v>0</v>
      </c>
      <c r="AH54" s="2257">
        <f t="shared" si="31"/>
        <v>102735</v>
      </c>
      <c r="AI54" s="2257"/>
      <c r="AJ54" s="2257">
        <f t="shared" si="31"/>
        <v>0</v>
      </c>
      <c r="AK54" s="2257">
        <f t="shared" si="31"/>
        <v>0</v>
      </c>
      <c r="AL54" s="2257">
        <f t="shared" si="31"/>
        <v>0</v>
      </c>
      <c r="AM54" s="2257"/>
      <c r="AN54" s="2257"/>
      <c r="AO54" s="2257">
        <f t="shared" si="31"/>
        <v>0</v>
      </c>
      <c r="AP54" s="2257">
        <f t="shared" si="31"/>
        <v>0</v>
      </c>
      <c r="AQ54" s="2257">
        <f t="shared" si="31"/>
        <v>369143</v>
      </c>
      <c r="AR54" s="2257"/>
      <c r="AS54" s="2257">
        <f t="shared" si="31"/>
        <v>0</v>
      </c>
      <c r="AT54" s="2257">
        <f t="shared" si="31"/>
        <v>0</v>
      </c>
      <c r="AU54" s="2257">
        <f t="shared" si="31"/>
        <v>10270729</v>
      </c>
      <c r="AV54" s="2257"/>
      <c r="AW54" s="2257"/>
      <c r="AX54" s="2257"/>
      <c r="AY54" s="2257"/>
    </row>
    <row r="55" spans="1:51" ht="49.5" customHeight="1" x14ac:dyDescent="0.4">
      <c r="A55" s="2263"/>
      <c r="N55" s="2263"/>
      <c r="AA55" s="2264"/>
      <c r="AB55" s="2263"/>
      <c r="AC55" s="2263"/>
      <c r="AD55" s="2263"/>
      <c r="AE55" s="2263"/>
      <c r="AF55" s="2263"/>
      <c r="AG55" s="2263"/>
      <c r="AH55" s="2263"/>
      <c r="AI55" s="2263"/>
      <c r="AJ55" s="2263"/>
      <c r="AK55" s="2263"/>
      <c r="AL55" s="2263"/>
      <c r="AM55" s="2263"/>
      <c r="AN55" s="2264"/>
      <c r="AO55" s="2263"/>
      <c r="AP55" s="2263"/>
      <c r="AQ55" s="2263"/>
      <c r="AR55" s="2263"/>
      <c r="AS55" s="2263"/>
      <c r="AT55" s="2263"/>
      <c r="AU55" s="2263"/>
      <c r="AV55" s="2263"/>
      <c r="AW55" s="2265"/>
      <c r="AX55" s="2265"/>
      <c r="AY55" s="2265"/>
    </row>
    <row r="56" spans="1:51" ht="49.5" customHeight="1" x14ac:dyDescent="0.4">
      <c r="A56" s="2263"/>
      <c r="N56" s="2263"/>
      <c r="AA56" s="2264"/>
      <c r="AB56" s="2263"/>
      <c r="AC56" s="2263"/>
      <c r="AD56" s="2263"/>
      <c r="AE56" s="2263"/>
      <c r="AF56" s="2263"/>
      <c r="AG56" s="2263"/>
      <c r="AH56" s="2263"/>
      <c r="AI56" s="2263"/>
      <c r="AJ56" s="2263"/>
      <c r="AK56" s="2263"/>
      <c r="AL56" s="2263"/>
      <c r="AM56" s="2263"/>
      <c r="AN56" s="2264"/>
      <c r="AO56" s="2263"/>
      <c r="AP56" s="2263"/>
      <c r="AQ56" s="2263"/>
      <c r="AR56" s="2263"/>
      <c r="AS56" s="2263"/>
      <c r="AT56" s="2263"/>
      <c r="AU56" s="2263"/>
      <c r="AV56" s="2263"/>
      <c r="AW56" s="2265"/>
      <c r="AX56" s="2265"/>
      <c r="AY56" s="2265"/>
    </row>
    <row r="57" spans="1:51" ht="49.5" customHeight="1" x14ac:dyDescent="0.4">
      <c r="A57" s="2263"/>
      <c r="N57" s="2263"/>
      <c r="AA57" s="2264"/>
      <c r="AB57" s="2263"/>
      <c r="AC57" s="2263"/>
      <c r="AD57" s="2263"/>
      <c r="AE57" s="2263"/>
      <c r="AF57" s="2263"/>
      <c r="AG57" s="2263"/>
      <c r="AH57" s="2263"/>
      <c r="AI57" s="2263"/>
      <c r="AJ57" s="2263"/>
      <c r="AK57" s="2263"/>
      <c r="AL57" s="2263"/>
      <c r="AM57" s="2263"/>
      <c r="AN57" s="2264"/>
      <c r="AO57" s="2263"/>
      <c r="AP57" s="2263"/>
      <c r="AQ57" s="2263"/>
      <c r="AR57" s="2263"/>
      <c r="AS57" s="2263"/>
      <c r="AT57" s="2263"/>
      <c r="AU57" s="2263"/>
      <c r="AV57" s="2263"/>
      <c r="AW57" s="2265"/>
      <c r="AX57" s="2265"/>
      <c r="AY57" s="2265"/>
    </row>
    <row r="58" spans="1:51" ht="49.5" customHeight="1" x14ac:dyDescent="0.3"/>
    <row r="59" spans="1:51" ht="49.5" customHeight="1" x14ac:dyDescent="0.3"/>
  </sheetData>
  <mergeCells count="19">
    <mergeCell ref="B5:E7"/>
    <mergeCell ref="F5:I7"/>
    <mergeCell ref="J5:M7"/>
    <mergeCell ref="O5:R7"/>
    <mergeCell ref="S5:V7"/>
    <mergeCell ref="A2:M2"/>
    <mergeCell ref="N2:Z2"/>
    <mergeCell ref="AA2:AM2"/>
    <mergeCell ref="AN2:AV2"/>
    <mergeCell ref="A3:M3"/>
    <mergeCell ref="N3:Z3"/>
    <mergeCell ref="AA3:AM3"/>
    <mergeCell ref="AN3:AV3"/>
    <mergeCell ref="AF5:AI7"/>
    <mergeCell ref="AJ5:AM7"/>
    <mergeCell ref="AO5:AR7"/>
    <mergeCell ref="AS5:AV7"/>
    <mergeCell ref="W5:Z7"/>
    <mergeCell ref="AB5:AE7"/>
  </mergeCells>
  <printOptions horizontalCentered="1" verticalCentered="1"/>
  <pageMargins left="0" right="0" top="0" bottom="0" header="0" footer="0"/>
  <pageSetup paperSize="9" scale="22" orientation="landscape" r:id="rId1"/>
  <headerFooter alignWithMargins="0">
    <oddHeader>&amp;R&amp;28
&amp;"Times New Roman CE,Félkövér"
&amp;32 6. melléklet a ..../2020. (......) önkormányzati rendelethez</oddHeader>
    <oddFooter xml:space="preserve">&amp;C &amp;R
&amp;36 &amp;10
</oddFooter>
  </headerFooter>
  <colBreaks count="3" manualBreakCount="3">
    <brk id="13" max="53" man="1"/>
    <brk id="26" max="53" man="1"/>
    <brk id="39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W61"/>
  <sheetViews>
    <sheetView zoomScale="41" zoomScaleNormal="41" zoomScaleSheetLayoutView="40" workbookViewId="0">
      <selection activeCell="J20" sqref="J20"/>
    </sheetView>
  </sheetViews>
  <sheetFormatPr defaultColWidth="12" defaultRowHeight="33.75" x14ac:dyDescent="0.5"/>
  <cols>
    <col min="1" max="1" width="12" style="2064"/>
    <col min="2" max="2" width="158.6640625" style="2060" customWidth="1"/>
    <col min="3" max="3" width="60.83203125" style="2064" customWidth="1"/>
    <col min="4" max="4" width="44.5" style="2064" customWidth="1"/>
    <col min="5" max="6" width="60.83203125" style="2064" customWidth="1"/>
    <col min="7" max="7" width="61" style="2064" customWidth="1"/>
    <col min="8" max="8" width="47.83203125" style="2064" customWidth="1"/>
    <col min="9" max="9" width="12" style="2064" customWidth="1"/>
    <col min="10" max="10" width="22.5" style="2065" customWidth="1"/>
    <col min="11" max="257" width="12" style="2064"/>
    <col min="258" max="258" width="151" style="2064" customWidth="1"/>
    <col min="259" max="259" width="60.83203125" style="2064" customWidth="1"/>
    <col min="260" max="260" width="50.5" style="2064" customWidth="1"/>
    <col min="261" max="262" width="60.83203125" style="2064" customWidth="1"/>
    <col min="263" max="263" width="60.6640625" style="2064" customWidth="1"/>
    <col min="264" max="264" width="60.83203125" style="2064" customWidth="1"/>
    <col min="265" max="265" width="12" style="2064" customWidth="1"/>
    <col min="266" max="266" width="22.5" style="2064" customWidth="1"/>
    <col min="267" max="513" width="12" style="2064"/>
    <col min="514" max="514" width="151" style="2064" customWidth="1"/>
    <col min="515" max="515" width="60.83203125" style="2064" customWidth="1"/>
    <col min="516" max="516" width="50.5" style="2064" customWidth="1"/>
    <col min="517" max="518" width="60.83203125" style="2064" customWidth="1"/>
    <col min="519" max="519" width="60.6640625" style="2064" customWidth="1"/>
    <col min="520" max="520" width="60.83203125" style="2064" customWidth="1"/>
    <col min="521" max="521" width="12" style="2064" customWidth="1"/>
    <col min="522" max="522" width="22.5" style="2064" customWidth="1"/>
    <col min="523" max="769" width="12" style="2064"/>
    <col min="770" max="770" width="151" style="2064" customWidth="1"/>
    <col min="771" max="771" width="60.83203125" style="2064" customWidth="1"/>
    <col min="772" max="772" width="50.5" style="2064" customWidth="1"/>
    <col min="773" max="774" width="60.83203125" style="2064" customWidth="1"/>
    <col min="775" max="775" width="60.6640625" style="2064" customWidth="1"/>
    <col min="776" max="776" width="60.83203125" style="2064" customWidth="1"/>
    <col min="777" max="777" width="12" style="2064" customWidth="1"/>
    <col min="778" max="778" width="22.5" style="2064" customWidth="1"/>
    <col min="779" max="1025" width="12" style="2064"/>
    <col min="1026" max="1026" width="151" style="2064" customWidth="1"/>
    <col min="1027" max="1027" width="60.83203125" style="2064" customWidth="1"/>
    <col min="1028" max="1028" width="50.5" style="2064" customWidth="1"/>
    <col min="1029" max="1030" width="60.83203125" style="2064" customWidth="1"/>
    <col min="1031" max="1031" width="60.6640625" style="2064" customWidth="1"/>
    <col min="1032" max="1032" width="60.83203125" style="2064" customWidth="1"/>
    <col min="1033" max="1033" width="12" style="2064" customWidth="1"/>
    <col min="1034" max="1034" width="22.5" style="2064" customWidth="1"/>
    <col min="1035" max="1281" width="12" style="2064"/>
    <col min="1282" max="1282" width="151" style="2064" customWidth="1"/>
    <col min="1283" max="1283" width="60.83203125" style="2064" customWidth="1"/>
    <col min="1284" max="1284" width="50.5" style="2064" customWidth="1"/>
    <col min="1285" max="1286" width="60.83203125" style="2064" customWidth="1"/>
    <col min="1287" max="1287" width="60.6640625" style="2064" customWidth="1"/>
    <col min="1288" max="1288" width="60.83203125" style="2064" customWidth="1"/>
    <col min="1289" max="1289" width="12" style="2064" customWidth="1"/>
    <col min="1290" max="1290" width="22.5" style="2064" customWidth="1"/>
    <col min="1291" max="1537" width="12" style="2064"/>
    <col min="1538" max="1538" width="151" style="2064" customWidth="1"/>
    <col min="1539" max="1539" width="60.83203125" style="2064" customWidth="1"/>
    <col min="1540" max="1540" width="50.5" style="2064" customWidth="1"/>
    <col min="1541" max="1542" width="60.83203125" style="2064" customWidth="1"/>
    <col min="1543" max="1543" width="60.6640625" style="2064" customWidth="1"/>
    <col min="1544" max="1544" width="60.83203125" style="2064" customWidth="1"/>
    <col min="1545" max="1545" width="12" style="2064" customWidth="1"/>
    <col min="1546" max="1546" width="22.5" style="2064" customWidth="1"/>
    <col min="1547" max="1793" width="12" style="2064"/>
    <col min="1794" max="1794" width="151" style="2064" customWidth="1"/>
    <col min="1795" max="1795" width="60.83203125" style="2064" customWidth="1"/>
    <col min="1796" max="1796" width="50.5" style="2064" customWidth="1"/>
    <col min="1797" max="1798" width="60.83203125" style="2064" customWidth="1"/>
    <col min="1799" max="1799" width="60.6640625" style="2064" customWidth="1"/>
    <col min="1800" max="1800" width="60.83203125" style="2064" customWidth="1"/>
    <col min="1801" max="1801" width="12" style="2064" customWidth="1"/>
    <col min="1802" max="1802" width="22.5" style="2064" customWidth="1"/>
    <col min="1803" max="2049" width="12" style="2064"/>
    <col min="2050" max="2050" width="151" style="2064" customWidth="1"/>
    <col min="2051" max="2051" width="60.83203125" style="2064" customWidth="1"/>
    <col min="2052" max="2052" width="50.5" style="2064" customWidth="1"/>
    <col min="2053" max="2054" width="60.83203125" style="2064" customWidth="1"/>
    <col min="2055" max="2055" width="60.6640625" style="2064" customWidth="1"/>
    <col min="2056" max="2056" width="60.83203125" style="2064" customWidth="1"/>
    <col min="2057" max="2057" width="12" style="2064" customWidth="1"/>
    <col min="2058" max="2058" width="22.5" style="2064" customWidth="1"/>
    <col min="2059" max="2305" width="12" style="2064"/>
    <col min="2306" max="2306" width="151" style="2064" customWidth="1"/>
    <col min="2307" max="2307" width="60.83203125" style="2064" customWidth="1"/>
    <col min="2308" max="2308" width="50.5" style="2064" customWidth="1"/>
    <col min="2309" max="2310" width="60.83203125" style="2064" customWidth="1"/>
    <col min="2311" max="2311" width="60.6640625" style="2064" customWidth="1"/>
    <col min="2312" max="2312" width="60.83203125" style="2064" customWidth="1"/>
    <col min="2313" max="2313" width="12" style="2064" customWidth="1"/>
    <col min="2314" max="2314" width="22.5" style="2064" customWidth="1"/>
    <col min="2315" max="2561" width="12" style="2064"/>
    <col min="2562" max="2562" width="151" style="2064" customWidth="1"/>
    <col min="2563" max="2563" width="60.83203125" style="2064" customWidth="1"/>
    <col min="2564" max="2564" width="50.5" style="2064" customWidth="1"/>
    <col min="2565" max="2566" width="60.83203125" style="2064" customWidth="1"/>
    <col min="2567" max="2567" width="60.6640625" style="2064" customWidth="1"/>
    <col min="2568" max="2568" width="60.83203125" style="2064" customWidth="1"/>
    <col min="2569" max="2569" width="12" style="2064" customWidth="1"/>
    <col min="2570" max="2570" width="22.5" style="2064" customWidth="1"/>
    <col min="2571" max="2817" width="12" style="2064"/>
    <col min="2818" max="2818" width="151" style="2064" customWidth="1"/>
    <col min="2819" max="2819" width="60.83203125" style="2064" customWidth="1"/>
    <col min="2820" max="2820" width="50.5" style="2064" customWidth="1"/>
    <col min="2821" max="2822" width="60.83203125" style="2064" customWidth="1"/>
    <col min="2823" max="2823" width="60.6640625" style="2064" customWidth="1"/>
    <col min="2824" max="2824" width="60.83203125" style="2064" customWidth="1"/>
    <col min="2825" max="2825" width="12" style="2064" customWidth="1"/>
    <col min="2826" max="2826" width="22.5" style="2064" customWidth="1"/>
    <col min="2827" max="3073" width="12" style="2064"/>
    <col min="3074" max="3074" width="151" style="2064" customWidth="1"/>
    <col min="3075" max="3075" width="60.83203125" style="2064" customWidth="1"/>
    <col min="3076" max="3076" width="50.5" style="2064" customWidth="1"/>
    <col min="3077" max="3078" width="60.83203125" style="2064" customWidth="1"/>
    <col min="3079" max="3079" width="60.6640625" style="2064" customWidth="1"/>
    <col min="3080" max="3080" width="60.83203125" style="2064" customWidth="1"/>
    <col min="3081" max="3081" width="12" style="2064" customWidth="1"/>
    <col min="3082" max="3082" width="22.5" style="2064" customWidth="1"/>
    <col min="3083" max="3329" width="12" style="2064"/>
    <col min="3330" max="3330" width="151" style="2064" customWidth="1"/>
    <col min="3331" max="3331" width="60.83203125" style="2064" customWidth="1"/>
    <col min="3332" max="3332" width="50.5" style="2064" customWidth="1"/>
    <col min="3333" max="3334" width="60.83203125" style="2064" customWidth="1"/>
    <col min="3335" max="3335" width="60.6640625" style="2064" customWidth="1"/>
    <col min="3336" max="3336" width="60.83203125" style="2064" customWidth="1"/>
    <col min="3337" max="3337" width="12" style="2064" customWidth="1"/>
    <col min="3338" max="3338" width="22.5" style="2064" customWidth="1"/>
    <col min="3339" max="3585" width="12" style="2064"/>
    <col min="3586" max="3586" width="151" style="2064" customWidth="1"/>
    <col min="3587" max="3587" width="60.83203125" style="2064" customWidth="1"/>
    <col min="3588" max="3588" width="50.5" style="2064" customWidth="1"/>
    <col min="3589" max="3590" width="60.83203125" style="2064" customWidth="1"/>
    <col min="3591" max="3591" width="60.6640625" style="2064" customWidth="1"/>
    <col min="3592" max="3592" width="60.83203125" style="2064" customWidth="1"/>
    <col min="3593" max="3593" width="12" style="2064" customWidth="1"/>
    <col min="3594" max="3594" width="22.5" style="2064" customWidth="1"/>
    <col min="3595" max="3841" width="12" style="2064"/>
    <col min="3842" max="3842" width="151" style="2064" customWidth="1"/>
    <col min="3843" max="3843" width="60.83203125" style="2064" customWidth="1"/>
    <col min="3844" max="3844" width="50.5" style="2064" customWidth="1"/>
    <col min="3845" max="3846" width="60.83203125" style="2064" customWidth="1"/>
    <col min="3847" max="3847" width="60.6640625" style="2064" customWidth="1"/>
    <col min="3848" max="3848" width="60.83203125" style="2064" customWidth="1"/>
    <col min="3849" max="3849" width="12" style="2064" customWidth="1"/>
    <col min="3850" max="3850" width="22.5" style="2064" customWidth="1"/>
    <col min="3851" max="4097" width="12" style="2064"/>
    <col min="4098" max="4098" width="151" style="2064" customWidth="1"/>
    <col min="4099" max="4099" width="60.83203125" style="2064" customWidth="1"/>
    <col min="4100" max="4100" width="50.5" style="2064" customWidth="1"/>
    <col min="4101" max="4102" width="60.83203125" style="2064" customWidth="1"/>
    <col min="4103" max="4103" width="60.6640625" style="2064" customWidth="1"/>
    <col min="4104" max="4104" width="60.83203125" style="2064" customWidth="1"/>
    <col min="4105" max="4105" width="12" style="2064" customWidth="1"/>
    <col min="4106" max="4106" width="22.5" style="2064" customWidth="1"/>
    <col min="4107" max="4353" width="12" style="2064"/>
    <col min="4354" max="4354" width="151" style="2064" customWidth="1"/>
    <col min="4355" max="4355" width="60.83203125" style="2064" customWidth="1"/>
    <col min="4356" max="4356" width="50.5" style="2064" customWidth="1"/>
    <col min="4357" max="4358" width="60.83203125" style="2064" customWidth="1"/>
    <col min="4359" max="4359" width="60.6640625" style="2064" customWidth="1"/>
    <col min="4360" max="4360" width="60.83203125" style="2064" customWidth="1"/>
    <col min="4361" max="4361" width="12" style="2064" customWidth="1"/>
    <col min="4362" max="4362" width="22.5" style="2064" customWidth="1"/>
    <col min="4363" max="4609" width="12" style="2064"/>
    <col min="4610" max="4610" width="151" style="2064" customWidth="1"/>
    <col min="4611" max="4611" width="60.83203125" style="2064" customWidth="1"/>
    <col min="4612" max="4612" width="50.5" style="2064" customWidth="1"/>
    <col min="4613" max="4614" width="60.83203125" style="2064" customWidth="1"/>
    <col min="4615" max="4615" width="60.6640625" style="2064" customWidth="1"/>
    <col min="4616" max="4616" width="60.83203125" style="2064" customWidth="1"/>
    <col min="4617" max="4617" width="12" style="2064" customWidth="1"/>
    <col min="4618" max="4618" width="22.5" style="2064" customWidth="1"/>
    <col min="4619" max="4865" width="12" style="2064"/>
    <col min="4866" max="4866" width="151" style="2064" customWidth="1"/>
    <col min="4867" max="4867" width="60.83203125" style="2064" customWidth="1"/>
    <col min="4868" max="4868" width="50.5" style="2064" customWidth="1"/>
    <col min="4869" max="4870" width="60.83203125" style="2064" customWidth="1"/>
    <col min="4871" max="4871" width="60.6640625" style="2064" customWidth="1"/>
    <col min="4872" max="4872" width="60.83203125" style="2064" customWidth="1"/>
    <col min="4873" max="4873" width="12" style="2064" customWidth="1"/>
    <col min="4874" max="4874" width="22.5" style="2064" customWidth="1"/>
    <col min="4875" max="5121" width="12" style="2064"/>
    <col min="5122" max="5122" width="151" style="2064" customWidth="1"/>
    <col min="5123" max="5123" width="60.83203125" style="2064" customWidth="1"/>
    <col min="5124" max="5124" width="50.5" style="2064" customWidth="1"/>
    <col min="5125" max="5126" width="60.83203125" style="2064" customWidth="1"/>
    <col min="5127" max="5127" width="60.6640625" style="2064" customWidth="1"/>
    <col min="5128" max="5128" width="60.83203125" style="2064" customWidth="1"/>
    <col min="5129" max="5129" width="12" style="2064" customWidth="1"/>
    <col min="5130" max="5130" width="22.5" style="2064" customWidth="1"/>
    <col min="5131" max="5377" width="12" style="2064"/>
    <col min="5378" max="5378" width="151" style="2064" customWidth="1"/>
    <col min="5379" max="5379" width="60.83203125" style="2064" customWidth="1"/>
    <col min="5380" max="5380" width="50.5" style="2064" customWidth="1"/>
    <col min="5381" max="5382" width="60.83203125" style="2064" customWidth="1"/>
    <col min="5383" max="5383" width="60.6640625" style="2064" customWidth="1"/>
    <col min="5384" max="5384" width="60.83203125" style="2064" customWidth="1"/>
    <col min="5385" max="5385" width="12" style="2064" customWidth="1"/>
    <col min="5386" max="5386" width="22.5" style="2064" customWidth="1"/>
    <col min="5387" max="5633" width="12" style="2064"/>
    <col min="5634" max="5634" width="151" style="2064" customWidth="1"/>
    <col min="5635" max="5635" width="60.83203125" style="2064" customWidth="1"/>
    <col min="5636" max="5636" width="50.5" style="2064" customWidth="1"/>
    <col min="5637" max="5638" width="60.83203125" style="2064" customWidth="1"/>
    <col min="5639" max="5639" width="60.6640625" style="2064" customWidth="1"/>
    <col min="5640" max="5640" width="60.83203125" style="2064" customWidth="1"/>
    <col min="5641" max="5641" width="12" style="2064" customWidth="1"/>
    <col min="5642" max="5642" width="22.5" style="2064" customWidth="1"/>
    <col min="5643" max="5889" width="12" style="2064"/>
    <col min="5890" max="5890" width="151" style="2064" customWidth="1"/>
    <col min="5891" max="5891" width="60.83203125" style="2064" customWidth="1"/>
    <col min="5892" max="5892" width="50.5" style="2064" customWidth="1"/>
    <col min="5893" max="5894" width="60.83203125" style="2064" customWidth="1"/>
    <col min="5895" max="5895" width="60.6640625" style="2064" customWidth="1"/>
    <col min="5896" max="5896" width="60.83203125" style="2064" customWidth="1"/>
    <col min="5897" max="5897" width="12" style="2064" customWidth="1"/>
    <col min="5898" max="5898" width="22.5" style="2064" customWidth="1"/>
    <col min="5899" max="6145" width="12" style="2064"/>
    <col min="6146" max="6146" width="151" style="2064" customWidth="1"/>
    <col min="6147" max="6147" width="60.83203125" style="2064" customWidth="1"/>
    <col min="6148" max="6148" width="50.5" style="2064" customWidth="1"/>
    <col min="6149" max="6150" width="60.83203125" style="2064" customWidth="1"/>
    <col min="6151" max="6151" width="60.6640625" style="2064" customWidth="1"/>
    <col min="6152" max="6152" width="60.83203125" style="2064" customWidth="1"/>
    <col min="6153" max="6153" width="12" style="2064" customWidth="1"/>
    <col min="6154" max="6154" width="22.5" style="2064" customWidth="1"/>
    <col min="6155" max="6401" width="12" style="2064"/>
    <col min="6402" max="6402" width="151" style="2064" customWidth="1"/>
    <col min="6403" max="6403" width="60.83203125" style="2064" customWidth="1"/>
    <col min="6404" max="6404" width="50.5" style="2064" customWidth="1"/>
    <col min="6405" max="6406" width="60.83203125" style="2064" customWidth="1"/>
    <col min="6407" max="6407" width="60.6640625" style="2064" customWidth="1"/>
    <col min="6408" max="6408" width="60.83203125" style="2064" customWidth="1"/>
    <col min="6409" max="6409" width="12" style="2064" customWidth="1"/>
    <col min="6410" max="6410" width="22.5" style="2064" customWidth="1"/>
    <col min="6411" max="6657" width="12" style="2064"/>
    <col min="6658" max="6658" width="151" style="2064" customWidth="1"/>
    <col min="6659" max="6659" width="60.83203125" style="2064" customWidth="1"/>
    <col min="6660" max="6660" width="50.5" style="2064" customWidth="1"/>
    <col min="6661" max="6662" width="60.83203125" style="2064" customWidth="1"/>
    <col min="6663" max="6663" width="60.6640625" style="2064" customWidth="1"/>
    <col min="6664" max="6664" width="60.83203125" style="2064" customWidth="1"/>
    <col min="6665" max="6665" width="12" style="2064" customWidth="1"/>
    <col min="6666" max="6666" width="22.5" style="2064" customWidth="1"/>
    <col min="6667" max="6913" width="12" style="2064"/>
    <col min="6914" max="6914" width="151" style="2064" customWidth="1"/>
    <col min="6915" max="6915" width="60.83203125" style="2064" customWidth="1"/>
    <col min="6916" max="6916" width="50.5" style="2064" customWidth="1"/>
    <col min="6917" max="6918" width="60.83203125" style="2064" customWidth="1"/>
    <col min="6919" max="6919" width="60.6640625" style="2064" customWidth="1"/>
    <col min="6920" max="6920" width="60.83203125" style="2064" customWidth="1"/>
    <col min="6921" max="6921" width="12" style="2064" customWidth="1"/>
    <col min="6922" max="6922" width="22.5" style="2064" customWidth="1"/>
    <col min="6923" max="7169" width="12" style="2064"/>
    <col min="7170" max="7170" width="151" style="2064" customWidth="1"/>
    <col min="7171" max="7171" width="60.83203125" style="2064" customWidth="1"/>
    <col min="7172" max="7172" width="50.5" style="2064" customWidth="1"/>
    <col min="7173" max="7174" width="60.83203125" style="2064" customWidth="1"/>
    <col min="7175" max="7175" width="60.6640625" style="2064" customWidth="1"/>
    <col min="7176" max="7176" width="60.83203125" style="2064" customWidth="1"/>
    <col min="7177" max="7177" width="12" style="2064" customWidth="1"/>
    <col min="7178" max="7178" width="22.5" style="2064" customWidth="1"/>
    <col min="7179" max="7425" width="12" style="2064"/>
    <col min="7426" max="7426" width="151" style="2064" customWidth="1"/>
    <col min="7427" max="7427" width="60.83203125" style="2064" customWidth="1"/>
    <col min="7428" max="7428" width="50.5" style="2064" customWidth="1"/>
    <col min="7429" max="7430" width="60.83203125" style="2064" customWidth="1"/>
    <col min="7431" max="7431" width="60.6640625" style="2064" customWidth="1"/>
    <col min="7432" max="7432" width="60.83203125" style="2064" customWidth="1"/>
    <col min="7433" max="7433" width="12" style="2064" customWidth="1"/>
    <col min="7434" max="7434" width="22.5" style="2064" customWidth="1"/>
    <col min="7435" max="7681" width="12" style="2064"/>
    <col min="7682" max="7682" width="151" style="2064" customWidth="1"/>
    <col min="7683" max="7683" width="60.83203125" style="2064" customWidth="1"/>
    <col min="7684" max="7684" width="50.5" style="2064" customWidth="1"/>
    <col min="7685" max="7686" width="60.83203125" style="2064" customWidth="1"/>
    <col min="7687" max="7687" width="60.6640625" style="2064" customWidth="1"/>
    <col min="7688" max="7688" width="60.83203125" style="2064" customWidth="1"/>
    <col min="7689" max="7689" width="12" style="2064" customWidth="1"/>
    <col min="7690" max="7690" width="22.5" style="2064" customWidth="1"/>
    <col min="7691" max="7937" width="12" style="2064"/>
    <col min="7938" max="7938" width="151" style="2064" customWidth="1"/>
    <col min="7939" max="7939" width="60.83203125" style="2064" customWidth="1"/>
    <col min="7940" max="7940" width="50.5" style="2064" customWidth="1"/>
    <col min="7941" max="7942" width="60.83203125" style="2064" customWidth="1"/>
    <col min="7943" max="7943" width="60.6640625" style="2064" customWidth="1"/>
    <col min="7944" max="7944" width="60.83203125" style="2064" customWidth="1"/>
    <col min="7945" max="7945" width="12" style="2064" customWidth="1"/>
    <col min="7946" max="7946" width="22.5" style="2064" customWidth="1"/>
    <col min="7947" max="8193" width="12" style="2064"/>
    <col min="8194" max="8194" width="151" style="2064" customWidth="1"/>
    <col min="8195" max="8195" width="60.83203125" style="2064" customWidth="1"/>
    <col min="8196" max="8196" width="50.5" style="2064" customWidth="1"/>
    <col min="8197" max="8198" width="60.83203125" style="2064" customWidth="1"/>
    <col min="8199" max="8199" width="60.6640625" style="2064" customWidth="1"/>
    <col min="8200" max="8200" width="60.83203125" style="2064" customWidth="1"/>
    <col min="8201" max="8201" width="12" style="2064" customWidth="1"/>
    <col min="8202" max="8202" width="22.5" style="2064" customWidth="1"/>
    <col min="8203" max="8449" width="12" style="2064"/>
    <col min="8450" max="8450" width="151" style="2064" customWidth="1"/>
    <col min="8451" max="8451" width="60.83203125" style="2064" customWidth="1"/>
    <col min="8452" max="8452" width="50.5" style="2064" customWidth="1"/>
    <col min="8453" max="8454" width="60.83203125" style="2064" customWidth="1"/>
    <col min="8455" max="8455" width="60.6640625" style="2064" customWidth="1"/>
    <col min="8456" max="8456" width="60.83203125" style="2064" customWidth="1"/>
    <col min="8457" max="8457" width="12" style="2064" customWidth="1"/>
    <col min="8458" max="8458" width="22.5" style="2064" customWidth="1"/>
    <col min="8459" max="8705" width="12" style="2064"/>
    <col min="8706" max="8706" width="151" style="2064" customWidth="1"/>
    <col min="8707" max="8707" width="60.83203125" style="2064" customWidth="1"/>
    <col min="8708" max="8708" width="50.5" style="2064" customWidth="1"/>
    <col min="8709" max="8710" width="60.83203125" style="2064" customWidth="1"/>
    <col min="8711" max="8711" width="60.6640625" style="2064" customWidth="1"/>
    <col min="8712" max="8712" width="60.83203125" style="2064" customWidth="1"/>
    <col min="8713" max="8713" width="12" style="2064" customWidth="1"/>
    <col min="8714" max="8714" width="22.5" style="2064" customWidth="1"/>
    <col min="8715" max="8961" width="12" style="2064"/>
    <col min="8962" max="8962" width="151" style="2064" customWidth="1"/>
    <col min="8963" max="8963" width="60.83203125" style="2064" customWidth="1"/>
    <col min="8964" max="8964" width="50.5" style="2064" customWidth="1"/>
    <col min="8965" max="8966" width="60.83203125" style="2064" customWidth="1"/>
    <col min="8967" max="8967" width="60.6640625" style="2064" customWidth="1"/>
    <col min="8968" max="8968" width="60.83203125" style="2064" customWidth="1"/>
    <col min="8969" max="8969" width="12" style="2064" customWidth="1"/>
    <col min="8970" max="8970" width="22.5" style="2064" customWidth="1"/>
    <col min="8971" max="9217" width="12" style="2064"/>
    <col min="9218" max="9218" width="151" style="2064" customWidth="1"/>
    <col min="9219" max="9219" width="60.83203125" style="2064" customWidth="1"/>
    <col min="9220" max="9220" width="50.5" style="2064" customWidth="1"/>
    <col min="9221" max="9222" width="60.83203125" style="2064" customWidth="1"/>
    <col min="9223" max="9223" width="60.6640625" style="2064" customWidth="1"/>
    <col min="9224" max="9224" width="60.83203125" style="2064" customWidth="1"/>
    <col min="9225" max="9225" width="12" style="2064" customWidth="1"/>
    <col min="9226" max="9226" width="22.5" style="2064" customWidth="1"/>
    <col min="9227" max="9473" width="12" style="2064"/>
    <col min="9474" max="9474" width="151" style="2064" customWidth="1"/>
    <col min="9475" max="9475" width="60.83203125" style="2064" customWidth="1"/>
    <col min="9476" max="9476" width="50.5" style="2064" customWidth="1"/>
    <col min="9477" max="9478" width="60.83203125" style="2064" customWidth="1"/>
    <col min="9479" max="9479" width="60.6640625" style="2064" customWidth="1"/>
    <col min="9480" max="9480" width="60.83203125" style="2064" customWidth="1"/>
    <col min="9481" max="9481" width="12" style="2064" customWidth="1"/>
    <col min="9482" max="9482" width="22.5" style="2064" customWidth="1"/>
    <col min="9483" max="9729" width="12" style="2064"/>
    <col min="9730" max="9730" width="151" style="2064" customWidth="1"/>
    <col min="9731" max="9731" width="60.83203125" style="2064" customWidth="1"/>
    <col min="9732" max="9732" width="50.5" style="2064" customWidth="1"/>
    <col min="9733" max="9734" width="60.83203125" style="2064" customWidth="1"/>
    <col min="9735" max="9735" width="60.6640625" style="2064" customWidth="1"/>
    <col min="9736" max="9736" width="60.83203125" style="2064" customWidth="1"/>
    <col min="9737" max="9737" width="12" style="2064" customWidth="1"/>
    <col min="9738" max="9738" width="22.5" style="2064" customWidth="1"/>
    <col min="9739" max="9985" width="12" style="2064"/>
    <col min="9986" max="9986" width="151" style="2064" customWidth="1"/>
    <col min="9987" max="9987" width="60.83203125" style="2064" customWidth="1"/>
    <col min="9988" max="9988" width="50.5" style="2064" customWidth="1"/>
    <col min="9989" max="9990" width="60.83203125" style="2064" customWidth="1"/>
    <col min="9991" max="9991" width="60.6640625" style="2064" customWidth="1"/>
    <col min="9992" max="9992" width="60.83203125" style="2064" customWidth="1"/>
    <col min="9993" max="9993" width="12" style="2064" customWidth="1"/>
    <col min="9994" max="9994" width="22.5" style="2064" customWidth="1"/>
    <col min="9995" max="10241" width="12" style="2064"/>
    <col min="10242" max="10242" width="151" style="2064" customWidth="1"/>
    <col min="10243" max="10243" width="60.83203125" style="2064" customWidth="1"/>
    <col min="10244" max="10244" width="50.5" style="2064" customWidth="1"/>
    <col min="10245" max="10246" width="60.83203125" style="2064" customWidth="1"/>
    <col min="10247" max="10247" width="60.6640625" style="2064" customWidth="1"/>
    <col min="10248" max="10248" width="60.83203125" style="2064" customWidth="1"/>
    <col min="10249" max="10249" width="12" style="2064" customWidth="1"/>
    <col min="10250" max="10250" width="22.5" style="2064" customWidth="1"/>
    <col min="10251" max="10497" width="12" style="2064"/>
    <col min="10498" max="10498" width="151" style="2064" customWidth="1"/>
    <col min="10499" max="10499" width="60.83203125" style="2064" customWidth="1"/>
    <col min="10500" max="10500" width="50.5" style="2064" customWidth="1"/>
    <col min="10501" max="10502" width="60.83203125" style="2064" customWidth="1"/>
    <col min="10503" max="10503" width="60.6640625" style="2064" customWidth="1"/>
    <col min="10504" max="10504" width="60.83203125" style="2064" customWidth="1"/>
    <col min="10505" max="10505" width="12" style="2064" customWidth="1"/>
    <col min="10506" max="10506" width="22.5" style="2064" customWidth="1"/>
    <col min="10507" max="10753" width="12" style="2064"/>
    <col min="10754" max="10754" width="151" style="2064" customWidth="1"/>
    <col min="10755" max="10755" width="60.83203125" style="2064" customWidth="1"/>
    <col min="10756" max="10756" width="50.5" style="2064" customWidth="1"/>
    <col min="10757" max="10758" width="60.83203125" style="2064" customWidth="1"/>
    <col min="10759" max="10759" width="60.6640625" style="2064" customWidth="1"/>
    <col min="10760" max="10760" width="60.83203125" style="2064" customWidth="1"/>
    <col min="10761" max="10761" width="12" style="2064" customWidth="1"/>
    <col min="10762" max="10762" width="22.5" style="2064" customWidth="1"/>
    <col min="10763" max="11009" width="12" style="2064"/>
    <col min="11010" max="11010" width="151" style="2064" customWidth="1"/>
    <col min="11011" max="11011" width="60.83203125" style="2064" customWidth="1"/>
    <col min="11012" max="11012" width="50.5" style="2064" customWidth="1"/>
    <col min="11013" max="11014" width="60.83203125" style="2064" customWidth="1"/>
    <col min="11015" max="11015" width="60.6640625" style="2064" customWidth="1"/>
    <col min="11016" max="11016" width="60.83203125" style="2064" customWidth="1"/>
    <col min="11017" max="11017" width="12" style="2064" customWidth="1"/>
    <col min="11018" max="11018" width="22.5" style="2064" customWidth="1"/>
    <col min="11019" max="11265" width="12" style="2064"/>
    <col min="11266" max="11266" width="151" style="2064" customWidth="1"/>
    <col min="11267" max="11267" width="60.83203125" style="2064" customWidth="1"/>
    <col min="11268" max="11268" width="50.5" style="2064" customWidth="1"/>
    <col min="11269" max="11270" width="60.83203125" style="2064" customWidth="1"/>
    <col min="11271" max="11271" width="60.6640625" style="2064" customWidth="1"/>
    <col min="11272" max="11272" width="60.83203125" style="2064" customWidth="1"/>
    <col min="11273" max="11273" width="12" style="2064" customWidth="1"/>
    <col min="11274" max="11274" width="22.5" style="2064" customWidth="1"/>
    <col min="11275" max="11521" width="12" style="2064"/>
    <col min="11522" max="11522" width="151" style="2064" customWidth="1"/>
    <col min="11523" max="11523" width="60.83203125" style="2064" customWidth="1"/>
    <col min="11524" max="11524" width="50.5" style="2064" customWidth="1"/>
    <col min="11525" max="11526" width="60.83203125" style="2064" customWidth="1"/>
    <col min="11527" max="11527" width="60.6640625" style="2064" customWidth="1"/>
    <col min="11528" max="11528" width="60.83203125" style="2064" customWidth="1"/>
    <col min="11529" max="11529" width="12" style="2064" customWidth="1"/>
    <col min="11530" max="11530" width="22.5" style="2064" customWidth="1"/>
    <col min="11531" max="11777" width="12" style="2064"/>
    <col min="11778" max="11778" width="151" style="2064" customWidth="1"/>
    <col min="11779" max="11779" width="60.83203125" style="2064" customWidth="1"/>
    <col min="11780" max="11780" width="50.5" style="2064" customWidth="1"/>
    <col min="11781" max="11782" width="60.83203125" style="2064" customWidth="1"/>
    <col min="11783" max="11783" width="60.6640625" style="2064" customWidth="1"/>
    <col min="11784" max="11784" width="60.83203125" style="2064" customWidth="1"/>
    <col min="11785" max="11785" width="12" style="2064" customWidth="1"/>
    <col min="11786" max="11786" width="22.5" style="2064" customWidth="1"/>
    <col min="11787" max="12033" width="12" style="2064"/>
    <col min="12034" max="12034" width="151" style="2064" customWidth="1"/>
    <col min="12035" max="12035" width="60.83203125" style="2064" customWidth="1"/>
    <col min="12036" max="12036" width="50.5" style="2064" customWidth="1"/>
    <col min="12037" max="12038" width="60.83203125" style="2064" customWidth="1"/>
    <col min="12039" max="12039" width="60.6640625" style="2064" customWidth="1"/>
    <col min="12040" max="12040" width="60.83203125" style="2064" customWidth="1"/>
    <col min="12041" max="12041" width="12" style="2064" customWidth="1"/>
    <col min="12042" max="12042" width="22.5" style="2064" customWidth="1"/>
    <col min="12043" max="12289" width="12" style="2064"/>
    <col min="12290" max="12290" width="151" style="2064" customWidth="1"/>
    <col min="12291" max="12291" width="60.83203125" style="2064" customWidth="1"/>
    <col min="12292" max="12292" width="50.5" style="2064" customWidth="1"/>
    <col min="12293" max="12294" width="60.83203125" style="2064" customWidth="1"/>
    <col min="12295" max="12295" width="60.6640625" style="2064" customWidth="1"/>
    <col min="12296" max="12296" width="60.83203125" style="2064" customWidth="1"/>
    <col min="12297" max="12297" width="12" style="2064" customWidth="1"/>
    <col min="12298" max="12298" width="22.5" style="2064" customWidth="1"/>
    <col min="12299" max="12545" width="12" style="2064"/>
    <col min="12546" max="12546" width="151" style="2064" customWidth="1"/>
    <col min="12547" max="12547" width="60.83203125" style="2064" customWidth="1"/>
    <col min="12548" max="12548" width="50.5" style="2064" customWidth="1"/>
    <col min="12549" max="12550" width="60.83203125" style="2064" customWidth="1"/>
    <col min="12551" max="12551" width="60.6640625" style="2064" customWidth="1"/>
    <col min="12552" max="12552" width="60.83203125" style="2064" customWidth="1"/>
    <col min="12553" max="12553" width="12" style="2064" customWidth="1"/>
    <col min="12554" max="12554" width="22.5" style="2064" customWidth="1"/>
    <col min="12555" max="12801" width="12" style="2064"/>
    <col min="12802" max="12802" width="151" style="2064" customWidth="1"/>
    <col min="12803" max="12803" width="60.83203125" style="2064" customWidth="1"/>
    <col min="12804" max="12804" width="50.5" style="2064" customWidth="1"/>
    <col min="12805" max="12806" width="60.83203125" style="2064" customWidth="1"/>
    <col min="12807" max="12807" width="60.6640625" style="2064" customWidth="1"/>
    <col min="12808" max="12808" width="60.83203125" style="2064" customWidth="1"/>
    <col min="12809" max="12809" width="12" style="2064" customWidth="1"/>
    <col min="12810" max="12810" width="22.5" style="2064" customWidth="1"/>
    <col min="12811" max="13057" width="12" style="2064"/>
    <col min="13058" max="13058" width="151" style="2064" customWidth="1"/>
    <col min="13059" max="13059" width="60.83203125" style="2064" customWidth="1"/>
    <col min="13060" max="13060" width="50.5" style="2064" customWidth="1"/>
    <col min="13061" max="13062" width="60.83203125" style="2064" customWidth="1"/>
    <col min="13063" max="13063" width="60.6640625" style="2064" customWidth="1"/>
    <col min="13064" max="13064" width="60.83203125" style="2064" customWidth="1"/>
    <col min="13065" max="13065" width="12" style="2064" customWidth="1"/>
    <col min="13066" max="13066" width="22.5" style="2064" customWidth="1"/>
    <col min="13067" max="13313" width="12" style="2064"/>
    <col min="13314" max="13314" width="151" style="2064" customWidth="1"/>
    <col min="13315" max="13315" width="60.83203125" style="2064" customWidth="1"/>
    <col min="13316" max="13316" width="50.5" style="2064" customWidth="1"/>
    <col min="13317" max="13318" width="60.83203125" style="2064" customWidth="1"/>
    <col min="13319" max="13319" width="60.6640625" style="2064" customWidth="1"/>
    <col min="13320" max="13320" width="60.83203125" style="2064" customWidth="1"/>
    <col min="13321" max="13321" width="12" style="2064" customWidth="1"/>
    <col min="13322" max="13322" width="22.5" style="2064" customWidth="1"/>
    <col min="13323" max="13569" width="12" style="2064"/>
    <col min="13570" max="13570" width="151" style="2064" customWidth="1"/>
    <col min="13571" max="13571" width="60.83203125" style="2064" customWidth="1"/>
    <col min="13572" max="13572" width="50.5" style="2064" customWidth="1"/>
    <col min="13573" max="13574" width="60.83203125" style="2064" customWidth="1"/>
    <col min="13575" max="13575" width="60.6640625" style="2064" customWidth="1"/>
    <col min="13576" max="13576" width="60.83203125" style="2064" customWidth="1"/>
    <col min="13577" max="13577" width="12" style="2064" customWidth="1"/>
    <col min="13578" max="13578" width="22.5" style="2064" customWidth="1"/>
    <col min="13579" max="13825" width="12" style="2064"/>
    <col min="13826" max="13826" width="151" style="2064" customWidth="1"/>
    <col min="13827" max="13827" width="60.83203125" style="2064" customWidth="1"/>
    <col min="13828" max="13828" width="50.5" style="2064" customWidth="1"/>
    <col min="13829" max="13830" width="60.83203125" style="2064" customWidth="1"/>
    <col min="13831" max="13831" width="60.6640625" style="2064" customWidth="1"/>
    <col min="13832" max="13832" width="60.83203125" style="2064" customWidth="1"/>
    <col min="13833" max="13833" width="12" style="2064" customWidth="1"/>
    <col min="13834" max="13834" width="22.5" style="2064" customWidth="1"/>
    <col min="13835" max="14081" width="12" style="2064"/>
    <col min="14082" max="14082" width="151" style="2064" customWidth="1"/>
    <col min="14083" max="14083" width="60.83203125" style="2064" customWidth="1"/>
    <col min="14084" max="14084" width="50.5" style="2064" customWidth="1"/>
    <col min="14085" max="14086" width="60.83203125" style="2064" customWidth="1"/>
    <col min="14087" max="14087" width="60.6640625" style="2064" customWidth="1"/>
    <col min="14088" max="14088" width="60.83203125" style="2064" customWidth="1"/>
    <col min="14089" max="14089" width="12" style="2064" customWidth="1"/>
    <col min="14090" max="14090" width="22.5" style="2064" customWidth="1"/>
    <col min="14091" max="14337" width="12" style="2064"/>
    <col min="14338" max="14338" width="151" style="2064" customWidth="1"/>
    <col min="14339" max="14339" width="60.83203125" style="2064" customWidth="1"/>
    <col min="14340" max="14340" width="50.5" style="2064" customWidth="1"/>
    <col min="14341" max="14342" width="60.83203125" style="2064" customWidth="1"/>
    <col min="14343" max="14343" width="60.6640625" style="2064" customWidth="1"/>
    <col min="14344" max="14344" width="60.83203125" style="2064" customWidth="1"/>
    <col min="14345" max="14345" width="12" style="2064" customWidth="1"/>
    <col min="14346" max="14346" width="22.5" style="2064" customWidth="1"/>
    <col min="14347" max="14593" width="12" style="2064"/>
    <col min="14594" max="14594" width="151" style="2064" customWidth="1"/>
    <col min="14595" max="14595" width="60.83203125" style="2064" customWidth="1"/>
    <col min="14596" max="14596" width="50.5" style="2064" customWidth="1"/>
    <col min="14597" max="14598" width="60.83203125" style="2064" customWidth="1"/>
    <col min="14599" max="14599" width="60.6640625" style="2064" customWidth="1"/>
    <col min="14600" max="14600" width="60.83203125" style="2064" customWidth="1"/>
    <col min="14601" max="14601" width="12" style="2064" customWidth="1"/>
    <col min="14602" max="14602" width="22.5" style="2064" customWidth="1"/>
    <col min="14603" max="14849" width="12" style="2064"/>
    <col min="14850" max="14850" width="151" style="2064" customWidth="1"/>
    <col min="14851" max="14851" width="60.83203125" style="2064" customWidth="1"/>
    <col min="14852" max="14852" width="50.5" style="2064" customWidth="1"/>
    <col min="14853" max="14854" width="60.83203125" style="2064" customWidth="1"/>
    <col min="14855" max="14855" width="60.6640625" style="2064" customWidth="1"/>
    <col min="14856" max="14856" width="60.83203125" style="2064" customWidth="1"/>
    <col min="14857" max="14857" width="12" style="2064" customWidth="1"/>
    <col min="14858" max="14858" width="22.5" style="2064" customWidth="1"/>
    <col min="14859" max="15105" width="12" style="2064"/>
    <col min="15106" max="15106" width="151" style="2064" customWidth="1"/>
    <col min="15107" max="15107" width="60.83203125" style="2064" customWidth="1"/>
    <col min="15108" max="15108" width="50.5" style="2064" customWidth="1"/>
    <col min="15109" max="15110" width="60.83203125" style="2064" customWidth="1"/>
    <col min="15111" max="15111" width="60.6640625" style="2064" customWidth="1"/>
    <col min="15112" max="15112" width="60.83203125" style="2064" customWidth="1"/>
    <col min="15113" max="15113" width="12" style="2064" customWidth="1"/>
    <col min="15114" max="15114" width="22.5" style="2064" customWidth="1"/>
    <col min="15115" max="15361" width="12" style="2064"/>
    <col min="15362" max="15362" width="151" style="2064" customWidth="1"/>
    <col min="15363" max="15363" width="60.83203125" style="2064" customWidth="1"/>
    <col min="15364" max="15364" width="50.5" style="2064" customWidth="1"/>
    <col min="15365" max="15366" width="60.83203125" style="2064" customWidth="1"/>
    <col min="15367" max="15367" width="60.6640625" style="2064" customWidth="1"/>
    <col min="15368" max="15368" width="60.83203125" style="2064" customWidth="1"/>
    <col min="15369" max="15369" width="12" style="2064" customWidth="1"/>
    <col min="15370" max="15370" width="22.5" style="2064" customWidth="1"/>
    <col min="15371" max="15617" width="12" style="2064"/>
    <col min="15618" max="15618" width="151" style="2064" customWidth="1"/>
    <col min="15619" max="15619" width="60.83203125" style="2064" customWidth="1"/>
    <col min="15620" max="15620" width="50.5" style="2064" customWidth="1"/>
    <col min="15621" max="15622" width="60.83203125" style="2064" customWidth="1"/>
    <col min="15623" max="15623" width="60.6640625" style="2064" customWidth="1"/>
    <col min="15624" max="15624" width="60.83203125" style="2064" customWidth="1"/>
    <col min="15625" max="15625" width="12" style="2064" customWidth="1"/>
    <col min="15626" max="15626" width="22.5" style="2064" customWidth="1"/>
    <col min="15627" max="15873" width="12" style="2064"/>
    <col min="15874" max="15874" width="151" style="2064" customWidth="1"/>
    <col min="15875" max="15875" width="60.83203125" style="2064" customWidth="1"/>
    <col min="15876" max="15876" width="50.5" style="2064" customWidth="1"/>
    <col min="15877" max="15878" width="60.83203125" style="2064" customWidth="1"/>
    <col min="15879" max="15879" width="60.6640625" style="2064" customWidth="1"/>
    <col min="15880" max="15880" width="60.83203125" style="2064" customWidth="1"/>
    <col min="15881" max="15881" width="12" style="2064" customWidth="1"/>
    <col min="15882" max="15882" width="22.5" style="2064" customWidth="1"/>
    <col min="15883" max="16129" width="12" style="2064"/>
    <col min="16130" max="16130" width="151" style="2064" customWidth="1"/>
    <col min="16131" max="16131" width="60.83203125" style="2064" customWidth="1"/>
    <col min="16132" max="16132" width="50.5" style="2064" customWidth="1"/>
    <col min="16133" max="16134" width="60.83203125" style="2064" customWidth="1"/>
    <col min="16135" max="16135" width="60.6640625" style="2064" customWidth="1"/>
    <col min="16136" max="16136" width="60.83203125" style="2064" customWidth="1"/>
    <col min="16137" max="16137" width="12" style="2064" customWidth="1"/>
    <col min="16138" max="16138" width="22.5" style="2064" customWidth="1"/>
    <col min="16139" max="16384" width="12" style="2064"/>
  </cols>
  <sheetData>
    <row r="1" spans="2:10" s="2060" customFormat="1" ht="45" customHeight="1" x14ac:dyDescent="0.6">
      <c r="B1" s="2701" t="s">
        <v>1422</v>
      </c>
      <c r="C1" s="2701"/>
      <c r="D1" s="2701"/>
      <c r="E1" s="2701"/>
      <c r="F1" s="2701"/>
      <c r="G1" s="2701"/>
      <c r="H1" s="2701"/>
      <c r="J1" s="2061"/>
    </row>
    <row r="2" spans="2:10" s="2060" customFormat="1" ht="44.25" customHeight="1" x14ac:dyDescent="0.6">
      <c r="B2" s="2701" t="s">
        <v>1423</v>
      </c>
      <c r="C2" s="2701"/>
      <c r="D2" s="2701"/>
      <c r="E2" s="2701"/>
      <c r="F2" s="2701"/>
      <c r="G2" s="2701"/>
      <c r="H2" s="2701"/>
      <c r="J2" s="2061"/>
    </row>
    <row r="3" spans="2:10" s="2060" customFormat="1" ht="44.25" customHeight="1" x14ac:dyDescent="0.6">
      <c r="B3" s="2561"/>
      <c r="C3" s="2561"/>
      <c r="D3" s="2561"/>
      <c r="E3" s="2561"/>
      <c r="F3" s="2561"/>
      <c r="G3" s="2561"/>
      <c r="H3" s="2561"/>
      <c r="J3" s="2061"/>
    </row>
    <row r="4" spans="2:10" ht="44.25" customHeight="1" thickBot="1" x14ac:dyDescent="0.55000000000000004">
      <c r="B4" s="2062"/>
      <c r="C4" s="2702"/>
      <c r="D4" s="2702"/>
      <c r="E4" s="2702"/>
      <c r="F4" s="2702"/>
      <c r="G4" s="2063"/>
      <c r="H4" s="2063"/>
    </row>
    <row r="5" spans="2:10" s="2060" customFormat="1" ht="108.75" customHeight="1" thickBot="1" x14ac:dyDescent="0.55000000000000004">
      <c r="B5" s="2555"/>
      <c r="C5" s="2703" t="s">
        <v>1424</v>
      </c>
      <c r="D5" s="2704"/>
      <c r="E5" s="2704"/>
      <c r="F5" s="2705"/>
      <c r="G5" s="2706" t="s">
        <v>1425</v>
      </c>
      <c r="H5" s="2707"/>
      <c r="J5" s="2066"/>
    </row>
    <row r="6" spans="2:10" s="2060" customFormat="1" ht="47.25" customHeight="1" thickBot="1" x14ac:dyDescent="0.55000000000000004">
      <c r="B6" s="2556" t="s">
        <v>1426</v>
      </c>
      <c r="C6" s="2710" t="s">
        <v>1427</v>
      </c>
      <c r="D6" s="2711"/>
      <c r="E6" s="2699" t="s">
        <v>1428</v>
      </c>
      <c r="F6" s="2712"/>
      <c r="G6" s="2708"/>
      <c r="H6" s="2709"/>
      <c r="J6" s="2066"/>
    </row>
    <row r="7" spans="2:10" s="2060" customFormat="1" ht="47.25" customHeight="1" thickBot="1" x14ac:dyDescent="0.55000000000000004">
      <c r="B7" s="2556"/>
      <c r="C7" s="2699" t="s">
        <v>1429</v>
      </c>
      <c r="D7" s="2700"/>
      <c r="E7" s="2699" t="s">
        <v>1429</v>
      </c>
      <c r="F7" s="2700"/>
      <c r="G7" s="2557"/>
      <c r="H7" s="2557"/>
      <c r="J7" s="2066"/>
    </row>
    <row r="8" spans="2:10" s="2060" customFormat="1" ht="47.25" customHeight="1" thickBot="1" x14ac:dyDescent="0.55000000000000004">
      <c r="B8" s="2558"/>
      <c r="C8" s="2559" t="s">
        <v>1430</v>
      </c>
      <c r="D8" s="2560" t="s">
        <v>1431</v>
      </c>
      <c r="E8" s="2559" t="s">
        <v>1430</v>
      </c>
      <c r="F8" s="2560" t="s">
        <v>1431</v>
      </c>
      <c r="G8" s="2557" t="s">
        <v>1430</v>
      </c>
      <c r="H8" s="2557" t="s">
        <v>1432</v>
      </c>
      <c r="J8" s="2066"/>
    </row>
    <row r="9" spans="2:10" s="2070" customFormat="1" ht="47.25" customHeight="1" x14ac:dyDescent="0.5">
      <c r="B9" s="2067" t="s">
        <v>1433</v>
      </c>
      <c r="C9" s="2068"/>
      <c r="D9" s="2069"/>
      <c r="E9" s="2069"/>
      <c r="F9" s="2069"/>
      <c r="G9" s="2069"/>
      <c r="H9" s="2069"/>
      <c r="J9" s="2071"/>
    </row>
    <row r="10" spans="2:10" s="2076" customFormat="1" ht="47.25" customHeight="1" x14ac:dyDescent="0.5">
      <c r="B10" s="2072" t="s">
        <v>1299</v>
      </c>
      <c r="C10" s="2073">
        <f>'[7]létszám ei mód RM IV.'!H9</f>
        <v>33</v>
      </c>
      <c r="D10" s="2074">
        <f>'[7]létszám ei mód RM IV.'!I9</f>
        <v>33</v>
      </c>
      <c r="E10" s="2075">
        <f>'[7]létszám ei mód RM IV.'!N9</f>
        <v>1</v>
      </c>
      <c r="F10" s="2074">
        <f>'[7]létszám ei mód RM IV.'!O9</f>
        <v>1</v>
      </c>
      <c r="G10" s="2075">
        <f t="shared" ref="G10:H27" si="0">C10+E10</f>
        <v>34</v>
      </c>
      <c r="H10" s="2074">
        <f t="shared" si="0"/>
        <v>34</v>
      </c>
      <c r="J10" s="2065"/>
    </row>
    <row r="11" spans="2:10" s="2076" customFormat="1" ht="47.25" customHeight="1" x14ac:dyDescent="0.5">
      <c r="B11" s="2077" t="s">
        <v>1434</v>
      </c>
      <c r="C11" s="2078">
        <f>'[7]létszám ei mód RM IV.'!H10</f>
        <v>22</v>
      </c>
      <c r="D11" s="2079">
        <f>'[7]létszám ei mód RM IV.'!I10</f>
        <v>22</v>
      </c>
      <c r="E11" s="2078">
        <f>'[7]létszám ei mód RM IV.'!N10</f>
        <v>1</v>
      </c>
      <c r="F11" s="2079">
        <f>'[7]létszám ei mód RM IV.'!O10</f>
        <v>1</v>
      </c>
      <c r="G11" s="2078">
        <f t="shared" si="0"/>
        <v>23</v>
      </c>
      <c r="H11" s="2079">
        <f t="shared" si="0"/>
        <v>23</v>
      </c>
      <c r="J11" s="2065"/>
    </row>
    <row r="12" spans="2:10" s="2076" customFormat="1" ht="47.25" customHeight="1" x14ac:dyDescent="0.5">
      <c r="B12" s="2077" t="s">
        <v>1435</v>
      </c>
      <c r="C12" s="2073">
        <f>'[7]létszám ei mód RM IV.'!H11</f>
        <v>22</v>
      </c>
      <c r="D12" s="2074">
        <f>'[7]létszám ei mód RM IV.'!I11</f>
        <v>22</v>
      </c>
      <c r="E12" s="2075">
        <f>'[7]létszám ei mód RM IV.'!N11</f>
        <v>1</v>
      </c>
      <c r="F12" s="2074">
        <f>'[7]létszám ei mód RM IV.'!O11</f>
        <v>1</v>
      </c>
      <c r="G12" s="2075">
        <f t="shared" si="0"/>
        <v>23</v>
      </c>
      <c r="H12" s="2074">
        <f t="shared" si="0"/>
        <v>23</v>
      </c>
      <c r="J12" s="2065"/>
    </row>
    <row r="13" spans="2:10" s="2076" customFormat="1" ht="47.25" customHeight="1" x14ac:dyDescent="0.5">
      <c r="B13" s="2077" t="s">
        <v>1436</v>
      </c>
      <c r="C13" s="2078">
        <f>'[7]létszám ei mód RM IV.'!H12</f>
        <v>27</v>
      </c>
      <c r="D13" s="2079">
        <f>'[7]létszám ei mód RM IV.'!I12</f>
        <v>27</v>
      </c>
      <c r="E13" s="2078">
        <f>'[7]létszám ei mód RM IV.'!N12</f>
        <v>1</v>
      </c>
      <c r="F13" s="2079">
        <f>'[7]létszám ei mód RM IV.'!O12</f>
        <v>1</v>
      </c>
      <c r="G13" s="2078">
        <f t="shared" si="0"/>
        <v>28</v>
      </c>
      <c r="H13" s="2079">
        <f t="shared" si="0"/>
        <v>28</v>
      </c>
      <c r="J13" s="2065"/>
    </row>
    <row r="14" spans="2:10" s="2076" customFormat="1" ht="47.25" customHeight="1" x14ac:dyDescent="0.5">
      <c r="B14" s="2077" t="s">
        <v>1437</v>
      </c>
      <c r="C14" s="2078">
        <f>'[7]létszám ei mód RM IV.'!H13</f>
        <v>25</v>
      </c>
      <c r="D14" s="2079">
        <f>'[7]létszám ei mód RM IV.'!I13</f>
        <v>25</v>
      </c>
      <c r="E14" s="2078">
        <f>'[7]létszám ei mód RM IV.'!N13</f>
        <v>1</v>
      </c>
      <c r="F14" s="2079">
        <f>'[7]létszám ei mód RM IV.'!O13</f>
        <v>1</v>
      </c>
      <c r="G14" s="2078">
        <f t="shared" si="0"/>
        <v>26</v>
      </c>
      <c r="H14" s="2079">
        <f t="shared" si="0"/>
        <v>26</v>
      </c>
      <c r="J14" s="2065"/>
    </row>
    <row r="15" spans="2:10" s="2076" customFormat="1" ht="47.25" customHeight="1" x14ac:dyDescent="0.5">
      <c r="B15" s="2077" t="s">
        <v>1438</v>
      </c>
      <c r="C15" s="2078">
        <f>'[7]létszám ei mód RM IV.'!H14</f>
        <v>22</v>
      </c>
      <c r="D15" s="2079">
        <f>'[7]létszám ei mód RM IV.'!I14</f>
        <v>22</v>
      </c>
      <c r="E15" s="2078">
        <f>'[7]létszám ei mód RM IV.'!N14</f>
        <v>1</v>
      </c>
      <c r="F15" s="2079">
        <f>'[7]létszám ei mód RM IV.'!O14</f>
        <v>1</v>
      </c>
      <c r="G15" s="2078">
        <f t="shared" si="0"/>
        <v>23</v>
      </c>
      <c r="H15" s="2079">
        <f t="shared" si="0"/>
        <v>23</v>
      </c>
      <c r="J15" s="2065"/>
    </row>
    <row r="16" spans="2:10" s="2076" customFormat="1" ht="47.25" customHeight="1" x14ac:dyDescent="0.5">
      <c r="B16" s="2077" t="s">
        <v>1439</v>
      </c>
      <c r="C16" s="2078">
        <f>'[7]létszám ei mód RM IV.'!H15</f>
        <v>18</v>
      </c>
      <c r="D16" s="2079">
        <f>'[7]létszám ei mód RM IV.'!I15</f>
        <v>18</v>
      </c>
      <c r="E16" s="2078">
        <f>'[7]létszám ei mód RM IV.'!N15</f>
        <v>1</v>
      </c>
      <c r="F16" s="2079">
        <f>'[7]létszám ei mód RM IV.'!O15</f>
        <v>1</v>
      </c>
      <c r="G16" s="2078">
        <f t="shared" si="0"/>
        <v>19</v>
      </c>
      <c r="H16" s="2079">
        <f t="shared" si="0"/>
        <v>19</v>
      </c>
      <c r="J16" s="2065"/>
    </row>
    <row r="17" spans="2:10" s="2076" customFormat="1" ht="47.25" customHeight="1" x14ac:dyDescent="0.5">
      <c r="B17" s="2077" t="s">
        <v>1440</v>
      </c>
      <c r="C17" s="2078">
        <f>'[7]létszám ei mód RM IV.'!H16</f>
        <v>18</v>
      </c>
      <c r="D17" s="2079">
        <f>'[7]létszám ei mód RM IV.'!I16</f>
        <v>18</v>
      </c>
      <c r="E17" s="2078">
        <f>'[7]létszám ei mód RM IV.'!N16</f>
        <v>1</v>
      </c>
      <c r="F17" s="2079">
        <f>'[7]létszám ei mód RM IV.'!O16</f>
        <v>1</v>
      </c>
      <c r="G17" s="2078">
        <f t="shared" si="0"/>
        <v>19</v>
      </c>
      <c r="H17" s="2079">
        <f t="shared" si="0"/>
        <v>19</v>
      </c>
      <c r="J17" s="2065"/>
    </row>
    <row r="18" spans="2:10" s="2076" customFormat="1" ht="47.25" customHeight="1" x14ac:dyDescent="0.5">
      <c r="B18" s="2077" t="s">
        <v>1307</v>
      </c>
      <c r="C18" s="2078">
        <f>'[7]létszám ei mód RM IV.'!H17</f>
        <v>25</v>
      </c>
      <c r="D18" s="2932">
        <f>'[7]létszám ei mód RM IV.'!I17</f>
        <v>25</v>
      </c>
      <c r="E18" s="2078">
        <f>'[7]létszám ei mód RM IV.'!N17</f>
        <v>1</v>
      </c>
      <c r="F18" s="2079">
        <f>'[7]létszám ei mód RM IV.'!O17</f>
        <v>1</v>
      </c>
      <c r="G18" s="2078">
        <f t="shared" si="0"/>
        <v>26</v>
      </c>
      <c r="H18" s="2079">
        <f t="shared" si="0"/>
        <v>26</v>
      </c>
      <c r="J18" s="2065"/>
    </row>
    <row r="19" spans="2:10" s="2076" customFormat="1" ht="47.25" customHeight="1" x14ac:dyDescent="0.5">
      <c r="B19" s="2077" t="s">
        <v>1441</v>
      </c>
      <c r="C19" s="2078">
        <f>'[7]létszám ei mód RM IV.'!H18</f>
        <v>28</v>
      </c>
      <c r="D19" s="2079">
        <f>'[7]létszám ei mód RM IV.'!I18</f>
        <v>28</v>
      </c>
      <c r="E19" s="2078">
        <f>'[7]létszám ei mód RM IV.'!N18</f>
        <v>1</v>
      </c>
      <c r="F19" s="2079">
        <f>'[7]létszám ei mód RM IV.'!O18</f>
        <v>1</v>
      </c>
      <c r="G19" s="2078">
        <f t="shared" si="0"/>
        <v>29</v>
      </c>
      <c r="H19" s="2079">
        <f t="shared" si="0"/>
        <v>29</v>
      </c>
      <c r="J19" s="2065"/>
    </row>
    <row r="20" spans="2:10" s="2076" customFormat="1" ht="47.25" customHeight="1" x14ac:dyDescent="0.5">
      <c r="B20" s="2077" t="s">
        <v>1442</v>
      </c>
      <c r="C20" s="2078">
        <f>'[7]létszám ei mód RM IV.'!H19</f>
        <v>15</v>
      </c>
      <c r="D20" s="2079">
        <f>'[7]létszám ei mód RM IV.'!I19</f>
        <v>15</v>
      </c>
      <c r="E20" s="2078">
        <f>'[7]létszám ei mód RM IV.'!N19</f>
        <v>1</v>
      </c>
      <c r="F20" s="2079">
        <f>'[7]létszám ei mód RM IV.'!O19</f>
        <v>1</v>
      </c>
      <c r="G20" s="2078">
        <f t="shared" si="0"/>
        <v>16</v>
      </c>
      <c r="H20" s="2079">
        <f t="shared" si="0"/>
        <v>16</v>
      </c>
      <c r="J20" s="2065"/>
    </row>
    <row r="21" spans="2:10" s="2076" customFormat="1" ht="47.25" customHeight="1" x14ac:dyDescent="0.5">
      <c r="B21" s="2077" t="s">
        <v>1310</v>
      </c>
      <c r="C21" s="2078">
        <f>'[7]létszám ei mód RM IV.'!H20</f>
        <v>11.5</v>
      </c>
      <c r="D21" s="2079">
        <f>'[7]létszám ei mód RM IV.'!I20</f>
        <v>11</v>
      </c>
      <c r="E21" s="2078">
        <f>'[7]létszám ei mód RM IV.'!N20</f>
        <v>1</v>
      </c>
      <c r="F21" s="2079">
        <f>'[7]létszám ei mód RM IV.'!O20</f>
        <v>1</v>
      </c>
      <c r="G21" s="2078">
        <f t="shared" si="0"/>
        <v>12.5</v>
      </c>
      <c r="H21" s="2079">
        <f t="shared" si="0"/>
        <v>12</v>
      </c>
      <c r="J21" s="2065"/>
    </row>
    <row r="22" spans="2:10" s="2076" customFormat="1" ht="47.25" customHeight="1" x14ac:dyDescent="0.5">
      <c r="B22" s="2077" t="s">
        <v>1443</v>
      </c>
      <c r="C22" s="2078">
        <f>'[7]létszám ei mód RM IV.'!H21</f>
        <v>18</v>
      </c>
      <c r="D22" s="2079">
        <f>'[7]létszám ei mód RM IV.'!I21</f>
        <v>18</v>
      </c>
      <c r="E22" s="2078">
        <f>'[7]létszám ei mód RM IV.'!N21</f>
        <v>1</v>
      </c>
      <c r="F22" s="2079">
        <f>'[7]létszám ei mód RM IV.'!O21</f>
        <v>1</v>
      </c>
      <c r="G22" s="2078">
        <f t="shared" si="0"/>
        <v>19</v>
      </c>
      <c r="H22" s="2079">
        <f t="shared" si="0"/>
        <v>19</v>
      </c>
      <c r="J22" s="2065"/>
    </row>
    <row r="23" spans="2:10" s="2076" customFormat="1" ht="47.25" customHeight="1" x14ac:dyDescent="0.5">
      <c r="B23" s="2077" t="s">
        <v>1444</v>
      </c>
      <c r="C23" s="2078">
        <f>'[7]létszám ei mód RM IV.'!H22</f>
        <v>20</v>
      </c>
      <c r="D23" s="2079">
        <f>'[7]létszám ei mód RM IV.'!I22</f>
        <v>20</v>
      </c>
      <c r="E23" s="2078">
        <f>'[7]létszám ei mód RM IV.'!N22</f>
        <v>1</v>
      </c>
      <c r="F23" s="2079">
        <f>'[7]létszám ei mód RM IV.'!O22</f>
        <v>1</v>
      </c>
      <c r="G23" s="2078">
        <f t="shared" si="0"/>
        <v>21</v>
      </c>
      <c r="H23" s="2079">
        <f t="shared" si="0"/>
        <v>21</v>
      </c>
      <c r="J23" s="2065"/>
    </row>
    <row r="24" spans="2:10" s="2076" customFormat="1" ht="47.25" customHeight="1" x14ac:dyDescent="0.5">
      <c r="B24" s="2077" t="s">
        <v>1314</v>
      </c>
      <c r="C24" s="2078">
        <f>'[7]létszám ei mód RM IV.'!H23</f>
        <v>28</v>
      </c>
      <c r="D24" s="2079">
        <f>'[7]létszám ei mód RM IV.'!I23</f>
        <v>28</v>
      </c>
      <c r="E24" s="2078">
        <f>'[7]létszám ei mód RM IV.'!N23</f>
        <v>1</v>
      </c>
      <c r="F24" s="2079">
        <f>'[7]létszám ei mód RM IV.'!O23</f>
        <v>1</v>
      </c>
      <c r="G24" s="2078">
        <f t="shared" si="0"/>
        <v>29</v>
      </c>
      <c r="H24" s="2079">
        <f t="shared" si="0"/>
        <v>29</v>
      </c>
      <c r="J24" s="2065"/>
    </row>
    <row r="25" spans="2:10" s="2076" customFormat="1" ht="47.25" customHeight="1" x14ac:dyDescent="0.5">
      <c r="B25" s="2077" t="s">
        <v>1445</v>
      </c>
      <c r="C25" s="2078">
        <f>'[7]létszám ei mód RM IV.'!H24</f>
        <v>22</v>
      </c>
      <c r="D25" s="2079">
        <f>'[7]létszám ei mód RM IV.'!I24</f>
        <v>22</v>
      </c>
      <c r="E25" s="2078">
        <f>'[7]létszám ei mód RM IV.'!N24</f>
        <v>1</v>
      </c>
      <c r="F25" s="2079">
        <f>'[7]létszám ei mód RM IV.'!O24</f>
        <v>1</v>
      </c>
      <c r="G25" s="2078">
        <f t="shared" si="0"/>
        <v>23</v>
      </c>
      <c r="H25" s="2079">
        <f t="shared" si="0"/>
        <v>23</v>
      </c>
      <c r="J25" s="2065"/>
    </row>
    <row r="26" spans="2:10" s="2076" customFormat="1" ht="47.25" customHeight="1" x14ac:dyDescent="0.5">
      <c r="B26" s="2072" t="s">
        <v>1350</v>
      </c>
      <c r="C26" s="2078">
        <f>'[7]létszám ei mód RM IV.'!H25</f>
        <v>16</v>
      </c>
      <c r="D26" s="2079">
        <f>'[7]létszám ei mód RM IV.'!I25</f>
        <v>16</v>
      </c>
      <c r="E26" s="2078">
        <f>'[7]létszám ei mód RM IV.'!N25</f>
        <v>1</v>
      </c>
      <c r="F26" s="2079">
        <f>'[7]létszám ei mód RM IV.'!O25</f>
        <v>1</v>
      </c>
      <c r="G26" s="2078">
        <f t="shared" si="0"/>
        <v>17</v>
      </c>
      <c r="H26" s="2079">
        <f t="shared" si="0"/>
        <v>17</v>
      </c>
      <c r="J26" s="2065"/>
    </row>
    <row r="27" spans="2:10" s="2076" customFormat="1" ht="47.25" customHeight="1" thickBot="1" x14ac:dyDescent="0.55000000000000004">
      <c r="B27" s="2080" t="s">
        <v>1446</v>
      </c>
      <c r="C27" s="2073">
        <f>'[7]létszám ei mód RM IV.'!H26</f>
        <v>11.5</v>
      </c>
      <c r="D27" s="2074">
        <f>'[7]létszám ei mód RM IV.'!I26</f>
        <v>12</v>
      </c>
      <c r="E27" s="2075">
        <f>'[7]létszám ei mód RM IV.'!N26</f>
        <v>1.5</v>
      </c>
      <c r="F27" s="2074">
        <f>'[7]létszám ei mód RM IV.'!O26</f>
        <v>1</v>
      </c>
      <c r="G27" s="2075">
        <f t="shared" si="0"/>
        <v>13</v>
      </c>
      <c r="H27" s="2074">
        <f t="shared" si="0"/>
        <v>13</v>
      </c>
      <c r="J27" s="2065"/>
    </row>
    <row r="28" spans="2:10" s="2076" customFormat="1" ht="47.25" customHeight="1" thickBot="1" x14ac:dyDescent="0.55000000000000004">
      <c r="B28" s="2081" t="s">
        <v>1447</v>
      </c>
      <c r="C28" s="2082">
        <f t="shared" ref="C28:H28" si="1">SUM(C10:C27)</f>
        <v>382</v>
      </c>
      <c r="D28" s="2083">
        <f t="shared" si="1"/>
        <v>382</v>
      </c>
      <c r="E28" s="2082">
        <f t="shared" si="1"/>
        <v>18.5</v>
      </c>
      <c r="F28" s="2083">
        <f t="shared" si="1"/>
        <v>18</v>
      </c>
      <c r="G28" s="2082">
        <f t="shared" si="1"/>
        <v>400.5</v>
      </c>
      <c r="H28" s="2083">
        <f t="shared" si="1"/>
        <v>400</v>
      </c>
      <c r="J28" s="2065"/>
    </row>
    <row r="29" spans="2:10" s="2085" customFormat="1" ht="47.25" customHeight="1" thickBot="1" x14ac:dyDescent="0.55000000000000004">
      <c r="B29" s="2084" t="s">
        <v>181</v>
      </c>
      <c r="C29" s="2073">
        <f>'[7]létszám ei mód RM IV.'!H28</f>
        <v>0</v>
      </c>
      <c r="D29" s="2074">
        <f>'[7]létszám ei mód RM IV.'!I28</f>
        <v>0</v>
      </c>
      <c r="E29" s="2075">
        <f>'[7]létszám ei mód RM IV.'!N28</f>
        <v>44</v>
      </c>
      <c r="F29" s="2074">
        <f>'[7]létszám ei mód RM IV.'!O28</f>
        <v>44</v>
      </c>
      <c r="G29" s="2075">
        <f>C29+E29</f>
        <v>44</v>
      </c>
      <c r="H29" s="2074">
        <f>D29+F29</f>
        <v>44</v>
      </c>
      <c r="J29" s="2086"/>
    </row>
    <row r="30" spans="2:10" s="2076" customFormat="1" ht="47.25" customHeight="1" thickBot="1" x14ac:dyDescent="0.55000000000000004">
      <c r="B30" s="2081" t="s">
        <v>1448</v>
      </c>
      <c r="C30" s="2082">
        <f t="shared" ref="C30:H30" si="2">SUM(C28:C29)</f>
        <v>382</v>
      </c>
      <c r="D30" s="2087">
        <f t="shared" si="2"/>
        <v>382</v>
      </c>
      <c r="E30" s="2082">
        <f t="shared" si="2"/>
        <v>62.5</v>
      </c>
      <c r="F30" s="2087">
        <f t="shared" si="2"/>
        <v>62</v>
      </c>
      <c r="G30" s="2082">
        <f t="shared" si="2"/>
        <v>444.5</v>
      </c>
      <c r="H30" s="2087">
        <f t="shared" si="2"/>
        <v>444</v>
      </c>
      <c r="J30" s="2065"/>
    </row>
    <row r="31" spans="2:10" s="2076" customFormat="1" ht="47.25" customHeight="1" x14ac:dyDescent="0.5">
      <c r="B31" s="2088" t="s">
        <v>1449</v>
      </c>
      <c r="C31" s="2075"/>
      <c r="D31" s="2075"/>
      <c r="E31" s="2075"/>
      <c r="F31" s="2075"/>
      <c r="G31" s="2075"/>
      <c r="H31" s="2075"/>
      <c r="J31" s="2065"/>
    </row>
    <row r="32" spans="2:10" s="2076" customFormat="1" ht="47.25" customHeight="1" x14ac:dyDescent="0.5">
      <c r="B32" s="2067" t="s">
        <v>1450</v>
      </c>
      <c r="C32" s="2075"/>
      <c r="D32" s="2075"/>
      <c r="E32" s="2075"/>
      <c r="F32" s="2075"/>
      <c r="G32" s="2075"/>
      <c r="H32" s="2075"/>
      <c r="J32" s="2065"/>
    </row>
    <row r="33" spans="2:10" s="2076" customFormat="1" ht="47.25" customHeight="1" x14ac:dyDescent="0.5">
      <c r="B33" s="2072" t="s">
        <v>1322</v>
      </c>
      <c r="C33" s="2089">
        <f>'[7]létszám ei mód RM IV.'!H32</f>
        <v>24.5</v>
      </c>
      <c r="D33" s="2090">
        <f>'[7]létszám ei mód RM IV.'!I32</f>
        <v>24</v>
      </c>
      <c r="E33" s="2089">
        <f>'[7]létszám ei mód RM IV.'!N32</f>
        <v>15.5</v>
      </c>
      <c r="F33" s="2090">
        <f>'[7]létszám ei mód RM IV.'!O32</f>
        <v>16</v>
      </c>
      <c r="G33" s="2089">
        <f t="shared" ref="G33:H37" si="3">C33+E33</f>
        <v>40</v>
      </c>
      <c r="H33" s="2090">
        <f t="shared" si="3"/>
        <v>40</v>
      </c>
      <c r="J33" s="2065"/>
    </row>
    <row r="34" spans="2:10" s="2076" customFormat="1" ht="47.25" customHeight="1" x14ac:dyDescent="0.5">
      <c r="B34" s="2077" t="s">
        <v>304</v>
      </c>
      <c r="C34" s="2075">
        <f>'[7]létszám ei mód RM IV.'!H33</f>
        <v>18</v>
      </c>
      <c r="D34" s="2074">
        <f>'[7]létszám ei mód RM IV.'!I33</f>
        <v>18</v>
      </c>
      <c r="E34" s="2075">
        <f>'[7]létszám ei mód RM IV.'!N33</f>
        <v>1</v>
      </c>
      <c r="F34" s="2074">
        <f>'[7]létszám ei mód RM IV.'!O33</f>
        <v>1</v>
      </c>
      <c r="G34" s="2075">
        <f t="shared" si="3"/>
        <v>19</v>
      </c>
      <c r="H34" s="2074">
        <f t="shared" si="3"/>
        <v>19</v>
      </c>
      <c r="J34" s="2065"/>
    </row>
    <row r="35" spans="2:10" s="2076" customFormat="1" ht="47.25" customHeight="1" x14ac:dyDescent="0.5">
      <c r="B35" s="2077" t="s">
        <v>1323</v>
      </c>
      <c r="C35" s="2091">
        <f>'[7]létszám ei mód RM IV.'!H34</f>
        <v>77</v>
      </c>
      <c r="D35" s="2079">
        <f>'[7]létszám ei mód RM IV.'!I34</f>
        <v>77</v>
      </c>
      <c r="E35" s="2078">
        <f>'[7]létszám ei mód RM IV.'!N34</f>
        <v>7.5</v>
      </c>
      <c r="F35" s="2079">
        <f>'[7]létszám ei mód RM IV.'!O34</f>
        <v>7</v>
      </c>
      <c r="G35" s="2078">
        <f t="shared" si="3"/>
        <v>84.5</v>
      </c>
      <c r="H35" s="2079">
        <f t="shared" si="3"/>
        <v>84</v>
      </c>
      <c r="J35" s="2065"/>
    </row>
    <row r="36" spans="2:10" s="2076" customFormat="1" ht="47.25" customHeight="1" x14ac:dyDescent="0.5">
      <c r="B36" s="2077" t="s">
        <v>1324</v>
      </c>
      <c r="C36" s="2091">
        <f>'[7]létszám ei mód RM IV.'!H35</f>
        <v>35</v>
      </c>
      <c r="D36" s="2079">
        <f>'[7]létszám ei mód RM IV.'!I35</f>
        <v>35</v>
      </c>
      <c r="E36" s="2078">
        <f>'[7]létszám ei mód RM IV.'!N35</f>
        <v>11</v>
      </c>
      <c r="F36" s="2079">
        <f>'[7]létszám ei mód RM IV.'!O35</f>
        <v>11</v>
      </c>
      <c r="G36" s="2078">
        <f t="shared" si="3"/>
        <v>46</v>
      </c>
      <c r="H36" s="2079">
        <f t="shared" si="3"/>
        <v>46</v>
      </c>
      <c r="J36" s="2065"/>
    </row>
    <row r="37" spans="2:10" s="2076" customFormat="1" ht="47.25" customHeight="1" thickBot="1" x14ac:dyDescent="0.55000000000000004">
      <c r="B37" s="2092" t="s">
        <v>1326</v>
      </c>
      <c r="C37" s="2075">
        <f>'[7]létszám ei mód RM IV.'!H36</f>
        <v>64.5</v>
      </c>
      <c r="D37" s="2074">
        <f>'[7]létszám ei mód RM IV.'!I36</f>
        <v>65</v>
      </c>
      <c r="E37" s="2075">
        <f>'[7]létszám ei mód RM IV.'!N36</f>
        <v>30.25</v>
      </c>
      <c r="F37" s="2074">
        <f>'[7]létszám ei mód RM IV.'!O36</f>
        <v>30</v>
      </c>
      <c r="G37" s="2075">
        <f t="shared" si="3"/>
        <v>94.75</v>
      </c>
      <c r="H37" s="2074">
        <f t="shared" si="3"/>
        <v>95</v>
      </c>
      <c r="J37" s="2065"/>
    </row>
    <row r="38" spans="2:10" s="2076" customFormat="1" ht="47.25" customHeight="1" thickBot="1" x14ac:dyDescent="0.55000000000000004">
      <c r="B38" s="2081" t="s">
        <v>1325</v>
      </c>
      <c r="C38" s="2093">
        <f t="shared" ref="C38:H38" si="4">SUM(C33:C37)</f>
        <v>219</v>
      </c>
      <c r="D38" s="2087">
        <f t="shared" si="4"/>
        <v>219</v>
      </c>
      <c r="E38" s="2093">
        <f t="shared" si="4"/>
        <v>65.25</v>
      </c>
      <c r="F38" s="2087">
        <f t="shared" si="4"/>
        <v>65</v>
      </c>
      <c r="G38" s="2093">
        <f t="shared" si="4"/>
        <v>284.25</v>
      </c>
      <c r="H38" s="2087">
        <f t="shared" si="4"/>
        <v>284</v>
      </c>
      <c r="J38" s="2065"/>
    </row>
    <row r="39" spans="2:10" s="2076" customFormat="1" ht="47.25" customHeight="1" x14ac:dyDescent="0.5">
      <c r="B39" s="2088" t="s">
        <v>1327</v>
      </c>
      <c r="C39" s="2094"/>
      <c r="D39" s="2094"/>
      <c r="E39" s="2094"/>
      <c r="F39" s="2094"/>
      <c r="G39" s="2094"/>
      <c r="H39" s="2094"/>
      <c r="J39" s="2065"/>
    </row>
    <row r="40" spans="2:10" s="2076" customFormat="1" ht="89.25" customHeight="1" thickBot="1" x14ac:dyDescent="0.55000000000000004">
      <c r="B40" s="2095" t="s">
        <v>1328</v>
      </c>
      <c r="C40" s="2073">
        <f>'[7]létszám ei mód RM IV.'!H39</f>
        <v>166.25</v>
      </c>
      <c r="D40" s="2074">
        <f>'[7]létszám ei mód RM IV.'!I39</f>
        <v>166</v>
      </c>
      <c r="E40" s="2075">
        <f>'[7]létszám ei mód RM IV.'!N39</f>
        <v>19</v>
      </c>
      <c r="F40" s="2074">
        <f>'[7]létszám ei mód RM IV.'!O39</f>
        <v>19</v>
      </c>
      <c r="G40" s="2075">
        <f>C40+E40</f>
        <v>185.25</v>
      </c>
      <c r="H40" s="2074">
        <f>D40+F40</f>
        <v>185</v>
      </c>
      <c r="J40" s="2065"/>
    </row>
    <row r="41" spans="2:10" s="2076" customFormat="1" ht="47.25" customHeight="1" x14ac:dyDescent="0.5">
      <c r="B41" s="2088" t="s">
        <v>1329</v>
      </c>
      <c r="C41" s="2094"/>
      <c r="D41" s="2094"/>
      <c r="E41" s="2094"/>
      <c r="F41" s="2094"/>
      <c r="G41" s="2094"/>
      <c r="H41" s="2094"/>
      <c r="J41" s="2065"/>
    </row>
    <row r="42" spans="2:10" s="2076" customFormat="1" ht="47.25" customHeight="1" thickBot="1" x14ac:dyDescent="0.55000000000000004">
      <c r="B42" s="2096" t="s">
        <v>1451</v>
      </c>
      <c r="C42" s="2073">
        <f>'[7]létszám ei mód RM IV.'!H41</f>
        <v>65</v>
      </c>
      <c r="D42" s="2074">
        <f>'[7]létszám ei mód RM IV.'!I41</f>
        <v>65</v>
      </c>
      <c r="E42" s="2075">
        <f>'[7]létszám ei mód RM IV.'!N41</f>
        <v>34</v>
      </c>
      <c r="F42" s="2074">
        <f>'[7]létszám ei mód RM IV.'!O41</f>
        <v>34</v>
      </c>
      <c r="G42" s="2075">
        <f>C42+E42</f>
        <v>99</v>
      </c>
      <c r="H42" s="2074">
        <f>D42+F42</f>
        <v>99</v>
      </c>
      <c r="J42" s="2065"/>
    </row>
    <row r="43" spans="2:10" s="2076" customFormat="1" ht="47.25" customHeight="1" x14ac:dyDescent="0.5">
      <c r="B43" s="2088" t="s">
        <v>1332</v>
      </c>
      <c r="C43" s="2094"/>
      <c r="D43" s="2094"/>
      <c r="E43" s="2094"/>
      <c r="F43" s="2094"/>
      <c r="G43" s="2094"/>
      <c r="H43" s="2094"/>
      <c r="J43" s="2065"/>
    </row>
    <row r="44" spans="2:10" s="2076" customFormat="1" ht="47.25" customHeight="1" thickBot="1" x14ac:dyDescent="0.55000000000000004">
      <c r="B44" s="2096" t="s">
        <v>1333</v>
      </c>
      <c r="C44" s="2073">
        <f>'[7]létszám ei mód RM IV.'!H43</f>
        <v>132.76</v>
      </c>
      <c r="D44" s="2074">
        <f>'[7]létszám ei mód RM IV.'!I43</f>
        <v>133</v>
      </c>
      <c r="E44" s="2075">
        <f>'[7]létszám ei mód RM IV.'!N43</f>
        <v>40.99499999999999</v>
      </c>
      <c r="F44" s="2074">
        <f>'[7]létszám ei mód RM IV.'!O43</f>
        <v>41</v>
      </c>
      <c r="G44" s="2075">
        <f>C44+E44</f>
        <v>173.755</v>
      </c>
      <c r="H44" s="2074">
        <f>D44+F44</f>
        <v>174</v>
      </c>
      <c r="J44" s="2065"/>
    </row>
    <row r="45" spans="2:10" s="2076" customFormat="1" ht="47.25" customHeight="1" x14ac:dyDescent="0.5">
      <c r="B45" s="2088" t="s">
        <v>1452</v>
      </c>
      <c r="C45" s="2094"/>
      <c r="D45" s="2094"/>
      <c r="E45" s="2094"/>
      <c r="F45" s="2094"/>
      <c r="G45" s="2094"/>
      <c r="H45" s="2094"/>
      <c r="J45" s="2065"/>
    </row>
    <row r="46" spans="2:10" s="2076" customFormat="1" ht="47.25" customHeight="1" x14ac:dyDescent="0.5">
      <c r="B46" s="2096" t="s">
        <v>1343</v>
      </c>
      <c r="C46" s="2073">
        <f>'[7]létszám ei mód RM IV.'!H45</f>
        <v>1</v>
      </c>
      <c r="D46" s="2074">
        <f>'[7]létszám ei mód RM IV.'!I45</f>
        <v>1</v>
      </c>
      <c r="E46" s="2097">
        <f>'[7]létszám ei mód RM IV.'!N45</f>
        <v>15</v>
      </c>
      <c r="F46" s="2090">
        <f>'[7]létszám ei mód RM IV.'!O45</f>
        <v>15</v>
      </c>
      <c r="G46" s="2089">
        <f t="shared" ref="G46:H48" si="5">C46+E46</f>
        <v>16</v>
      </c>
      <c r="H46" s="2090">
        <f t="shared" si="5"/>
        <v>16</v>
      </c>
      <c r="J46" s="2065"/>
    </row>
    <row r="47" spans="2:10" s="2076" customFormat="1" ht="47.25" customHeight="1" x14ac:dyDescent="0.5">
      <c r="B47" s="2098" t="s">
        <v>58</v>
      </c>
      <c r="C47" s="2078">
        <f>'[7]létszám ei mód RM IV.'!H46</f>
        <v>248.5</v>
      </c>
      <c r="D47" s="2079">
        <f>'[7]létszám ei mód RM IV.'!I46</f>
        <v>249</v>
      </c>
      <c r="E47" s="2091">
        <f>'[7]létszám ei mód RM IV.'!N46</f>
        <v>0</v>
      </c>
      <c r="F47" s="2079">
        <f>'[7]létszám ei mód RM IV.'!O46</f>
        <v>0</v>
      </c>
      <c r="G47" s="2091">
        <f t="shared" si="5"/>
        <v>248.5</v>
      </c>
      <c r="H47" s="2079">
        <f t="shared" si="5"/>
        <v>249</v>
      </c>
      <c r="J47" s="2065"/>
    </row>
    <row r="48" spans="2:10" s="2076" customFormat="1" ht="47.25" customHeight="1" thickBot="1" x14ac:dyDescent="0.55000000000000004">
      <c r="B48" s="2072" t="s">
        <v>1453</v>
      </c>
      <c r="C48" s="2099">
        <f>'[7]létszám ei mód RM IV.'!H47</f>
        <v>30</v>
      </c>
      <c r="D48" s="2100">
        <f>'[7]létszám ei mód RM IV.'!I47</f>
        <v>30</v>
      </c>
      <c r="E48" s="2099">
        <f>'[7]létszám ei mód RM IV.'!N47</f>
        <v>0</v>
      </c>
      <c r="F48" s="2100">
        <f>'[7]létszám ei mód RM IV.'!O47</f>
        <v>0</v>
      </c>
      <c r="G48" s="2099">
        <f t="shared" si="5"/>
        <v>30</v>
      </c>
      <c r="H48" s="2100">
        <f t="shared" si="5"/>
        <v>30</v>
      </c>
      <c r="J48" s="2065"/>
    </row>
    <row r="49" spans="2:23" s="2076" customFormat="1" ht="47.25" customHeight="1" thickBot="1" x14ac:dyDescent="0.55000000000000004">
      <c r="B49" s="2081" t="s">
        <v>1325</v>
      </c>
      <c r="C49" s="2099">
        <f t="shared" ref="C49:H49" si="6">SUM(C46:C48)</f>
        <v>279.5</v>
      </c>
      <c r="D49" s="2100">
        <f t="shared" si="6"/>
        <v>280</v>
      </c>
      <c r="E49" s="2099">
        <f t="shared" si="6"/>
        <v>15</v>
      </c>
      <c r="F49" s="2100">
        <f t="shared" si="6"/>
        <v>15</v>
      </c>
      <c r="G49" s="2099">
        <f t="shared" si="6"/>
        <v>294.5</v>
      </c>
      <c r="H49" s="2100">
        <f t="shared" si="6"/>
        <v>295</v>
      </c>
      <c r="J49" s="2065"/>
    </row>
    <row r="50" spans="2:23" s="2076" customFormat="1" ht="47.25" customHeight="1" thickBot="1" x14ac:dyDescent="0.55000000000000004">
      <c r="B50" s="2101" t="s">
        <v>1347</v>
      </c>
      <c r="C50" s="2099">
        <f t="shared" ref="C50:H50" si="7">C38+C40+C42+C44+C49</f>
        <v>862.51</v>
      </c>
      <c r="D50" s="2100">
        <f t="shared" si="7"/>
        <v>863</v>
      </c>
      <c r="E50" s="2099">
        <f t="shared" si="7"/>
        <v>174.245</v>
      </c>
      <c r="F50" s="2100">
        <f t="shared" si="7"/>
        <v>174</v>
      </c>
      <c r="G50" s="2099">
        <f t="shared" si="7"/>
        <v>1036.7550000000001</v>
      </c>
      <c r="H50" s="2100">
        <f t="shared" si="7"/>
        <v>1037</v>
      </c>
      <c r="J50" s="2065"/>
    </row>
    <row r="51" spans="2:23" s="2076" customFormat="1" ht="47.25" customHeight="1" thickBot="1" x14ac:dyDescent="0.55000000000000004">
      <c r="B51" s="2102" t="s">
        <v>1348</v>
      </c>
      <c r="C51" s="2099">
        <f t="shared" ref="C51:H51" si="8">C30+C50</f>
        <v>1244.51</v>
      </c>
      <c r="D51" s="2100">
        <f t="shared" si="8"/>
        <v>1245</v>
      </c>
      <c r="E51" s="2099">
        <f t="shared" si="8"/>
        <v>236.745</v>
      </c>
      <c r="F51" s="2100">
        <f t="shared" si="8"/>
        <v>236</v>
      </c>
      <c r="G51" s="2099">
        <f t="shared" si="8"/>
        <v>1481.2550000000001</v>
      </c>
      <c r="H51" s="2100">
        <f t="shared" si="8"/>
        <v>1481</v>
      </c>
      <c r="J51" s="2065"/>
    </row>
    <row r="52" spans="2:23" s="2106" customFormat="1" x14ac:dyDescent="0.5">
      <c r="B52" s="2103"/>
      <c r="C52" s="2104"/>
      <c r="D52" s="2105"/>
      <c r="J52" s="2107"/>
    </row>
    <row r="53" spans="2:23" s="2076" customFormat="1" x14ac:dyDescent="0.5">
      <c r="B53" s="2108"/>
      <c r="F53" s="2085"/>
      <c r="G53" s="2109"/>
      <c r="H53" s="2109"/>
      <c r="J53" s="2110"/>
    </row>
    <row r="54" spans="2:23" s="2076" customFormat="1" x14ac:dyDescent="0.5">
      <c r="B54" s="2108"/>
      <c r="F54" s="2085"/>
      <c r="G54" s="2085"/>
      <c r="H54" s="2085"/>
      <c r="J54" s="2110"/>
    </row>
    <row r="55" spans="2:23" s="2106" customFormat="1" ht="35.25" x14ac:dyDescent="0.5">
      <c r="B55" s="2111"/>
      <c r="C55" s="2112"/>
      <c r="D55" s="2113"/>
      <c r="F55" s="2114"/>
      <c r="G55" s="2114"/>
      <c r="H55" s="2115"/>
      <c r="J55" s="2107"/>
    </row>
    <row r="56" spans="2:23" x14ac:dyDescent="0.5">
      <c r="C56" s="2116"/>
      <c r="D56" s="2117"/>
    </row>
    <row r="58" spans="2:23" s="2076" customFormat="1" ht="35.25" x14ac:dyDescent="0.5">
      <c r="B58" s="2118"/>
      <c r="C58" s="2112"/>
      <c r="D58" s="2113"/>
      <c r="E58" s="2113"/>
      <c r="F58" s="2119"/>
      <c r="G58" s="2119"/>
      <c r="H58" s="2119"/>
      <c r="I58" s="2119"/>
      <c r="J58" s="2120"/>
      <c r="P58" s="2085"/>
      <c r="Q58" s="2085"/>
      <c r="R58" s="2085"/>
      <c r="W58" s="2110"/>
    </row>
    <row r="59" spans="2:23" s="2076" customFormat="1" ht="35.25" x14ac:dyDescent="0.5">
      <c r="B59" s="2111"/>
      <c r="C59" s="2112"/>
      <c r="D59" s="2121"/>
      <c r="E59" s="2113"/>
      <c r="F59" s="2119"/>
      <c r="G59" s="2119"/>
      <c r="H59" s="2119"/>
      <c r="I59" s="2119"/>
      <c r="J59" s="2120"/>
      <c r="P59" s="2085"/>
      <c r="Q59" s="2085"/>
      <c r="R59" s="2085"/>
      <c r="W59" s="2110"/>
    </row>
    <row r="60" spans="2:23" s="2076" customFormat="1" ht="35.25" x14ac:dyDescent="0.5">
      <c r="B60" s="2111"/>
      <c r="C60" s="2112"/>
      <c r="D60" s="2121"/>
      <c r="E60" s="2113"/>
      <c r="F60" s="2119"/>
      <c r="G60" s="2119"/>
      <c r="H60" s="2119"/>
      <c r="I60" s="2119"/>
      <c r="J60" s="2122"/>
      <c r="P60" s="2085"/>
      <c r="Q60" s="2085"/>
      <c r="R60" s="2085"/>
      <c r="W60" s="2110"/>
    </row>
    <row r="61" spans="2:23" s="2076" customFormat="1" ht="35.25" x14ac:dyDescent="0.5">
      <c r="B61" s="2113"/>
      <c r="C61" s="2112"/>
      <c r="D61" s="2113"/>
      <c r="E61" s="2113"/>
      <c r="F61" s="2119"/>
      <c r="G61" s="2119"/>
      <c r="H61" s="2119"/>
      <c r="I61" s="2119"/>
      <c r="J61" s="2120"/>
      <c r="P61" s="2085"/>
      <c r="Q61" s="2085"/>
      <c r="R61" s="2085"/>
      <c r="W61" s="2110"/>
    </row>
  </sheetData>
  <mergeCells count="9">
    <mergeCell ref="C7:D7"/>
    <mergeCell ref="E7:F7"/>
    <mergeCell ref="B1:H1"/>
    <mergeCell ref="B2:H2"/>
    <mergeCell ref="C4:F4"/>
    <mergeCell ref="C5:F5"/>
    <mergeCell ref="G5:H6"/>
    <mergeCell ref="C6:D6"/>
    <mergeCell ref="E6:F6"/>
  </mergeCells>
  <printOptions horizontalCentered="1" verticalCentered="1"/>
  <pageMargins left="0.19685039370078741" right="0" top="0" bottom="0" header="0.59055118110236227" footer="0"/>
  <pageSetup paperSize="9" scale="25" orientation="portrait" horizontalDpi="300" verticalDpi="300" r:id="rId1"/>
  <headerFooter alignWithMargins="0">
    <oddHeader xml:space="preserve">&amp;R&amp;36 &amp;"Times New Roman CE,Félkövér"&amp;32 7.  melléklet a .../2020.(.....) önkormányzati rendelethez
</oddHeader>
  </headerFooter>
  <rowBreaks count="1" manualBreakCount="1">
    <brk id="51" min="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C1:J51"/>
  <sheetViews>
    <sheetView topLeftCell="B1" zoomScaleNormal="100" zoomScaleSheetLayoutView="75" workbookViewId="0">
      <selection activeCell="J20" sqref="J20"/>
    </sheetView>
  </sheetViews>
  <sheetFormatPr defaultColWidth="9.33203125" defaultRowHeight="15" customHeight="1" x14ac:dyDescent="0.2"/>
  <cols>
    <col min="1" max="1" width="9.33203125" style="10"/>
    <col min="2" max="2" width="14.1640625" style="10" customWidth="1"/>
    <col min="3" max="3" width="112" style="10" customWidth="1"/>
    <col min="4" max="7" width="22.1640625" style="10" customWidth="1"/>
    <col min="8" max="8" width="14" style="1129" bestFit="1" customWidth="1"/>
    <col min="9" max="9" width="17.1640625" style="1129" bestFit="1" customWidth="1"/>
    <col min="10" max="10" width="19.83203125" style="10" customWidth="1"/>
    <col min="11" max="16384" width="9.33203125" style="10"/>
  </cols>
  <sheetData>
    <row r="1" spans="3:10" ht="15" customHeight="1" x14ac:dyDescent="0.25">
      <c r="C1" s="2713"/>
      <c r="D1" s="2713"/>
    </row>
    <row r="2" spans="3:10" ht="24.75" customHeight="1" x14ac:dyDescent="0.35">
      <c r="C2" s="2716" t="s">
        <v>30</v>
      </c>
      <c r="D2" s="2716"/>
      <c r="E2" s="2716"/>
      <c r="F2" s="2716"/>
      <c r="G2" s="2716"/>
    </row>
    <row r="3" spans="3:10" ht="15" customHeight="1" x14ac:dyDescent="0.25">
      <c r="C3" s="168"/>
      <c r="D3" s="168"/>
    </row>
    <row r="4" spans="3:10" ht="24.75" customHeight="1" thickBot="1" x14ac:dyDescent="0.35">
      <c r="C4" s="300" t="s">
        <v>202</v>
      </c>
      <c r="D4" s="620"/>
      <c r="E4" s="620"/>
      <c r="F4" s="620"/>
      <c r="G4" s="301" t="s">
        <v>26</v>
      </c>
    </row>
    <row r="5" spans="3:10" ht="24.75" customHeight="1" x14ac:dyDescent="0.25">
      <c r="C5" s="621" t="s">
        <v>42</v>
      </c>
      <c r="D5" s="2714" t="s">
        <v>517</v>
      </c>
      <c r="E5" s="2715"/>
      <c r="F5" s="454" t="s">
        <v>685</v>
      </c>
      <c r="G5" s="455" t="s">
        <v>139</v>
      </c>
    </row>
    <row r="6" spans="3:10" ht="24.75" customHeight="1" thickBot="1" x14ac:dyDescent="0.3">
      <c r="C6" s="622"/>
      <c r="D6" s="458" t="s">
        <v>264</v>
      </c>
      <c r="E6" s="458" t="s">
        <v>137</v>
      </c>
      <c r="F6" s="460" t="s">
        <v>138</v>
      </c>
      <c r="G6" s="461" t="s">
        <v>140</v>
      </c>
    </row>
    <row r="7" spans="3:10" ht="24.75" customHeight="1" x14ac:dyDescent="0.25">
      <c r="C7" s="663" t="s">
        <v>108</v>
      </c>
      <c r="D7" s="1141">
        <v>1784485</v>
      </c>
      <c r="E7" s="1141">
        <v>1860807</v>
      </c>
      <c r="F7" s="636">
        <v>1756794</v>
      </c>
      <c r="G7" s="637">
        <f t="shared" ref="G7:G8" si="0">+F7/E7*100</f>
        <v>94.410328422023355</v>
      </c>
      <c r="J7" s="5"/>
    </row>
    <row r="8" spans="3:10" ht="24.75" customHeight="1" x14ac:dyDescent="0.25">
      <c r="C8" s="625" t="s">
        <v>181</v>
      </c>
      <c r="D8" s="626">
        <v>1509123</v>
      </c>
      <c r="E8" s="626">
        <v>1490028</v>
      </c>
      <c r="F8" s="627">
        <v>1389323</v>
      </c>
      <c r="G8" s="624">
        <f t="shared" si="0"/>
        <v>93.241402174992686</v>
      </c>
      <c r="J8" s="5"/>
    </row>
    <row r="9" spans="3:10" ht="24.75" customHeight="1" x14ac:dyDescent="0.25">
      <c r="C9" s="628"/>
      <c r="D9" s="629"/>
      <c r="E9" s="629"/>
      <c r="F9" s="630"/>
      <c r="G9" s="631"/>
      <c r="J9" s="5"/>
    </row>
    <row r="10" spans="3:10" ht="24.75" customHeight="1" thickBot="1" x14ac:dyDescent="0.3">
      <c r="C10" s="632" t="s">
        <v>16</v>
      </c>
      <c r="D10" s="633">
        <f>SUM(D7:D9)</f>
        <v>3293608</v>
      </c>
      <c r="E10" s="633">
        <f>SUM(E7:E9)</f>
        <v>3350835</v>
      </c>
      <c r="F10" s="633">
        <f>SUM(F7:F9)</f>
        <v>3146117</v>
      </c>
      <c r="G10" s="634">
        <f>+F10/E10*100</f>
        <v>93.890537731640023</v>
      </c>
      <c r="J10" s="5"/>
    </row>
    <row r="11" spans="3:10" ht="24.75" customHeight="1" x14ac:dyDescent="0.25">
      <c r="C11" s="635" t="s">
        <v>694</v>
      </c>
      <c r="D11" s="636">
        <v>45000</v>
      </c>
      <c r="E11" s="636">
        <v>4882</v>
      </c>
      <c r="F11" s="636">
        <v>2570</v>
      </c>
      <c r="G11" s="637">
        <f>+F11/E11*100</f>
        <v>52.642359688652199</v>
      </c>
      <c r="J11" s="5"/>
    </row>
    <row r="12" spans="3:10" ht="41.25" customHeight="1" x14ac:dyDescent="0.25">
      <c r="C12" s="638" t="s">
        <v>415</v>
      </c>
      <c r="D12" s="623">
        <v>28000</v>
      </c>
      <c r="E12" s="623">
        <v>51362</v>
      </c>
      <c r="F12" s="623">
        <v>44150</v>
      </c>
      <c r="G12" s="624">
        <f>+F12/E12*100</f>
        <v>85.95849071297846</v>
      </c>
      <c r="J12" s="5"/>
    </row>
    <row r="13" spans="3:10" ht="33" customHeight="1" x14ac:dyDescent="0.25">
      <c r="C13" s="639" t="s">
        <v>784</v>
      </c>
      <c r="D13" s="623">
        <v>800</v>
      </c>
      <c r="E13" s="623"/>
      <c r="F13" s="623"/>
      <c r="G13" s="624"/>
      <c r="J13" s="5"/>
    </row>
    <row r="14" spans="3:10" ht="24.75" customHeight="1" x14ac:dyDescent="0.25">
      <c r="C14" s="640" t="s">
        <v>416</v>
      </c>
      <c r="D14" s="641">
        <v>4000</v>
      </c>
      <c r="E14" s="641"/>
      <c r="F14" s="642"/>
      <c r="G14" s="631"/>
      <c r="J14" s="5"/>
    </row>
    <row r="15" spans="3:10" ht="24.75" customHeight="1" x14ac:dyDescent="0.25">
      <c r="C15" s="640" t="s">
        <v>168</v>
      </c>
      <c r="D15" s="641">
        <v>3400</v>
      </c>
      <c r="E15" s="641">
        <v>7182</v>
      </c>
      <c r="F15" s="642">
        <v>2972</v>
      </c>
      <c r="G15" s="631">
        <f t="shared" ref="G15:G33" si="1">+F15/E15*100</f>
        <v>41.38123085491506</v>
      </c>
      <c r="J15" s="5"/>
    </row>
    <row r="16" spans="3:10" ht="24.75" customHeight="1" x14ac:dyDescent="0.25">
      <c r="C16" s="640" t="s">
        <v>1</v>
      </c>
      <c r="D16" s="641">
        <v>13500</v>
      </c>
      <c r="E16" s="641">
        <v>5500</v>
      </c>
      <c r="F16" s="642">
        <v>5499</v>
      </c>
      <c r="G16" s="631">
        <f t="shared" si="1"/>
        <v>99.981818181818184</v>
      </c>
      <c r="J16" s="5"/>
    </row>
    <row r="17" spans="3:10" ht="24.75" customHeight="1" x14ac:dyDescent="0.25">
      <c r="C17" s="640" t="s">
        <v>695</v>
      </c>
      <c r="D17" s="641">
        <v>500</v>
      </c>
      <c r="E17" s="641"/>
      <c r="F17" s="642"/>
      <c r="G17" s="631"/>
      <c r="J17" s="5"/>
    </row>
    <row r="18" spans="3:10" ht="41.25" customHeight="1" x14ac:dyDescent="0.25">
      <c r="C18" s="643" t="s">
        <v>518</v>
      </c>
      <c r="D18" s="641">
        <v>2000</v>
      </c>
      <c r="E18" s="641">
        <v>1497</v>
      </c>
      <c r="F18" s="642">
        <v>1496</v>
      </c>
      <c r="G18" s="631">
        <f t="shared" si="1"/>
        <v>99.933199732798926</v>
      </c>
      <c r="J18" s="5"/>
    </row>
    <row r="19" spans="3:10" ht="24.75" customHeight="1" x14ac:dyDescent="0.25">
      <c r="C19" s="644" t="s">
        <v>306</v>
      </c>
      <c r="D19" s="641">
        <v>5000</v>
      </c>
      <c r="E19" s="641"/>
      <c r="F19" s="642"/>
      <c r="G19" s="631"/>
      <c r="J19" s="5"/>
    </row>
    <row r="20" spans="3:10" ht="24.75" customHeight="1" x14ac:dyDescent="0.25">
      <c r="C20" s="640" t="s">
        <v>90</v>
      </c>
      <c r="D20" s="641">
        <v>5000</v>
      </c>
      <c r="E20" s="641">
        <v>4750</v>
      </c>
      <c r="F20" s="642">
        <v>4700</v>
      </c>
      <c r="G20" s="631">
        <f t="shared" si="1"/>
        <v>98.94736842105263</v>
      </c>
      <c r="J20" s="5"/>
    </row>
    <row r="21" spans="3:10" ht="24.75" customHeight="1" x14ac:dyDescent="0.25">
      <c r="C21" s="640" t="s">
        <v>131</v>
      </c>
      <c r="D21" s="641">
        <v>1250</v>
      </c>
      <c r="E21" s="641">
        <v>1155</v>
      </c>
      <c r="F21" s="642">
        <v>327</v>
      </c>
      <c r="G21" s="631">
        <f t="shared" si="1"/>
        <v>28.311688311688311</v>
      </c>
      <c r="J21" s="5"/>
    </row>
    <row r="22" spans="3:10" ht="24.75" customHeight="1" x14ac:dyDescent="0.25">
      <c r="C22" s="640" t="s">
        <v>142</v>
      </c>
      <c r="D22" s="641">
        <v>15000</v>
      </c>
      <c r="E22" s="641">
        <v>15000</v>
      </c>
      <c r="F22" s="642">
        <v>9880</v>
      </c>
      <c r="G22" s="631">
        <f t="shared" si="1"/>
        <v>65.86666666666666</v>
      </c>
      <c r="J22" s="5"/>
    </row>
    <row r="23" spans="3:10" ht="24.75" customHeight="1" x14ac:dyDescent="0.25">
      <c r="C23" s="640" t="s">
        <v>2</v>
      </c>
      <c r="D23" s="641">
        <v>600</v>
      </c>
      <c r="E23" s="641">
        <v>600</v>
      </c>
      <c r="F23" s="641">
        <v>550</v>
      </c>
      <c r="G23" s="631">
        <f t="shared" si="1"/>
        <v>91.666666666666657</v>
      </c>
      <c r="J23" s="5"/>
    </row>
    <row r="24" spans="3:10" ht="24.75" customHeight="1" x14ac:dyDescent="0.25">
      <c r="C24" s="74" t="s">
        <v>24</v>
      </c>
      <c r="D24" s="641">
        <v>1500</v>
      </c>
      <c r="E24" s="641">
        <v>2003</v>
      </c>
      <c r="F24" s="642">
        <v>1833</v>
      </c>
      <c r="G24" s="631">
        <f t="shared" si="1"/>
        <v>91.512730903644538</v>
      </c>
      <c r="J24" s="5"/>
    </row>
    <row r="25" spans="3:10" ht="24.75" customHeight="1" x14ac:dyDescent="0.25">
      <c r="C25" s="644" t="s">
        <v>608</v>
      </c>
      <c r="D25" s="641">
        <v>0</v>
      </c>
      <c r="E25" s="641">
        <v>687</v>
      </c>
      <c r="F25" s="641">
        <v>687</v>
      </c>
      <c r="G25" s="631">
        <f t="shared" si="1"/>
        <v>100</v>
      </c>
      <c r="J25" s="5"/>
    </row>
    <row r="26" spans="3:10" ht="24.75" customHeight="1" x14ac:dyDescent="0.25">
      <c r="C26" s="645" t="s">
        <v>120</v>
      </c>
      <c r="D26" s="641">
        <v>21000</v>
      </c>
      <c r="E26" s="641">
        <v>21000</v>
      </c>
      <c r="F26" s="646">
        <v>21000</v>
      </c>
      <c r="G26" s="631">
        <f t="shared" si="1"/>
        <v>100</v>
      </c>
      <c r="J26" s="5"/>
    </row>
    <row r="27" spans="3:10" ht="47.25" customHeight="1" x14ac:dyDescent="0.25">
      <c r="C27" s="676" t="s">
        <v>519</v>
      </c>
      <c r="D27" s="646">
        <v>2300</v>
      </c>
      <c r="E27" s="646"/>
      <c r="F27" s="646"/>
      <c r="G27" s="631"/>
      <c r="J27" s="5"/>
    </row>
    <row r="28" spans="3:10" ht="24.75" customHeight="1" x14ac:dyDescent="0.25">
      <c r="C28" s="644" t="s">
        <v>13</v>
      </c>
      <c r="D28" s="641">
        <v>800</v>
      </c>
      <c r="E28" s="641">
        <v>111</v>
      </c>
      <c r="F28" s="641">
        <v>109</v>
      </c>
      <c r="G28" s="631">
        <f t="shared" si="1"/>
        <v>98.198198198198199</v>
      </c>
      <c r="J28" s="5"/>
    </row>
    <row r="29" spans="3:10" ht="41.25" customHeight="1" x14ac:dyDescent="0.25">
      <c r="C29" s="647" t="s">
        <v>121</v>
      </c>
      <c r="D29" s="646">
        <v>11550</v>
      </c>
      <c r="E29" s="646">
        <v>2550</v>
      </c>
      <c r="F29" s="646"/>
      <c r="G29" s="631">
        <f t="shared" si="1"/>
        <v>0</v>
      </c>
      <c r="J29" s="5"/>
    </row>
    <row r="30" spans="3:10" ht="24.75" customHeight="1" x14ac:dyDescent="0.25">
      <c r="C30" s="644" t="s">
        <v>417</v>
      </c>
      <c r="D30" s="641">
        <v>4290</v>
      </c>
      <c r="E30" s="641"/>
      <c r="F30" s="641"/>
      <c r="G30" s="631"/>
      <c r="J30" s="5"/>
    </row>
    <row r="31" spans="3:10" ht="58.5" customHeight="1" x14ac:dyDescent="0.25">
      <c r="C31" s="647" t="s">
        <v>609</v>
      </c>
      <c r="D31" s="646">
        <v>4000</v>
      </c>
      <c r="E31" s="646">
        <v>4000</v>
      </c>
      <c r="F31" s="646">
        <v>4000</v>
      </c>
      <c r="G31" s="631">
        <f t="shared" si="1"/>
        <v>100</v>
      </c>
      <c r="J31" s="5"/>
    </row>
    <row r="32" spans="3:10" ht="24.75" customHeight="1" x14ac:dyDescent="0.25">
      <c r="C32" s="644" t="s">
        <v>186</v>
      </c>
      <c r="D32" s="641">
        <v>5000</v>
      </c>
      <c r="E32" s="641">
        <v>4751</v>
      </c>
      <c r="F32" s="641">
        <v>1804</v>
      </c>
      <c r="G32" s="631">
        <f t="shared" si="1"/>
        <v>37.97095348347716</v>
      </c>
      <c r="J32" s="5"/>
    </row>
    <row r="33" spans="3:10" ht="36.75" customHeight="1" x14ac:dyDescent="0.25">
      <c r="C33" s="649" t="s">
        <v>607</v>
      </c>
      <c r="D33" s="650">
        <v>1000</v>
      </c>
      <c r="E33" s="650">
        <v>6897</v>
      </c>
      <c r="F33" s="650">
        <v>4561</v>
      </c>
      <c r="G33" s="648">
        <f t="shared" si="1"/>
        <v>66.130201536900103</v>
      </c>
      <c r="J33" s="5"/>
    </row>
    <row r="34" spans="3:10" ht="24.75" customHeight="1" thickBot="1" x14ac:dyDescent="0.3">
      <c r="C34" s="651" t="s">
        <v>418</v>
      </c>
      <c r="D34" s="633">
        <f>SUM(D11:D33)</f>
        <v>175490</v>
      </c>
      <c r="E34" s="633">
        <f>SUM(E11:E33)</f>
        <v>133927</v>
      </c>
      <c r="F34" s="633">
        <f>SUM(F11:F33)</f>
        <v>106138</v>
      </c>
      <c r="G34" s="652">
        <f>+F34/E34*100</f>
        <v>79.250636540802077</v>
      </c>
      <c r="J34" s="5"/>
    </row>
    <row r="35" spans="3:10" s="18" customFormat="1" ht="24.75" customHeight="1" thickBot="1" x14ac:dyDescent="0.3">
      <c r="C35" s="653" t="s">
        <v>721</v>
      </c>
      <c r="D35" s="654">
        <f>D10+D34</f>
        <v>3469098</v>
      </c>
      <c r="E35" s="654">
        <f>E10+E34</f>
        <v>3484762</v>
      </c>
      <c r="F35" s="654">
        <f>F10+F34</f>
        <v>3252255</v>
      </c>
      <c r="G35" s="655">
        <f>+F35/E35*100</f>
        <v>93.327894415744893</v>
      </c>
      <c r="H35" s="1129"/>
      <c r="I35" s="1129"/>
      <c r="J35" s="5"/>
    </row>
    <row r="36" spans="3:10" ht="24.75" customHeight="1" x14ac:dyDescent="0.25">
      <c r="C36" s="657"/>
      <c r="D36" s="658"/>
      <c r="E36" s="139"/>
      <c r="F36" s="139"/>
      <c r="G36" s="139"/>
      <c r="J36" s="5"/>
    </row>
    <row r="37" spans="3:10" ht="24.75" customHeight="1" x14ac:dyDescent="0.25">
      <c r="C37" s="139"/>
      <c r="D37" s="658"/>
      <c r="E37" s="658"/>
      <c r="F37" s="658"/>
      <c r="G37" s="139"/>
      <c r="J37" s="5"/>
    </row>
    <row r="38" spans="3:10" ht="24.75" customHeight="1" thickBot="1" x14ac:dyDescent="0.35">
      <c r="C38" s="57" t="s">
        <v>27</v>
      </c>
      <c r="D38" s="301"/>
      <c r="E38" s="301"/>
      <c r="F38" s="139"/>
      <c r="G38" s="301" t="s">
        <v>26</v>
      </c>
      <c r="J38" s="5"/>
    </row>
    <row r="39" spans="3:10" ht="24.75" customHeight="1" x14ac:dyDescent="0.25">
      <c r="C39" s="659" t="s">
        <v>42</v>
      </c>
      <c r="D39" s="2714" t="s">
        <v>517</v>
      </c>
      <c r="E39" s="2715"/>
      <c r="F39" s="454" t="s">
        <v>685</v>
      </c>
      <c r="G39" s="660" t="s">
        <v>139</v>
      </c>
      <c r="J39" s="5"/>
    </row>
    <row r="40" spans="3:10" ht="24.75" customHeight="1" thickBot="1" x14ac:dyDescent="0.3">
      <c r="C40" s="661"/>
      <c r="D40" s="458" t="s">
        <v>264</v>
      </c>
      <c r="E40" s="458" t="s">
        <v>137</v>
      </c>
      <c r="F40" s="460" t="s">
        <v>138</v>
      </c>
      <c r="G40" s="662" t="s">
        <v>140</v>
      </c>
      <c r="J40" s="5"/>
    </row>
    <row r="41" spans="3:10" ht="24.75" customHeight="1" x14ac:dyDescent="0.25">
      <c r="C41" s="663" t="s">
        <v>108</v>
      </c>
      <c r="D41" s="636"/>
      <c r="E41" s="664">
        <v>152553</v>
      </c>
      <c r="F41" s="665">
        <v>102110</v>
      </c>
      <c r="G41" s="666">
        <f t="shared" ref="G41:G42" si="2">+F41/E41*100</f>
        <v>66.934114701120265</v>
      </c>
      <c r="J41" s="5"/>
    </row>
    <row r="42" spans="3:10" ht="24.75" customHeight="1" x14ac:dyDescent="0.25">
      <c r="C42" s="625" t="s">
        <v>181</v>
      </c>
      <c r="D42" s="667">
        <v>45000</v>
      </c>
      <c r="E42" s="668">
        <v>129539</v>
      </c>
      <c r="F42" s="668">
        <v>40376</v>
      </c>
      <c r="G42" s="669">
        <f t="shared" si="2"/>
        <v>31.168991577825985</v>
      </c>
      <c r="J42" s="5"/>
    </row>
    <row r="43" spans="3:10" ht="24.75" customHeight="1" thickBot="1" x14ac:dyDescent="0.3">
      <c r="C43" s="632" t="s">
        <v>722</v>
      </c>
      <c r="D43" s="670">
        <f>SUM(D41:D42)</f>
        <v>45000</v>
      </c>
      <c r="E43" s="670">
        <f>SUM(E41:E42)</f>
        <v>282092</v>
      </c>
      <c r="F43" s="670">
        <f>SUM(F41:F42)</f>
        <v>142486</v>
      </c>
      <c r="G43" s="671">
        <f>+F43/E43*100</f>
        <v>50.510471760985773</v>
      </c>
      <c r="J43" s="5"/>
    </row>
    <row r="44" spans="3:10" ht="15" customHeight="1" thickBot="1" x14ac:dyDescent="0.3">
      <c r="C44" s="150"/>
      <c r="D44" s="672"/>
      <c r="E44" s="672"/>
      <c r="F44" s="673"/>
      <c r="G44" s="674"/>
      <c r="J44" s="5"/>
    </row>
    <row r="45" spans="3:10" ht="24.75" customHeight="1" thickBot="1" x14ac:dyDescent="0.3">
      <c r="C45" s="75" t="s">
        <v>723</v>
      </c>
      <c r="D45" s="656">
        <f>+D35+D43</f>
        <v>3514098</v>
      </c>
      <c r="E45" s="656">
        <f>+E35+E43</f>
        <v>3766854</v>
      </c>
      <c r="F45" s="656">
        <f>+F43+F35</f>
        <v>3394741</v>
      </c>
      <c r="G45" s="675">
        <f>+F45/E45*100</f>
        <v>90.121385113412941</v>
      </c>
      <c r="J45" s="5"/>
    </row>
    <row r="46" spans="3:10" ht="15" customHeight="1" x14ac:dyDescent="0.2">
      <c r="J46" s="5"/>
    </row>
    <row r="47" spans="3:10" ht="15" customHeight="1" x14ac:dyDescent="0.2">
      <c r="F47" s="5"/>
      <c r="J47" s="5"/>
    </row>
    <row r="48" spans="3:10" ht="15" customHeight="1" x14ac:dyDescent="0.2">
      <c r="E48" s="17"/>
      <c r="F48" s="5"/>
      <c r="J48" s="5"/>
    </row>
    <row r="49" spans="6:6" ht="15" customHeight="1" x14ac:dyDescent="0.2">
      <c r="F49" s="5"/>
    </row>
    <row r="51" spans="6:6" ht="15" customHeight="1" x14ac:dyDescent="0.2">
      <c r="F51" s="5"/>
    </row>
  </sheetData>
  <mergeCells count="4">
    <mergeCell ref="C1:D1"/>
    <mergeCell ref="D5:E5"/>
    <mergeCell ref="D39:E39"/>
    <mergeCell ref="C2:G2"/>
  </mergeCells>
  <phoneticPr fontId="0" type="noConversion"/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60" orientation="portrait" verticalDpi="300" r:id="rId1"/>
  <headerFooter alignWithMargins="0">
    <oddHeader xml:space="preserve">&amp;C&amp;"Times New Roman CE,Félkövér"&amp;14
&amp;R&amp;"Arial,Félkövér"&amp;14 8. melléklet a ..../2020. (......) önkormányzati rendelethez&amp;"Arial,Normál"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3"/>
  <dimension ref="B1:L136"/>
  <sheetViews>
    <sheetView zoomScale="75" zoomScaleNormal="75" zoomScaleSheetLayoutView="75" workbookViewId="0">
      <selection activeCell="J20" sqref="J20"/>
    </sheetView>
  </sheetViews>
  <sheetFormatPr defaultColWidth="9.33203125" defaultRowHeight="15" customHeight="1" x14ac:dyDescent="0.2"/>
  <cols>
    <col min="1" max="1" width="12.5" style="10" bestFit="1" customWidth="1"/>
    <col min="2" max="2" width="103.33203125" style="10" customWidth="1"/>
    <col min="3" max="6" width="20.6640625" style="10" customWidth="1"/>
    <col min="7" max="7" width="26.6640625" style="5" customWidth="1"/>
    <col min="8" max="8" width="21" style="5" bestFit="1" customWidth="1"/>
    <col min="9" max="9" width="21.6640625" style="5" customWidth="1"/>
    <col min="10" max="10" width="59" style="5" customWidth="1"/>
    <col min="11" max="12" width="59" style="1129" customWidth="1"/>
    <col min="13" max="16384" width="9.33203125" style="10"/>
  </cols>
  <sheetData>
    <row r="1" spans="2:12" ht="15" customHeight="1" x14ac:dyDescent="0.25">
      <c r="B1" s="16"/>
    </row>
    <row r="2" spans="2:12" ht="24" customHeight="1" x14ac:dyDescent="0.35">
      <c r="B2" s="2716" t="s">
        <v>482</v>
      </c>
      <c r="C2" s="2716"/>
      <c r="D2" s="2716"/>
      <c r="E2" s="2716"/>
      <c r="F2" s="2716"/>
    </row>
    <row r="3" spans="2:12" ht="15" customHeight="1" x14ac:dyDescent="0.25">
      <c r="B3" s="16"/>
      <c r="C3" s="16"/>
    </row>
    <row r="4" spans="2:12" ht="24.75" customHeight="1" thickBot="1" x14ac:dyDescent="0.35">
      <c r="B4" s="300" t="s">
        <v>202</v>
      </c>
      <c r="C4" s="301"/>
      <c r="D4" s="139"/>
      <c r="E4" s="139"/>
      <c r="F4" s="301" t="s">
        <v>26</v>
      </c>
    </row>
    <row r="5" spans="2:12" ht="24.75" customHeight="1" x14ac:dyDescent="0.25">
      <c r="B5" s="535" t="s">
        <v>42</v>
      </c>
      <c r="C5" s="2717" t="s">
        <v>517</v>
      </c>
      <c r="D5" s="2717"/>
      <c r="E5" s="773" t="s">
        <v>685</v>
      </c>
      <c r="F5" s="774" t="s">
        <v>139</v>
      </c>
    </row>
    <row r="6" spans="2:12" ht="24.75" customHeight="1" thickBot="1" x14ac:dyDescent="0.3">
      <c r="B6" s="302"/>
      <c r="C6" s="775" t="s">
        <v>264</v>
      </c>
      <c r="D6" s="776" t="s">
        <v>137</v>
      </c>
      <c r="E6" s="777" t="s">
        <v>138</v>
      </c>
      <c r="F6" s="778" t="s">
        <v>140</v>
      </c>
    </row>
    <row r="7" spans="2:12" s="19" customFormat="1" ht="17.100000000000001" customHeight="1" x14ac:dyDescent="0.25">
      <c r="B7" s="42" t="s">
        <v>97</v>
      </c>
      <c r="C7" s="43"/>
      <c r="D7" s="43"/>
      <c r="E7" s="43"/>
      <c r="F7" s="43"/>
      <c r="G7" s="5"/>
      <c r="H7" s="5"/>
      <c r="I7" s="5"/>
      <c r="J7" s="5"/>
      <c r="K7" s="1129"/>
      <c r="L7" s="1129"/>
    </row>
    <row r="8" spans="2:12" ht="24.95" customHeight="1" x14ac:dyDescent="0.25">
      <c r="B8" s="678" t="s">
        <v>98</v>
      </c>
      <c r="C8" s="679"/>
      <c r="D8" s="679"/>
      <c r="E8" s="679"/>
      <c r="F8" s="680"/>
    </row>
    <row r="9" spans="2:12" ht="38.25" customHeight="1" x14ac:dyDescent="0.25">
      <c r="B9" s="681" t="s">
        <v>635</v>
      </c>
      <c r="C9" s="682">
        <v>100091</v>
      </c>
      <c r="D9" s="682">
        <v>166346</v>
      </c>
      <c r="E9" s="682">
        <v>39969</v>
      </c>
      <c r="F9" s="683">
        <f t="shared" ref="F9:F11" si="0">+E9/D9*100</f>
        <v>24.027629158500957</v>
      </c>
    </row>
    <row r="10" spans="2:12" ht="24.95" customHeight="1" x14ac:dyDescent="0.25">
      <c r="B10" s="684" t="s">
        <v>636</v>
      </c>
      <c r="C10" s="685">
        <v>287126</v>
      </c>
      <c r="D10" s="685">
        <v>474547</v>
      </c>
      <c r="E10" s="685">
        <v>474547</v>
      </c>
      <c r="F10" s="683">
        <f t="shared" si="0"/>
        <v>100</v>
      </c>
    </row>
    <row r="11" spans="2:12" ht="40.5" customHeight="1" thickBot="1" x14ac:dyDescent="0.3">
      <c r="B11" s="686" t="s">
        <v>637</v>
      </c>
      <c r="C11" s="685"/>
      <c r="D11" s="685">
        <v>1040</v>
      </c>
      <c r="E11" s="685">
        <v>1040</v>
      </c>
      <c r="F11" s="683">
        <f t="shared" si="0"/>
        <v>100</v>
      </c>
    </row>
    <row r="12" spans="2:12" ht="24.95" customHeight="1" thickBot="1" x14ac:dyDescent="0.3">
      <c r="B12" s="687" t="s">
        <v>419</v>
      </c>
      <c r="C12" s="688">
        <f>SUM(C9:C11)</f>
        <v>387217</v>
      </c>
      <c r="D12" s="688">
        <f>SUM(D9:D11)</f>
        <v>641933</v>
      </c>
      <c r="E12" s="688">
        <f t="shared" ref="E12" si="1">SUM(E9:E11)</f>
        <v>515556</v>
      </c>
      <c r="F12" s="689">
        <f>+E12/D12*100</f>
        <v>80.313054477647981</v>
      </c>
    </row>
    <row r="13" spans="2:12" ht="16.5" x14ac:dyDescent="0.25">
      <c r="B13" s="690" t="s">
        <v>638</v>
      </c>
      <c r="C13" s="691">
        <v>23372</v>
      </c>
      <c r="D13" s="691">
        <v>37653</v>
      </c>
      <c r="E13" s="691">
        <v>20501</v>
      </c>
      <c r="F13" s="692">
        <f t="shared" ref="F13:F17" si="2">+E13/D13*100</f>
        <v>54.447188803017021</v>
      </c>
    </row>
    <row r="14" spans="2:12" ht="16.5" x14ac:dyDescent="0.25">
      <c r="B14" s="690" t="s">
        <v>639</v>
      </c>
      <c r="C14" s="691">
        <v>42400</v>
      </c>
      <c r="D14" s="691">
        <v>42400</v>
      </c>
      <c r="E14" s="691">
        <f>+'3 bev.részl'!I19</f>
        <v>42400</v>
      </c>
      <c r="F14" s="692">
        <f t="shared" si="2"/>
        <v>100</v>
      </c>
    </row>
    <row r="15" spans="2:12" ht="16.5" x14ac:dyDescent="0.25">
      <c r="B15" s="690" t="s">
        <v>640</v>
      </c>
      <c r="C15" s="691">
        <v>28200</v>
      </c>
      <c r="D15" s="691">
        <v>28200</v>
      </c>
      <c r="E15" s="691">
        <f>+'3 bev.részl'!I20</f>
        <v>28200</v>
      </c>
      <c r="F15" s="692">
        <f t="shared" si="2"/>
        <v>100</v>
      </c>
    </row>
    <row r="16" spans="2:12" ht="24.95" customHeight="1" x14ac:dyDescent="0.25">
      <c r="B16" s="690" t="s">
        <v>360</v>
      </c>
      <c r="C16" s="691">
        <v>33830</v>
      </c>
      <c r="D16" s="691">
        <v>60664</v>
      </c>
      <c r="E16" s="691">
        <v>60664</v>
      </c>
      <c r="F16" s="692">
        <f t="shared" si="2"/>
        <v>100</v>
      </c>
    </row>
    <row r="17" spans="2:6" ht="24.95" customHeight="1" thickBot="1" x14ac:dyDescent="0.3">
      <c r="B17" s="693" t="s">
        <v>641</v>
      </c>
      <c r="C17" s="694"/>
      <c r="D17" s="694">
        <v>9666</v>
      </c>
      <c r="E17" s="694">
        <v>9666</v>
      </c>
      <c r="F17" s="692">
        <f t="shared" si="2"/>
        <v>100</v>
      </c>
    </row>
    <row r="18" spans="2:6" ht="24.95" customHeight="1" thickBot="1" x14ac:dyDescent="0.3">
      <c r="B18" s="695" t="s">
        <v>311</v>
      </c>
      <c r="C18" s="688">
        <f>SUM(C13:C16)</f>
        <v>127802</v>
      </c>
      <c r="D18" s="2931">
        <f>SUM(D13:D17)</f>
        <v>178583</v>
      </c>
      <c r="E18" s="688">
        <f t="shared" ref="E18" si="3">SUM(E13:E17)</f>
        <v>161431</v>
      </c>
      <c r="F18" s="689">
        <f>+E18/D18*100</f>
        <v>90.395502371446341</v>
      </c>
    </row>
    <row r="19" spans="2:6" ht="36" customHeight="1" x14ac:dyDescent="0.25">
      <c r="B19" s="696" t="s">
        <v>642</v>
      </c>
      <c r="C19" s="697">
        <v>130107</v>
      </c>
      <c r="D19" s="697">
        <v>229755</v>
      </c>
      <c r="E19" s="697">
        <v>137115</v>
      </c>
      <c r="F19" s="698">
        <f t="shared" ref="F19:F22" si="4">+E19/D19*100</f>
        <v>59.678788274466278</v>
      </c>
    </row>
    <row r="20" spans="2:6" ht="24.95" customHeight="1" x14ac:dyDescent="0.25">
      <c r="B20" s="699" t="s">
        <v>643</v>
      </c>
      <c r="C20" s="700">
        <v>245000</v>
      </c>
      <c r="D20" s="700">
        <v>245000</v>
      </c>
      <c r="E20" s="700">
        <f>+'3 bev.részl'!I21</f>
        <v>245000</v>
      </c>
      <c r="F20" s="701">
        <f t="shared" si="4"/>
        <v>100</v>
      </c>
    </row>
    <row r="21" spans="2:6" ht="24.95" customHeight="1" x14ac:dyDescent="0.25">
      <c r="B21" s="699" t="s">
        <v>644</v>
      </c>
      <c r="C21" s="700">
        <v>87000</v>
      </c>
      <c r="D21" s="700">
        <v>150480</v>
      </c>
      <c r="E21" s="700">
        <v>150480</v>
      </c>
      <c r="F21" s="701">
        <f t="shared" si="4"/>
        <v>100</v>
      </c>
    </row>
    <row r="22" spans="2:6" ht="24.95" customHeight="1" thickBot="1" x14ac:dyDescent="0.3">
      <c r="B22" s="693" t="s">
        <v>645</v>
      </c>
      <c r="C22" s="694"/>
      <c r="D22" s="694">
        <v>12675</v>
      </c>
      <c r="E22" s="694">
        <v>12675</v>
      </c>
      <c r="F22" s="702">
        <f t="shared" si="4"/>
        <v>100</v>
      </c>
    </row>
    <row r="23" spans="2:6" ht="24.95" customHeight="1" thickBot="1" x14ac:dyDescent="0.3">
      <c r="B23" s="703" t="s">
        <v>312</v>
      </c>
      <c r="C23" s="704">
        <f>SUM(C19:C21)</f>
        <v>462107</v>
      </c>
      <c r="D23" s="704">
        <f>SUM(D19:D22)</f>
        <v>637910</v>
      </c>
      <c r="E23" s="704">
        <f t="shared" ref="E23" si="5">SUM(E19:E22)</f>
        <v>545270</v>
      </c>
      <c r="F23" s="689">
        <f>+E23/D23*100</f>
        <v>85.477575206533842</v>
      </c>
    </row>
    <row r="24" spans="2:6" ht="40.5" customHeight="1" x14ac:dyDescent="0.25">
      <c r="B24" s="1145" t="s">
        <v>646</v>
      </c>
      <c r="C24" s="705">
        <v>72365</v>
      </c>
      <c r="D24" s="705">
        <v>211422</v>
      </c>
      <c r="E24" s="705">
        <v>149499</v>
      </c>
      <c r="F24" s="706">
        <f t="shared" ref="F24:F27" si="6">+E24/D24*100</f>
        <v>70.711184266538012</v>
      </c>
    </row>
    <row r="25" spans="2:6" ht="24.95" customHeight="1" x14ac:dyDescent="0.25">
      <c r="B25" s="707" t="s">
        <v>4</v>
      </c>
      <c r="C25" s="708">
        <v>150000</v>
      </c>
      <c r="D25" s="708">
        <v>150000</v>
      </c>
      <c r="E25" s="708">
        <f>+'3 bev.részl'!I23</f>
        <v>150000</v>
      </c>
      <c r="F25" s="709">
        <f t="shared" si="6"/>
        <v>100</v>
      </c>
    </row>
    <row r="26" spans="2:6" ht="24.95" customHeight="1" x14ac:dyDescent="0.25">
      <c r="B26" s="684" t="s">
        <v>647</v>
      </c>
      <c r="C26" s="685">
        <v>24000</v>
      </c>
      <c r="D26" s="685">
        <v>46894</v>
      </c>
      <c r="E26" s="685">
        <v>46894</v>
      </c>
      <c r="F26" s="710">
        <f t="shared" si="6"/>
        <v>100</v>
      </c>
    </row>
    <row r="27" spans="2:6" ht="24.95" customHeight="1" thickBot="1" x14ac:dyDescent="0.3">
      <c r="B27" s="684" t="s">
        <v>648</v>
      </c>
      <c r="C27" s="708"/>
      <c r="D27" s="708">
        <v>38344</v>
      </c>
      <c r="E27" s="708">
        <v>38344</v>
      </c>
      <c r="F27" s="709">
        <f t="shared" si="6"/>
        <v>100</v>
      </c>
    </row>
    <row r="28" spans="2:6" ht="24.95" customHeight="1" thickBot="1" x14ac:dyDescent="0.3">
      <c r="B28" s="687" t="s">
        <v>209</v>
      </c>
      <c r="C28" s="688">
        <f>+C26+C24+C25+C27</f>
        <v>246365</v>
      </c>
      <c r="D28" s="688">
        <f>+D26+D24+D25+D27</f>
        <v>446660</v>
      </c>
      <c r="E28" s="688">
        <f t="shared" ref="E28" si="7">+E26+E24+E25+E27</f>
        <v>384737</v>
      </c>
      <c r="F28" s="689">
        <f>+E28/D28*100</f>
        <v>86.136434872162269</v>
      </c>
    </row>
    <row r="29" spans="2:6" ht="24.95" customHeight="1" x14ac:dyDescent="0.25">
      <c r="B29" s="711" t="s">
        <v>649</v>
      </c>
      <c r="C29" s="697">
        <v>185000</v>
      </c>
      <c r="D29" s="697">
        <v>237523</v>
      </c>
      <c r="E29" s="697">
        <v>147482</v>
      </c>
      <c r="F29" s="698">
        <f t="shared" ref="F29:F32" si="8">+E29/D29*100</f>
        <v>62.091671122375516</v>
      </c>
    </row>
    <row r="30" spans="2:6" ht="24.95" customHeight="1" x14ac:dyDescent="0.25">
      <c r="B30" s="712" t="s">
        <v>650</v>
      </c>
      <c r="C30" s="700">
        <v>147600</v>
      </c>
      <c r="D30" s="700">
        <v>147600</v>
      </c>
      <c r="E30" s="700">
        <f>+'3 bev.részl'!I22</f>
        <v>147600</v>
      </c>
      <c r="F30" s="701">
        <f t="shared" si="8"/>
        <v>100</v>
      </c>
    </row>
    <row r="31" spans="2:6" ht="24.95" customHeight="1" x14ac:dyDescent="0.25">
      <c r="B31" s="712" t="s">
        <v>651</v>
      </c>
      <c r="C31" s="700">
        <v>178083</v>
      </c>
      <c r="D31" s="700">
        <v>245817</v>
      </c>
      <c r="E31" s="700">
        <v>245817</v>
      </c>
      <c r="F31" s="692">
        <f t="shared" si="8"/>
        <v>100</v>
      </c>
    </row>
    <row r="32" spans="2:6" ht="24.95" customHeight="1" thickBot="1" x14ac:dyDescent="0.3">
      <c r="B32" s="713" t="s">
        <v>570</v>
      </c>
      <c r="C32" s="694"/>
      <c r="D32" s="694">
        <v>28106</v>
      </c>
      <c r="E32" s="694">
        <v>28106</v>
      </c>
      <c r="F32" s="692">
        <f t="shared" si="8"/>
        <v>100</v>
      </c>
    </row>
    <row r="33" spans="2:12" ht="24.95" customHeight="1" thickBot="1" x14ac:dyDescent="0.3">
      <c r="B33" s="687" t="s">
        <v>3</v>
      </c>
      <c r="C33" s="688">
        <f>SUM(C29:C32)</f>
        <v>510683</v>
      </c>
      <c r="D33" s="688">
        <f>+D31+D29+D30+D32</f>
        <v>659046</v>
      </c>
      <c r="E33" s="688">
        <f t="shared" ref="E33" si="9">+E31+E29+E30+E32</f>
        <v>569005</v>
      </c>
      <c r="F33" s="689">
        <f>+E33/D33*100</f>
        <v>86.337675974059465</v>
      </c>
    </row>
    <row r="34" spans="2:12" ht="24.95" customHeight="1" thickBot="1" x14ac:dyDescent="0.3">
      <c r="B34" s="687" t="s">
        <v>483</v>
      </c>
      <c r="C34" s="688">
        <f>+C12+C18+C23+C28+C33</f>
        <v>1734174</v>
      </c>
      <c r="D34" s="688">
        <f t="shared" ref="D34:E34" si="10">+D12+D18+D23+D28+D33</f>
        <v>2564132</v>
      </c>
      <c r="E34" s="688">
        <f t="shared" si="10"/>
        <v>2175999</v>
      </c>
      <c r="F34" s="689">
        <f>+E34/D34*100</f>
        <v>84.862986772911839</v>
      </c>
    </row>
    <row r="35" spans="2:12" ht="27" customHeight="1" x14ac:dyDescent="0.25">
      <c r="B35" s="714" t="s">
        <v>652</v>
      </c>
      <c r="C35" s="691">
        <v>275800</v>
      </c>
      <c r="D35" s="691">
        <v>185451</v>
      </c>
      <c r="E35" s="691">
        <f>393851-E36-E37</f>
        <v>185451</v>
      </c>
      <c r="F35" s="692">
        <f t="shared" ref="F35:F39" si="11">+E35/D35*100</f>
        <v>100</v>
      </c>
    </row>
    <row r="36" spans="2:12" ht="39" customHeight="1" x14ac:dyDescent="0.25">
      <c r="B36" s="715" t="s">
        <v>725</v>
      </c>
      <c r="C36" s="694">
        <v>125000</v>
      </c>
      <c r="D36" s="694">
        <v>125000</v>
      </c>
      <c r="E36" s="694">
        <f>+'3 bev.részl'!I17</f>
        <v>125000</v>
      </c>
      <c r="F36" s="692">
        <f t="shared" si="11"/>
        <v>100</v>
      </c>
    </row>
    <row r="37" spans="2:12" ht="46.5" customHeight="1" thickBot="1" x14ac:dyDescent="0.3">
      <c r="B37" s="716" t="s">
        <v>724</v>
      </c>
      <c r="C37" s="717">
        <v>83400</v>
      </c>
      <c r="D37" s="717">
        <v>83400</v>
      </c>
      <c r="E37" s="717">
        <f>+'3 bev.részl'!I18</f>
        <v>83400</v>
      </c>
      <c r="F37" s="692">
        <f t="shared" si="11"/>
        <v>100</v>
      </c>
    </row>
    <row r="38" spans="2:12" s="33" customFormat="1" ht="24.95" customHeight="1" thickBot="1" x14ac:dyDescent="0.3">
      <c r="B38" s="687" t="s">
        <v>99</v>
      </c>
      <c r="C38" s="718">
        <f>SUM(C35:C37)</f>
        <v>484200</v>
      </c>
      <c r="D38" s="718">
        <f>SUM(D35:D37)</f>
        <v>393851</v>
      </c>
      <c r="E38" s="718">
        <f>SUM(E35:E37)</f>
        <v>393851</v>
      </c>
      <c r="F38" s="689">
        <f t="shared" si="11"/>
        <v>100</v>
      </c>
      <c r="G38" s="5"/>
      <c r="H38" s="5"/>
      <c r="I38" s="5"/>
      <c r="J38" s="5"/>
      <c r="K38" s="1129"/>
      <c r="L38" s="1129"/>
    </row>
    <row r="39" spans="2:12" ht="24.95" customHeight="1" thickBot="1" x14ac:dyDescent="0.3">
      <c r="B39" s="719" t="s">
        <v>100</v>
      </c>
      <c r="C39" s="720">
        <f>+C34+C38</f>
        <v>2218374</v>
      </c>
      <c r="D39" s="720">
        <f t="shared" ref="D39:E39" si="12">+D34+D38</f>
        <v>2957983</v>
      </c>
      <c r="E39" s="720">
        <f t="shared" si="12"/>
        <v>2569850</v>
      </c>
      <c r="F39" s="689">
        <f t="shared" si="11"/>
        <v>86.878457381262848</v>
      </c>
    </row>
    <row r="40" spans="2:12" ht="24.95" customHeight="1" x14ac:dyDescent="0.25">
      <c r="B40" s="721" t="s">
        <v>420</v>
      </c>
      <c r="C40" s="697"/>
      <c r="D40" s="697"/>
      <c r="E40" s="697"/>
      <c r="F40" s="698"/>
    </row>
    <row r="41" spans="2:12" ht="24.95" customHeight="1" x14ac:dyDescent="0.25">
      <c r="B41" s="722" t="s">
        <v>318</v>
      </c>
      <c r="C41" s="723">
        <v>2000</v>
      </c>
      <c r="D41" s="723">
        <v>2000</v>
      </c>
      <c r="E41" s="1202">
        <v>2000</v>
      </c>
      <c r="F41" s="1203">
        <f t="shared" ref="F41:F62" si="13">+E41/D41*100</f>
        <v>100</v>
      </c>
    </row>
    <row r="42" spans="2:12" s="19" customFormat="1" ht="24.95" customHeight="1" x14ac:dyDescent="0.25">
      <c r="B42" s="725" t="s">
        <v>5</v>
      </c>
      <c r="C42" s="726">
        <v>1200</v>
      </c>
      <c r="D42" s="726">
        <v>1200</v>
      </c>
      <c r="E42" s="1204">
        <v>1200</v>
      </c>
      <c r="F42" s="1203">
        <f t="shared" si="13"/>
        <v>100</v>
      </c>
      <c r="G42" s="5"/>
      <c r="H42" s="5"/>
      <c r="I42" s="5"/>
      <c r="J42" s="5"/>
      <c r="K42" s="1129"/>
      <c r="L42" s="1129"/>
    </row>
    <row r="43" spans="2:12" ht="24.95" customHeight="1" x14ac:dyDescent="0.25">
      <c r="B43" s="727" t="s">
        <v>169</v>
      </c>
      <c r="C43" s="728">
        <v>5000</v>
      </c>
      <c r="D43" s="728">
        <v>5000</v>
      </c>
      <c r="E43" s="1205">
        <v>5000</v>
      </c>
      <c r="F43" s="1203">
        <f t="shared" si="13"/>
        <v>100</v>
      </c>
    </row>
    <row r="44" spans="2:12" s="19" customFormat="1" ht="24.95" customHeight="1" x14ac:dyDescent="0.25">
      <c r="B44" s="725" t="s">
        <v>170</v>
      </c>
      <c r="C44" s="726">
        <v>5000</v>
      </c>
      <c r="D44" s="726">
        <v>5000</v>
      </c>
      <c r="E44" s="1204">
        <v>5000</v>
      </c>
      <c r="F44" s="1203">
        <f t="shared" si="13"/>
        <v>100</v>
      </c>
      <c r="G44" s="5"/>
      <c r="H44" s="5"/>
      <c r="I44" s="5"/>
      <c r="J44" s="5"/>
      <c r="K44" s="1129"/>
      <c r="L44" s="1129"/>
    </row>
    <row r="45" spans="2:12" ht="24.95" customHeight="1" x14ac:dyDescent="0.25">
      <c r="B45" s="722" t="s">
        <v>171</v>
      </c>
      <c r="C45" s="728">
        <v>17000</v>
      </c>
      <c r="D45" s="728">
        <v>17000</v>
      </c>
      <c r="E45" s="1205">
        <v>17000</v>
      </c>
      <c r="F45" s="1203">
        <f t="shared" si="13"/>
        <v>100</v>
      </c>
    </row>
    <row r="46" spans="2:12" s="19" customFormat="1" ht="24.95" customHeight="1" x14ac:dyDescent="0.25">
      <c r="B46" s="725" t="s">
        <v>172</v>
      </c>
      <c r="C46" s="726">
        <v>1000</v>
      </c>
      <c r="D46" s="726">
        <v>1000</v>
      </c>
      <c r="E46" s="1204">
        <v>1000</v>
      </c>
      <c r="F46" s="1203">
        <f t="shared" si="13"/>
        <v>100</v>
      </c>
      <c r="G46" s="5"/>
      <c r="H46" s="5"/>
      <c r="I46" s="5"/>
      <c r="J46" s="5"/>
      <c r="K46" s="1129"/>
      <c r="L46" s="1129"/>
    </row>
    <row r="47" spans="2:12" ht="24.95" customHeight="1" x14ac:dyDescent="0.25">
      <c r="B47" s="727" t="s">
        <v>173</v>
      </c>
      <c r="C47" s="728">
        <v>6000</v>
      </c>
      <c r="D47" s="728">
        <v>6000</v>
      </c>
      <c r="E47" s="1205">
        <v>6000</v>
      </c>
      <c r="F47" s="1203">
        <f t="shared" si="13"/>
        <v>100</v>
      </c>
    </row>
    <row r="48" spans="2:12" ht="39.75" customHeight="1" x14ac:dyDescent="0.25">
      <c r="B48" s="727" t="s">
        <v>764</v>
      </c>
      <c r="C48" s="728"/>
      <c r="D48" s="728">
        <v>350</v>
      </c>
      <c r="E48" s="1205">
        <v>350</v>
      </c>
      <c r="F48" s="1203">
        <f t="shared" si="13"/>
        <v>100</v>
      </c>
    </row>
    <row r="49" spans="2:6" ht="24.95" customHeight="1" x14ac:dyDescent="0.25">
      <c r="B49" s="727" t="s">
        <v>520</v>
      </c>
      <c r="C49" s="728">
        <v>3000</v>
      </c>
      <c r="D49" s="728">
        <v>3000</v>
      </c>
      <c r="E49" s="1205">
        <v>3000</v>
      </c>
      <c r="F49" s="1203">
        <f t="shared" si="13"/>
        <v>100</v>
      </c>
    </row>
    <row r="50" spans="2:6" ht="24.95" customHeight="1" x14ac:dyDescent="0.25">
      <c r="B50" s="722" t="s">
        <v>6</v>
      </c>
      <c r="C50" s="729">
        <v>650</v>
      </c>
      <c r="D50" s="729">
        <v>650</v>
      </c>
      <c r="E50" s="1206">
        <v>650</v>
      </c>
      <c r="F50" s="1207">
        <f t="shared" si="13"/>
        <v>100</v>
      </c>
    </row>
    <row r="51" spans="2:6" ht="24.95" customHeight="1" x14ac:dyDescent="0.25">
      <c r="B51" s="712" t="s">
        <v>25</v>
      </c>
      <c r="C51" s="731">
        <v>1000</v>
      </c>
      <c r="D51" s="731">
        <v>1000</v>
      </c>
      <c r="E51" s="1208">
        <v>1000</v>
      </c>
      <c r="F51" s="1207">
        <f t="shared" si="13"/>
        <v>100</v>
      </c>
    </row>
    <row r="52" spans="2:6" ht="24.95" customHeight="1" x14ac:dyDescent="0.25">
      <c r="B52" s="722" t="s">
        <v>10</v>
      </c>
      <c r="C52" s="729">
        <v>6000</v>
      </c>
      <c r="D52" s="729">
        <v>6000</v>
      </c>
      <c r="E52" s="1206">
        <v>6000</v>
      </c>
      <c r="F52" s="1207">
        <f t="shared" si="13"/>
        <v>100</v>
      </c>
    </row>
    <row r="53" spans="2:6" ht="24.95" customHeight="1" x14ac:dyDescent="0.25">
      <c r="B53" s="722" t="s">
        <v>187</v>
      </c>
      <c r="C53" s="729">
        <v>2000</v>
      </c>
      <c r="D53" s="729">
        <v>2000</v>
      </c>
      <c r="E53" s="1206">
        <v>2000</v>
      </c>
      <c r="F53" s="1207">
        <f t="shared" si="13"/>
        <v>100</v>
      </c>
    </row>
    <row r="54" spans="2:6" ht="39.75" customHeight="1" x14ac:dyDescent="0.25">
      <c r="B54" s="1215" t="s">
        <v>765</v>
      </c>
      <c r="C54" s="723"/>
      <c r="D54" s="723">
        <v>950</v>
      </c>
      <c r="E54" s="1202">
        <v>950</v>
      </c>
      <c r="F54" s="1203">
        <f t="shared" si="13"/>
        <v>100</v>
      </c>
    </row>
    <row r="55" spans="2:6" ht="24.95" customHeight="1" x14ac:dyDescent="0.25">
      <c r="B55" s="727" t="s">
        <v>188</v>
      </c>
      <c r="C55" s="728">
        <v>1500</v>
      </c>
      <c r="D55" s="728">
        <v>1500</v>
      </c>
      <c r="E55" s="1205">
        <v>1500</v>
      </c>
      <c r="F55" s="1203">
        <f t="shared" si="13"/>
        <v>100</v>
      </c>
    </row>
    <row r="56" spans="2:6" ht="24.95" customHeight="1" x14ac:dyDescent="0.25">
      <c r="B56" s="732" t="s">
        <v>282</v>
      </c>
      <c r="C56" s="729">
        <v>1600</v>
      </c>
      <c r="D56" s="729">
        <v>1600</v>
      </c>
      <c r="E56" s="1206">
        <v>1600</v>
      </c>
      <c r="F56" s="1203">
        <f t="shared" si="13"/>
        <v>100</v>
      </c>
    </row>
    <row r="57" spans="2:6" ht="42.75" customHeight="1" x14ac:dyDescent="0.25">
      <c r="B57" s="727" t="s">
        <v>36</v>
      </c>
      <c r="C57" s="729">
        <v>1000</v>
      </c>
      <c r="D57" s="729">
        <v>1000</v>
      </c>
      <c r="E57" s="1206">
        <v>1000</v>
      </c>
      <c r="F57" s="1207">
        <f t="shared" si="13"/>
        <v>100</v>
      </c>
    </row>
    <row r="58" spans="2:6" ht="45" customHeight="1" x14ac:dyDescent="0.25">
      <c r="B58" s="727" t="s">
        <v>521</v>
      </c>
      <c r="C58" s="728">
        <v>1200</v>
      </c>
      <c r="D58" s="728">
        <v>1200</v>
      </c>
      <c r="E58" s="1205">
        <v>1200</v>
      </c>
      <c r="F58" s="1203">
        <f t="shared" si="13"/>
        <v>100</v>
      </c>
    </row>
    <row r="59" spans="2:6" ht="24.95" customHeight="1" x14ac:dyDescent="0.25">
      <c r="B59" s="732" t="s">
        <v>522</v>
      </c>
      <c r="C59" s="729">
        <v>800</v>
      </c>
      <c r="D59" s="729">
        <v>800</v>
      </c>
      <c r="E59" s="1206">
        <v>800</v>
      </c>
      <c r="F59" s="1207">
        <f t="shared" si="13"/>
        <v>100</v>
      </c>
    </row>
    <row r="60" spans="2:6" ht="47.25" customHeight="1" x14ac:dyDescent="0.25">
      <c r="B60" s="727" t="s">
        <v>523</v>
      </c>
      <c r="C60" s="728">
        <v>1500</v>
      </c>
      <c r="D60" s="728">
        <v>1500</v>
      </c>
      <c r="E60" s="1205">
        <v>1500</v>
      </c>
      <c r="F60" s="1207">
        <f t="shared" si="13"/>
        <v>100</v>
      </c>
    </row>
    <row r="61" spans="2:6" ht="24.95" customHeight="1" x14ac:dyDescent="0.25">
      <c r="B61" s="732" t="s">
        <v>473</v>
      </c>
      <c r="C61" s="729">
        <v>1000</v>
      </c>
      <c r="D61" s="729">
        <v>1000</v>
      </c>
      <c r="E61" s="1206">
        <v>1000</v>
      </c>
      <c r="F61" s="1207">
        <f t="shared" si="13"/>
        <v>100</v>
      </c>
    </row>
    <row r="62" spans="2:6" ht="24.75" customHeight="1" x14ac:dyDescent="0.25">
      <c r="B62" s="733" t="s">
        <v>524</v>
      </c>
      <c r="C62" s="734">
        <v>1000</v>
      </c>
      <c r="D62" s="734">
        <v>1000</v>
      </c>
      <c r="E62" s="1209">
        <v>0</v>
      </c>
      <c r="F62" s="1210">
        <f t="shared" si="13"/>
        <v>0</v>
      </c>
    </row>
    <row r="63" spans="2:6" ht="24.95" customHeight="1" thickBot="1" x14ac:dyDescent="0.3">
      <c r="B63" s="735" t="s">
        <v>421</v>
      </c>
      <c r="C63" s="736">
        <f>SUM(C41:C62)</f>
        <v>59450</v>
      </c>
      <c r="D63" s="736">
        <f>SUM(D41:D62)</f>
        <v>60750</v>
      </c>
      <c r="E63" s="736">
        <f>SUM(E41:E62)</f>
        <v>59750</v>
      </c>
      <c r="F63" s="740">
        <f t="shared" ref="F63:F64" si="14">+E63/D63*100</f>
        <v>98.353909465020578</v>
      </c>
    </row>
    <row r="64" spans="2:6" ht="33" customHeight="1" thickBot="1" x14ac:dyDescent="0.3">
      <c r="B64" s="737" t="s">
        <v>101</v>
      </c>
      <c r="C64" s="738">
        <f>C39+C63</f>
        <v>2277824</v>
      </c>
      <c r="D64" s="738">
        <f>D39+D63</f>
        <v>3018733</v>
      </c>
      <c r="E64" s="738">
        <f>E39+E63</f>
        <v>2629600</v>
      </c>
      <c r="F64" s="741">
        <f t="shared" si="14"/>
        <v>87.109393245444366</v>
      </c>
    </row>
    <row r="65" spans="2:12" s="19" customFormat="1" ht="24.75" customHeight="1" x14ac:dyDescent="0.25">
      <c r="B65" s="44" t="s">
        <v>313</v>
      </c>
      <c r="C65" s="742"/>
      <c r="D65" s="742"/>
      <c r="E65" s="742"/>
      <c r="F65" s="743"/>
      <c r="G65" s="5"/>
      <c r="H65" s="5"/>
      <c r="I65" s="5"/>
      <c r="J65" s="5"/>
      <c r="K65" s="1129"/>
      <c r="L65" s="1129"/>
    </row>
    <row r="66" spans="2:12" s="19" customFormat="1" ht="24.75" customHeight="1" x14ac:dyDescent="0.25">
      <c r="B66" s="49"/>
      <c r="C66" s="46"/>
      <c r="D66" s="46"/>
      <c r="E66" s="46"/>
      <c r="F66" s="48"/>
      <c r="G66" s="5"/>
      <c r="H66" s="5"/>
      <c r="I66" s="5"/>
      <c r="J66" s="5"/>
      <c r="K66" s="1129"/>
      <c r="L66" s="1129"/>
    </row>
    <row r="67" spans="2:12" ht="24.75" customHeight="1" thickBot="1" x14ac:dyDescent="0.3">
      <c r="B67" s="737" t="s">
        <v>122</v>
      </c>
      <c r="C67" s="738">
        <v>15000</v>
      </c>
      <c r="D67" s="738">
        <v>13942</v>
      </c>
      <c r="E67" s="738">
        <v>13600</v>
      </c>
      <c r="F67" s="739">
        <f>+E67/D67*100</f>
        <v>97.546980347152484</v>
      </c>
    </row>
    <row r="68" spans="2:12" s="19" customFormat="1" ht="24.75" customHeight="1" x14ac:dyDescent="0.25">
      <c r="B68" s="44" t="s">
        <v>102</v>
      </c>
      <c r="C68" s="45"/>
      <c r="D68" s="45"/>
      <c r="E68" s="45"/>
      <c r="F68" s="47"/>
      <c r="G68" s="5"/>
      <c r="H68" s="5"/>
      <c r="I68" s="5"/>
      <c r="J68" s="5"/>
      <c r="K68" s="1129"/>
      <c r="L68" s="1129"/>
    </row>
    <row r="69" spans="2:12" ht="18" customHeight="1" thickBot="1" x14ac:dyDescent="0.25">
      <c r="B69" s="64"/>
      <c r="C69" s="62"/>
      <c r="D69" s="62"/>
      <c r="E69" s="62"/>
      <c r="F69" s="63"/>
    </row>
    <row r="70" spans="2:12" ht="24.75" customHeight="1" thickBot="1" x14ac:dyDescent="0.3">
      <c r="B70" s="744" t="s">
        <v>400</v>
      </c>
      <c r="C70" s="720">
        <v>17500</v>
      </c>
      <c r="D70" s="720">
        <v>0</v>
      </c>
      <c r="E70" s="720"/>
      <c r="F70" s="689">
        <v>0</v>
      </c>
    </row>
    <row r="71" spans="2:12" s="19" customFormat="1" ht="24.75" customHeight="1" x14ac:dyDescent="0.25">
      <c r="B71" s="745" t="s">
        <v>103</v>
      </c>
      <c r="C71" s="742"/>
      <c r="D71" s="742"/>
      <c r="E71" s="742"/>
      <c r="F71" s="743"/>
      <c r="G71" s="5"/>
      <c r="H71" s="5"/>
      <c r="I71" s="5"/>
      <c r="J71" s="5"/>
      <c r="K71" s="1129"/>
      <c r="L71" s="1129"/>
    </row>
    <row r="72" spans="2:12" ht="29.25" customHeight="1" x14ac:dyDescent="0.25">
      <c r="B72" s="746" t="s">
        <v>214</v>
      </c>
      <c r="C72" s="728">
        <v>2000</v>
      </c>
      <c r="D72" s="728">
        <v>2000</v>
      </c>
      <c r="E72" s="1205">
        <v>2000</v>
      </c>
      <c r="F72" s="1211">
        <f>+E72/D72*100</f>
        <v>100</v>
      </c>
    </row>
    <row r="73" spans="2:12" ht="29.25" customHeight="1" x14ac:dyDescent="0.25">
      <c r="B73" s="746" t="s">
        <v>401</v>
      </c>
      <c r="C73" s="728">
        <v>30000</v>
      </c>
      <c r="D73" s="728">
        <v>0</v>
      </c>
      <c r="E73" s="1205">
        <v>0</v>
      </c>
      <c r="F73" s="1211"/>
    </row>
    <row r="74" spans="2:12" ht="29.25" customHeight="1" x14ac:dyDescent="0.25">
      <c r="B74" s="746" t="s">
        <v>525</v>
      </c>
      <c r="C74" s="728">
        <v>8000</v>
      </c>
      <c r="D74" s="728">
        <v>3500</v>
      </c>
      <c r="E74" s="1205">
        <v>2607</v>
      </c>
      <c r="F74" s="1211">
        <f t="shared" ref="F74:F75" si="15">+E74/D74*100</f>
        <v>74.485714285714295</v>
      </c>
    </row>
    <row r="75" spans="2:12" ht="29.25" customHeight="1" x14ac:dyDescent="0.25">
      <c r="B75" s="746" t="s">
        <v>440</v>
      </c>
      <c r="C75" s="728">
        <v>10000</v>
      </c>
      <c r="D75" s="728">
        <v>10000</v>
      </c>
      <c r="E75" s="1205">
        <v>10000</v>
      </c>
      <c r="F75" s="1211">
        <f t="shared" si="15"/>
        <v>100</v>
      </c>
    </row>
    <row r="76" spans="2:12" ht="24.95" customHeight="1" thickBot="1" x14ac:dyDescent="0.3">
      <c r="B76" s="737" t="s">
        <v>104</v>
      </c>
      <c r="C76" s="738">
        <f>SUM(C72:C75)</f>
        <v>50000</v>
      </c>
      <c r="D76" s="738">
        <f>SUM(D72:D75)</f>
        <v>15500</v>
      </c>
      <c r="E76" s="738">
        <f>SUM(E72:E75)</f>
        <v>14607</v>
      </c>
      <c r="F76" s="747">
        <f>+E76/D76*100</f>
        <v>94.238709677419351</v>
      </c>
    </row>
    <row r="77" spans="2:12" ht="24.95" customHeight="1" thickBot="1" x14ac:dyDescent="0.3">
      <c r="B77" s="737" t="s">
        <v>105</v>
      </c>
      <c r="C77" s="738">
        <f>C70+C76</f>
        <v>67500</v>
      </c>
      <c r="D77" s="738">
        <f>D70+D76</f>
        <v>15500</v>
      </c>
      <c r="E77" s="738">
        <f>E70+E76</f>
        <v>14607</v>
      </c>
      <c r="F77" s="689">
        <f>+E77/D77*100</f>
        <v>94.238709677419351</v>
      </c>
    </row>
    <row r="78" spans="2:12" s="19" customFormat="1" ht="24.95" customHeight="1" x14ac:dyDescent="0.25">
      <c r="B78" s="44" t="s">
        <v>106</v>
      </c>
      <c r="C78" s="45"/>
      <c r="D78" s="45"/>
      <c r="E78" s="45"/>
      <c r="F78" s="47"/>
      <c r="G78" s="5"/>
      <c r="H78" s="5"/>
      <c r="I78" s="5"/>
      <c r="J78" s="5"/>
      <c r="K78" s="1129"/>
      <c r="L78" s="1129"/>
    </row>
    <row r="79" spans="2:12" s="19" customFormat="1" ht="40.5" customHeight="1" x14ac:dyDescent="0.25">
      <c r="B79" s="748" t="s">
        <v>314</v>
      </c>
      <c r="C79" s="749"/>
      <c r="D79" s="749"/>
      <c r="E79" s="749"/>
      <c r="F79" s="750"/>
      <c r="G79" s="5"/>
      <c r="H79" s="5"/>
      <c r="I79" s="5"/>
      <c r="J79" s="5"/>
      <c r="K79" s="1129"/>
      <c r="L79" s="1129"/>
    </row>
    <row r="80" spans="2:12" ht="24.95" customHeight="1" x14ac:dyDescent="0.25">
      <c r="B80" s="725" t="s">
        <v>422</v>
      </c>
      <c r="C80" s="728">
        <v>2400</v>
      </c>
      <c r="D80" s="728">
        <f>1947-330</f>
        <v>1617</v>
      </c>
      <c r="E80" s="1205">
        <v>1616</v>
      </c>
      <c r="F80" s="1203">
        <f t="shared" ref="F80:F89" si="16">+E80/D80*100</f>
        <v>99.938157081014225</v>
      </c>
    </row>
    <row r="81" spans="2:12" s="19" customFormat="1" ht="24.95" customHeight="1" x14ac:dyDescent="0.25">
      <c r="B81" s="725" t="s">
        <v>696</v>
      </c>
      <c r="C81" s="726">
        <v>32331</v>
      </c>
      <c r="D81" s="726">
        <v>35830</v>
      </c>
      <c r="E81" s="1204">
        <v>35829</v>
      </c>
      <c r="F81" s="1203">
        <f t="shared" si="16"/>
        <v>99.997209042701655</v>
      </c>
      <c r="G81" s="5"/>
      <c r="H81" s="5"/>
      <c r="I81" s="5"/>
      <c r="J81" s="5"/>
      <c r="K81" s="1129"/>
      <c r="L81" s="1129"/>
    </row>
    <row r="82" spans="2:12" s="19" customFormat="1" ht="24.95" customHeight="1" x14ac:dyDescent="0.25">
      <c r="B82" s="725" t="s">
        <v>402</v>
      </c>
      <c r="C82" s="726">
        <v>37500</v>
      </c>
      <c r="D82" s="726">
        <v>57500</v>
      </c>
      <c r="E82" s="1204">
        <v>57500</v>
      </c>
      <c r="F82" s="1203">
        <f t="shared" si="16"/>
        <v>100</v>
      </c>
      <c r="G82" s="5"/>
      <c r="H82" s="5"/>
      <c r="I82" s="5"/>
      <c r="J82" s="5"/>
      <c r="K82" s="1129"/>
      <c r="L82" s="1129"/>
    </row>
    <row r="83" spans="2:12" s="19" customFormat="1" ht="24.75" customHeight="1" x14ac:dyDescent="0.25">
      <c r="B83" s="725" t="s">
        <v>571</v>
      </c>
      <c r="C83" s="726"/>
      <c r="D83" s="726">
        <v>5000</v>
      </c>
      <c r="E83" s="1204">
        <v>5000</v>
      </c>
      <c r="F83" s="1203">
        <f t="shared" si="16"/>
        <v>100</v>
      </c>
      <c r="G83" s="5"/>
      <c r="H83" s="5"/>
      <c r="I83" s="5"/>
      <c r="J83" s="5"/>
      <c r="K83" s="1129"/>
      <c r="L83" s="1129"/>
    </row>
    <row r="84" spans="2:12" s="19" customFormat="1" ht="39" customHeight="1" x14ac:dyDescent="0.25">
      <c r="B84" s="725" t="s">
        <v>403</v>
      </c>
      <c r="C84" s="726">
        <v>15000</v>
      </c>
      <c r="D84" s="726">
        <v>15000</v>
      </c>
      <c r="E84" s="1204">
        <v>15000</v>
      </c>
      <c r="F84" s="1203">
        <f t="shared" si="16"/>
        <v>100</v>
      </c>
      <c r="G84" s="5"/>
      <c r="H84" s="5"/>
      <c r="I84" s="5"/>
      <c r="J84" s="5"/>
      <c r="K84" s="1129"/>
      <c r="L84" s="1129"/>
    </row>
    <row r="85" spans="2:12" s="19" customFormat="1" ht="39.75" customHeight="1" x14ac:dyDescent="0.25">
      <c r="B85" s="725" t="s">
        <v>337</v>
      </c>
      <c r="C85" s="726">
        <v>10000</v>
      </c>
      <c r="D85" s="726">
        <v>10000</v>
      </c>
      <c r="E85" s="1204">
        <v>10000</v>
      </c>
      <c r="F85" s="1203">
        <f t="shared" si="16"/>
        <v>100</v>
      </c>
      <c r="G85" s="5"/>
      <c r="H85" s="5"/>
      <c r="I85" s="5"/>
      <c r="J85" s="5"/>
      <c r="K85" s="1129"/>
      <c r="L85" s="1129"/>
    </row>
    <row r="86" spans="2:12" s="19" customFormat="1" ht="45.75" customHeight="1" x14ac:dyDescent="0.25">
      <c r="B86" s="725" t="s">
        <v>572</v>
      </c>
      <c r="C86" s="726"/>
      <c r="D86" s="726">
        <v>1000</v>
      </c>
      <c r="E86" s="1204">
        <v>1000</v>
      </c>
      <c r="F86" s="1203">
        <f t="shared" si="16"/>
        <v>100</v>
      </c>
      <c r="G86" s="5"/>
      <c r="H86" s="5"/>
      <c r="I86" s="5"/>
      <c r="J86" s="5"/>
      <c r="K86" s="1129"/>
      <c r="L86" s="1129"/>
    </row>
    <row r="87" spans="2:12" s="19" customFormat="1" ht="24.95" customHeight="1" x14ac:dyDescent="0.25">
      <c r="B87" s="725" t="s">
        <v>526</v>
      </c>
      <c r="C87" s="726">
        <v>14000</v>
      </c>
      <c r="D87" s="726">
        <v>28046</v>
      </c>
      <c r="E87" s="1204">
        <v>13182</v>
      </c>
      <c r="F87" s="1203">
        <f t="shared" si="16"/>
        <v>47.001354916922203</v>
      </c>
      <c r="G87" s="5"/>
      <c r="H87" s="5"/>
      <c r="I87" s="5"/>
      <c r="J87" s="5"/>
      <c r="K87" s="1129"/>
      <c r="L87" s="1129"/>
    </row>
    <row r="88" spans="2:12" s="19" customFormat="1" ht="24.95" customHeight="1" x14ac:dyDescent="0.25">
      <c r="B88" s="725" t="s">
        <v>632</v>
      </c>
      <c r="C88" s="726"/>
      <c r="D88" s="726">
        <v>1600</v>
      </c>
      <c r="E88" s="1204">
        <v>1600</v>
      </c>
      <c r="F88" s="1203">
        <f t="shared" si="16"/>
        <v>100</v>
      </c>
      <c r="G88" s="5"/>
      <c r="H88" s="5"/>
      <c r="I88" s="5"/>
      <c r="J88" s="5"/>
      <c r="K88" s="1129"/>
      <c r="L88" s="1129"/>
    </row>
    <row r="89" spans="2:12" ht="42" customHeight="1" thickBot="1" x14ac:dyDescent="0.3">
      <c r="B89" s="1218" t="s">
        <v>818</v>
      </c>
      <c r="C89" s="751">
        <f>SUM(C79:C88)</f>
        <v>111231</v>
      </c>
      <c r="D89" s="751">
        <f>SUM(D79:D88)</f>
        <v>155593</v>
      </c>
      <c r="E89" s="751">
        <f>SUM(E79:E88)</f>
        <v>140727</v>
      </c>
      <c r="F89" s="752">
        <f t="shared" si="16"/>
        <v>90.445585598323831</v>
      </c>
    </row>
    <row r="90" spans="2:12" s="19" customFormat="1" ht="24.95" customHeight="1" x14ac:dyDescent="0.25">
      <c r="B90" s="745" t="s">
        <v>238</v>
      </c>
      <c r="C90" s="742"/>
      <c r="D90" s="742"/>
      <c r="E90" s="742"/>
      <c r="F90" s="743"/>
      <c r="G90" s="5"/>
      <c r="H90" s="5"/>
      <c r="I90" s="5"/>
      <c r="J90" s="5"/>
      <c r="K90" s="1129"/>
      <c r="L90" s="1129"/>
    </row>
    <row r="91" spans="2:12" ht="24.95" customHeight="1" x14ac:dyDescent="0.25">
      <c r="B91" s="753" t="s">
        <v>200</v>
      </c>
      <c r="C91" s="728">
        <v>2000</v>
      </c>
      <c r="D91" s="728">
        <v>2000</v>
      </c>
      <c r="E91" s="728">
        <v>1700</v>
      </c>
      <c r="F91" s="724">
        <f>+E91/D91*100</f>
        <v>85</v>
      </c>
    </row>
    <row r="92" spans="2:12" ht="24.95" customHeight="1" x14ac:dyDescent="0.25">
      <c r="B92" s="753" t="s">
        <v>773</v>
      </c>
      <c r="C92" s="728">
        <v>0</v>
      </c>
      <c r="D92" s="728">
        <v>448</v>
      </c>
      <c r="E92" s="728">
        <v>41</v>
      </c>
      <c r="F92" s="724">
        <f>+E92/D92*100</f>
        <v>9.1517857142857135</v>
      </c>
    </row>
    <row r="93" spans="2:12" ht="24.95" customHeight="1" thickBot="1" x14ac:dyDescent="0.3">
      <c r="B93" s="737" t="s">
        <v>254</v>
      </c>
      <c r="C93" s="738">
        <f>SUM(C91:C92)</f>
        <v>2000</v>
      </c>
      <c r="D93" s="738">
        <f>SUM(D91:D92)</f>
        <v>2448</v>
      </c>
      <c r="E93" s="738">
        <f>SUM(E91:E92)</f>
        <v>1741</v>
      </c>
      <c r="F93" s="747">
        <f>+E93/D93*100</f>
        <v>71.119281045751634</v>
      </c>
    </row>
    <row r="94" spans="2:12" ht="24.75" customHeight="1" thickBot="1" x14ac:dyDescent="0.3">
      <c r="B94" s="737" t="s">
        <v>255</v>
      </c>
      <c r="C94" s="738">
        <f>C89+C93</f>
        <v>113231</v>
      </c>
      <c r="D94" s="738">
        <f>D89+D93</f>
        <v>158041</v>
      </c>
      <c r="E94" s="738">
        <f>E89+E93</f>
        <v>142468</v>
      </c>
      <c r="F94" s="689">
        <f>+E94/D94*100</f>
        <v>90.146227877576067</v>
      </c>
    </row>
    <row r="95" spans="2:12" ht="24.75" customHeight="1" x14ac:dyDescent="0.25">
      <c r="B95" s="754" t="s">
        <v>256</v>
      </c>
      <c r="C95" s="742"/>
      <c r="D95" s="742"/>
      <c r="E95" s="742"/>
      <c r="F95" s="743"/>
    </row>
    <row r="96" spans="2:12" ht="24.75" customHeight="1" x14ac:dyDescent="0.25">
      <c r="B96" s="712" t="s">
        <v>404</v>
      </c>
      <c r="C96" s="700">
        <v>84000</v>
      </c>
      <c r="D96" s="700">
        <v>105899</v>
      </c>
      <c r="E96" s="1212">
        <v>105899</v>
      </c>
      <c r="F96" s="1213">
        <f t="shared" ref="F96:F101" si="17">+E96/D96*100</f>
        <v>100</v>
      </c>
    </row>
    <row r="97" spans="2:6" ht="24.75" customHeight="1" x14ac:dyDescent="0.25">
      <c r="B97" s="712" t="s">
        <v>501</v>
      </c>
      <c r="C97" s="700"/>
      <c r="D97" s="700">
        <v>4309</v>
      </c>
      <c r="E97" s="1212">
        <v>4309</v>
      </c>
      <c r="F97" s="1213">
        <f t="shared" si="17"/>
        <v>100</v>
      </c>
    </row>
    <row r="98" spans="2:6" ht="24.95" customHeight="1" thickBot="1" x14ac:dyDescent="0.3">
      <c r="B98" s="737" t="s">
        <v>257</v>
      </c>
      <c r="C98" s="738">
        <f>SUM(C96:C97)</f>
        <v>84000</v>
      </c>
      <c r="D98" s="738">
        <f>SUM(D96:D97)</f>
        <v>110208</v>
      </c>
      <c r="E98" s="738">
        <f>SUM(E96:E97)</f>
        <v>110208</v>
      </c>
      <c r="F98" s="747">
        <f t="shared" si="17"/>
        <v>100</v>
      </c>
    </row>
    <row r="99" spans="2:6" ht="24.95" customHeight="1" thickBot="1" x14ac:dyDescent="0.3">
      <c r="B99" s="737" t="s">
        <v>258</v>
      </c>
      <c r="C99" s="738">
        <f>C98</f>
        <v>84000</v>
      </c>
      <c r="D99" s="738">
        <f>D98</f>
        <v>110208</v>
      </c>
      <c r="E99" s="738">
        <f>E98</f>
        <v>110208</v>
      </c>
      <c r="F99" s="741">
        <f t="shared" si="17"/>
        <v>100</v>
      </c>
    </row>
    <row r="100" spans="2:6" ht="24.95" customHeight="1" thickBot="1" x14ac:dyDescent="0.3">
      <c r="B100" s="737" t="s">
        <v>423</v>
      </c>
      <c r="C100" s="751">
        <f>+C77+C94+C99+C67</f>
        <v>279731</v>
      </c>
      <c r="D100" s="751">
        <f>+D77+D94+D99+D67</f>
        <v>297691</v>
      </c>
      <c r="E100" s="751">
        <f>+E77+E94+E99+E67</f>
        <v>280883</v>
      </c>
      <c r="F100" s="741">
        <f t="shared" si="17"/>
        <v>94.353877006694859</v>
      </c>
    </row>
    <row r="101" spans="2:6" ht="24.95" customHeight="1" thickBot="1" x14ac:dyDescent="0.3">
      <c r="B101" s="744" t="s">
        <v>610</v>
      </c>
      <c r="C101" s="720">
        <f>+C64+C100</f>
        <v>2557555</v>
      </c>
      <c r="D101" s="720">
        <f>+D64+D100</f>
        <v>3316424</v>
      </c>
      <c r="E101" s="720">
        <f>+E64+E100</f>
        <v>2910483</v>
      </c>
      <c r="F101" s="741">
        <f t="shared" si="17"/>
        <v>87.759677290961591</v>
      </c>
    </row>
    <row r="102" spans="2:6" ht="15" customHeight="1" x14ac:dyDescent="0.2">
      <c r="B102" s="19"/>
      <c r="C102" s="19"/>
      <c r="D102" s="19"/>
      <c r="E102" s="19"/>
      <c r="F102" s="19"/>
    </row>
    <row r="103" spans="2:6" ht="15" customHeight="1" x14ac:dyDescent="0.2">
      <c r="B103" s="19"/>
      <c r="C103" s="19"/>
      <c r="D103" s="19"/>
      <c r="E103" s="34"/>
      <c r="F103" s="19"/>
    </row>
    <row r="104" spans="2:6" ht="24.75" customHeight="1" thickBot="1" x14ac:dyDescent="0.35">
      <c r="B104" s="57" t="s">
        <v>27</v>
      </c>
      <c r="C104" s="40"/>
      <c r="D104" s="40"/>
      <c r="E104" s="40"/>
      <c r="F104" s="301" t="s">
        <v>26</v>
      </c>
    </row>
    <row r="105" spans="2:6" ht="24.75" customHeight="1" x14ac:dyDescent="0.25">
      <c r="B105" s="303" t="s">
        <v>42</v>
      </c>
      <c r="C105" s="2718" t="s">
        <v>517</v>
      </c>
      <c r="D105" s="2718"/>
      <c r="E105" s="755" t="s">
        <v>685</v>
      </c>
      <c r="F105" s="755" t="s">
        <v>139</v>
      </c>
    </row>
    <row r="106" spans="2:6" ht="24.75" customHeight="1" thickBot="1" x14ac:dyDescent="0.3">
      <c r="B106" s="304"/>
      <c r="C106" s="756" t="s">
        <v>264</v>
      </c>
      <c r="D106" s="757" t="s">
        <v>137</v>
      </c>
      <c r="E106" s="758" t="s">
        <v>138</v>
      </c>
      <c r="F106" s="758" t="s">
        <v>140</v>
      </c>
    </row>
    <row r="107" spans="2:6" ht="42.75" customHeight="1" x14ac:dyDescent="0.25">
      <c r="B107" s="760" t="s">
        <v>653</v>
      </c>
      <c r="C107" s="691"/>
      <c r="D107" s="723">
        <v>700</v>
      </c>
      <c r="E107" s="723"/>
      <c r="F107" s="724">
        <f t="shared" ref="F107:F127" si="18">+E107/D107*100</f>
        <v>0</v>
      </c>
    </row>
    <row r="108" spans="2:6" ht="42.75" customHeight="1" x14ac:dyDescent="0.25">
      <c r="B108" s="1219" t="s">
        <v>654</v>
      </c>
      <c r="C108" s="691"/>
      <c r="D108" s="723">
        <v>20858</v>
      </c>
      <c r="E108" s="723">
        <v>19594</v>
      </c>
      <c r="F108" s="724">
        <f t="shared" si="18"/>
        <v>93.939975069517686</v>
      </c>
    </row>
    <row r="109" spans="2:6" ht="42" customHeight="1" thickBot="1" x14ac:dyDescent="0.3">
      <c r="B109" s="699" t="s">
        <v>655</v>
      </c>
      <c r="C109" s="691"/>
      <c r="D109" s="723"/>
      <c r="E109" s="723"/>
      <c r="F109" s="724"/>
    </row>
    <row r="110" spans="2:6" ht="24.75" customHeight="1" thickBot="1" x14ac:dyDescent="0.3">
      <c r="B110" s="687" t="s">
        <v>419</v>
      </c>
      <c r="C110" s="688">
        <f t="shared" ref="C110:E110" si="19">SUM(C107:C109)</f>
        <v>0</v>
      </c>
      <c r="D110" s="688">
        <f t="shared" si="19"/>
        <v>21558</v>
      </c>
      <c r="E110" s="688">
        <f t="shared" si="19"/>
        <v>19594</v>
      </c>
      <c r="F110" s="689">
        <f t="shared" si="18"/>
        <v>90.889692921421286</v>
      </c>
    </row>
    <row r="111" spans="2:6" ht="24.75" customHeight="1" x14ac:dyDescent="0.25">
      <c r="B111" s="699" t="s">
        <v>656</v>
      </c>
      <c r="C111" s="761"/>
      <c r="D111" s="762">
        <v>1305</v>
      </c>
      <c r="E111" s="762">
        <v>1125</v>
      </c>
      <c r="F111" s="1142">
        <f t="shared" si="18"/>
        <v>86.206896551724128</v>
      </c>
    </row>
    <row r="112" spans="2:6" ht="24.75" customHeight="1" x14ac:dyDescent="0.25">
      <c r="B112" s="699" t="s">
        <v>657</v>
      </c>
      <c r="C112" s="761"/>
      <c r="D112" s="762">
        <v>2000</v>
      </c>
      <c r="E112" s="762">
        <v>2000</v>
      </c>
      <c r="F112" s="1142">
        <f t="shared" si="18"/>
        <v>100</v>
      </c>
    </row>
    <row r="113" spans="2:6" ht="24.75" customHeight="1" thickBot="1" x14ac:dyDescent="0.3">
      <c r="B113" s="699" t="s">
        <v>658</v>
      </c>
      <c r="C113" s="761"/>
      <c r="D113" s="762"/>
      <c r="E113" s="762"/>
      <c r="F113" s="1142"/>
    </row>
    <row r="114" spans="2:6" ht="24.75" customHeight="1" thickBot="1" x14ac:dyDescent="0.3">
      <c r="B114" s="763" t="s">
        <v>311</v>
      </c>
      <c r="C114" s="688">
        <f>SUM(C111:C113)</f>
        <v>0</v>
      </c>
      <c r="D114" s="688">
        <f>SUM(D111:D113)</f>
        <v>3305</v>
      </c>
      <c r="E114" s="688">
        <f t="shared" ref="E114" si="20">SUM(E111:E113)</f>
        <v>3125</v>
      </c>
      <c r="F114" s="689">
        <f t="shared" si="18"/>
        <v>94.553706505295011</v>
      </c>
    </row>
    <row r="115" spans="2:6" ht="35.25" customHeight="1" x14ac:dyDescent="0.25">
      <c r="B115" s="699" t="s">
        <v>642</v>
      </c>
      <c r="C115" s="762"/>
      <c r="D115" s="762">
        <v>37504</v>
      </c>
      <c r="E115" s="762">
        <v>771</v>
      </c>
      <c r="F115" s="1142">
        <f t="shared" si="18"/>
        <v>2.0557807167235493</v>
      </c>
    </row>
    <row r="116" spans="2:6" ht="24.75" customHeight="1" x14ac:dyDescent="0.25">
      <c r="B116" s="699" t="s">
        <v>659</v>
      </c>
      <c r="C116" s="764"/>
      <c r="D116" s="762">
        <v>29387</v>
      </c>
      <c r="E116" s="762">
        <v>29387</v>
      </c>
      <c r="F116" s="1142">
        <f t="shared" si="18"/>
        <v>100</v>
      </c>
    </row>
    <row r="117" spans="2:6" ht="45.75" customHeight="1" thickBot="1" x14ac:dyDescent="0.3">
      <c r="B117" s="693" t="s">
        <v>660</v>
      </c>
      <c r="C117" s="765"/>
      <c r="D117" s="694"/>
      <c r="E117" s="694"/>
      <c r="F117" s="702"/>
    </row>
    <row r="118" spans="2:6" ht="24.75" customHeight="1" thickBot="1" x14ac:dyDescent="0.3">
      <c r="B118" s="763" t="s">
        <v>436</v>
      </c>
      <c r="C118" s="766">
        <f t="shared" ref="C118:E118" si="21">SUM(C115:C117)</f>
        <v>0</v>
      </c>
      <c r="D118" s="688">
        <f t="shared" si="21"/>
        <v>66891</v>
      </c>
      <c r="E118" s="688">
        <f t="shared" si="21"/>
        <v>30158</v>
      </c>
      <c r="F118" s="689">
        <f t="shared" si="18"/>
        <v>45.085288005860278</v>
      </c>
    </row>
    <row r="119" spans="2:6" ht="24.75" customHeight="1" x14ac:dyDescent="0.25">
      <c r="B119" s="767" t="s">
        <v>661</v>
      </c>
      <c r="C119" s="682"/>
      <c r="D119" s="705">
        <v>24686</v>
      </c>
      <c r="E119" s="705"/>
      <c r="F119" s="706">
        <f t="shared" si="18"/>
        <v>0</v>
      </c>
    </row>
    <row r="120" spans="2:6" ht="24.75" customHeight="1" x14ac:dyDescent="0.25">
      <c r="B120" s="767" t="s">
        <v>662</v>
      </c>
      <c r="C120" s="682"/>
      <c r="D120" s="708">
        <v>9995</v>
      </c>
      <c r="E120" s="708">
        <v>9101</v>
      </c>
      <c r="F120" s="709">
        <f t="shared" si="18"/>
        <v>91.05552776388194</v>
      </c>
    </row>
    <row r="121" spans="2:6" ht="24.75" customHeight="1" thickBot="1" x14ac:dyDescent="0.3">
      <c r="B121" s="767" t="s">
        <v>663</v>
      </c>
      <c r="C121" s="682"/>
      <c r="D121" s="685">
        <v>602</v>
      </c>
      <c r="E121" s="685">
        <v>602</v>
      </c>
      <c r="F121" s="710">
        <f t="shared" si="18"/>
        <v>100</v>
      </c>
    </row>
    <row r="122" spans="2:6" ht="24.75" customHeight="1" thickBot="1" x14ac:dyDescent="0.3">
      <c r="B122" s="687" t="s">
        <v>209</v>
      </c>
      <c r="C122" s="766">
        <f>SUM(C119:C121)</f>
        <v>0</v>
      </c>
      <c r="D122" s="688">
        <f>SUM(D119:D121)</f>
        <v>35283</v>
      </c>
      <c r="E122" s="688">
        <f t="shared" ref="E122" si="22">SUM(E119:E121)</f>
        <v>9703</v>
      </c>
      <c r="F122" s="689">
        <f t="shared" si="18"/>
        <v>27.500495989570044</v>
      </c>
    </row>
    <row r="123" spans="2:6" ht="24.75" customHeight="1" x14ac:dyDescent="0.25">
      <c r="B123" s="768" t="s">
        <v>664</v>
      </c>
      <c r="C123" s="769"/>
      <c r="D123" s="729">
        <v>18785</v>
      </c>
      <c r="E123" s="729">
        <v>13407</v>
      </c>
      <c r="F123" s="730">
        <f t="shared" si="18"/>
        <v>71.370774554165564</v>
      </c>
    </row>
    <row r="124" spans="2:6" ht="24.75" customHeight="1" x14ac:dyDescent="0.25">
      <c r="B124" s="768" t="s">
        <v>665</v>
      </c>
      <c r="C124" s="770"/>
      <c r="D124" s="729">
        <v>6600</v>
      </c>
      <c r="E124" s="729">
        <v>6600</v>
      </c>
      <c r="F124" s="730">
        <f t="shared" si="18"/>
        <v>100</v>
      </c>
    </row>
    <row r="125" spans="2:6" ht="24.75" customHeight="1" thickBot="1" x14ac:dyDescent="0.3">
      <c r="B125" s="699" t="s">
        <v>666</v>
      </c>
      <c r="C125" s="761"/>
      <c r="D125" s="729"/>
      <c r="E125" s="729"/>
      <c r="F125" s="730"/>
    </row>
    <row r="126" spans="2:6" ht="24.75" customHeight="1" thickBot="1" x14ac:dyDescent="0.3">
      <c r="B126" s="687" t="s">
        <v>3</v>
      </c>
      <c r="C126" s="688">
        <f t="shared" ref="C126:E126" si="23">SUM(C123:C125)</f>
        <v>0</v>
      </c>
      <c r="D126" s="688">
        <f t="shared" si="23"/>
        <v>25385</v>
      </c>
      <c r="E126" s="688">
        <f t="shared" si="23"/>
        <v>20007</v>
      </c>
      <c r="F126" s="689">
        <f t="shared" si="18"/>
        <v>78.814260389994089</v>
      </c>
    </row>
    <row r="127" spans="2:6" ht="24.75" customHeight="1" thickBot="1" x14ac:dyDescent="0.3">
      <c r="B127" s="771" t="s">
        <v>726</v>
      </c>
      <c r="C127" s="772">
        <f>C110+C114+C118+C122+C126</f>
        <v>0</v>
      </c>
      <c r="D127" s="772">
        <f>D110+D114+D118+D122+D126</f>
        <v>152422</v>
      </c>
      <c r="E127" s="772">
        <f t="shared" ref="E127" si="24">E110+E114+E118+E122+E126</f>
        <v>82587</v>
      </c>
      <c r="F127" s="2273">
        <f t="shared" si="18"/>
        <v>54.18312317119576</v>
      </c>
    </row>
    <row r="128" spans="2:6" ht="15" customHeight="1" thickBot="1" x14ac:dyDescent="0.3">
      <c r="B128" s="65"/>
      <c r="C128" s="59"/>
      <c r="D128" s="59"/>
      <c r="E128" s="58"/>
      <c r="F128" s="299"/>
    </row>
    <row r="129" spans="2:6" ht="21.75" customHeight="1" thickBot="1" x14ac:dyDescent="0.3">
      <c r="B129" s="167" t="s">
        <v>727</v>
      </c>
      <c r="C129" s="110">
        <f t="shared" ref="C129:E129" si="25">+C101+C127</f>
        <v>2557555</v>
      </c>
      <c r="D129" s="110">
        <f t="shared" si="25"/>
        <v>3468846</v>
      </c>
      <c r="E129" s="110">
        <f t="shared" si="25"/>
        <v>2993070</v>
      </c>
      <c r="F129" s="677">
        <f>+E129/D129*100</f>
        <v>86.284314725992445</v>
      </c>
    </row>
    <row r="130" spans="2:6" ht="15" customHeight="1" x14ac:dyDescent="0.2">
      <c r="E130" s="5"/>
    </row>
    <row r="131" spans="2:6" ht="15" customHeight="1" x14ac:dyDescent="0.2">
      <c r="E131" s="5"/>
      <c r="F131" s="5"/>
    </row>
    <row r="132" spans="2:6" ht="15" customHeight="1" x14ac:dyDescent="0.2">
      <c r="E132" s="5"/>
      <c r="F132" s="5"/>
    </row>
    <row r="135" spans="2:6" ht="15" customHeight="1" x14ac:dyDescent="0.2">
      <c r="E135" s="5"/>
    </row>
    <row r="136" spans="2:6" ht="15" customHeight="1" x14ac:dyDescent="0.2">
      <c r="E136" s="5"/>
    </row>
  </sheetData>
  <mergeCells count="3">
    <mergeCell ref="C5:D5"/>
    <mergeCell ref="C105:D105"/>
    <mergeCell ref="B2:F2"/>
  </mergeCells>
  <phoneticPr fontId="0" type="noConversion"/>
  <printOptions horizontalCentered="1" verticalCentered="1"/>
  <pageMargins left="0" right="0" top="0" bottom="0" header="0.51181102362204722" footer="0.51181102362204722"/>
  <pageSetup paperSize="9" scale="62" orientation="portrait" r:id="rId1"/>
  <headerFooter alignWithMargins="0">
    <oddHeader>&amp;R&amp;"Arial,Félkövér"&amp;14 9. melléklet a ..../2020. (......) önkormányzati rendelethez</oddHeader>
  </headerFooter>
  <rowBreaks count="2" manualBreakCount="2">
    <brk id="48" min="1" max="5" man="1"/>
    <brk id="89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32</vt:i4>
      </vt:variant>
      <vt:variant>
        <vt:lpstr>Névvel ellátott tartományok</vt:lpstr>
      </vt:variant>
      <vt:variant>
        <vt:i4>41</vt:i4>
      </vt:variant>
    </vt:vector>
  </HeadingPairs>
  <TitlesOfParts>
    <vt:vector size="73" baseType="lpstr">
      <vt:lpstr>1 kiemelt előirányzatok telj. </vt:lpstr>
      <vt:lpstr>2 mérleg </vt:lpstr>
      <vt:lpstr>3 bev.részl</vt:lpstr>
      <vt:lpstr>4 int bevétel</vt:lpstr>
      <vt:lpstr>Normatíva</vt:lpstr>
      <vt:lpstr>6 int kiadás</vt:lpstr>
      <vt:lpstr>7.létszám ei zárás 2019 év</vt:lpstr>
      <vt:lpstr>8 okt.</vt:lpstr>
      <vt:lpstr>9 kult.</vt:lpstr>
      <vt:lpstr>10 szoc.</vt:lpstr>
      <vt:lpstr>11 eü.</vt:lpstr>
      <vt:lpstr>12 Gyerm.</vt:lpstr>
      <vt:lpstr>13 egyéb</vt:lpstr>
      <vt:lpstr>14 sport</vt:lpstr>
      <vt:lpstr>15 város.ü.,körny</vt:lpstr>
      <vt:lpstr>16 út-híd</vt:lpstr>
      <vt:lpstr>17 fbev.</vt:lpstr>
      <vt:lpstr>18 fkia.</vt:lpstr>
      <vt:lpstr>19 pénzeszkváltsa</vt:lpstr>
      <vt:lpstr>20 közvetett támogatás</vt:lpstr>
      <vt:lpstr>21 Eu projektek</vt:lpstr>
      <vt:lpstr>22 többév1</vt:lpstr>
      <vt:lpstr>23 eszközök</vt:lpstr>
      <vt:lpstr>24 források</vt:lpstr>
      <vt:lpstr>25 lakásalapelsz</vt:lpstr>
      <vt:lpstr>26 segély </vt:lpstr>
      <vt:lpstr>27 kataszter</vt:lpstr>
      <vt:lpstr>28 vagyonkimutatás </vt:lpstr>
      <vt:lpstr>29 felhalmozás</vt:lpstr>
      <vt:lpstr>30 felújítás</vt:lpstr>
      <vt:lpstr>31 Részesedések</vt:lpstr>
      <vt:lpstr>32 Lízing</vt:lpstr>
      <vt:lpstr>'13 egyéb'!Nyomtatási_cím</vt:lpstr>
      <vt:lpstr>'17 fbev.'!Nyomtatási_cím</vt:lpstr>
      <vt:lpstr>'18 fkia.'!Nyomtatási_cím</vt:lpstr>
      <vt:lpstr>'19 pénzeszkváltsa'!Nyomtatási_cím</vt:lpstr>
      <vt:lpstr>'29 felhalmozás'!Nyomtatási_cím</vt:lpstr>
      <vt:lpstr>'3 bev.részl'!Nyomtatási_cím</vt:lpstr>
      <vt:lpstr>'30 felújítás'!Nyomtatási_cím</vt:lpstr>
      <vt:lpstr>'7.létszám ei zárás 2019 év'!Nyomtatási_cím</vt:lpstr>
      <vt:lpstr>'9 kult.'!Nyomtatási_cím</vt:lpstr>
      <vt:lpstr>'1 kiemelt előirányzatok telj. '!Nyomtatási_terület</vt:lpstr>
      <vt:lpstr>'10 szoc.'!Nyomtatási_terület</vt:lpstr>
      <vt:lpstr>'11 eü.'!Nyomtatási_terület</vt:lpstr>
      <vt:lpstr>'12 Gyerm.'!Nyomtatási_terület</vt:lpstr>
      <vt:lpstr>'13 egyéb'!Nyomtatási_terület</vt:lpstr>
      <vt:lpstr>'14 sport'!Nyomtatási_terület</vt:lpstr>
      <vt:lpstr>'15 város.ü.,körny'!Nyomtatási_terület</vt:lpstr>
      <vt:lpstr>'16 út-híd'!Nyomtatási_terület</vt:lpstr>
      <vt:lpstr>'17 fbev.'!Nyomtatási_terület</vt:lpstr>
      <vt:lpstr>'18 fkia.'!Nyomtatási_terület</vt:lpstr>
      <vt:lpstr>'19 pénzeszkváltsa'!Nyomtatási_terület</vt:lpstr>
      <vt:lpstr>'2 mérleg '!Nyomtatási_terület</vt:lpstr>
      <vt:lpstr>'20 közvetett támogatás'!Nyomtatási_terület</vt:lpstr>
      <vt:lpstr>'21 Eu projektek'!Nyomtatási_terület</vt:lpstr>
      <vt:lpstr>'22 többév1'!Nyomtatási_terület</vt:lpstr>
      <vt:lpstr>'23 eszközök'!Nyomtatási_terület</vt:lpstr>
      <vt:lpstr>'24 források'!Nyomtatási_terület</vt:lpstr>
      <vt:lpstr>'25 lakásalapelsz'!Nyomtatási_terület</vt:lpstr>
      <vt:lpstr>'26 segély '!Nyomtatási_terület</vt:lpstr>
      <vt:lpstr>'27 kataszter'!Nyomtatási_terület</vt:lpstr>
      <vt:lpstr>'28 vagyonkimutatás '!Nyomtatási_terület</vt:lpstr>
      <vt:lpstr>'29 felhalmozás'!Nyomtatási_terület</vt:lpstr>
      <vt:lpstr>'3 bev.részl'!Nyomtatási_terület</vt:lpstr>
      <vt:lpstr>'30 felújítás'!Nyomtatási_terület</vt:lpstr>
      <vt:lpstr>'31 Részesedések'!Nyomtatási_terület</vt:lpstr>
      <vt:lpstr>'32 Lízing'!Nyomtatási_terület</vt:lpstr>
      <vt:lpstr>'4 int bevétel'!Nyomtatási_terület</vt:lpstr>
      <vt:lpstr>'6 int kiadás'!Nyomtatási_terület</vt:lpstr>
      <vt:lpstr>'7.létszám ei zárás 2019 év'!Nyomtatási_terület</vt:lpstr>
      <vt:lpstr>'8 okt.'!Nyomtatási_terület</vt:lpstr>
      <vt:lpstr>'9 kult.'!Nyomtatási_terület</vt:lpstr>
      <vt:lpstr>Normatíva!Nyomtatási_terület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Polgár Anita</cp:lastModifiedBy>
  <cp:lastPrinted>2020-05-27T15:12:07Z</cp:lastPrinted>
  <dcterms:created xsi:type="dcterms:W3CDTF">1998-01-10T07:52:54Z</dcterms:created>
  <dcterms:modified xsi:type="dcterms:W3CDTF">2020-06-11T12:25:51Z</dcterms:modified>
</cp:coreProperties>
</file>